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30" windowWidth="9885" windowHeight="6120"/>
  </bookViews>
  <sheets>
    <sheet name="cf-5-36-ALL" sheetId="1" r:id="rId1"/>
    <sheet name="Sheet1" sheetId="2" r:id="rId2"/>
    <sheet name="Sheet2" sheetId="3" r:id="rId3"/>
  </sheets>
  <calcPr calcId="145621"/>
</workbook>
</file>

<file path=xl/calcChain.xml><?xml version="1.0" encoding="utf-8"?>
<calcChain xmlns="http://schemas.openxmlformats.org/spreadsheetml/2006/main">
  <c r="DM847" i="1" l="1"/>
  <c r="DL847" i="1"/>
  <c r="CX847" i="1"/>
  <c r="CV847" i="1"/>
  <c r="CS847" i="1"/>
  <c r="BS847" i="1"/>
  <c r="BA847" i="1"/>
  <c r="AI847" i="1"/>
  <c r="AB847" i="1"/>
  <c r="W847" i="1"/>
  <c r="V847" i="1"/>
  <c r="G847" i="1"/>
  <c r="F847" i="1"/>
  <c r="E847" i="1"/>
  <c r="A847" i="1"/>
  <c r="CX846" i="1"/>
  <c r="CV846" i="1"/>
  <c r="CS846" i="1"/>
  <c r="BS846" i="1"/>
  <c r="BA846" i="1"/>
  <c r="AI846" i="1"/>
  <c r="AB846" i="1"/>
  <c r="G846" i="1"/>
  <c r="F846" i="1"/>
  <c r="E846" i="1"/>
  <c r="A846" i="1"/>
  <c r="CX845" i="1"/>
  <c r="CV845" i="1"/>
  <c r="CS845" i="1"/>
  <c r="BS845" i="1"/>
  <c r="BA845" i="1"/>
  <c r="AI845" i="1"/>
  <c r="AB845" i="1"/>
  <c r="G845" i="1"/>
  <c r="F845" i="1"/>
  <c r="E845" i="1"/>
  <c r="A845" i="1"/>
  <c r="DM844" i="1"/>
  <c r="DL844" i="1"/>
  <c r="CX844" i="1"/>
  <c r="CV844" i="1"/>
  <c r="CS844" i="1"/>
  <c r="BS844" i="1"/>
  <c r="BA844" i="1"/>
  <c r="AI844" i="1"/>
  <c r="AB844" i="1"/>
  <c r="W844" i="1"/>
  <c r="V844" i="1"/>
  <c r="G844" i="1"/>
  <c r="F844" i="1"/>
  <c r="E844" i="1"/>
  <c r="A844" i="1"/>
  <c r="EG843" i="1"/>
  <c r="EF843" i="1"/>
  <c r="EE843" i="1"/>
  <c r="ED843" i="1"/>
  <c r="EC843" i="1"/>
  <c r="EB843" i="1"/>
  <c r="EA843" i="1"/>
  <c r="DZ843" i="1"/>
  <c r="DY843" i="1"/>
  <c r="DX843" i="1"/>
  <c r="DW843" i="1"/>
  <c r="DV843" i="1"/>
  <c r="DU843" i="1"/>
  <c r="DT843" i="1"/>
  <c r="DS843" i="1"/>
  <c r="DR843" i="1"/>
  <c r="DQ843" i="1"/>
  <c r="DP843" i="1"/>
  <c r="DO843" i="1"/>
  <c r="DN843" i="1"/>
  <c r="DM843" i="1"/>
  <c r="DL843" i="1"/>
  <c r="CX843" i="1"/>
  <c r="CV843" i="1"/>
  <c r="CS843" i="1"/>
  <c r="BS843" i="1"/>
  <c r="BA843" i="1"/>
  <c r="AI843" i="1"/>
  <c r="AB843" i="1"/>
  <c r="AA843" i="1"/>
  <c r="Z843" i="1"/>
  <c r="Y843" i="1"/>
  <c r="X843" i="1"/>
  <c r="W843" i="1"/>
  <c r="V843" i="1"/>
  <c r="G843" i="1"/>
  <c r="F843" i="1"/>
  <c r="E843" i="1"/>
  <c r="A843" i="1"/>
  <c r="EG842" i="1"/>
  <c r="EF842" i="1"/>
  <c r="EE842" i="1"/>
  <c r="ED842" i="1"/>
  <c r="EC842" i="1"/>
  <c r="EB842" i="1"/>
  <c r="EA842" i="1"/>
  <c r="DZ842" i="1"/>
  <c r="DY842" i="1"/>
  <c r="DX842" i="1"/>
  <c r="DW842" i="1"/>
  <c r="DV842" i="1"/>
  <c r="DU842" i="1"/>
  <c r="DT842" i="1"/>
  <c r="DS842" i="1"/>
  <c r="DR842" i="1"/>
  <c r="DQ842" i="1"/>
  <c r="DP842" i="1"/>
  <c r="DO842" i="1"/>
  <c r="DN842" i="1"/>
  <c r="DM842" i="1"/>
  <c r="DL842" i="1"/>
  <c r="CX842" i="1"/>
  <c r="CV842" i="1"/>
  <c r="CS842" i="1"/>
  <c r="BS842" i="1"/>
  <c r="BA842" i="1"/>
  <c r="AI842" i="1"/>
  <c r="AB842" i="1"/>
  <c r="AA842" i="1"/>
  <c r="Z842" i="1"/>
  <c r="Y842" i="1"/>
  <c r="X842" i="1"/>
  <c r="W842" i="1"/>
  <c r="V842" i="1"/>
  <c r="G842" i="1"/>
  <c r="F842" i="1"/>
  <c r="E842" i="1"/>
  <c r="A842" i="1"/>
  <c r="CX841" i="1"/>
  <c r="CV841" i="1"/>
  <c r="CS841" i="1"/>
  <c r="BS841" i="1"/>
  <c r="BA841" i="1"/>
  <c r="AI841" i="1"/>
  <c r="AB841" i="1"/>
  <c r="G841" i="1"/>
  <c r="F841" i="1"/>
  <c r="E841" i="1"/>
  <c r="A841" i="1"/>
  <c r="CX840" i="1"/>
  <c r="CV840" i="1"/>
  <c r="CS840" i="1"/>
  <c r="BS840" i="1"/>
  <c r="BA840" i="1"/>
  <c r="AI840" i="1"/>
  <c r="AB840" i="1"/>
  <c r="G840" i="1"/>
  <c r="F840" i="1"/>
  <c r="E840" i="1"/>
  <c r="A840" i="1"/>
  <c r="CX839" i="1"/>
  <c r="CV839" i="1"/>
  <c r="CS839" i="1"/>
  <c r="BS839" i="1"/>
  <c r="BA839" i="1"/>
  <c r="AI839" i="1"/>
  <c r="AB839" i="1"/>
  <c r="G839" i="1"/>
  <c r="F839" i="1"/>
  <c r="E839" i="1"/>
  <c r="A839" i="1"/>
  <c r="EA838" i="1"/>
  <c r="DZ838" i="1"/>
  <c r="DY838" i="1"/>
  <c r="DX838" i="1"/>
  <c r="DW838" i="1"/>
  <c r="DV838" i="1"/>
  <c r="DU838" i="1"/>
  <c r="DT838" i="1"/>
  <c r="DS838" i="1"/>
  <c r="DR838" i="1"/>
  <c r="DQ838" i="1"/>
  <c r="DP838" i="1"/>
  <c r="DO838" i="1"/>
  <c r="DN838" i="1"/>
  <c r="DM838" i="1"/>
  <c r="DL838" i="1"/>
  <c r="CX838" i="1"/>
  <c r="CV838" i="1"/>
  <c r="CS838" i="1"/>
  <c r="BS838" i="1"/>
  <c r="BA838" i="1"/>
  <c r="AI838" i="1"/>
  <c r="AB838" i="1"/>
  <c r="AA838" i="1"/>
  <c r="Z838" i="1"/>
  <c r="Y838" i="1"/>
  <c r="X838" i="1"/>
  <c r="W838" i="1"/>
  <c r="V838" i="1"/>
  <c r="G838" i="1"/>
  <c r="F838" i="1"/>
  <c r="E838" i="1"/>
  <c r="A838" i="1"/>
  <c r="DO837" i="1"/>
  <c r="DN837" i="1"/>
  <c r="DM837" i="1"/>
  <c r="DL837" i="1"/>
  <c r="CX837" i="1"/>
  <c r="CV837" i="1"/>
  <c r="CS837" i="1"/>
  <c r="BS837" i="1"/>
  <c r="BA837" i="1"/>
  <c r="AI837" i="1"/>
  <c r="AB837" i="1"/>
  <c r="Y837" i="1"/>
  <c r="X837" i="1"/>
  <c r="W837" i="1"/>
  <c r="V837" i="1"/>
  <c r="G837" i="1"/>
  <c r="F837" i="1"/>
  <c r="E837" i="1"/>
  <c r="A837" i="1"/>
  <c r="CX836" i="1"/>
  <c r="CV836" i="1"/>
  <c r="CS836" i="1"/>
  <c r="BS836" i="1"/>
  <c r="BA836" i="1"/>
  <c r="AI836" i="1"/>
  <c r="AB836" i="1"/>
  <c r="G836" i="1"/>
  <c r="F836" i="1"/>
  <c r="E836" i="1"/>
  <c r="A836" i="1"/>
  <c r="CX835" i="1"/>
  <c r="CV835" i="1"/>
  <c r="CS835" i="1"/>
  <c r="BS835" i="1"/>
  <c r="BA835" i="1"/>
  <c r="AI835" i="1"/>
  <c r="AB835" i="1"/>
  <c r="S835" i="1"/>
  <c r="G835" i="1"/>
  <c r="F835" i="1"/>
  <c r="E835" i="1"/>
  <c r="A835" i="1"/>
  <c r="CX834" i="1"/>
  <c r="CV834" i="1"/>
  <c r="CS834" i="1"/>
  <c r="BS834" i="1"/>
  <c r="BA834" i="1"/>
  <c r="AI834" i="1"/>
  <c r="AB834" i="1"/>
  <c r="S834" i="1"/>
  <c r="G834" i="1"/>
  <c r="F834" i="1"/>
  <c r="E834" i="1"/>
  <c r="A834" i="1"/>
  <c r="DM833" i="1"/>
  <c r="DL833" i="1"/>
  <c r="CX833" i="1"/>
  <c r="CV833" i="1"/>
  <c r="CS833" i="1"/>
  <c r="BW833" i="1"/>
  <c r="BS833" i="1"/>
  <c r="BA833" i="1"/>
  <c r="AI833" i="1"/>
  <c r="AB833" i="1"/>
  <c r="W833" i="1"/>
  <c r="V833" i="1"/>
  <c r="G833" i="1"/>
  <c r="F833" i="1"/>
  <c r="E833" i="1"/>
  <c r="A833" i="1"/>
  <c r="DU832" i="1"/>
  <c r="DT832" i="1"/>
  <c r="DS832" i="1"/>
  <c r="DR832" i="1"/>
  <c r="DQ832" i="1"/>
  <c r="DP832" i="1"/>
  <c r="DO832" i="1"/>
  <c r="DN832" i="1"/>
  <c r="DM832" i="1"/>
  <c r="DL832" i="1"/>
  <c r="CX832" i="1"/>
  <c r="CV832" i="1"/>
  <c r="CS832" i="1"/>
  <c r="BS832" i="1"/>
  <c r="BA832" i="1"/>
  <c r="AI832" i="1"/>
  <c r="AB832" i="1"/>
  <c r="AA832" i="1"/>
  <c r="Z832" i="1"/>
  <c r="Y832" i="1"/>
  <c r="X832" i="1"/>
  <c r="W832" i="1"/>
  <c r="V832" i="1"/>
  <c r="S832" i="1"/>
  <c r="G832" i="1"/>
  <c r="F832" i="1"/>
  <c r="E832" i="1"/>
  <c r="A832" i="1"/>
  <c r="DS831" i="1"/>
  <c r="DR831" i="1"/>
  <c r="DQ831" i="1"/>
  <c r="DP831" i="1"/>
  <c r="DO831" i="1"/>
  <c r="DN831" i="1"/>
  <c r="DM831" i="1"/>
  <c r="DL831" i="1"/>
  <c r="CX831" i="1"/>
  <c r="CV831" i="1"/>
  <c r="CS831" i="1"/>
  <c r="BS831" i="1"/>
  <c r="BA831" i="1"/>
  <c r="AI831" i="1"/>
  <c r="AB831" i="1"/>
  <c r="AA831" i="1"/>
  <c r="Z831" i="1"/>
  <c r="Y831" i="1"/>
  <c r="X831" i="1"/>
  <c r="W831" i="1"/>
  <c r="V831" i="1"/>
  <c r="S831" i="1"/>
  <c r="G831" i="1"/>
  <c r="F831" i="1"/>
  <c r="E831" i="1"/>
  <c r="A831" i="1"/>
  <c r="DO830" i="1"/>
  <c r="DN830" i="1"/>
  <c r="DM830" i="1"/>
  <c r="DL830" i="1"/>
  <c r="CX830" i="1"/>
  <c r="CV830" i="1"/>
  <c r="CS830" i="1"/>
  <c r="BS830" i="1"/>
  <c r="BA830" i="1"/>
  <c r="AI830" i="1"/>
  <c r="AB830" i="1"/>
  <c r="Y830" i="1"/>
  <c r="X830" i="1"/>
  <c r="W830" i="1"/>
  <c r="V830" i="1"/>
  <c r="G830" i="1"/>
  <c r="F830" i="1"/>
  <c r="E830" i="1"/>
  <c r="A830" i="1"/>
  <c r="CX829" i="1"/>
  <c r="CV829" i="1"/>
  <c r="CS829" i="1"/>
  <c r="BS829" i="1"/>
  <c r="BA829" i="1"/>
  <c r="AI829" i="1"/>
  <c r="AB829" i="1"/>
  <c r="G829" i="1"/>
  <c r="F829" i="1"/>
  <c r="E829" i="1"/>
  <c r="A829" i="1"/>
  <c r="DQ828" i="1"/>
  <c r="DP828" i="1"/>
  <c r="DO828" i="1"/>
  <c r="DN828" i="1"/>
  <c r="DM828" i="1"/>
  <c r="DL828" i="1"/>
  <c r="CX828" i="1"/>
  <c r="CV828" i="1"/>
  <c r="CS828" i="1"/>
  <c r="BS828" i="1"/>
  <c r="BA828" i="1"/>
  <c r="AI828" i="1"/>
  <c r="AB828" i="1"/>
  <c r="AA828" i="1"/>
  <c r="Z828" i="1"/>
  <c r="Y828" i="1"/>
  <c r="X828" i="1"/>
  <c r="W828" i="1"/>
  <c r="V828" i="1"/>
  <c r="G828" i="1"/>
  <c r="F828" i="1"/>
  <c r="E828" i="1"/>
  <c r="A828" i="1"/>
  <c r="CX827" i="1"/>
  <c r="CV827" i="1"/>
  <c r="CS827" i="1"/>
  <c r="BS827" i="1"/>
  <c r="BA827" i="1"/>
  <c r="AI827" i="1"/>
  <c r="AB827" i="1"/>
  <c r="G827" i="1"/>
  <c r="F827" i="1"/>
  <c r="E827" i="1"/>
  <c r="A827" i="1"/>
  <c r="EE826" i="1"/>
  <c r="ED826" i="1"/>
  <c r="EC826" i="1"/>
  <c r="EB826" i="1"/>
  <c r="EA826" i="1"/>
  <c r="DZ826" i="1"/>
  <c r="DY826" i="1"/>
  <c r="DX826" i="1"/>
  <c r="DW826" i="1"/>
  <c r="DV826" i="1"/>
  <c r="DU826" i="1"/>
  <c r="DT826" i="1"/>
  <c r="DS826" i="1"/>
  <c r="DR826" i="1"/>
  <c r="DQ826" i="1"/>
  <c r="DP826" i="1"/>
  <c r="DO826" i="1"/>
  <c r="DN826" i="1"/>
  <c r="DM826" i="1"/>
  <c r="DL826" i="1"/>
  <c r="CX826" i="1"/>
  <c r="CV826" i="1"/>
  <c r="CS826" i="1"/>
  <c r="BS826" i="1"/>
  <c r="BA826" i="1"/>
  <c r="AI826" i="1"/>
  <c r="AB826" i="1"/>
  <c r="AA826" i="1"/>
  <c r="Z826" i="1"/>
  <c r="Y826" i="1"/>
  <c r="X826" i="1"/>
  <c r="W826" i="1"/>
  <c r="V826" i="1"/>
  <c r="G826" i="1"/>
  <c r="F826" i="1"/>
  <c r="E826" i="1"/>
  <c r="A826" i="1"/>
  <c r="CX825" i="1"/>
  <c r="CV825" i="1"/>
  <c r="CS825" i="1"/>
  <c r="BS825" i="1"/>
  <c r="BA825" i="1"/>
  <c r="AI825" i="1"/>
  <c r="AB825" i="1"/>
  <c r="S825" i="1"/>
  <c r="G825" i="1"/>
  <c r="F825" i="1"/>
  <c r="E825" i="1"/>
  <c r="A825" i="1"/>
  <c r="CX824" i="1"/>
  <c r="CV824" i="1"/>
  <c r="CS824" i="1"/>
  <c r="BS824" i="1"/>
  <c r="BA824" i="1"/>
  <c r="AI824" i="1"/>
  <c r="AB824" i="1"/>
  <c r="G824" i="1"/>
  <c r="F824" i="1"/>
  <c r="E824" i="1"/>
  <c r="A824" i="1"/>
  <c r="CX823" i="1"/>
  <c r="CV823" i="1"/>
  <c r="CS823" i="1"/>
  <c r="BS823" i="1"/>
  <c r="BA823" i="1"/>
  <c r="AI823" i="1"/>
  <c r="AB823" i="1"/>
  <c r="G823" i="1"/>
  <c r="F823" i="1"/>
  <c r="E823" i="1"/>
  <c r="A823" i="1"/>
  <c r="CX822" i="1"/>
  <c r="CV822" i="1"/>
  <c r="CS822" i="1"/>
  <c r="BS822" i="1"/>
  <c r="BA822" i="1"/>
  <c r="AI822" i="1"/>
  <c r="AB822" i="1"/>
  <c r="G822" i="1"/>
  <c r="F822" i="1"/>
  <c r="E822" i="1"/>
  <c r="A822" i="1"/>
  <c r="CX821" i="1"/>
  <c r="CV821" i="1"/>
  <c r="CS821" i="1"/>
  <c r="BS821" i="1"/>
  <c r="BA821" i="1"/>
  <c r="AI821" i="1"/>
  <c r="AB821" i="1"/>
  <c r="G821" i="1"/>
  <c r="F821" i="1"/>
  <c r="E821" i="1"/>
  <c r="A821" i="1"/>
  <c r="CX820" i="1"/>
  <c r="CV820" i="1"/>
  <c r="CS820" i="1"/>
  <c r="BS820" i="1"/>
  <c r="BA820" i="1"/>
  <c r="AI820" i="1"/>
  <c r="AB820" i="1"/>
  <c r="G820" i="1"/>
  <c r="F820" i="1"/>
  <c r="E820" i="1"/>
  <c r="A820" i="1"/>
  <c r="CX819" i="1"/>
  <c r="CV819" i="1"/>
  <c r="CS819" i="1"/>
  <c r="BS819" i="1"/>
  <c r="BA819" i="1"/>
  <c r="AI819" i="1"/>
  <c r="AB819" i="1"/>
  <c r="S819" i="1"/>
  <c r="G819" i="1"/>
  <c r="F819" i="1"/>
  <c r="E819" i="1"/>
  <c r="A819" i="1"/>
  <c r="CX818" i="1"/>
  <c r="CV818" i="1"/>
  <c r="CS818" i="1"/>
  <c r="BS818" i="1"/>
  <c r="BA818" i="1"/>
  <c r="AI818" i="1"/>
  <c r="AB818" i="1"/>
  <c r="S818" i="1"/>
  <c r="G818" i="1"/>
  <c r="F818" i="1"/>
  <c r="E818" i="1"/>
  <c r="A818" i="1"/>
  <c r="CX817" i="1"/>
  <c r="CV817" i="1"/>
  <c r="CS817" i="1"/>
  <c r="BS817" i="1"/>
  <c r="BA817" i="1"/>
  <c r="AI817" i="1"/>
  <c r="AB817" i="1"/>
  <c r="G817" i="1"/>
  <c r="F817" i="1"/>
  <c r="E817" i="1"/>
  <c r="A817" i="1"/>
  <c r="DQ816" i="1"/>
  <c r="DP816" i="1"/>
  <c r="DO816" i="1"/>
  <c r="DN816" i="1"/>
  <c r="DM816" i="1"/>
  <c r="DL816" i="1"/>
  <c r="CX816" i="1"/>
  <c r="CV816" i="1"/>
  <c r="CS816" i="1"/>
  <c r="BS816" i="1"/>
  <c r="BA816" i="1"/>
  <c r="AI816" i="1"/>
  <c r="AB816" i="1"/>
  <c r="AA816" i="1"/>
  <c r="Z816" i="1"/>
  <c r="Y816" i="1"/>
  <c r="X816" i="1"/>
  <c r="W816" i="1"/>
  <c r="V816" i="1"/>
  <c r="G816" i="1"/>
  <c r="F816" i="1"/>
  <c r="E816" i="1"/>
  <c r="A816" i="1"/>
  <c r="CX815" i="1"/>
  <c r="CV815" i="1"/>
  <c r="CS815" i="1"/>
  <c r="BS815" i="1"/>
  <c r="BA815" i="1"/>
  <c r="AI815" i="1"/>
  <c r="AB815" i="1"/>
  <c r="G815" i="1"/>
  <c r="F815" i="1"/>
  <c r="E815" i="1"/>
  <c r="A815" i="1"/>
  <c r="CX814" i="1"/>
  <c r="CV814" i="1"/>
  <c r="CS814" i="1"/>
  <c r="BS814" i="1"/>
  <c r="BA814" i="1"/>
  <c r="AI814" i="1"/>
  <c r="AB814" i="1"/>
  <c r="G814" i="1"/>
  <c r="F814" i="1"/>
  <c r="E814" i="1"/>
  <c r="A814" i="1"/>
  <c r="CX813" i="1"/>
  <c r="CV813" i="1"/>
  <c r="CS813" i="1"/>
  <c r="BS813" i="1"/>
  <c r="BA813" i="1"/>
  <c r="AI813" i="1"/>
  <c r="AB813" i="1"/>
  <c r="G813" i="1"/>
  <c r="F813" i="1"/>
  <c r="E813" i="1"/>
  <c r="A813" i="1"/>
  <c r="EG812" i="1"/>
  <c r="EF812" i="1"/>
  <c r="EE812" i="1"/>
  <c r="ED812" i="1"/>
  <c r="EC812" i="1"/>
  <c r="EB812" i="1"/>
  <c r="EA812" i="1"/>
  <c r="DZ812" i="1"/>
  <c r="DY812" i="1"/>
  <c r="DX812" i="1"/>
  <c r="DW812" i="1"/>
  <c r="DV812" i="1"/>
  <c r="DU812" i="1"/>
  <c r="DT812" i="1"/>
  <c r="DS812" i="1"/>
  <c r="DR812" i="1"/>
  <c r="DQ812" i="1"/>
  <c r="DP812" i="1"/>
  <c r="DO812" i="1"/>
  <c r="DN812" i="1"/>
  <c r="DM812" i="1"/>
  <c r="DL812" i="1"/>
  <c r="CX812" i="1"/>
  <c r="CV812" i="1"/>
  <c r="CS812" i="1"/>
  <c r="BS812" i="1"/>
  <c r="BA812" i="1"/>
  <c r="AI812" i="1"/>
  <c r="AB812" i="1"/>
  <c r="AA812" i="1"/>
  <c r="Z812" i="1"/>
  <c r="Y812" i="1"/>
  <c r="X812" i="1"/>
  <c r="W812" i="1"/>
  <c r="V812" i="1"/>
  <c r="G812" i="1"/>
  <c r="F812" i="1"/>
  <c r="E812" i="1"/>
  <c r="A812" i="1"/>
  <c r="CX811" i="1"/>
  <c r="CV811" i="1"/>
  <c r="CS811" i="1"/>
  <c r="BS811" i="1"/>
  <c r="BA811" i="1"/>
  <c r="AI811" i="1"/>
  <c r="AB811" i="1"/>
  <c r="G811" i="1"/>
  <c r="F811" i="1"/>
  <c r="E811" i="1"/>
  <c r="A811" i="1"/>
  <c r="CX810" i="1"/>
  <c r="CV810" i="1"/>
  <c r="CS810" i="1"/>
  <c r="BS810" i="1"/>
  <c r="BA810" i="1"/>
  <c r="AI810" i="1"/>
  <c r="AB810" i="1"/>
  <c r="G810" i="1"/>
  <c r="F810" i="1"/>
  <c r="E810" i="1"/>
  <c r="A810" i="1"/>
  <c r="CX809" i="1"/>
  <c r="CV809" i="1"/>
  <c r="CS809" i="1"/>
  <c r="BS809" i="1"/>
  <c r="BA809" i="1"/>
  <c r="AI809" i="1"/>
  <c r="AB809" i="1"/>
  <c r="G809" i="1"/>
  <c r="F809" i="1"/>
  <c r="E809" i="1"/>
  <c r="A809" i="1"/>
  <c r="CX808" i="1"/>
  <c r="CV808" i="1"/>
  <c r="CS808" i="1"/>
  <c r="BS808" i="1"/>
  <c r="BA808" i="1"/>
  <c r="AI808" i="1"/>
  <c r="AB808" i="1"/>
  <c r="G808" i="1"/>
  <c r="F808" i="1"/>
  <c r="E808" i="1"/>
  <c r="A808" i="1"/>
  <c r="DM807" i="1"/>
  <c r="DL807" i="1"/>
  <c r="CX807" i="1"/>
  <c r="CV807" i="1"/>
  <c r="CS807" i="1"/>
  <c r="BW807" i="1"/>
  <c r="BS807" i="1"/>
  <c r="BA807" i="1"/>
  <c r="AI807" i="1"/>
  <c r="AB807" i="1"/>
  <c r="W807" i="1"/>
  <c r="V807" i="1"/>
  <c r="G807" i="1"/>
  <c r="F807" i="1"/>
  <c r="E807" i="1"/>
  <c r="A807" i="1"/>
  <c r="CX806" i="1"/>
  <c r="CV806" i="1"/>
  <c r="CS806" i="1"/>
  <c r="BS806" i="1"/>
  <c r="BA806" i="1"/>
  <c r="AI806" i="1"/>
  <c r="AB806" i="1"/>
  <c r="G806" i="1"/>
  <c r="F806" i="1"/>
  <c r="E806" i="1"/>
  <c r="A806" i="1"/>
  <c r="CX805" i="1"/>
  <c r="CV805" i="1"/>
  <c r="CS805" i="1"/>
  <c r="BS805" i="1"/>
  <c r="BA805" i="1"/>
  <c r="AI805" i="1"/>
  <c r="AB805" i="1"/>
  <c r="G805" i="1"/>
  <c r="F805" i="1"/>
  <c r="E805" i="1"/>
  <c r="A805" i="1"/>
  <c r="DS804" i="1"/>
  <c r="DR804" i="1"/>
  <c r="DQ804" i="1"/>
  <c r="DP804" i="1"/>
  <c r="DO804" i="1"/>
  <c r="DN804" i="1"/>
  <c r="DM804" i="1"/>
  <c r="DL804" i="1"/>
  <c r="CX804" i="1"/>
  <c r="CV804" i="1"/>
  <c r="CS804" i="1"/>
  <c r="BS804" i="1"/>
  <c r="BA804" i="1"/>
  <c r="AI804" i="1"/>
  <c r="AB804" i="1"/>
  <c r="AA804" i="1"/>
  <c r="Z804" i="1"/>
  <c r="Y804" i="1"/>
  <c r="X804" i="1"/>
  <c r="W804" i="1"/>
  <c r="V804" i="1"/>
  <c r="G804" i="1"/>
  <c r="F804" i="1"/>
  <c r="E804" i="1"/>
  <c r="A804" i="1"/>
  <c r="DS803" i="1"/>
  <c r="DR803" i="1"/>
  <c r="DQ803" i="1"/>
  <c r="DP803" i="1"/>
  <c r="DO803" i="1"/>
  <c r="DN803" i="1"/>
  <c r="DM803" i="1"/>
  <c r="DL803" i="1"/>
  <c r="CX803" i="1"/>
  <c r="CV803" i="1"/>
  <c r="CS803" i="1"/>
  <c r="BS803" i="1"/>
  <c r="BA803" i="1"/>
  <c r="AI803" i="1"/>
  <c r="AB803" i="1"/>
  <c r="AA803" i="1"/>
  <c r="Z803" i="1"/>
  <c r="Y803" i="1"/>
  <c r="X803" i="1"/>
  <c r="W803" i="1"/>
  <c r="V803" i="1"/>
  <c r="G803" i="1"/>
  <c r="F803" i="1"/>
  <c r="E803" i="1"/>
  <c r="A803" i="1"/>
  <c r="DO802" i="1"/>
  <c r="DN802" i="1"/>
  <c r="DM802" i="1"/>
  <c r="DL802" i="1"/>
  <c r="CX802" i="1"/>
  <c r="CV802" i="1"/>
  <c r="CS802" i="1"/>
  <c r="BA802" i="1"/>
  <c r="AI802" i="1"/>
  <c r="AB802" i="1"/>
  <c r="Y802" i="1"/>
  <c r="X802" i="1"/>
  <c r="W802" i="1"/>
  <c r="V802" i="1"/>
  <c r="G802" i="1"/>
  <c r="F802" i="1"/>
  <c r="E802" i="1"/>
  <c r="A802" i="1"/>
  <c r="CX801" i="1"/>
  <c r="CV801" i="1"/>
  <c r="CS801" i="1"/>
  <c r="BS801" i="1"/>
  <c r="BA801" i="1"/>
  <c r="AI801" i="1"/>
  <c r="AB801" i="1"/>
  <c r="G801" i="1"/>
  <c r="F801" i="1"/>
  <c r="E801" i="1"/>
  <c r="A801" i="1"/>
  <c r="CX800" i="1"/>
  <c r="CV800" i="1"/>
  <c r="CS800" i="1"/>
  <c r="BS800" i="1"/>
  <c r="BA800" i="1"/>
  <c r="AI800" i="1"/>
  <c r="AB800" i="1"/>
  <c r="G800" i="1"/>
  <c r="F800" i="1"/>
  <c r="E800" i="1"/>
  <c r="A800" i="1"/>
  <c r="CX799" i="1"/>
  <c r="CV799" i="1"/>
  <c r="CS799" i="1"/>
  <c r="BS799" i="1"/>
  <c r="BA799" i="1"/>
  <c r="AI799" i="1"/>
  <c r="AB799" i="1"/>
  <c r="S799" i="1"/>
  <c r="G799" i="1"/>
  <c r="F799" i="1"/>
  <c r="E799" i="1"/>
  <c r="A799" i="1"/>
  <c r="DS798" i="1"/>
  <c r="DR798" i="1"/>
  <c r="DQ798" i="1"/>
  <c r="DP798" i="1"/>
  <c r="DO798" i="1"/>
  <c r="DN798" i="1"/>
  <c r="DM798" i="1"/>
  <c r="DL798" i="1"/>
  <c r="CX798" i="1"/>
  <c r="CV798" i="1"/>
  <c r="CS798" i="1"/>
  <c r="BS798" i="1"/>
  <c r="BA798" i="1"/>
  <c r="AI798" i="1"/>
  <c r="AB798" i="1"/>
  <c r="AA798" i="1"/>
  <c r="Z798" i="1"/>
  <c r="Y798" i="1"/>
  <c r="X798" i="1"/>
  <c r="W798" i="1"/>
  <c r="V798" i="1"/>
  <c r="S798" i="1"/>
  <c r="G798" i="1"/>
  <c r="F798" i="1"/>
  <c r="E798" i="1"/>
  <c r="A798" i="1"/>
  <c r="CX797" i="1"/>
  <c r="CV797" i="1"/>
  <c r="CS797" i="1"/>
  <c r="BS797" i="1"/>
  <c r="BA797" i="1"/>
  <c r="AI797" i="1"/>
  <c r="AB797" i="1"/>
  <c r="G797" i="1"/>
  <c r="F797" i="1"/>
  <c r="E797" i="1"/>
  <c r="A797" i="1"/>
  <c r="DM796" i="1"/>
  <c r="DL796" i="1"/>
  <c r="CX796" i="1"/>
  <c r="CV796" i="1"/>
  <c r="CS796" i="1"/>
  <c r="BS796" i="1"/>
  <c r="BA796" i="1"/>
  <c r="AI796" i="1"/>
  <c r="AB796" i="1"/>
  <c r="W796" i="1"/>
  <c r="V796" i="1"/>
  <c r="G796" i="1"/>
  <c r="F796" i="1"/>
  <c r="E796" i="1"/>
  <c r="A796" i="1"/>
  <c r="CX795" i="1"/>
  <c r="CV795" i="1"/>
  <c r="CS795" i="1"/>
  <c r="BS795" i="1"/>
  <c r="BA795" i="1"/>
  <c r="AI795" i="1"/>
  <c r="AB795" i="1"/>
  <c r="S795" i="1"/>
  <c r="G795" i="1"/>
  <c r="F795" i="1"/>
  <c r="E795" i="1"/>
  <c r="A795" i="1"/>
  <c r="EA794" i="1"/>
  <c r="DZ794" i="1"/>
  <c r="DY794" i="1"/>
  <c r="DX794" i="1"/>
  <c r="DW794" i="1"/>
  <c r="DV794" i="1"/>
  <c r="DU794" i="1"/>
  <c r="DT794" i="1"/>
  <c r="DS794" i="1"/>
  <c r="DR794" i="1"/>
  <c r="DQ794" i="1"/>
  <c r="DP794" i="1"/>
  <c r="DO794" i="1"/>
  <c r="DN794" i="1"/>
  <c r="DM794" i="1"/>
  <c r="DL794" i="1"/>
  <c r="CX794" i="1"/>
  <c r="CV794" i="1"/>
  <c r="CS794" i="1"/>
  <c r="BS794" i="1"/>
  <c r="BA794" i="1"/>
  <c r="AI794" i="1"/>
  <c r="AB794" i="1"/>
  <c r="AA794" i="1"/>
  <c r="Z794" i="1"/>
  <c r="Y794" i="1"/>
  <c r="X794" i="1"/>
  <c r="W794" i="1"/>
  <c r="V794" i="1"/>
  <c r="G794" i="1"/>
  <c r="F794" i="1"/>
  <c r="E794" i="1"/>
  <c r="A794" i="1"/>
  <c r="EI793" i="1"/>
  <c r="EH793" i="1"/>
  <c r="EG793" i="1"/>
  <c r="EF793" i="1"/>
  <c r="EE793" i="1"/>
  <c r="ED793" i="1"/>
  <c r="EC793" i="1"/>
  <c r="EB793" i="1"/>
  <c r="EA793" i="1"/>
  <c r="DZ793" i="1"/>
  <c r="DY793" i="1"/>
  <c r="DX793" i="1"/>
  <c r="DW793" i="1"/>
  <c r="DV793" i="1"/>
  <c r="DU793" i="1"/>
  <c r="DT793" i="1"/>
  <c r="DS793" i="1"/>
  <c r="DR793" i="1"/>
  <c r="DQ793" i="1"/>
  <c r="DP793" i="1"/>
  <c r="DO793" i="1"/>
  <c r="DN793" i="1"/>
  <c r="DM793" i="1"/>
  <c r="DL793" i="1"/>
  <c r="CX793" i="1"/>
  <c r="CV793" i="1"/>
  <c r="CS793" i="1"/>
  <c r="BS793" i="1"/>
  <c r="BA793" i="1"/>
  <c r="AI793" i="1"/>
  <c r="AB793" i="1"/>
  <c r="AA793" i="1"/>
  <c r="Z793" i="1"/>
  <c r="Y793" i="1"/>
  <c r="X793" i="1"/>
  <c r="W793" i="1"/>
  <c r="V793" i="1"/>
  <c r="S793" i="1"/>
  <c r="G793" i="1"/>
  <c r="F793" i="1"/>
  <c r="E793" i="1"/>
  <c r="A793" i="1"/>
  <c r="CX792" i="1"/>
  <c r="CV792" i="1"/>
  <c r="CS792" i="1"/>
  <c r="BS792" i="1"/>
  <c r="BA792" i="1"/>
  <c r="AI792" i="1"/>
  <c r="AB792" i="1"/>
  <c r="S792" i="1"/>
  <c r="G792" i="1"/>
  <c r="F792" i="1"/>
  <c r="E792" i="1"/>
  <c r="A792" i="1"/>
  <c r="CX791" i="1"/>
  <c r="CV791" i="1"/>
  <c r="CS791" i="1"/>
  <c r="BS791" i="1"/>
  <c r="BA791" i="1"/>
  <c r="AI791" i="1"/>
  <c r="AB791" i="1"/>
  <c r="G791" i="1"/>
  <c r="F791" i="1"/>
  <c r="E791" i="1"/>
  <c r="A791" i="1"/>
  <c r="DU790" i="1"/>
  <c r="DT790" i="1"/>
  <c r="DS790" i="1"/>
  <c r="DR790" i="1"/>
  <c r="DQ790" i="1"/>
  <c r="DP790" i="1"/>
  <c r="DO790" i="1"/>
  <c r="DN790" i="1"/>
  <c r="DM790" i="1"/>
  <c r="DL790" i="1"/>
  <c r="CX790" i="1"/>
  <c r="CV790" i="1"/>
  <c r="CS790" i="1"/>
  <c r="BS790" i="1"/>
  <c r="BA790" i="1"/>
  <c r="AI790" i="1"/>
  <c r="AB790" i="1"/>
  <c r="AA790" i="1"/>
  <c r="Z790" i="1"/>
  <c r="Y790" i="1"/>
  <c r="X790" i="1"/>
  <c r="W790" i="1"/>
  <c r="V790" i="1"/>
  <c r="G790" i="1"/>
  <c r="F790" i="1"/>
  <c r="E790" i="1"/>
  <c r="A790" i="1"/>
  <c r="CX789" i="1"/>
  <c r="CV789" i="1"/>
  <c r="CS789" i="1"/>
  <c r="BS789" i="1"/>
  <c r="BA789" i="1"/>
  <c r="AI789" i="1"/>
  <c r="AB789" i="1"/>
  <c r="G789" i="1"/>
  <c r="F789" i="1"/>
  <c r="E789" i="1"/>
  <c r="A789" i="1"/>
  <c r="CX788" i="1"/>
  <c r="CV788" i="1"/>
  <c r="CS788" i="1"/>
  <c r="BS788" i="1"/>
  <c r="BA788" i="1"/>
  <c r="AI788" i="1"/>
  <c r="AB788" i="1"/>
  <c r="G788" i="1"/>
  <c r="F788" i="1"/>
  <c r="E788" i="1"/>
  <c r="A788" i="1"/>
  <c r="DU787" i="1"/>
  <c r="DT787" i="1"/>
  <c r="DS787" i="1"/>
  <c r="DR787" i="1"/>
  <c r="DQ787" i="1"/>
  <c r="DP787" i="1"/>
  <c r="DO787" i="1"/>
  <c r="DN787" i="1"/>
  <c r="DM787" i="1"/>
  <c r="DL787" i="1"/>
  <c r="CX787" i="1"/>
  <c r="CV787" i="1"/>
  <c r="CS787" i="1"/>
  <c r="BS787" i="1"/>
  <c r="BA787" i="1"/>
  <c r="AI787" i="1"/>
  <c r="AB787" i="1"/>
  <c r="AA787" i="1"/>
  <c r="Z787" i="1"/>
  <c r="Y787" i="1"/>
  <c r="X787" i="1"/>
  <c r="W787" i="1"/>
  <c r="V787" i="1"/>
  <c r="S787" i="1"/>
  <c r="G787" i="1"/>
  <c r="F787" i="1"/>
  <c r="E787" i="1"/>
  <c r="A787" i="1"/>
  <c r="CX786" i="1"/>
  <c r="CV786" i="1"/>
  <c r="BS786" i="1"/>
  <c r="BA786" i="1"/>
  <c r="AI786" i="1"/>
  <c r="AB786" i="1"/>
  <c r="G786" i="1"/>
  <c r="F786" i="1"/>
  <c r="E786" i="1"/>
  <c r="A786" i="1"/>
  <c r="DW785" i="1"/>
  <c r="DV785" i="1"/>
  <c r="DU785" i="1"/>
  <c r="DT785" i="1"/>
  <c r="DS785" i="1"/>
  <c r="DR785" i="1"/>
  <c r="DQ785" i="1"/>
  <c r="DP785" i="1"/>
  <c r="DO785" i="1"/>
  <c r="DN785" i="1"/>
  <c r="DM785" i="1"/>
  <c r="DL785" i="1"/>
  <c r="CX785" i="1"/>
  <c r="CV785" i="1"/>
  <c r="CS785" i="1"/>
  <c r="BS785" i="1"/>
  <c r="BA785" i="1"/>
  <c r="AI785" i="1"/>
  <c r="AB785" i="1"/>
  <c r="AA785" i="1"/>
  <c r="Z785" i="1"/>
  <c r="Y785" i="1"/>
  <c r="X785" i="1"/>
  <c r="W785" i="1"/>
  <c r="V785" i="1"/>
  <c r="S785" i="1"/>
  <c r="G785" i="1"/>
  <c r="F785" i="1"/>
  <c r="E785" i="1"/>
  <c r="A785" i="1"/>
  <c r="CX784" i="1"/>
  <c r="CV784" i="1"/>
  <c r="CS784" i="1"/>
  <c r="BS784" i="1"/>
  <c r="BA784" i="1"/>
  <c r="AI784" i="1"/>
  <c r="AB784" i="1"/>
  <c r="S784" i="1"/>
  <c r="G784" i="1"/>
  <c r="F784" i="1"/>
  <c r="E784" i="1"/>
  <c r="A784" i="1"/>
  <c r="CX783" i="1"/>
  <c r="CV783" i="1"/>
  <c r="CS783" i="1"/>
  <c r="BS783" i="1"/>
  <c r="BA783" i="1"/>
  <c r="AI783" i="1"/>
  <c r="AB783" i="1"/>
  <c r="G783" i="1"/>
  <c r="F783" i="1"/>
  <c r="E783" i="1"/>
  <c r="A783" i="1"/>
  <c r="DS782" i="1"/>
  <c r="DR782" i="1"/>
  <c r="DQ782" i="1"/>
  <c r="DP782" i="1"/>
  <c r="DO782" i="1"/>
  <c r="DN782" i="1"/>
  <c r="DM782" i="1"/>
  <c r="DL782" i="1"/>
  <c r="CX782" i="1"/>
  <c r="CV782" i="1"/>
  <c r="CS782" i="1"/>
  <c r="BS782" i="1"/>
  <c r="BA782" i="1"/>
  <c r="AI782" i="1"/>
  <c r="AB782" i="1"/>
  <c r="AA782" i="1"/>
  <c r="Z782" i="1"/>
  <c r="Y782" i="1"/>
  <c r="X782" i="1"/>
  <c r="W782" i="1"/>
  <c r="V782" i="1"/>
  <c r="G782" i="1"/>
  <c r="F782" i="1"/>
  <c r="E782" i="1"/>
  <c r="A782" i="1"/>
  <c r="CX781" i="1"/>
  <c r="CV781" i="1"/>
  <c r="CS781" i="1"/>
  <c r="BS781" i="1"/>
  <c r="BA781" i="1"/>
  <c r="AI781" i="1"/>
  <c r="AB781" i="1"/>
  <c r="G781" i="1"/>
  <c r="F781" i="1"/>
  <c r="E781" i="1"/>
  <c r="A781" i="1"/>
  <c r="DM780" i="1"/>
  <c r="DL780" i="1"/>
  <c r="CX780" i="1"/>
  <c r="CV780" i="1"/>
  <c r="CS780" i="1"/>
  <c r="BS780" i="1"/>
  <c r="BA780" i="1"/>
  <c r="AI780" i="1"/>
  <c r="AB780" i="1"/>
  <c r="W780" i="1"/>
  <c r="V780" i="1"/>
  <c r="G780" i="1"/>
  <c r="F780" i="1"/>
  <c r="E780" i="1"/>
  <c r="A780" i="1"/>
  <c r="CX779" i="1"/>
  <c r="CV779" i="1"/>
  <c r="CS779" i="1"/>
  <c r="BS779" i="1"/>
  <c r="BA779" i="1"/>
  <c r="AI779" i="1"/>
  <c r="AB779" i="1"/>
  <c r="G779" i="1"/>
  <c r="F779" i="1"/>
  <c r="E779" i="1"/>
  <c r="A779" i="1"/>
  <c r="CX778" i="1"/>
  <c r="CV778" i="1"/>
  <c r="CS778" i="1"/>
  <c r="BS778" i="1"/>
  <c r="BA778" i="1"/>
  <c r="AI778" i="1"/>
  <c r="AB778" i="1"/>
  <c r="G778" i="1"/>
  <c r="F778" i="1"/>
  <c r="E778" i="1"/>
  <c r="A778" i="1"/>
  <c r="CX777" i="1"/>
  <c r="CV777" i="1"/>
  <c r="CS777" i="1"/>
  <c r="BS777" i="1"/>
  <c r="BA777" i="1"/>
  <c r="AI777" i="1"/>
  <c r="AB777" i="1"/>
  <c r="G777" i="1"/>
  <c r="F777" i="1"/>
  <c r="E777" i="1"/>
  <c r="A777" i="1"/>
  <c r="CX776" i="1"/>
  <c r="CV776" i="1"/>
  <c r="CS776" i="1"/>
  <c r="BS776" i="1"/>
  <c r="BA776" i="1"/>
  <c r="AI776" i="1"/>
  <c r="AB776" i="1"/>
  <c r="G776" i="1"/>
  <c r="F776" i="1"/>
  <c r="E776" i="1"/>
  <c r="A776" i="1"/>
  <c r="CX775" i="1"/>
  <c r="CV775" i="1"/>
  <c r="CS775" i="1"/>
  <c r="BS775" i="1"/>
  <c r="BA775" i="1"/>
  <c r="AI775" i="1"/>
  <c r="AB775" i="1"/>
  <c r="G775" i="1"/>
  <c r="F775" i="1"/>
  <c r="E775" i="1"/>
  <c r="A775" i="1"/>
  <c r="CX774" i="1"/>
  <c r="CV774" i="1"/>
  <c r="CS774" i="1"/>
  <c r="BS774" i="1"/>
  <c r="BA774" i="1"/>
  <c r="AI774" i="1"/>
  <c r="AB774" i="1"/>
  <c r="G774" i="1"/>
  <c r="F774" i="1"/>
  <c r="E774" i="1"/>
  <c r="A774" i="1"/>
  <c r="EE773" i="1"/>
  <c r="ED773" i="1"/>
  <c r="EC773" i="1"/>
  <c r="EB773" i="1"/>
  <c r="EA773" i="1"/>
  <c r="DZ773" i="1"/>
  <c r="DY773" i="1"/>
  <c r="DX773" i="1"/>
  <c r="DW773" i="1"/>
  <c r="DV773" i="1"/>
  <c r="DU773" i="1"/>
  <c r="DT773" i="1"/>
  <c r="DS773" i="1"/>
  <c r="DR773" i="1"/>
  <c r="DQ773" i="1"/>
  <c r="DP773" i="1"/>
  <c r="DO773" i="1"/>
  <c r="DN773" i="1"/>
  <c r="DM773" i="1"/>
  <c r="DL773" i="1"/>
  <c r="CX773" i="1"/>
  <c r="CV773" i="1"/>
  <c r="CS773" i="1"/>
  <c r="BS773" i="1"/>
  <c r="BA773" i="1"/>
  <c r="AI773" i="1"/>
  <c r="AB773" i="1"/>
  <c r="AA773" i="1"/>
  <c r="Z773" i="1"/>
  <c r="Y773" i="1"/>
  <c r="X773" i="1"/>
  <c r="W773" i="1"/>
  <c r="V773" i="1"/>
  <c r="G773" i="1"/>
  <c r="F773" i="1"/>
  <c r="E773" i="1"/>
  <c r="A773" i="1"/>
  <c r="DO772" i="1"/>
  <c r="DN772" i="1"/>
  <c r="DM772" i="1"/>
  <c r="DL772" i="1"/>
  <c r="CX772" i="1"/>
  <c r="CV772" i="1"/>
  <c r="CS772" i="1"/>
  <c r="BS772" i="1"/>
  <c r="BA772" i="1"/>
  <c r="AI772" i="1"/>
  <c r="AB772" i="1"/>
  <c r="Y772" i="1"/>
  <c r="X772" i="1"/>
  <c r="W772" i="1"/>
  <c r="V772" i="1"/>
  <c r="G772" i="1"/>
  <c r="F772" i="1"/>
  <c r="E772" i="1"/>
  <c r="A772" i="1"/>
  <c r="CX771" i="1"/>
  <c r="CV771" i="1"/>
  <c r="CS771" i="1"/>
  <c r="BS771" i="1"/>
  <c r="BA771" i="1"/>
  <c r="AI771" i="1"/>
  <c r="AB771" i="1"/>
  <c r="G771" i="1"/>
  <c r="F771" i="1"/>
  <c r="E771" i="1"/>
  <c r="A771" i="1"/>
  <c r="CX770" i="1"/>
  <c r="CV770" i="1"/>
  <c r="CS770" i="1"/>
  <c r="BS770" i="1"/>
  <c r="BA770" i="1"/>
  <c r="AI770" i="1"/>
  <c r="AB770" i="1"/>
  <c r="G770" i="1"/>
  <c r="F770" i="1"/>
  <c r="E770" i="1"/>
  <c r="A770" i="1"/>
  <c r="CX769" i="1"/>
  <c r="CV769" i="1"/>
  <c r="CS769" i="1"/>
  <c r="BS769" i="1"/>
  <c r="BA769" i="1"/>
  <c r="AI769" i="1"/>
  <c r="AB769" i="1"/>
  <c r="G769" i="1"/>
  <c r="F769" i="1"/>
  <c r="E769" i="1"/>
  <c r="A769" i="1"/>
  <c r="DQ768" i="1"/>
  <c r="DP768" i="1"/>
  <c r="DO768" i="1"/>
  <c r="DN768" i="1"/>
  <c r="DM768" i="1"/>
  <c r="DL768" i="1"/>
  <c r="CX768" i="1"/>
  <c r="CV768" i="1"/>
  <c r="CS768" i="1"/>
  <c r="BS768" i="1"/>
  <c r="BA768" i="1"/>
  <c r="AI768" i="1"/>
  <c r="AB768" i="1"/>
  <c r="AA768" i="1"/>
  <c r="Z768" i="1"/>
  <c r="Y768" i="1"/>
  <c r="X768" i="1"/>
  <c r="W768" i="1"/>
  <c r="V768" i="1"/>
  <c r="S768" i="1"/>
  <c r="G768" i="1"/>
  <c r="F768" i="1"/>
  <c r="E768" i="1"/>
  <c r="A768" i="1"/>
  <c r="CX767" i="1"/>
  <c r="CV767" i="1"/>
  <c r="CS767" i="1"/>
  <c r="BS767" i="1"/>
  <c r="BA767" i="1"/>
  <c r="AI767" i="1"/>
  <c r="AB767" i="1"/>
  <c r="G767" i="1"/>
  <c r="F767" i="1"/>
  <c r="E767" i="1"/>
  <c r="A767" i="1"/>
  <c r="CX766" i="1"/>
  <c r="CV766" i="1"/>
  <c r="CS766" i="1"/>
  <c r="BS766" i="1"/>
  <c r="BA766" i="1"/>
  <c r="AI766" i="1"/>
  <c r="AB766" i="1"/>
  <c r="G766" i="1"/>
  <c r="F766" i="1"/>
  <c r="E766" i="1"/>
  <c r="A766" i="1"/>
  <c r="CX765" i="1"/>
  <c r="CV765" i="1"/>
  <c r="CS765" i="1"/>
  <c r="BS765" i="1"/>
  <c r="BA765" i="1"/>
  <c r="AI765" i="1"/>
  <c r="AB765" i="1"/>
  <c r="G765" i="1"/>
  <c r="F765" i="1"/>
  <c r="E765" i="1"/>
  <c r="A765" i="1"/>
  <c r="CX764" i="1"/>
  <c r="CV764" i="1"/>
  <c r="CS764" i="1"/>
  <c r="BS764" i="1"/>
  <c r="BA764" i="1"/>
  <c r="AI764" i="1"/>
  <c r="AB764" i="1"/>
  <c r="G764" i="1"/>
  <c r="F764" i="1"/>
  <c r="E764" i="1"/>
  <c r="A764" i="1"/>
  <c r="DQ763" i="1"/>
  <c r="DP763" i="1"/>
  <c r="DO763" i="1"/>
  <c r="DN763" i="1"/>
  <c r="DM763" i="1"/>
  <c r="DL763" i="1"/>
  <c r="CX763" i="1"/>
  <c r="CV763" i="1"/>
  <c r="CS763" i="1"/>
  <c r="BS763" i="1"/>
  <c r="BA763" i="1"/>
  <c r="AI763" i="1"/>
  <c r="AB763" i="1"/>
  <c r="AA763" i="1"/>
  <c r="Z763" i="1"/>
  <c r="Y763" i="1"/>
  <c r="X763" i="1"/>
  <c r="W763" i="1"/>
  <c r="V763" i="1"/>
  <c r="G763" i="1"/>
  <c r="F763" i="1"/>
  <c r="E763" i="1"/>
  <c r="A763" i="1"/>
  <c r="CX762" i="1"/>
  <c r="CV762" i="1"/>
  <c r="CS762" i="1"/>
  <c r="BS762" i="1"/>
  <c r="BA762" i="1"/>
  <c r="AI762" i="1"/>
  <c r="AB762" i="1"/>
  <c r="S762" i="1"/>
  <c r="G762" i="1"/>
  <c r="F762" i="1"/>
  <c r="E762" i="1"/>
  <c r="A762" i="1"/>
  <c r="CX761" i="1"/>
  <c r="CV761" i="1"/>
  <c r="CS761" i="1"/>
  <c r="BS761" i="1"/>
  <c r="BA761" i="1"/>
  <c r="AI761" i="1"/>
  <c r="AB761" i="1"/>
  <c r="G761" i="1"/>
  <c r="F761" i="1"/>
  <c r="E761" i="1"/>
  <c r="A761" i="1"/>
  <c r="CX760" i="1"/>
  <c r="CV760" i="1"/>
  <c r="CS760" i="1"/>
  <c r="BS760" i="1"/>
  <c r="BA760" i="1"/>
  <c r="AI760" i="1"/>
  <c r="AB760" i="1"/>
  <c r="G760" i="1"/>
  <c r="F760" i="1"/>
  <c r="E760" i="1"/>
  <c r="A760" i="1"/>
  <c r="CX759" i="1"/>
  <c r="CV759" i="1"/>
  <c r="CS759" i="1"/>
  <c r="BS759" i="1"/>
  <c r="BA759" i="1"/>
  <c r="AI759" i="1"/>
  <c r="AB759" i="1"/>
  <c r="S759" i="1"/>
  <c r="G759" i="1"/>
  <c r="F759" i="1"/>
  <c r="E759" i="1"/>
  <c r="A759" i="1"/>
  <c r="DM758" i="1"/>
  <c r="DL758" i="1"/>
  <c r="CX758" i="1"/>
  <c r="CV758" i="1"/>
  <c r="CS758" i="1"/>
  <c r="BS758" i="1"/>
  <c r="BA758" i="1"/>
  <c r="AI758" i="1"/>
  <c r="AB758" i="1"/>
  <c r="W758" i="1"/>
  <c r="V758" i="1"/>
  <c r="G758" i="1"/>
  <c r="F758" i="1"/>
  <c r="E758" i="1"/>
  <c r="A758" i="1"/>
  <c r="CX757" i="1"/>
  <c r="CV757" i="1"/>
  <c r="CS757" i="1"/>
  <c r="BS757" i="1"/>
  <c r="BA757" i="1"/>
  <c r="AI757" i="1"/>
  <c r="AB757" i="1"/>
  <c r="G757" i="1"/>
  <c r="F757" i="1"/>
  <c r="E757" i="1"/>
  <c r="A757" i="1"/>
  <c r="DQ756" i="1"/>
  <c r="DP756" i="1"/>
  <c r="DO756" i="1"/>
  <c r="DN756" i="1"/>
  <c r="DM756" i="1"/>
  <c r="DL756" i="1"/>
  <c r="CX756" i="1"/>
  <c r="CV756" i="1"/>
  <c r="CS756" i="1"/>
  <c r="BS756" i="1"/>
  <c r="BA756" i="1"/>
  <c r="AI756" i="1"/>
  <c r="AB756" i="1"/>
  <c r="AA756" i="1"/>
  <c r="Z756" i="1"/>
  <c r="Y756" i="1"/>
  <c r="X756" i="1"/>
  <c r="W756" i="1"/>
  <c r="V756" i="1"/>
  <c r="G756" i="1"/>
  <c r="F756" i="1"/>
  <c r="E756" i="1"/>
  <c r="A756" i="1"/>
  <c r="CX755" i="1"/>
  <c r="CV755" i="1"/>
  <c r="CS755" i="1"/>
  <c r="BS755" i="1"/>
  <c r="BA755" i="1"/>
  <c r="AI755" i="1"/>
  <c r="AB755" i="1"/>
  <c r="G755" i="1"/>
  <c r="F755" i="1"/>
  <c r="E755" i="1"/>
  <c r="A755" i="1"/>
  <c r="CX754" i="1"/>
  <c r="CV754" i="1"/>
  <c r="CS754" i="1"/>
  <c r="BS754" i="1"/>
  <c r="BA754" i="1"/>
  <c r="AI754" i="1"/>
  <c r="AB754" i="1"/>
  <c r="S754" i="1"/>
  <c r="G754" i="1"/>
  <c r="F754" i="1"/>
  <c r="E754" i="1"/>
  <c r="A754" i="1"/>
  <c r="DM753" i="1"/>
  <c r="DL753" i="1"/>
  <c r="CX753" i="1"/>
  <c r="CV753" i="1"/>
  <c r="CS753" i="1"/>
  <c r="BS753" i="1"/>
  <c r="BA753" i="1"/>
  <c r="AI753" i="1"/>
  <c r="AB753" i="1"/>
  <c r="W753" i="1"/>
  <c r="V753" i="1"/>
  <c r="G753" i="1"/>
  <c r="F753" i="1"/>
  <c r="E753" i="1"/>
  <c r="A753" i="1"/>
  <c r="EG752" i="1"/>
  <c r="EF752" i="1"/>
  <c r="EE752" i="1"/>
  <c r="ED752" i="1"/>
  <c r="EC752" i="1"/>
  <c r="EB752" i="1"/>
  <c r="EA752" i="1"/>
  <c r="DZ752" i="1"/>
  <c r="DY752" i="1"/>
  <c r="DX752" i="1"/>
  <c r="DW752" i="1"/>
  <c r="DV752" i="1"/>
  <c r="DU752" i="1"/>
  <c r="DT752" i="1"/>
  <c r="DS752" i="1"/>
  <c r="DR752" i="1"/>
  <c r="DQ752" i="1"/>
  <c r="DP752" i="1"/>
  <c r="DO752" i="1"/>
  <c r="DN752" i="1"/>
  <c r="DM752" i="1"/>
  <c r="DL752" i="1"/>
  <c r="CX752" i="1"/>
  <c r="CV752" i="1"/>
  <c r="CS752" i="1"/>
  <c r="BS752" i="1"/>
  <c r="BA752" i="1"/>
  <c r="AI752" i="1"/>
  <c r="AB752" i="1"/>
  <c r="AA752" i="1"/>
  <c r="Z752" i="1"/>
  <c r="Y752" i="1"/>
  <c r="X752" i="1"/>
  <c r="W752" i="1"/>
  <c r="V752" i="1"/>
  <c r="S752" i="1"/>
  <c r="G752" i="1"/>
  <c r="F752" i="1"/>
  <c r="E752" i="1"/>
  <c r="A752" i="1"/>
  <c r="EI751" i="1"/>
  <c r="EH751" i="1"/>
  <c r="EG751" i="1"/>
  <c r="EF751" i="1"/>
  <c r="EE751" i="1"/>
  <c r="ED751" i="1"/>
  <c r="EC751" i="1"/>
  <c r="EB751" i="1"/>
  <c r="EA751" i="1"/>
  <c r="DZ751" i="1"/>
  <c r="DY751" i="1"/>
  <c r="DX751" i="1"/>
  <c r="DW751" i="1"/>
  <c r="DV751" i="1"/>
  <c r="DU751" i="1"/>
  <c r="DT751" i="1"/>
  <c r="DS751" i="1"/>
  <c r="DR751" i="1"/>
  <c r="DQ751" i="1"/>
  <c r="DP751" i="1"/>
  <c r="DO751" i="1"/>
  <c r="DN751" i="1"/>
  <c r="DM751" i="1"/>
  <c r="DL751" i="1"/>
  <c r="CX751" i="1"/>
  <c r="CV751" i="1"/>
  <c r="CS751" i="1"/>
  <c r="BS751" i="1"/>
  <c r="BA751" i="1"/>
  <c r="AI751" i="1"/>
  <c r="AB751" i="1"/>
  <c r="AA751" i="1"/>
  <c r="Z751" i="1"/>
  <c r="Y751" i="1"/>
  <c r="X751" i="1"/>
  <c r="W751" i="1"/>
  <c r="V751" i="1"/>
  <c r="S751" i="1"/>
  <c r="G751" i="1"/>
  <c r="F751" i="1"/>
  <c r="E751" i="1"/>
  <c r="A751" i="1"/>
  <c r="CX750" i="1"/>
  <c r="CV750" i="1"/>
  <c r="CS750" i="1"/>
  <c r="BS750" i="1"/>
  <c r="BA750" i="1"/>
  <c r="AI750" i="1"/>
  <c r="AB750" i="1"/>
  <c r="G750" i="1"/>
  <c r="F750" i="1"/>
  <c r="E750" i="1"/>
  <c r="A750" i="1"/>
  <c r="CX749" i="1"/>
  <c r="CV749" i="1"/>
  <c r="CS749" i="1"/>
  <c r="BS749" i="1"/>
  <c r="BA749" i="1"/>
  <c r="AI749" i="1"/>
  <c r="AB749" i="1"/>
  <c r="G749" i="1"/>
  <c r="F749" i="1"/>
  <c r="E749" i="1"/>
  <c r="A749" i="1"/>
  <c r="DM748" i="1"/>
  <c r="DL748" i="1"/>
  <c r="CX748" i="1"/>
  <c r="CV748" i="1"/>
  <c r="CS748" i="1"/>
  <c r="BS748" i="1"/>
  <c r="BA748" i="1"/>
  <c r="AI748" i="1"/>
  <c r="AB748" i="1"/>
  <c r="W748" i="1"/>
  <c r="V748" i="1"/>
  <c r="G748" i="1"/>
  <c r="F748" i="1"/>
  <c r="E748" i="1"/>
  <c r="A748" i="1"/>
  <c r="CX747" i="1"/>
  <c r="CV747" i="1"/>
  <c r="CS747" i="1"/>
  <c r="BS747" i="1"/>
  <c r="BA747" i="1"/>
  <c r="AI747" i="1"/>
  <c r="AB747" i="1"/>
  <c r="G747" i="1"/>
  <c r="F747" i="1"/>
  <c r="E747" i="1"/>
  <c r="A747" i="1"/>
  <c r="CX746" i="1"/>
  <c r="CV746" i="1"/>
  <c r="CS746" i="1"/>
  <c r="BS746" i="1"/>
  <c r="BA746" i="1"/>
  <c r="AI746" i="1"/>
  <c r="AB746" i="1"/>
  <c r="S746" i="1"/>
  <c r="G746" i="1"/>
  <c r="F746" i="1"/>
  <c r="E746" i="1"/>
  <c r="A746" i="1"/>
  <c r="CX745" i="1"/>
  <c r="CV745" i="1"/>
  <c r="CS745" i="1"/>
  <c r="BS745" i="1"/>
  <c r="BA745" i="1"/>
  <c r="AI745" i="1"/>
  <c r="AB745" i="1"/>
  <c r="G745" i="1"/>
  <c r="F745" i="1"/>
  <c r="E745" i="1"/>
  <c r="A745" i="1"/>
  <c r="CX744" i="1"/>
  <c r="CV744" i="1"/>
  <c r="CS744" i="1"/>
  <c r="BS744" i="1"/>
  <c r="BA744" i="1"/>
  <c r="AI744" i="1"/>
  <c r="AB744" i="1"/>
  <c r="G744" i="1"/>
  <c r="F744" i="1"/>
  <c r="E744" i="1"/>
  <c r="A744" i="1"/>
  <c r="CX743" i="1"/>
  <c r="CV743" i="1"/>
  <c r="CS743" i="1"/>
  <c r="BS743" i="1"/>
  <c r="BA743" i="1"/>
  <c r="AI743" i="1"/>
  <c r="AB743" i="1"/>
  <c r="G743" i="1"/>
  <c r="F743" i="1"/>
  <c r="E743" i="1"/>
  <c r="A743" i="1"/>
  <c r="CX742" i="1"/>
  <c r="CV742" i="1"/>
  <c r="CS742" i="1"/>
  <c r="BS742" i="1"/>
  <c r="BA742" i="1"/>
  <c r="AI742" i="1"/>
  <c r="AB742" i="1"/>
  <c r="G742" i="1"/>
  <c r="F742" i="1"/>
  <c r="E742" i="1"/>
  <c r="A742" i="1"/>
  <c r="DS741" i="1"/>
  <c r="DR741" i="1"/>
  <c r="DQ741" i="1"/>
  <c r="DP741" i="1"/>
  <c r="DO741" i="1"/>
  <c r="DN741" i="1"/>
  <c r="DM741" i="1"/>
  <c r="DL741" i="1"/>
  <c r="CX741" i="1"/>
  <c r="CV741" i="1"/>
  <c r="CS741" i="1"/>
  <c r="BS741" i="1"/>
  <c r="BA741" i="1"/>
  <c r="AI741" i="1"/>
  <c r="AB741" i="1"/>
  <c r="AA741" i="1"/>
  <c r="Z741" i="1"/>
  <c r="Y741" i="1"/>
  <c r="X741" i="1"/>
  <c r="W741" i="1"/>
  <c r="V741" i="1"/>
  <c r="G741" i="1"/>
  <c r="F741" i="1"/>
  <c r="E741" i="1"/>
  <c r="A741" i="1"/>
  <c r="CX740" i="1"/>
  <c r="CV740" i="1"/>
  <c r="CS740" i="1"/>
  <c r="BS740" i="1"/>
  <c r="BA740" i="1"/>
  <c r="AI740" i="1"/>
  <c r="AB740" i="1"/>
  <c r="G740" i="1"/>
  <c r="F740" i="1"/>
  <c r="E740" i="1"/>
  <c r="A740" i="1"/>
  <c r="CX739" i="1"/>
  <c r="CV739" i="1"/>
  <c r="CS739" i="1"/>
  <c r="BS739" i="1"/>
  <c r="BA739" i="1"/>
  <c r="AI739" i="1"/>
  <c r="AB739" i="1"/>
  <c r="G739" i="1"/>
  <c r="F739" i="1"/>
  <c r="E739" i="1"/>
  <c r="A739" i="1"/>
  <c r="CX738" i="1"/>
  <c r="CV738" i="1"/>
  <c r="CS738" i="1"/>
  <c r="BS738" i="1"/>
  <c r="BA738" i="1"/>
  <c r="AI738" i="1"/>
  <c r="AB738" i="1"/>
  <c r="G738" i="1"/>
  <c r="F738" i="1"/>
  <c r="E738" i="1"/>
  <c r="A738" i="1"/>
  <c r="CX737" i="1"/>
  <c r="CV737" i="1"/>
  <c r="CS737" i="1"/>
  <c r="BS737" i="1"/>
  <c r="BA737" i="1"/>
  <c r="AI737" i="1"/>
  <c r="AB737" i="1"/>
  <c r="G737" i="1"/>
  <c r="F737" i="1"/>
  <c r="E737" i="1"/>
  <c r="A737" i="1"/>
  <c r="CX736" i="1"/>
  <c r="CV736" i="1"/>
  <c r="CS736" i="1"/>
  <c r="BS736" i="1"/>
  <c r="BA736" i="1"/>
  <c r="AI736" i="1"/>
  <c r="AB736" i="1"/>
  <c r="G736" i="1"/>
  <c r="F736" i="1"/>
  <c r="E736" i="1"/>
  <c r="A736" i="1"/>
  <c r="CX735" i="1"/>
  <c r="CV735" i="1"/>
  <c r="CS735" i="1"/>
  <c r="BS735" i="1"/>
  <c r="BA735" i="1"/>
  <c r="AI735" i="1"/>
  <c r="AB735" i="1"/>
  <c r="G735" i="1"/>
  <c r="F735" i="1"/>
  <c r="E735" i="1"/>
  <c r="A735" i="1"/>
  <c r="CX734" i="1"/>
  <c r="CV734" i="1"/>
  <c r="CS734" i="1"/>
  <c r="BS734" i="1"/>
  <c r="BA734" i="1"/>
  <c r="AI734" i="1"/>
  <c r="AB734" i="1"/>
  <c r="G734" i="1"/>
  <c r="F734" i="1"/>
  <c r="E734" i="1"/>
  <c r="A734" i="1"/>
  <c r="CX733" i="1"/>
  <c r="CV733" i="1"/>
  <c r="CS733" i="1"/>
  <c r="BS733" i="1"/>
  <c r="BA733" i="1"/>
  <c r="AI733" i="1"/>
  <c r="AB733" i="1"/>
  <c r="G733" i="1"/>
  <c r="F733" i="1"/>
  <c r="E733" i="1"/>
  <c r="A733" i="1"/>
  <c r="CX732" i="1"/>
  <c r="CV732" i="1"/>
  <c r="CS732" i="1"/>
  <c r="BS732" i="1"/>
  <c r="BA732" i="1"/>
  <c r="AI732" i="1"/>
  <c r="AB732" i="1"/>
  <c r="G732" i="1"/>
  <c r="F732" i="1"/>
  <c r="E732" i="1"/>
  <c r="A732" i="1"/>
  <c r="CX731" i="1"/>
  <c r="CV731" i="1"/>
  <c r="CS731" i="1"/>
  <c r="BS731" i="1"/>
  <c r="BA731" i="1"/>
  <c r="AI731" i="1"/>
  <c r="AB731" i="1"/>
  <c r="S731" i="1"/>
  <c r="G731" i="1"/>
  <c r="F731" i="1"/>
  <c r="E731" i="1"/>
  <c r="A731" i="1"/>
  <c r="DS730" i="1"/>
  <c r="DR730" i="1"/>
  <c r="DQ730" i="1"/>
  <c r="DP730" i="1"/>
  <c r="DO730" i="1"/>
  <c r="DN730" i="1"/>
  <c r="DM730" i="1"/>
  <c r="DL730" i="1"/>
  <c r="CX730" i="1"/>
  <c r="CV730" i="1"/>
  <c r="CS730" i="1"/>
  <c r="BS730" i="1"/>
  <c r="BA730" i="1"/>
  <c r="AI730" i="1"/>
  <c r="AB730" i="1"/>
  <c r="AA730" i="1"/>
  <c r="Z730" i="1"/>
  <c r="Y730" i="1"/>
  <c r="X730" i="1"/>
  <c r="W730" i="1"/>
  <c r="V730" i="1"/>
  <c r="G730" i="1"/>
  <c r="F730" i="1"/>
  <c r="E730" i="1"/>
  <c r="A730" i="1"/>
  <c r="DS729" i="1"/>
  <c r="DR729" i="1"/>
  <c r="DQ729" i="1"/>
  <c r="DP729" i="1"/>
  <c r="DO729" i="1"/>
  <c r="DN729" i="1"/>
  <c r="DM729" i="1"/>
  <c r="DL729" i="1"/>
  <c r="CX729" i="1"/>
  <c r="CV729" i="1"/>
  <c r="CS729" i="1"/>
  <c r="BS729" i="1"/>
  <c r="BA729" i="1"/>
  <c r="AI729" i="1"/>
  <c r="AB729" i="1"/>
  <c r="AA729" i="1"/>
  <c r="Z729" i="1"/>
  <c r="Y729" i="1"/>
  <c r="X729" i="1"/>
  <c r="W729" i="1"/>
  <c r="V729" i="1"/>
  <c r="G729" i="1"/>
  <c r="F729" i="1"/>
  <c r="E729" i="1"/>
  <c r="A729" i="1"/>
  <c r="DU728" i="1"/>
  <c r="DT728" i="1"/>
  <c r="DS728" i="1"/>
  <c r="DR728" i="1"/>
  <c r="DQ728" i="1"/>
  <c r="DP728" i="1"/>
  <c r="DO728" i="1"/>
  <c r="DN728" i="1"/>
  <c r="DM728" i="1"/>
  <c r="DL728" i="1"/>
  <c r="CX728" i="1"/>
  <c r="CV728" i="1"/>
  <c r="CS728" i="1"/>
  <c r="BS728" i="1"/>
  <c r="BA728" i="1"/>
  <c r="AI728" i="1"/>
  <c r="AB728" i="1"/>
  <c r="AA728" i="1"/>
  <c r="Z728" i="1"/>
  <c r="Y728" i="1"/>
  <c r="X728" i="1"/>
  <c r="W728" i="1"/>
  <c r="V728" i="1"/>
  <c r="S728" i="1"/>
  <c r="G728" i="1"/>
  <c r="F728" i="1"/>
  <c r="E728" i="1"/>
  <c r="A728" i="1"/>
  <c r="CX727" i="1"/>
  <c r="CV727" i="1"/>
  <c r="CS727" i="1"/>
  <c r="BS727" i="1"/>
  <c r="BA727" i="1"/>
  <c r="AI727" i="1"/>
  <c r="AB727" i="1"/>
  <c r="G727" i="1"/>
  <c r="F727" i="1"/>
  <c r="E727" i="1"/>
  <c r="A727" i="1"/>
  <c r="CX726" i="1"/>
  <c r="CV726" i="1"/>
  <c r="CS726" i="1"/>
  <c r="BS726" i="1"/>
  <c r="BA726" i="1"/>
  <c r="AI726" i="1"/>
  <c r="AB726" i="1"/>
  <c r="G726" i="1"/>
  <c r="F726" i="1"/>
  <c r="E726" i="1"/>
  <c r="A726" i="1"/>
  <c r="CX725" i="1"/>
  <c r="CV725" i="1"/>
  <c r="CS725" i="1"/>
  <c r="BS725" i="1"/>
  <c r="BA725" i="1"/>
  <c r="AI725" i="1"/>
  <c r="AB725" i="1"/>
  <c r="G725" i="1"/>
  <c r="F725" i="1"/>
  <c r="E725" i="1"/>
  <c r="A725" i="1"/>
  <c r="DU724" i="1"/>
  <c r="DT724" i="1"/>
  <c r="DS724" i="1"/>
  <c r="DR724" i="1"/>
  <c r="DQ724" i="1"/>
  <c r="DP724" i="1"/>
  <c r="DO724" i="1"/>
  <c r="DN724" i="1"/>
  <c r="DM724" i="1"/>
  <c r="DL724" i="1"/>
  <c r="CX724" i="1"/>
  <c r="CV724" i="1"/>
  <c r="CS724" i="1"/>
  <c r="BS724" i="1"/>
  <c r="BA724" i="1"/>
  <c r="AI724" i="1"/>
  <c r="AB724" i="1"/>
  <c r="AA724" i="1"/>
  <c r="Z724" i="1"/>
  <c r="Y724" i="1"/>
  <c r="X724" i="1"/>
  <c r="W724" i="1"/>
  <c r="V724" i="1"/>
  <c r="G724" i="1"/>
  <c r="F724" i="1"/>
  <c r="E724" i="1"/>
  <c r="A724" i="1"/>
  <c r="CX723" i="1"/>
  <c r="CV723" i="1"/>
  <c r="CS723" i="1"/>
  <c r="BS723" i="1"/>
  <c r="BA723" i="1"/>
  <c r="AI723" i="1"/>
  <c r="AB723" i="1"/>
  <c r="G723" i="1"/>
  <c r="F723" i="1"/>
  <c r="E723" i="1"/>
  <c r="A723" i="1"/>
  <c r="DQ722" i="1"/>
  <c r="DP722" i="1"/>
  <c r="DO722" i="1"/>
  <c r="DN722" i="1"/>
  <c r="DM722" i="1"/>
  <c r="DL722" i="1"/>
  <c r="CX722" i="1"/>
  <c r="CV722" i="1"/>
  <c r="CS722" i="1"/>
  <c r="BS722" i="1"/>
  <c r="BA722" i="1"/>
  <c r="AI722" i="1"/>
  <c r="AB722" i="1"/>
  <c r="AA722" i="1"/>
  <c r="Z722" i="1"/>
  <c r="Y722" i="1"/>
  <c r="X722" i="1"/>
  <c r="W722" i="1"/>
  <c r="V722" i="1"/>
  <c r="G722" i="1"/>
  <c r="F722" i="1"/>
  <c r="E722" i="1"/>
  <c r="A722" i="1"/>
  <c r="CX721" i="1"/>
  <c r="CV721" i="1"/>
  <c r="CS721" i="1"/>
  <c r="BS721" i="1"/>
  <c r="BA721" i="1"/>
  <c r="AI721" i="1"/>
  <c r="AB721" i="1"/>
  <c r="S721" i="1"/>
  <c r="G721" i="1"/>
  <c r="F721" i="1"/>
  <c r="E721" i="1"/>
  <c r="A721" i="1"/>
  <c r="CX720" i="1"/>
  <c r="CV720" i="1"/>
  <c r="CS720" i="1"/>
  <c r="BS720" i="1"/>
  <c r="BA720" i="1"/>
  <c r="AI720" i="1"/>
  <c r="AB720" i="1"/>
  <c r="G720" i="1"/>
  <c r="F720" i="1"/>
  <c r="E720" i="1"/>
  <c r="A720" i="1"/>
  <c r="DW719" i="1"/>
  <c r="DV719" i="1"/>
  <c r="DU719" i="1"/>
  <c r="DT719" i="1"/>
  <c r="DS719" i="1"/>
  <c r="DR719" i="1"/>
  <c r="DQ719" i="1"/>
  <c r="DP719" i="1"/>
  <c r="DO719" i="1"/>
  <c r="DN719" i="1"/>
  <c r="DM719" i="1"/>
  <c r="DL719" i="1"/>
  <c r="CX719" i="1"/>
  <c r="CV719" i="1"/>
  <c r="CS719" i="1"/>
  <c r="BS719" i="1"/>
  <c r="BA719" i="1"/>
  <c r="AI719" i="1"/>
  <c r="AB719" i="1"/>
  <c r="AA719" i="1"/>
  <c r="Z719" i="1"/>
  <c r="Y719" i="1"/>
  <c r="X719" i="1"/>
  <c r="W719" i="1"/>
  <c r="V719" i="1"/>
  <c r="G719" i="1"/>
  <c r="F719" i="1"/>
  <c r="E719" i="1"/>
  <c r="A719" i="1"/>
  <c r="CX718" i="1"/>
  <c r="CV718" i="1"/>
  <c r="CS718" i="1"/>
  <c r="BS718" i="1"/>
  <c r="BA718" i="1"/>
  <c r="AI718" i="1"/>
  <c r="AB718" i="1"/>
  <c r="G718" i="1"/>
  <c r="F718" i="1"/>
  <c r="E718" i="1"/>
  <c r="A718" i="1"/>
  <c r="CX717" i="1"/>
  <c r="CV717" i="1"/>
  <c r="CS717" i="1"/>
  <c r="BS717" i="1"/>
  <c r="BA717" i="1"/>
  <c r="AI717" i="1"/>
  <c r="AB717" i="1"/>
  <c r="S717" i="1"/>
  <c r="G717" i="1"/>
  <c r="F717" i="1"/>
  <c r="E717" i="1"/>
  <c r="A717" i="1"/>
  <c r="DQ716" i="1"/>
  <c r="DP716" i="1"/>
  <c r="DO716" i="1"/>
  <c r="DN716" i="1"/>
  <c r="DM716" i="1"/>
  <c r="DL716" i="1"/>
  <c r="CX716" i="1"/>
  <c r="CV716" i="1"/>
  <c r="CS716" i="1"/>
  <c r="BS716" i="1"/>
  <c r="BA716" i="1"/>
  <c r="AI716" i="1"/>
  <c r="AB716" i="1"/>
  <c r="AA716" i="1"/>
  <c r="Z716" i="1"/>
  <c r="Y716" i="1"/>
  <c r="X716" i="1"/>
  <c r="W716" i="1"/>
  <c r="V716" i="1"/>
  <c r="S716" i="1"/>
  <c r="G716" i="1"/>
  <c r="F716" i="1"/>
  <c r="E716" i="1"/>
  <c r="A716" i="1"/>
  <c r="CX715" i="1"/>
  <c r="CV715" i="1"/>
  <c r="CS715" i="1"/>
  <c r="BS715" i="1"/>
  <c r="BA715" i="1"/>
  <c r="AI715" i="1"/>
  <c r="AB715" i="1"/>
  <c r="G715" i="1"/>
  <c r="F715" i="1"/>
  <c r="E715" i="1"/>
  <c r="A715" i="1"/>
  <c r="CX714" i="1"/>
  <c r="CV714" i="1"/>
  <c r="CS714" i="1"/>
  <c r="BS714" i="1"/>
  <c r="BA714" i="1"/>
  <c r="AI714" i="1"/>
  <c r="AB714" i="1"/>
  <c r="G714" i="1"/>
  <c r="F714" i="1"/>
  <c r="E714" i="1"/>
  <c r="A714" i="1"/>
  <c r="CX713" i="1"/>
  <c r="CV713" i="1"/>
  <c r="CS713" i="1"/>
  <c r="BS713" i="1"/>
  <c r="BA713" i="1"/>
  <c r="AI713" i="1"/>
  <c r="AB713" i="1"/>
  <c r="G713" i="1"/>
  <c r="F713" i="1"/>
  <c r="E713" i="1"/>
  <c r="A713" i="1"/>
  <c r="DO712" i="1"/>
  <c r="DN712" i="1"/>
  <c r="DM712" i="1"/>
  <c r="DL712" i="1"/>
  <c r="CX712" i="1"/>
  <c r="CV712" i="1"/>
  <c r="CS712" i="1"/>
  <c r="BS712" i="1"/>
  <c r="BA712" i="1"/>
  <c r="AI712" i="1"/>
  <c r="AB712" i="1"/>
  <c r="Y712" i="1"/>
  <c r="X712" i="1"/>
  <c r="W712" i="1"/>
  <c r="V712" i="1"/>
  <c r="S712" i="1"/>
  <c r="G712" i="1"/>
  <c r="F712" i="1"/>
  <c r="E712" i="1"/>
  <c r="A712" i="1"/>
  <c r="DU711" i="1"/>
  <c r="DT711" i="1"/>
  <c r="DS711" i="1"/>
  <c r="DR711" i="1"/>
  <c r="DQ711" i="1"/>
  <c r="DP711" i="1"/>
  <c r="DO711" i="1"/>
  <c r="DN711" i="1"/>
  <c r="DM711" i="1"/>
  <c r="DL711" i="1"/>
  <c r="CX711" i="1"/>
  <c r="CV711" i="1"/>
  <c r="CS711" i="1"/>
  <c r="BS711" i="1"/>
  <c r="BA711" i="1"/>
  <c r="AI711" i="1"/>
  <c r="AB711" i="1"/>
  <c r="AA711" i="1"/>
  <c r="Z711" i="1"/>
  <c r="Y711" i="1"/>
  <c r="X711" i="1"/>
  <c r="W711" i="1"/>
  <c r="V711" i="1"/>
  <c r="S711" i="1"/>
  <c r="G711" i="1"/>
  <c r="F711" i="1"/>
  <c r="E711" i="1"/>
  <c r="A711" i="1"/>
  <c r="DM710" i="1"/>
  <c r="DL710" i="1"/>
  <c r="CX710" i="1"/>
  <c r="CV710" i="1"/>
  <c r="CS710" i="1"/>
  <c r="BW710" i="1"/>
  <c r="BS710" i="1"/>
  <c r="BA710" i="1"/>
  <c r="AI710" i="1"/>
  <c r="AB710" i="1"/>
  <c r="W710" i="1"/>
  <c r="V710" i="1"/>
  <c r="G710" i="1"/>
  <c r="F710" i="1"/>
  <c r="E710" i="1"/>
  <c r="A710" i="1"/>
  <c r="DM709" i="1"/>
  <c r="DL709" i="1"/>
  <c r="CX709" i="1"/>
  <c r="CV709" i="1"/>
  <c r="CS709" i="1"/>
  <c r="BW709" i="1"/>
  <c r="BS709" i="1"/>
  <c r="BA709" i="1"/>
  <c r="AI709" i="1"/>
  <c r="AB709" i="1"/>
  <c r="W709" i="1"/>
  <c r="V709" i="1"/>
  <c r="G709" i="1"/>
  <c r="F709" i="1"/>
  <c r="E709" i="1"/>
  <c r="A709" i="1"/>
  <c r="CX708" i="1"/>
  <c r="CV708" i="1"/>
  <c r="CS708" i="1"/>
  <c r="BW708" i="1"/>
  <c r="BS708" i="1"/>
  <c r="BA708" i="1"/>
  <c r="AI708" i="1"/>
  <c r="AB708" i="1"/>
  <c r="G708" i="1"/>
  <c r="F708" i="1"/>
  <c r="E708" i="1"/>
  <c r="A708" i="1"/>
  <c r="CX707" i="1"/>
  <c r="CV707" i="1"/>
  <c r="CS707" i="1"/>
  <c r="BW707" i="1"/>
  <c r="BS707" i="1"/>
  <c r="BA707" i="1"/>
  <c r="AI707" i="1"/>
  <c r="AB707" i="1"/>
  <c r="G707" i="1"/>
  <c r="F707" i="1"/>
  <c r="E707" i="1"/>
  <c r="A707" i="1"/>
  <c r="DM706" i="1"/>
  <c r="DL706" i="1"/>
  <c r="CX706" i="1"/>
  <c r="CV706" i="1"/>
  <c r="CS706" i="1"/>
  <c r="BS706" i="1"/>
  <c r="BA706" i="1"/>
  <c r="AI706" i="1"/>
  <c r="AB706" i="1"/>
  <c r="W706" i="1"/>
  <c r="V706" i="1"/>
  <c r="G706" i="1"/>
  <c r="F706" i="1"/>
  <c r="E706" i="1"/>
  <c r="A706" i="1"/>
  <c r="CX705" i="1"/>
  <c r="CV705" i="1"/>
  <c r="CS705" i="1"/>
  <c r="BS705" i="1"/>
  <c r="BA705" i="1"/>
  <c r="AI705" i="1"/>
  <c r="AB705" i="1"/>
  <c r="G705" i="1"/>
  <c r="F705" i="1"/>
  <c r="E705" i="1"/>
  <c r="A705" i="1"/>
  <c r="DM704" i="1"/>
  <c r="DL704" i="1"/>
  <c r="CX704" i="1"/>
  <c r="CV704" i="1"/>
  <c r="CS704" i="1"/>
  <c r="BW704" i="1"/>
  <c r="BS704" i="1"/>
  <c r="BA704" i="1"/>
  <c r="AI704" i="1"/>
  <c r="AB704" i="1"/>
  <c r="W704" i="1"/>
  <c r="V704" i="1"/>
  <c r="G704" i="1"/>
  <c r="F704" i="1"/>
  <c r="E704" i="1"/>
  <c r="A704" i="1"/>
  <c r="CX703" i="1"/>
  <c r="CV703" i="1"/>
  <c r="CS703" i="1"/>
  <c r="BW703" i="1"/>
  <c r="BS703" i="1"/>
  <c r="BA703" i="1"/>
  <c r="AI703" i="1"/>
  <c r="AB703" i="1"/>
  <c r="G703" i="1"/>
  <c r="F703" i="1"/>
  <c r="E703" i="1"/>
  <c r="A703" i="1"/>
  <c r="CX702" i="1"/>
  <c r="CV702" i="1"/>
  <c r="CS702" i="1"/>
  <c r="BS702" i="1"/>
  <c r="BA702" i="1"/>
  <c r="AI702" i="1"/>
  <c r="AB702" i="1"/>
  <c r="G702" i="1"/>
  <c r="F702" i="1"/>
  <c r="E702" i="1"/>
  <c r="A702" i="1"/>
  <c r="CX701" i="1"/>
  <c r="CV701" i="1"/>
  <c r="CS701" i="1"/>
  <c r="BS701" i="1"/>
  <c r="BA701" i="1"/>
  <c r="AI701" i="1"/>
  <c r="AB701" i="1"/>
  <c r="G701" i="1"/>
  <c r="F701" i="1"/>
  <c r="E701" i="1"/>
  <c r="A701" i="1"/>
  <c r="EG700" i="1"/>
  <c r="EF700" i="1"/>
  <c r="EE700" i="1"/>
  <c r="ED700" i="1"/>
  <c r="EC700" i="1"/>
  <c r="EB700" i="1"/>
  <c r="EA700" i="1"/>
  <c r="DZ700" i="1"/>
  <c r="DY700" i="1"/>
  <c r="DX700" i="1"/>
  <c r="DW700" i="1"/>
  <c r="DV700" i="1"/>
  <c r="DU700" i="1"/>
  <c r="DT700" i="1"/>
  <c r="DS700" i="1"/>
  <c r="DR700" i="1"/>
  <c r="DQ700" i="1"/>
  <c r="DP700" i="1"/>
  <c r="DO700" i="1"/>
  <c r="DN700" i="1"/>
  <c r="DM700" i="1"/>
  <c r="DL700" i="1"/>
  <c r="CX700" i="1"/>
  <c r="CV700" i="1"/>
  <c r="CS700" i="1"/>
  <c r="BW700" i="1"/>
  <c r="BS700" i="1"/>
  <c r="BA700" i="1"/>
  <c r="AI700" i="1"/>
  <c r="AB700" i="1"/>
  <c r="AA700" i="1"/>
  <c r="Z700" i="1"/>
  <c r="Y700" i="1"/>
  <c r="X700" i="1"/>
  <c r="W700" i="1"/>
  <c r="V700" i="1"/>
  <c r="S700" i="1"/>
  <c r="G700" i="1"/>
  <c r="F700" i="1"/>
  <c r="E700" i="1"/>
  <c r="A700" i="1"/>
  <c r="DU699" i="1"/>
  <c r="DT699" i="1"/>
  <c r="DS699" i="1"/>
  <c r="DR699" i="1"/>
  <c r="DQ699" i="1"/>
  <c r="DP699" i="1"/>
  <c r="DO699" i="1"/>
  <c r="DN699" i="1"/>
  <c r="DM699" i="1"/>
  <c r="DL699" i="1"/>
  <c r="CX699" i="1"/>
  <c r="CV699" i="1"/>
  <c r="CS699" i="1"/>
  <c r="BS699" i="1"/>
  <c r="BA699" i="1"/>
  <c r="AI699" i="1"/>
  <c r="AB699" i="1"/>
  <c r="AA699" i="1"/>
  <c r="Z699" i="1"/>
  <c r="Y699" i="1"/>
  <c r="X699" i="1"/>
  <c r="W699" i="1"/>
  <c r="V699" i="1"/>
  <c r="G699" i="1"/>
  <c r="F699" i="1"/>
  <c r="E699" i="1"/>
  <c r="A699" i="1"/>
  <c r="CX698" i="1"/>
  <c r="CV698" i="1"/>
  <c r="CS698" i="1"/>
  <c r="BS698" i="1"/>
  <c r="BA698" i="1"/>
  <c r="AI698" i="1"/>
  <c r="AB698" i="1"/>
  <c r="S698" i="1"/>
  <c r="G698" i="1"/>
  <c r="F698" i="1"/>
  <c r="E698" i="1"/>
  <c r="A698" i="1"/>
  <c r="CX697" i="1"/>
  <c r="CV697" i="1"/>
  <c r="CS697" i="1"/>
  <c r="BS697" i="1"/>
  <c r="BA697" i="1"/>
  <c r="AI697" i="1"/>
  <c r="AB697" i="1"/>
  <c r="S697" i="1"/>
  <c r="G697" i="1"/>
  <c r="F697" i="1"/>
  <c r="E697" i="1"/>
  <c r="A697" i="1"/>
  <c r="CX696" i="1"/>
  <c r="CV696" i="1"/>
  <c r="CS696" i="1"/>
  <c r="BS696" i="1"/>
  <c r="BA696" i="1"/>
  <c r="AI696" i="1"/>
  <c r="AB696" i="1"/>
  <c r="G696" i="1"/>
  <c r="F696" i="1"/>
  <c r="E696" i="1"/>
  <c r="A696" i="1"/>
  <c r="CX695" i="1"/>
  <c r="CV695" i="1"/>
  <c r="CS695" i="1"/>
  <c r="BS695" i="1"/>
  <c r="BA695" i="1"/>
  <c r="AI695" i="1"/>
  <c r="AB695" i="1"/>
  <c r="G695" i="1"/>
  <c r="F695" i="1"/>
  <c r="E695" i="1"/>
  <c r="A695" i="1"/>
  <c r="CX694" i="1"/>
  <c r="CV694" i="1"/>
  <c r="CS694" i="1"/>
  <c r="BS694" i="1"/>
  <c r="BA694" i="1"/>
  <c r="AI694" i="1"/>
  <c r="AB694" i="1"/>
  <c r="G694" i="1"/>
  <c r="F694" i="1"/>
  <c r="E694" i="1"/>
  <c r="A694" i="1"/>
  <c r="CX693" i="1"/>
  <c r="CV693" i="1"/>
  <c r="CS693" i="1"/>
  <c r="BS693" i="1"/>
  <c r="BA693" i="1"/>
  <c r="AI693" i="1"/>
  <c r="AB693" i="1"/>
  <c r="G693" i="1"/>
  <c r="F693" i="1"/>
  <c r="E693" i="1"/>
  <c r="A693" i="1"/>
  <c r="CX692" i="1"/>
  <c r="CV692" i="1"/>
  <c r="CS692" i="1"/>
  <c r="BS692" i="1"/>
  <c r="BA692" i="1"/>
  <c r="AI692" i="1"/>
  <c r="AB692" i="1"/>
  <c r="G692" i="1"/>
  <c r="F692" i="1"/>
  <c r="E692" i="1"/>
  <c r="A692" i="1"/>
  <c r="CX691" i="1"/>
  <c r="CV691" i="1"/>
  <c r="CS691" i="1"/>
  <c r="BS691" i="1"/>
  <c r="BA691" i="1"/>
  <c r="AI691" i="1"/>
  <c r="AB691" i="1"/>
  <c r="G691" i="1"/>
  <c r="F691" i="1"/>
  <c r="E691" i="1"/>
  <c r="A691" i="1"/>
  <c r="CX690" i="1"/>
  <c r="CV690" i="1"/>
  <c r="CS690" i="1"/>
  <c r="BS690" i="1"/>
  <c r="BA690" i="1"/>
  <c r="AI690" i="1"/>
  <c r="AB690" i="1"/>
  <c r="G690" i="1"/>
  <c r="F690" i="1"/>
  <c r="E690" i="1"/>
  <c r="A690" i="1"/>
  <c r="CX689" i="1"/>
  <c r="CV689" i="1"/>
  <c r="CS689" i="1"/>
  <c r="BS689" i="1"/>
  <c r="BA689" i="1"/>
  <c r="AI689" i="1"/>
  <c r="AB689" i="1"/>
  <c r="G689" i="1"/>
  <c r="F689" i="1"/>
  <c r="E689" i="1"/>
  <c r="A689" i="1"/>
  <c r="CX688" i="1"/>
  <c r="CV688" i="1"/>
  <c r="CS688" i="1"/>
  <c r="BS688" i="1"/>
  <c r="BA688" i="1"/>
  <c r="AI688" i="1"/>
  <c r="AB688" i="1"/>
  <c r="S688" i="1"/>
  <c r="G688" i="1"/>
  <c r="F688" i="1"/>
  <c r="E688" i="1"/>
  <c r="A688" i="1"/>
  <c r="DS687" i="1"/>
  <c r="DR687" i="1"/>
  <c r="DQ687" i="1"/>
  <c r="DP687" i="1"/>
  <c r="DO687" i="1"/>
  <c r="DN687" i="1"/>
  <c r="DM687" i="1"/>
  <c r="DL687" i="1"/>
  <c r="CX687" i="1"/>
  <c r="CV687" i="1"/>
  <c r="CS687" i="1"/>
  <c r="BS687" i="1"/>
  <c r="BA687" i="1"/>
  <c r="AI687" i="1"/>
  <c r="AB687" i="1"/>
  <c r="AA687" i="1"/>
  <c r="Z687" i="1"/>
  <c r="Y687" i="1"/>
  <c r="X687" i="1"/>
  <c r="W687" i="1"/>
  <c r="V687" i="1"/>
  <c r="G687" i="1"/>
  <c r="F687" i="1"/>
  <c r="E687" i="1"/>
  <c r="A687" i="1"/>
  <c r="DS686" i="1"/>
  <c r="DR686" i="1"/>
  <c r="DQ686" i="1"/>
  <c r="DP686" i="1"/>
  <c r="DO686" i="1"/>
  <c r="DN686" i="1"/>
  <c r="DM686" i="1"/>
  <c r="DL686" i="1"/>
  <c r="CX686" i="1"/>
  <c r="CV686" i="1"/>
  <c r="CS686" i="1"/>
  <c r="BS686" i="1"/>
  <c r="BA686" i="1"/>
  <c r="AI686" i="1"/>
  <c r="AB686" i="1"/>
  <c r="AA686" i="1"/>
  <c r="Z686" i="1"/>
  <c r="Y686" i="1"/>
  <c r="X686" i="1"/>
  <c r="W686" i="1"/>
  <c r="V686" i="1"/>
  <c r="G686" i="1"/>
  <c r="F686" i="1"/>
  <c r="E686" i="1"/>
  <c r="A686" i="1"/>
  <c r="EE685" i="1"/>
  <c r="ED685" i="1"/>
  <c r="EC685" i="1"/>
  <c r="EB685" i="1"/>
  <c r="EA685" i="1"/>
  <c r="DZ685" i="1"/>
  <c r="DY685" i="1"/>
  <c r="DX685" i="1"/>
  <c r="DW685" i="1"/>
  <c r="DV685" i="1"/>
  <c r="DU685" i="1"/>
  <c r="DT685" i="1"/>
  <c r="DS685" i="1"/>
  <c r="DR685" i="1"/>
  <c r="DQ685" i="1"/>
  <c r="DP685" i="1"/>
  <c r="DO685" i="1"/>
  <c r="DN685" i="1"/>
  <c r="DM685" i="1"/>
  <c r="DL685" i="1"/>
  <c r="CX685" i="1"/>
  <c r="CV685" i="1"/>
  <c r="CS685" i="1"/>
  <c r="BS685" i="1"/>
  <c r="BA685" i="1"/>
  <c r="AI685" i="1"/>
  <c r="AB685" i="1"/>
  <c r="AA685" i="1"/>
  <c r="Z685" i="1"/>
  <c r="Y685" i="1"/>
  <c r="X685" i="1"/>
  <c r="W685" i="1"/>
  <c r="V685" i="1"/>
  <c r="G685" i="1"/>
  <c r="F685" i="1"/>
  <c r="E685" i="1"/>
  <c r="A685" i="1"/>
  <c r="DS684" i="1"/>
  <c r="DR684" i="1"/>
  <c r="DQ684" i="1"/>
  <c r="DP684" i="1"/>
  <c r="DO684" i="1"/>
  <c r="DN684" i="1"/>
  <c r="DM684" i="1"/>
  <c r="DL684" i="1"/>
  <c r="CX684" i="1"/>
  <c r="CV684" i="1"/>
  <c r="CS684" i="1"/>
  <c r="BS684" i="1"/>
  <c r="BA684" i="1"/>
  <c r="AI684" i="1"/>
  <c r="AB684" i="1"/>
  <c r="AA684" i="1"/>
  <c r="Z684" i="1"/>
  <c r="Y684" i="1"/>
  <c r="X684" i="1"/>
  <c r="W684" i="1"/>
  <c r="V684" i="1"/>
  <c r="G684" i="1"/>
  <c r="F684" i="1"/>
  <c r="E684" i="1"/>
  <c r="A684" i="1"/>
  <c r="CX683" i="1"/>
  <c r="CV683" i="1"/>
  <c r="CS683" i="1"/>
  <c r="BS683" i="1"/>
  <c r="BA683" i="1"/>
  <c r="AI683" i="1"/>
  <c r="AB683" i="1"/>
  <c r="G683" i="1"/>
  <c r="F683" i="1"/>
  <c r="E683" i="1"/>
  <c r="A683" i="1"/>
  <c r="CX682" i="1"/>
  <c r="CV682" i="1"/>
  <c r="CS682" i="1"/>
  <c r="BS682" i="1"/>
  <c r="BA682" i="1"/>
  <c r="AI682" i="1"/>
  <c r="AB682" i="1"/>
  <c r="G682" i="1"/>
  <c r="F682" i="1"/>
  <c r="E682" i="1"/>
  <c r="A682" i="1"/>
  <c r="DO681" i="1"/>
  <c r="DN681" i="1"/>
  <c r="DM681" i="1"/>
  <c r="DL681" i="1"/>
  <c r="CX681" i="1"/>
  <c r="CV681" i="1"/>
  <c r="CS681" i="1"/>
  <c r="BS681" i="1"/>
  <c r="BA681" i="1"/>
  <c r="AI681" i="1"/>
  <c r="AB681" i="1"/>
  <c r="Y681" i="1"/>
  <c r="X681" i="1"/>
  <c r="W681" i="1"/>
  <c r="V681" i="1"/>
  <c r="G681" i="1"/>
  <c r="F681" i="1"/>
  <c r="E681" i="1"/>
  <c r="A681" i="1"/>
  <c r="CX680" i="1"/>
  <c r="CV680" i="1"/>
  <c r="CS680" i="1"/>
  <c r="BS680" i="1"/>
  <c r="BA680" i="1"/>
  <c r="AI680" i="1"/>
  <c r="AB680" i="1"/>
  <c r="S680" i="1"/>
  <c r="G680" i="1"/>
  <c r="F680" i="1"/>
  <c r="E680" i="1"/>
  <c r="A680" i="1"/>
  <c r="CX679" i="1"/>
  <c r="CV679" i="1"/>
  <c r="CS679" i="1"/>
  <c r="BS679" i="1"/>
  <c r="BA679" i="1"/>
  <c r="AI679" i="1"/>
  <c r="AB679" i="1"/>
  <c r="G679" i="1"/>
  <c r="F679" i="1"/>
  <c r="E679" i="1"/>
  <c r="A679" i="1"/>
  <c r="DY678" i="1"/>
  <c r="DX678" i="1"/>
  <c r="DW678" i="1"/>
  <c r="DV678" i="1"/>
  <c r="DU678" i="1"/>
  <c r="DT678" i="1"/>
  <c r="DS678" i="1"/>
  <c r="DR678" i="1"/>
  <c r="DQ678" i="1"/>
  <c r="DP678" i="1"/>
  <c r="DO678" i="1"/>
  <c r="DN678" i="1"/>
  <c r="DM678" i="1"/>
  <c r="DL678" i="1"/>
  <c r="CX678" i="1"/>
  <c r="CV678" i="1"/>
  <c r="CS678" i="1"/>
  <c r="BS678" i="1"/>
  <c r="BA678" i="1"/>
  <c r="AI678" i="1"/>
  <c r="AB678" i="1"/>
  <c r="AA678" i="1"/>
  <c r="Z678" i="1"/>
  <c r="Y678" i="1"/>
  <c r="X678" i="1"/>
  <c r="W678" i="1"/>
  <c r="V678" i="1"/>
  <c r="G678" i="1"/>
  <c r="F678" i="1"/>
  <c r="E678" i="1"/>
  <c r="A678" i="1"/>
  <c r="CX677" i="1"/>
  <c r="CV677" i="1"/>
  <c r="CS677" i="1"/>
  <c r="BS677" i="1"/>
  <c r="BA677" i="1"/>
  <c r="AI677" i="1"/>
  <c r="AB677" i="1"/>
  <c r="S677" i="1"/>
  <c r="G677" i="1"/>
  <c r="F677" i="1"/>
  <c r="E677" i="1"/>
  <c r="A677" i="1"/>
  <c r="DQ676" i="1"/>
  <c r="DP676" i="1"/>
  <c r="DO676" i="1"/>
  <c r="DN676" i="1"/>
  <c r="DM676" i="1"/>
  <c r="DL676" i="1"/>
  <c r="CX676" i="1"/>
  <c r="CV676" i="1"/>
  <c r="CS676" i="1"/>
  <c r="BS676" i="1"/>
  <c r="BA676" i="1"/>
  <c r="AI676" i="1"/>
  <c r="AB676" i="1"/>
  <c r="AA676" i="1"/>
  <c r="Z676" i="1"/>
  <c r="Y676" i="1"/>
  <c r="X676" i="1"/>
  <c r="W676" i="1"/>
  <c r="V676" i="1"/>
  <c r="G676" i="1"/>
  <c r="F676" i="1"/>
  <c r="E676" i="1"/>
  <c r="A676" i="1"/>
  <c r="CX675" i="1"/>
  <c r="CV675" i="1"/>
  <c r="CS675" i="1"/>
  <c r="BS675" i="1"/>
  <c r="BA675" i="1"/>
  <c r="AI675" i="1"/>
  <c r="AB675" i="1"/>
  <c r="G675" i="1"/>
  <c r="F675" i="1"/>
  <c r="E675" i="1"/>
  <c r="A675" i="1"/>
  <c r="CX674" i="1"/>
  <c r="CV674" i="1"/>
  <c r="CS674" i="1"/>
  <c r="BS674" i="1"/>
  <c r="BA674" i="1"/>
  <c r="AI674" i="1"/>
  <c r="AB674" i="1"/>
  <c r="G674" i="1"/>
  <c r="F674" i="1"/>
  <c r="E674" i="1"/>
  <c r="A674" i="1"/>
  <c r="CX673" i="1"/>
  <c r="CV673" i="1"/>
  <c r="CS673" i="1"/>
  <c r="BS673" i="1"/>
  <c r="BA673" i="1"/>
  <c r="AI673" i="1"/>
  <c r="AB673" i="1"/>
  <c r="G673" i="1"/>
  <c r="F673" i="1"/>
  <c r="E673" i="1"/>
  <c r="A673" i="1"/>
  <c r="CX672" i="1"/>
  <c r="CV672" i="1"/>
  <c r="CS672" i="1"/>
  <c r="BS672" i="1"/>
  <c r="BA672" i="1"/>
  <c r="AI672" i="1"/>
  <c r="AB672" i="1"/>
  <c r="G672" i="1"/>
  <c r="F672" i="1"/>
  <c r="E672" i="1"/>
  <c r="A672" i="1"/>
  <c r="CX671" i="1"/>
  <c r="CV671" i="1"/>
  <c r="CS671" i="1"/>
  <c r="BS671" i="1"/>
  <c r="BA671" i="1"/>
  <c r="AI671" i="1"/>
  <c r="AB671" i="1"/>
  <c r="G671" i="1"/>
  <c r="F671" i="1"/>
  <c r="E671" i="1"/>
  <c r="A671" i="1"/>
  <c r="EG670" i="1"/>
  <c r="EF670" i="1"/>
  <c r="EE670" i="1"/>
  <c r="ED670" i="1"/>
  <c r="EC670" i="1"/>
  <c r="EB670" i="1"/>
  <c r="EA670" i="1"/>
  <c r="DZ670" i="1"/>
  <c r="DY670" i="1"/>
  <c r="DX670" i="1"/>
  <c r="DW670" i="1"/>
  <c r="DV670" i="1"/>
  <c r="DU670" i="1"/>
  <c r="DT670" i="1"/>
  <c r="DS670" i="1"/>
  <c r="DR670" i="1"/>
  <c r="DQ670" i="1"/>
  <c r="DP670" i="1"/>
  <c r="DO670" i="1"/>
  <c r="DN670" i="1"/>
  <c r="DM670" i="1"/>
  <c r="DL670" i="1"/>
  <c r="CX670" i="1"/>
  <c r="CV670" i="1"/>
  <c r="CS670" i="1"/>
  <c r="BS670" i="1"/>
  <c r="BA670" i="1"/>
  <c r="AI670" i="1"/>
  <c r="AB670" i="1"/>
  <c r="AA670" i="1"/>
  <c r="Z670" i="1"/>
  <c r="Y670" i="1"/>
  <c r="X670" i="1"/>
  <c r="W670" i="1"/>
  <c r="V670" i="1"/>
  <c r="S670" i="1"/>
  <c r="G670" i="1"/>
  <c r="F670" i="1"/>
  <c r="E670" i="1"/>
  <c r="A670" i="1"/>
  <c r="EG669" i="1"/>
  <c r="EF669" i="1"/>
  <c r="EE669" i="1"/>
  <c r="ED669" i="1"/>
  <c r="EC669" i="1"/>
  <c r="EB669" i="1"/>
  <c r="EA669" i="1"/>
  <c r="DZ669" i="1"/>
  <c r="DY669" i="1"/>
  <c r="DX669" i="1"/>
  <c r="DW669" i="1"/>
  <c r="DV669" i="1"/>
  <c r="DU669" i="1"/>
  <c r="DT669" i="1"/>
  <c r="DS669" i="1"/>
  <c r="DR669" i="1"/>
  <c r="DQ669" i="1"/>
  <c r="DP669" i="1"/>
  <c r="DO669" i="1"/>
  <c r="DN669" i="1"/>
  <c r="DM669" i="1"/>
  <c r="DL669" i="1"/>
  <c r="CX669" i="1"/>
  <c r="CV669" i="1"/>
  <c r="CS669" i="1"/>
  <c r="BS669" i="1"/>
  <c r="BA669" i="1"/>
  <c r="AI669" i="1"/>
  <c r="AB669" i="1"/>
  <c r="AA669" i="1"/>
  <c r="Z669" i="1"/>
  <c r="Y669" i="1"/>
  <c r="X669" i="1"/>
  <c r="W669" i="1"/>
  <c r="V669" i="1"/>
  <c r="S669" i="1"/>
  <c r="G669" i="1"/>
  <c r="F669" i="1"/>
  <c r="E669" i="1"/>
  <c r="A669" i="1"/>
  <c r="CX668" i="1"/>
  <c r="CV668" i="1"/>
  <c r="CS668" i="1"/>
  <c r="BS668" i="1"/>
  <c r="BA668" i="1"/>
  <c r="AI668" i="1"/>
  <c r="AB668" i="1"/>
  <c r="G668" i="1"/>
  <c r="F668" i="1"/>
  <c r="E668" i="1"/>
  <c r="A668" i="1"/>
  <c r="CX667" i="1"/>
  <c r="CV667" i="1"/>
  <c r="CS667" i="1"/>
  <c r="BS667" i="1"/>
  <c r="BA667" i="1"/>
  <c r="AI667" i="1"/>
  <c r="AB667" i="1"/>
  <c r="G667" i="1"/>
  <c r="F667" i="1"/>
  <c r="E667" i="1"/>
  <c r="A667" i="1"/>
  <c r="DM666" i="1"/>
  <c r="DL666" i="1"/>
  <c r="CX666" i="1"/>
  <c r="CV666" i="1"/>
  <c r="CS666" i="1"/>
  <c r="BS666" i="1"/>
  <c r="AI666" i="1"/>
  <c r="AB666" i="1"/>
  <c r="W666" i="1"/>
  <c r="V666" i="1"/>
  <c r="G666" i="1"/>
  <c r="F666" i="1"/>
  <c r="E666" i="1"/>
  <c r="A666" i="1"/>
  <c r="CX665" i="1"/>
  <c r="CV665" i="1"/>
  <c r="CS665" i="1"/>
  <c r="BS665" i="1"/>
  <c r="BA665" i="1"/>
  <c r="AI665" i="1"/>
  <c r="AB665" i="1"/>
  <c r="G665" i="1"/>
  <c r="F665" i="1"/>
  <c r="E665" i="1"/>
  <c r="A665" i="1"/>
  <c r="CX664" i="1"/>
  <c r="CV664" i="1"/>
  <c r="CS664" i="1"/>
  <c r="BS664" i="1"/>
  <c r="BA664" i="1"/>
  <c r="AI664" i="1"/>
  <c r="AB664" i="1"/>
  <c r="G664" i="1"/>
  <c r="F664" i="1"/>
  <c r="E664" i="1"/>
  <c r="A664" i="1"/>
  <c r="CX663" i="1"/>
  <c r="CV663" i="1"/>
  <c r="CS663" i="1"/>
  <c r="BS663" i="1"/>
  <c r="BA663" i="1"/>
  <c r="AI663" i="1"/>
  <c r="AB663" i="1"/>
  <c r="G663" i="1"/>
  <c r="F663" i="1"/>
  <c r="E663" i="1"/>
  <c r="A663" i="1"/>
  <c r="DS662" i="1"/>
  <c r="DR662" i="1"/>
  <c r="DQ662" i="1"/>
  <c r="DP662" i="1"/>
  <c r="DO662" i="1"/>
  <c r="DN662" i="1"/>
  <c r="DM662" i="1"/>
  <c r="DL662" i="1"/>
  <c r="CX662" i="1"/>
  <c r="CV662" i="1"/>
  <c r="CS662" i="1"/>
  <c r="BS662" i="1"/>
  <c r="BA662" i="1"/>
  <c r="AI662" i="1"/>
  <c r="AB662" i="1"/>
  <c r="AA662" i="1"/>
  <c r="Z662" i="1"/>
  <c r="Y662" i="1"/>
  <c r="X662" i="1"/>
  <c r="W662" i="1"/>
  <c r="V662" i="1"/>
  <c r="G662" i="1"/>
  <c r="F662" i="1"/>
  <c r="E662" i="1"/>
  <c r="A662" i="1"/>
  <c r="CX661" i="1"/>
  <c r="CV661" i="1"/>
  <c r="CS661" i="1"/>
  <c r="BS661" i="1"/>
  <c r="BA661" i="1"/>
  <c r="AI661" i="1"/>
  <c r="AB661" i="1"/>
  <c r="G661" i="1"/>
  <c r="F661" i="1"/>
  <c r="E661" i="1"/>
  <c r="A661" i="1"/>
  <c r="CX660" i="1"/>
  <c r="CV660" i="1"/>
  <c r="CS660" i="1"/>
  <c r="BS660" i="1"/>
  <c r="BA660" i="1"/>
  <c r="AI660" i="1"/>
  <c r="AB660" i="1"/>
  <c r="G660" i="1"/>
  <c r="F660" i="1"/>
  <c r="E660" i="1"/>
  <c r="A660" i="1"/>
  <c r="DW659" i="1"/>
  <c r="DV659" i="1"/>
  <c r="DU659" i="1"/>
  <c r="DT659" i="1"/>
  <c r="DS659" i="1"/>
  <c r="DR659" i="1"/>
  <c r="DQ659" i="1"/>
  <c r="DP659" i="1"/>
  <c r="DO659" i="1"/>
  <c r="DN659" i="1"/>
  <c r="DM659" i="1"/>
  <c r="DL659" i="1"/>
  <c r="CX659" i="1"/>
  <c r="CV659" i="1"/>
  <c r="BS659" i="1"/>
  <c r="BA659" i="1"/>
  <c r="AI659" i="1"/>
  <c r="AB659" i="1"/>
  <c r="AA659" i="1"/>
  <c r="Z659" i="1"/>
  <c r="Y659" i="1"/>
  <c r="X659" i="1"/>
  <c r="W659" i="1"/>
  <c r="V659" i="1"/>
  <c r="G659" i="1"/>
  <c r="F659" i="1"/>
  <c r="E659" i="1"/>
  <c r="A659" i="1"/>
  <c r="DO658" i="1"/>
  <c r="DN658" i="1"/>
  <c r="DM658" i="1"/>
  <c r="DL658" i="1"/>
  <c r="CX658" i="1"/>
  <c r="CV658" i="1"/>
  <c r="CS658" i="1"/>
  <c r="BW658" i="1"/>
  <c r="BS658" i="1"/>
  <c r="BA658" i="1"/>
  <c r="AI658" i="1"/>
  <c r="AB658" i="1"/>
  <c r="Y658" i="1"/>
  <c r="X658" i="1"/>
  <c r="W658" i="1"/>
  <c r="V658" i="1"/>
  <c r="G658" i="1"/>
  <c r="F658" i="1"/>
  <c r="E658" i="1"/>
  <c r="A658" i="1"/>
  <c r="CX657" i="1"/>
  <c r="CV657" i="1"/>
  <c r="CS657" i="1"/>
  <c r="BS657" i="1"/>
  <c r="BA657" i="1"/>
  <c r="AI657" i="1"/>
  <c r="AB657" i="1"/>
  <c r="G657" i="1"/>
  <c r="F657" i="1"/>
  <c r="E657" i="1"/>
  <c r="A657" i="1"/>
  <c r="CX656" i="1"/>
  <c r="CV656" i="1"/>
  <c r="CS656" i="1"/>
  <c r="BS656" i="1"/>
  <c r="BA656" i="1"/>
  <c r="AI656" i="1"/>
  <c r="AB656" i="1"/>
  <c r="S656" i="1"/>
  <c r="G656" i="1"/>
  <c r="F656" i="1"/>
  <c r="E656" i="1"/>
  <c r="A656" i="1"/>
  <c r="DW655" i="1"/>
  <c r="DV655" i="1"/>
  <c r="DU655" i="1"/>
  <c r="DT655" i="1"/>
  <c r="DS655" i="1"/>
  <c r="DR655" i="1"/>
  <c r="DQ655" i="1"/>
  <c r="DP655" i="1"/>
  <c r="DO655" i="1"/>
  <c r="DN655" i="1"/>
  <c r="DM655" i="1"/>
  <c r="DL655" i="1"/>
  <c r="CX655" i="1"/>
  <c r="CV655" i="1"/>
  <c r="CS655" i="1"/>
  <c r="BS655" i="1"/>
  <c r="BA655" i="1"/>
  <c r="AI655" i="1"/>
  <c r="AB655" i="1"/>
  <c r="AA655" i="1"/>
  <c r="Z655" i="1"/>
  <c r="Y655" i="1"/>
  <c r="X655" i="1"/>
  <c r="W655" i="1"/>
  <c r="V655" i="1"/>
  <c r="G655" i="1"/>
  <c r="F655" i="1"/>
  <c r="E655" i="1"/>
  <c r="A655" i="1"/>
  <c r="CX654" i="1"/>
  <c r="CV654" i="1"/>
  <c r="BS654" i="1"/>
  <c r="BA654" i="1"/>
  <c r="AI654" i="1"/>
  <c r="AB654" i="1"/>
  <c r="G654" i="1"/>
  <c r="F654" i="1"/>
  <c r="E654" i="1"/>
  <c r="A654" i="1"/>
  <c r="EG653" i="1"/>
  <c r="EF653" i="1"/>
  <c r="EE653" i="1"/>
  <c r="ED653" i="1"/>
  <c r="EC653" i="1"/>
  <c r="EB653" i="1"/>
  <c r="EA653" i="1"/>
  <c r="DZ653" i="1"/>
  <c r="DY653" i="1"/>
  <c r="DX653" i="1"/>
  <c r="DW653" i="1"/>
  <c r="DV653" i="1"/>
  <c r="DU653" i="1"/>
  <c r="DT653" i="1"/>
  <c r="DS653" i="1"/>
  <c r="DR653" i="1"/>
  <c r="DQ653" i="1"/>
  <c r="DP653" i="1"/>
  <c r="DO653" i="1"/>
  <c r="DN653" i="1"/>
  <c r="DM653" i="1"/>
  <c r="DL653" i="1"/>
  <c r="CX653" i="1"/>
  <c r="CV653" i="1"/>
  <c r="CS653" i="1"/>
  <c r="BS653" i="1"/>
  <c r="BA653" i="1"/>
  <c r="AI653" i="1"/>
  <c r="AB653" i="1"/>
  <c r="AA653" i="1"/>
  <c r="Z653" i="1"/>
  <c r="Y653" i="1"/>
  <c r="X653" i="1"/>
  <c r="W653" i="1"/>
  <c r="V653" i="1"/>
  <c r="G653" i="1"/>
  <c r="F653" i="1"/>
  <c r="E653" i="1"/>
  <c r="A653" i="1"/>
  <c r="CX652" i="1"/>
  <c r="CV652" i="1"/>
  <c r="CS652" i="1"/>
  <c r="BS652" i="1"/>
  <c r="BA652" i="1"/>
  <c r="AI652" i="1"/>
  <c r="AB652" i="1"/>
  <c r="G652" i="1"/>
  <c r="F652" i="1"/>
  <c r="E652" i="1"/>
  <c r="A652" i="1"/>
  <c r="CX651" i="1"/>
  <c r="CV651" i="1"/>
  <c r="CS651" i="1"/>
  <c r="BS651" i="1"/>
  <c r="BA651" i="1"/>
  <c r="AI651" i="1"/>
  <c r="AB651" i="1"/>
  <c r="G651" i="1"/>
  <c r="F651" i="1"/>
  <c r="E651" i="1"/>
  <c r="A651" i="1"/>
  <c r="CX650" i="1"/>
  <c r="CV650" i="1"/>
  <c r="CS650" i="1"/>
  <c r="BW650" i="1"/>
  <c r="BS650" i="1"/>
  <c r="BA650" i="1"/>
  <c r="AI650" i="1"/>
  <c r="AB650" i="1"/>
  <c r="G650" i="1"/>
  <c r="F650" i="1"/>
  <c r="E650" i="1"/>
  <c r="A650" i="1"/>
  <c r="CX649" i="1"/>
  <c r="CV649" i="1"/>
  <c r="CS649" i="1"/>
  <c r="BS649" i="1"/>
  <c r="BA649" i="1"/>
  <c r="AI649" i="1"/>
  <c r="AB649" i="1"/>
  <c r="G649" i="1"/>
  <c r="F649" i="1"/>
  <c r="E649" i="1"/>
  <c r="A649" i="1"/>
  <c r="CX648" i="1"/>
  <c r="CV648" i="1"/>
  <c r="CS648" i="1"/>
  <c r="BS648" i="1"/>
  <c r="BA648" i="1"/>
  <c r="AI648" i="1"/>
  <c r="AB648" i="1"/>
  <c r="G648" i="1"/>
  <c r="F648" i="1"/>
  <c r="E648" i="1"/>
  <c r="A648" i="1"/>
  <c r="CX647" i="1"/>
  <c r="CV647" i="1"/>
  <c r="CS647" i="1"/>
  <c r="BS647" i="1"/>
  <c r="BA647" i="1"/>
  <c r="AI647" i="1"/>
  <c r="AB647" i="1"/>
  <c r="G647" i="1"/>
  <c r="F647" i="1"/>
  <c r="E647" i="1"/>
  <c r="A647" i="1"/>
  <c r="CX646" i="1"/>
  <c r="CV646" i="1"/>
  <c r="CS646" i="1"/>
  <c r="BS646" i="1"/>
  <c r="BA646" i="1"/>
  <c r="AI646" i="1"/>
  <c r="AB646" i="1"/>
  <c r="G646" i="1"/>
  <c r="F646" i="1"/>
  <c r="E646" i="1"/>
  <c r="A646" i="1"/>
  <c r="CX645" i="1"/>
  <c r="CV645" i="1"/>
  <c r="CS645" i="1"/>
  <c r="BS645" i="1"/>
  <c r="BA645" i="1"/>
  <c r="AI645" i="1"/>
  <c r="AB645" i="1"/>
  <c r="G645" i="1"/>
  <c r="F645" i="1"/>
  <c r="E645" i="1"/>
  <c r="A645" i="1"/>
  <c r="CX644" i="1"/>
  <c r="CV644" i="1"/>
  <c r="CS644" i="1"/>
  <c r="BS644" i="1"/>
  <c r="BA644" i="1"/>
  <c r="AI644" i="1"/>
  <c r="AB644" i="1"/>
  <c r="G644" i="1"/>
  <c r="F644" i="1"/>
  <c r="E644" i="1"/>
  <c r="A644" i="1"/>
  <c r="CX643" i="1"/>
  <c r="CV643" i="1"/>
  <c r="CS643" i="1"/>
  <c r="BS643" i="1"/>
  <c r="BA643" i="1"/>
  <c r="AI643" i="1"/>
  <c r="AB643" i="1"/>
  <c r="G643" i="1"/>
  <c r="F643" i="1"/>
  <c r="E643" i="1"/>
  <c r="A643" i="1"/>
  <c r="CX642" i="1"/>
  <c r="CV642" i="1"/>
  <c r="CS642" i="1"/>
  <c r="BS642" i="1"/>
  <c r="BA642" i="1"/>
  <c r="AI642" i="1"/>
  <c r="AB642" i="1"/>
  <c r="G642" i="1"/>
  <c r="F642" i="1"/>
  <c r="E642" i="1"/>
  <c r="A642" i="1"/>
  <c r="CX641" i="1"/>
  <c r="CV641" i="1"/>
  <c r="BS641" i="1"/>
  <c r="BA641" i="1"/>
  <c r="AI641" i="1"/>
  <c r="AB641" i="1"/>
  <c r="G641" i="1"/>
  <c r="F641" i="1"/>
  <c r="E641" i="1"/>
  <c r="A641" i="1"/>
  <c r="CX640" i="1"/>
  <c r="CV640" i="1"/>
  <c r="CS640" i="1"/>
  <c r="BS640" i="1"/>
  <c r="BA640" i="1"/>
  <c r="AI640" i="1"/>
  <c r="AB640" i="1"/>
  <c r="G640" i="1"/>
  <c r="F640" i="1"/>
  <c r="E640" i="1"/>
  <c r="A640" i="1"/>
  <c r="CX639" i="1"/>
  <c r="CV639" i="1"/>
  <c r="CS639" i="1"/>
  <c r="BS639" i="1"/>
  <c r="BA639" i="1"/>
  <c r="AI639" i="1"/>
  <c r="AB639" i="1"/>
  <c r="G639" i="1"/>
  <c r="F639" i="1"/>
  <c r="E639" i="1"/>
  <c r="A639" i="1"/>
  <c r="DQ638" i="1"/>
  <c r="DP638" i="1"/>
  <c r="DO638" i="1"/>
  <c r="DN638" i="1"/>
  <c r="DM638" i="1"/>
  <c r="DL638" i="1"/>
  <c r="CX638" i="1"/>
  <c r="CV638" i="1"/>
  <c r="CS638" i="1"/>
  <c r="BS638" i="1"/>
  <c r="BA638" i="1"/>
  <c r="AI638" i="1"/>
  <c r="AB638" i="1"/>
  <c r="AA638" i="1"/>
  <c r="Z638" i="1"/>
  <c r="Y638" i="1"/>
  <c r="X638" i="1"/>
  <c r="W638" i="1"/>
  <c r="V638" i="1"/>
  <c r="G638" i="1"/>
  <c r="F638" i="1"/>
  <c r="E638" i="1"/>
  <c r="A638" i="1"/>
  <c r="CX637" i="1"/>
  <c r="CV637" i="1"/>
  <c r="CS637" i="1"/>
  <c r="BS637" i="1"/>
  <c r="BA637" i="1"/>
  <c r="AI637" i="1"/>
  <c r="AB637" i="1"/>
  <c r="G637" i="1"/>
  <c r="F637" i="1"/>
  <c r="E637" i="1"/>
  <c r="A637" i="1"/>
  <c r="CX636" i="1"/>
  <c r="CV636" i="1"/>
  <c r="CS636" i="1"/>
  <c r="BS636" i="1"/>
  <c r="BA636" i="1"/>
  <c r="AI636" i="1"/>
  <c r="AB636" i="1"/>
  <c r="G636" i="1"/>
  <c r="F636" i="1"/>
  <c r="E636" i="1"/>
  <c r="A636" i="1"/>
  <c r="DU635" i="1"/>
  <c r="DT635" i="1"/>
  <c r="DS635" i="1"/>
  <c r="DR635" i="1"/>
  <c r="DQ635" i="1"/>
  <c r="DP635" i="1"/>
  <c r="DO635" i="1"/>
  <c r="DN635" i="1"/>
  <c r="DM635" i="1"/>
  <c r="DL635" i="1"/>
  <c r="CX635" i="1"/>
  <c r="CV635" i="1"/>
  <c r="CS635" i="1"/>
  <c r="BS635" i="1"/>
  <c r="BA635" i="1"/>
  <c r="AI635" i="1"/>
  <c r="AB635" i="1"/>
  <c r="AA635" i="1"/>
  <c r="Z635" i="1"/>
  <c r="Y635" i="1"/>
  <c r="X635" i="1"/>
  <c r="W635" i="1"/>
  <c r="V635" i="1"/>
  <c r="S635" i="1"/>
  <c r="G635" i="1"/>
  <c r="F635" i="1"/>
  <c r="E635" i="1"/>
  <c r="A635" i="1"/>
  <c r="CX634" i="1"/>
  <c r="CV634" i="1"/>
  <c r="CS634" i="1"/>
  <c r="BS634" i="1"/>
  <c r="BA634" i="1"/>
  <c r="AI634" i="1"/>
  <c r="AB634" i="1"/>
  <c r="G634" i="1"/>
  <c r="F634" i="1"/>
  <c r="E634" i="1"/>
  <c r="A634" i="1"/>
  <c r="CX633" i="1"/>
  <c r="CV633" i="1"/>
  <c r="CS633" i="1"/>
  <c r="BS633" i="1"/>
  <c r="AI633" i="1"/>
  <c r="AB633" i="1"/>
  <c r="G633" i="1"/>
  <c r="F633" i="1"/>
  <c r="E633" i="1"/>
  <c r="A633" i="1"/>
  <c r="DM632" i="1"/>
  <c r="DL632" i="1"/>
  <c r="CX632" i="1"/>
  <c r="CV632" i="1"/>
  <c r="CS632" i="1"/>
  <c r="BS632" i="1"/>
  <c r="BA632" i="1"/>
  <c r="AI632" i="1"/>
  <c r="AB632" i="1"/>
  <c r="W632" i="1"/>
  <c r="V632" i="1"/>
  <c r="G632" i="1"/>
  <c r="F632" i="1"/>
  <c r="E632" i="1"/>
  <c r="A632" i="1"/>
  <c r="CX631" i="1"/>
  <c r="CV631" i="1"/>
  <c r="CS631" i="1"/>
  <c r="BS631" i="1"/>
  <c r="BA631" i="1"/>
  <c r="AI631" i="1"/>
  <c r="AB631" i="1"/>
  <c r="G631" i="1"/>
  <c r="F631" i="1"/>
  <c r="E631" i="1"/>
  <c r="A631" i="1"/>
  <c r="CX630" i="1"/>
  <c r="CV630" i="1"/>
  <c r="CS630" i="1"/>
  <c r="BS630" i="1"/>
  <c r="BA630" i="1"/>
  <c r="AI630" i="1"/>
  <c r="AB630" i="1"/>
  <c r="G630" i="1"/>
  <c r="F630" i="1"/>
  <c r="E630" i="1"/>
  <c r="A630" i="1"/>
  <c r="CX629" i="1"/>
  <c r="CV629" i="1"/>
  <c r="CS629" i="1"/>
  <c r="BW629" i="1"/>
  <c r="BS629" i="1"/>
  <c r="BA629" i="1"/>
  <c r="AI629" i="1"/>
  <c r="AB629" i="1"/>
  <c r="S629" i="1"/>
  <c r="G629" i="1"/>
  <c r="F629" i="1"/>
  <c r="E629" i="1"/>
  <c r="A629" i="1"/>
  <c r="DM628" i="1"/>
  <c r="DL628" i="1"/>
  <c r="CX628" i="1"/>
  <c r="CV628" i="1"/>
  <c r="CS628" i="1"/>
  <c r="BS628" i="1"/>
  <c r="BA628" i="1"/>
  <c r="AI628" i="1"/>
  <c r="AB628" i="1"/>
  <c r="W628" i="1"/>
  <c r="V628" i="1"/>
  <c r="G628" i="1"/>
  <c r="F628" i="1"/>
  <c r="E628" i="1"/>
  <c r="A628" i="1"/>
  <c r="CX627" i="1"/>
  <c r="CV627" i="1"/>
  <c r="CS627" i="1"/>
  <c r="BS627" i="1"/>
  <c r="BA627" i="1"/>
  <c r="AI627" i="1"/>
  <c r="AB627" i="1"/>
  <c r="G627" i="1"/>
  <c r="F627" i="1"/>
  <c r="E627" i="1"/>
  <c r="A627" i="1"/>
  <c r="CX626" i="1"/>
  <c r="CV626" i="1"/>
  <c r="CS626" i="1"/>
  <c r="BS626" i="1"/>
  <c r="BA626" i="1"/>
  <c r="AI626" i="1"/>
  <c r="AB626" i="1"/>
  <c r="S626" i="1"/>
  <c r="G626" i="1"/>
  <c r="F626" i="1"/>
  <c r="E626" i="1"/>
  <c r="A626" i="1"/>
  <c r="DM625" i="1"/>
  <c r="DL625" i="1"/>
  <c r="CX625" i="1"/>
  <c r="CV625" i="1"/>
  <c r="CS625" i="1"/>
  <c r="BS625" i="1"/>
  <c r="BA625" i="1"/>
  <c r="AI625" i="1"/>
  <c r="AB625" i="1"/>
  <c r="W625" i="1"/>
  <c r="V625" i="1"/>
  <c r="G625" i="1"/>
  <c r="F625" i="1"/>
  <c r="E625" i="1"/>
  <c r="A625" i="1"/>
  <c r="DM624" i="1"/>
  <c r="DL624" i="1"/>
  <c r="CX624" i="1"/>
  <c r="CV624" i="1"/>
  <c r="CS624" i="1"/>
  <c r="BS624" i="1"/>
  <c r="BA624" i="1"/>
  <c r="AI624" i="1"/>
  <c r="AB624" i="1"/>
  <c r="W624" i="1"/>
  <c r="V624" i="1"/>
  <c r="G624" i="1"/>
  <c r="F624" i="1"/>
  <c r="E624" i="1"/>
  <c r="A624" i="1"/>
  <c r="CX623" i="1"/>
  <c r="CV623" i="1"/>
  <c r="CS623" i="1"/>
  <c r="BS623" i="1"/>
  <c r="BA623" i="1"/>
  <c r="AI623" i="1"/>
  <c r="AB623" i="1"/>
  <c r="G623" i="1"/>
  <c r="F623" i="1"/>
  <c r="E623" i="1"/>
  <c r="A623" i="1"/>
  <c r="CX622" i="1"/>
  <c r="CV622" i="1"/>
  <c r="CS622" i="1"/>
  <c r="BS622" i="1"/>
  <c r="BA622" i="1"/>
  <c r="AI622" i="1"/>
  <c r="AB622" i="1"/>
  <c r="G622" i="1"/>
  <c r="F622" i="1"/>
  <c r="E622" i="1"/>
  <c r="A622" i="1"/>
  <c r="CX621" i="1"/>
  <c r="CV621" i="1"/>
  <c r="CS621" i="1"/>
  <c r="BS621" i="1"/>
  <c r="BA621" i="1"/>
  <c r="AI621" i="1"/>
  <c r="AB621" i="1"/>
  <c r="G621" i="1"/>
  <c r="F621" i="1"/>
  <c r="E621" i="1"/>
  <c r="A621" i="1"/>
  <c r="DM620" i="1"/>
  <c r="DL620" i="1"/>
  <c r="CX620" i="1"/>
  <c r="CV620" i="1"/>
  <c r="CS620" i="1"/>
  <c r="BS620" i="1"/>
  <c r="BA620" i="1"/>
  <c r="AI620" i="1"/>
  <c r="AB620" i="1"/>
  <c r="W620" i="1"/>
  <c r="V620" i="1"/>
  <c r="G620" i="1"/>
  <c r="F620" i="1"/>
  <c r="E620" i="1"/>
  <c r="A620" i="1"/>
  <c r="CX619" i="1"/>
  <c r="CV619" i="1"/>
  <c r="CS619" i="1"/>
  <c r="BS619" i="1"/>
  <c r="BA619" i="1"/>
  <c r="AI619" i="1"/>
  <c r="AB619" i="1"/>
  <c r="G619" i="1"/>
  <c r="F619" i="1"/>
  <c r="E619" i="1"/>
  <c r="A619" i="1"/>
  <c r="DQ618" i="1"/>
  <c r="DP618" i="1"/>
  <c r="DO618" i="1"/>
  <c r="DN618" i="1"/>
  <c r="DM618" i="1"/>
  <c r="DL618" i="1"/>
  <c r="CX618" i="1"/>
  <c r="CV618" i="1"/>
  <c r="CS618" i="1"/>
  <c r="BS618" i="1"/>
  <c r="BA618" i="1"/>
  <c r="AI618" i="1"/>
  <c r="AB618" i="1"/>
  <c r="AA618" i="1"/>
  <c r="Z618" i="1"/>
  <c r="Y618" i="1"/>
  <c r="X618" i="1"/>
  <c r="W618" i="1"/>
  <c r="V618" i="1"/>
  <c r="S618" i="1"/>
  <c r="G618" i="1"/>
  <c r="F618" i="1"/>
  <c r="E618" i="1"/>
  <c r="A618" i="1"/>
  <c r="CX617" i="1"/>
  <c r="CV617" i="1"/>
  <c r="CS617" i="1"/>
  <c r="BS617" i="1"/>
  <c r="BA617" i="1"/>
  <c r="AI617" i="1"/>
  <c r="AB617" i="1"/>
  <c r="G617" i="1"/>
  <c r="F617" i="1"/>
  <c r="E617" i="1"/>
  <c r="A617" i="1"/>
  <c r="CX616" i="1"/>
  <c r="CV616" i="1"/>
  <c r="CS616" i="1"/>
  <c r="BW616" i="1"/>
  <c r="BS616" i="1"/>
  <c r="BA616" i="1"/>
  <c r="AI616" i="1"/>
  <c r="AB616" i="1"/>
  <c r="G616" i="1"/>
  <c r="F616" i="1"/>
  <c r="E616" i="1"/>
  <c r="A616" i="1"/>
  <c r="DQ615" i="1"/>
  <c r="DP615" i="1"/>
  <c r="DO615" i="1"/>
  <c r="DN615" i="1"/>
  <c r="DM615" i="1"/>
  <c r="DL615" i="1"/>
  <c r="CX615" i="1"/>
  <c r="CV615" i="1"/>
  <c r="CS615" i="1"/>
  <c r="BS615" i="1"/>
  <c r="BA615" i="1"/>
  <c r="AI615" i="1"/>
  <c r="AB615" i="1"/>
  <c r="AA615" i="1"/>
  <c r="Z615" i="1"/>
  <c r="Y615" i="1"/>
  <c r="X615" i="1"/>
  <c r="W615" i="1"/>
  <c r="V615" i="1"/>
  <c r="G615" i="1"/>
  <c r="F615" i="1"/>
  <c r="E615" i="1"/>
  <c r="A615" i="1"/>
  <c r="CX614" i="1"/>
  <c r="CV614" i="1"/>
  <c r="CS614" i="1"/>
  <c r="BS614" i="1"/>
  <c r="BA614" i="1"/>
  <c r="AI614" i="1"/>
  <c r="AB614" i="1"/>
  <c r="G614" i="1"/>
  <c r="F614" i="1"/>
  <c r="E614" i="1"/>
  <c r="A614" i="1"/>
  <c r="EG613" i="1"/>
  <c r="EF613" i="1"/>
  <c r="EE613" i="1"/>
  <c r="ED613" i="1"/>
  <c r="EC613" i="1"/>
  <c r="EB613" i="1"/>
  <c r="EA613" i="1"/>
  <c r="DZ613" i="1"/>
  <c r="DY613" i="1"/>
  <c r="DX613" i="1"/>
  <c r="DW613" i="1"/>
  <c r="DV613" i="1"/>
  <c r="DU613" i="1"/>
  <c r="DT613" i="1"/>
  <c r="DS613" i="1"/>
  <c r="DR613" i="1"/>
  <c r="DQ613" i="1"/>
  <c r="DP613" i="1"/>
  <c r="DO613" i="1"/>
  <c r="DN613" i="1"/>
  <c r="DM613" i="1"/>
  <c r="DL613" i="1"/>
  <c r="CX613" i="1"/>
  <c r="CV613" i="1"/>
  <c r="CS613" i="1"/>
  <c r="BS613" i="1"/>
  <c r="BA613" i="1"/>
  <c r="AI613" i="1"/>
  <c r="AB613" i="1"/>
  <c r="AA613" i="1"/>
  <c r="Z613" i="1"/>
  <c r="Y613" i="1"/>
  <c r="X613" i="1"/>
  <c r="W613" i="1"/>
  <c r="V613" i="1"/>
  <c r="S613" i="1"/>
  <c r="G613" i="1"/>
  <c r="F613" i="1"/>
  <c r="E613" i="1"/>
  <c r="A613" i="1"/>
  <c r="CX612" i="1"/>
  <c r="CV612" i="1"/>
  <c r="CS612" i="1"/>
  <c r="BS612" i="1"/>
  <c r="BA612" i="1"/>
  <c r="AI612" i="1"/>
  <c r="AB612" i="1"/>
  <c r="S612" i="1"/>
  <c r="G612" i="1"/>
  <c r="F612" i="1"/>
  <c r="E612" i="1"/>
  <c r="A612" i="1"/>
  <c r="CX611" i="1"/>
  <c r="CV611" i="1"/>
  <c r="CS611" i="1"/>
  <c r="BS611" i="1"/>
  <c r="BA611" i="1"/>
  <c r="AI611" i="1"/>
  <c r="AB611" i="1"/>
  <c r="G611" i="1"/>
  <c r="F611" i="1"/>
  <c r="E611" i="1"/>
  <c r="A611" i="1"/>
  <c r="CX610" i="1"/>
  <c r="CV610" i="1"/>
  <c r="BS610" i="1"/>
  <c r="BA610" i="1"/>
  <c r="AI610" i="1"/>
  <c r="AB610" i="1"/>
  <c r="G610" i="1"/>
  <c r="F610" i="1"/>
  <c r="E610" i="1"/>
  <c r="A610" i="1"/>
  <c r="CX609" i="1"/>
  <c r="CV609" i="1"/>
  <c r="CS609" i="1"/>
  <c r="BS609" i="1"/>
  <c r="BA609" i="1"/>
  <c r="AI609" i="1"/>
  <c r="AB609" i="1"/>
  <c r="G609" i="1"/>
  <c r="F609" i="1"/>
  <c r="E609" i="1"/>
  <c r="A609" i="1"/>
  <c r="CX608" i="1"/>
  <c r="CV608" i="1"/>
  <c r="CS608" i="1"/>
  <c r="BS608" i="1"/>
  <c r="BA608" i="1"/>
  <c r="AI608" i="1"/>
  <c r="AB608" i="1"/>
  <c r="G608" i="1"/>
  <c r="F608" i="1"/>
  <c r="E608" i="1"/>
  <c r="A608" i="1"/>
  <c r="CX607" i="1"/>
  <c r="CV607" i="1"/>
  <c r="CS607" i="1"/>
  <c r="BS607" i="1"/>
  <c r="BA607" i="1"/>
  <c r="AI607" i="1"/>
  <c r="AB607" i="1"/>
  <c r="S607" i="1"/>
  <c r="G607" i="1"/>
  <c r="F607" i="1"/>
  <c r="E607" i="1"/>
  <c r="A607" i="1"/>
  <c r="CX606" i="1"/>
  <c r="CV606" i="1"/>
  <c r="CS606" i="1"/>
  <c r="BS606" i="1"/>
  <c r="BA606" i="1"/>
  <c r="AI606" i="1"/>
  <c r="AB606" i="1"/>
  <c r="G606" i="1"/>
  <c r="F606" i="1"/>
  <c r="E606" i="1"/>
  <c r="A606" i="1"/>
  <c r="CX605" i="1"/>
  <c r="CV605" i="1"/>
  <c r="CS605" i="1"/>
  <c r="BS605" i="1"/>
  <c r="BA605" i="1"/>
  <c r="AI605" i="1"/>
  <c r="AB605" i="1"/>
  <c r="G605" i="1"/>
  <c r="F605" i="1"/>
  <c r="E605" i="1"/>
  <c r="A605" i="1"/>
  <c r="CX604" i="1"/>
  <c r="CV604" i="1"/>
  <c r="CS604" i="1"/>
  <c r="BS604" i="1"/>
  <c r="BA604" i="1"/>
  <c r="AI604" i="1"/>
  <c r="AB604" i="1"/>
  <c r="G604" i="1"/>
  <c r="F604" i="1"/>
  <c r="E604" i="1"/>
  <c r="A604" i="1"/>
  <c r="DU603" i="1"/>
  <c r="DT603" i="1"/>
  <c r="DS603" i="1"/>
  <c r="DR603" i="1"/>
  <c r="DQ603" i="1"/>
  <c r="DP603" i="1"/>
  <c r="DO603" i="1"/>
  <c r="DN603" i="1"/>
  <c r="DM603" i="1"/>
  <c r="DL603" i="1"/>
  <c r="CX603" i="1"/>
  <c r="CV603" i="1"/>
  <c r="CS603" i="1"/>
  <c r="BS603" i="1"/>
  <c r="BA603" i="1"/>
  <c r="AI603" i="1"/>
  <c r="AB603" i="1"/>
  <c r="AA603" i="1"/>
  <c r="Z603" i="1"/>
  <c r="Y603" i="1"/>
  <c r="X603" i="1"/>
  <c r="W603" i="1"/>
  <c r="V603" i="1"/>
  <c r="G603" i="1"/>
  <c r="F603" i="1"/>
  <c r="E603" i="1"/>
  <c r="A603" i="1"/>
  <c r="CX602" i="1"/>
  <c r="CV602" i="1"/>
  <c r="CS602" i="1"/>
  <c r="BS602" i="1"/>
  <c r="BA602" i="1"/>
  <c r="AI602" i="1"/>
  <c r="AB602" i="1"/>
  <c r="G602" i="1"/>
  <c r="F602" i="1"/>
  <c r="E602" i="1"/>
  <c r="A602" i="1"/>
  <c r="DW601" i="1"/>
  <c r="DV601" i="1"/>
  <c r="DU601" i="1"/>
  <c r="DT601" i="1"/>
  <c r="DS601" i="1"/>
  <c r="DR601" i="1"/>
  <c r="DQ601" i="1"/>
  <c r="DP601" i="1"/>
  <c r="DO601" i="1"/>
  <c r="DN601" i="1"/>
  <c r="DM601" i="1"/>
  <c r="DL601" i="1"/>
  <c r="CX601" i="1"/>
  <c r="CV601" i="1"/>
  <c r="CS601" i="1"/>
  <c r="BS601" i="1"/>
  <c r="BA601" i="1"/>
  <c r="AI601" i="1"/>
  <c r="AB601" i="1"/>
  <c r="AA601" i="1"/>
  <c r="Z601" i="1"/>
  <c r="Y601" i="1"/>
  <c r="X601" i="1"/>
  <c r="W601" i="1"/>
  <c r="V601" i="1"/>
  <c r="G601" i="1"/>
  <c r="F601" i="1"/>
  <c r="E601" i="1"/>
  <c r="A601" i="1"/>
  <c r="CX600" i="1"/>
  <c r="CV600" i="1"/>
  <c r="CS600" i="1"/>
  <c r="BS600" i="1"/>
  <c r="BA600" i="1"/>
  <c r="AI600" i="1"/>
  <c r="AB600" i="1"/>
  <c r="G600" i="1"/>
  <c r="F600" i="1"/>
  <c r="E600" i="1"/>
  <c r="A600" i="1"/>
  <c r="CX599" i="1"/>
  <c r="CV599" i="1"/>
  <c r="CS599" i="1"/>
  <c r="BS599" i="1"/>
  <c r="BA599" i="1"/>
  <c r="AI599" i="1"/>
  <c r="AB599" i="1"/>
  <c r="G599" i="1"/>
  <c r="F599" i="1"/>
  <c r="E599" i="1"/>
  <c r="A599" i="1"/>
  <c r="DY598" i="1"/>
  <c r="DX598" i="1"/>
  <c r="DW598" i="1"/>
  <c r="DV598" i="1"/>
  <c r="DU598" i="1"/>
  <c r="DT598" i="1"/>
  <c r="DS598" i="1"/>
  <c r="DR598" i="1"/>
  <c r="DQ598" i="1"/>
  <c r="DP598" i="1"/>
  <c r="DO598" i="1"/>
  <c r="DN598" i="1"/>
  <c r="DM598" i="1"/>
  <c r="DL598" i="1"/>
  <c r="CX598" i="1"/>
  <c r="CV598" i="1"/>
  <c r="CS598" i="1"/>
  <c r="BS598" i="1"/>
  <c r="BA598" i="1"/>
  <c r="AI598" i="1"/>
  <c r="AB598" i="1"/>
  <c r="AA598" i="1"/>
  <c r="Z598" i="1"/>
  <c r="Y598" i="1"/>
  <c r="X598" i="1"/>
  <c r="W598" i="1"/>
  <c r="V598" i="1"/>
  <c r="G598" i="1"/>
  <c r="F598" i="1"/>
  <c r="E598" i="1"/>
  <c r="A598" i="1"/>
  <c r="CX597" i="1"/>
  <c r="CV597" i="1"/>
  <c r="CS597" i="1"/>
  <c r="BS597" i="1"/>
  <c r="BA597" i="1"/>
  <c r="AI597" i="1"/>
  <c r="AB597" i="1"/>
  <c r="G597" i="1"/>
  <c r="F597" i="1"/>
  <c r="E597" i="1"/>
  <c r="A597" i="1"/>
  <c r="DW596" i="1"/>
  <c r="DV596" i="1"/>
  <c r="DU596" i="1"/>
  <c r="DT596" i="1"/>
  <c r="DS596" i="1"/>
  <c r="DR596" i="1"/>
  <c r="DQ596" i="1"/>
  <c r="DP596" i="1"/>
  <c r="DO596" i="1"/>
  <c r="DN596" i="1"/>
  <c r="DM596" i="1"/>
  <c r="DL596" i="1"/>
  <c r="CX596" i="1"/>
  <c r="CV596" i="1"/>
  <c r="CS596" i="1"/>
  <c r="BS596" i="1"/>
  <c r="BA596" i="1"/>
  <c r="AI596" i="1"/>
  <c r="AB596" i="1"/>
  <c r="AA596" i="1"/>
  <c r="Z596" i="1"/>
  <c r="Y596" i="1"/>
  <c r="X596" i="1"/>
  <c r="W596" i="1"/>
  <c r="V596" i="1"/>
  <c r="G596" i="1"/>
  <c r="F596" i="1"/>
  <c r="E596" i="1"/>
  <c r="A596" i="1"/>
  <c r="DM595" i="1"/>
  <c r="DL595" i="1"/>
  <c r="CX595" i="1"/>
  <c r="CV595" i="1"/>
  <c r="CS595" i="1"/>
  <c r="BW595" i="1"/>
  <c r="BS595" i="1"/>
  <c r="BA595" i="1"/>
  <c r="AI595" i="1"/>
  <c r="AB595" i="1"/>
  <c r="W595" i="1"/>
  <c r="V595" i="1"/>
  <c r="G595" i="1"/>
  <c r="F595" i="1"/>
  <c r="E595" i="1"/>
  <c r="A595" i="1"/>
  <c r="CX594" i="1"/>
  <c r="CV594" i="1"/>
  <c r="CS594" i="1"/>
  <c r="BS594" i="1"/>
  <c r="BA594" i="1"/>
  <c r="AI594" i="1"/>
  <c r="AB594" i="1"/>
  <c r="G594" i="1"/>
  <c r="F594" i="1"/>
  <c r="E594" i="1"/>
  <c r="A594" i="1"/>
  <c r="CX593" i="1"/>
  <c r="CV593" i="1"/>
  <c r="CS593" i="1"/>
  <c r="BS593" i="1"/>
  <c r="BA593" i="1"/>
  <c r="AI593" i="1"/>
  <c r="AB593" i="1"/>
  <c r="G593" i="1"/>
  <c r="F593" i="1"/>
  <c r="E593" i="1"/>
  <c r="A593" i="1"/>
  <c r="DM592" i="1"/>
  <c r="DL592" i="1"/>
  <c r="CX592" i="1"/>
  <c r="CV592" i="1"/>
  <c r="CS592" i="1"/>
  <c r="BS592" i="1"/>
  <c r="BA592" i="1"/>
  <c r="AI592" i="1"/>
  <c r="AB592" i="1"/>
  <c r="W592" i="1"/>
  <c r="V592" i="1"/>
  <c r="G592" i="1"/>
  <c r="F592" i="1"/>
  <c r="E592" i="1"/>
  <c r="A592" i="1"/>
  <c r="CX591" i="1"/>
  <c r="CV591" i="1"/>
  <c r="CS591" i="1"/>
  <c r="BS591" i="1"/>
  <c r="BA591" i="1"/>
  <c r="AI591" i="1"/>
  <c r="AB591" i="1"/>
  <c r="G591" i="1"/>
  <c r="F591" i="1"/>
  <c r="E591" i="1"/>
  <c r="A591" i="1"/>
  <c r="CX590" i="1"/>
  <c r="CV590" i="1"/>
  <c r="CS590" i="1"/>
  <c r="BS590" i="1"/>
  <c r="BA590" i="1"/>
  <c r="AI590" i="1"/>
  <c r="AB590" i="1"/>
  <c r="G590" i="1"/>
  <c r="F590" i="1"/>
  <c r="E590" i="1"/>
  <c r="A590" i="1"/>
  <c r="CX589" i="1"/>
  <c r="CV589" i="1"/>
  <c r="CS589" i="1"/>
  <c r="BS589" i="1"/>
  <c r="BA589" i="1"/>
  <c r="AI589" i="1"/>
  <c r="AB589" i="1"/>
  <c r="G589" i="1"/>
  <c r="F589" i="1"/>
  <c r="E589" i="1"/>
  <c r="A589" i="1"/>
  <c r="CX588" i="1"/>
  <c r="CV588" i="1"/>
  <c r="CS588" i="1"/>
  <c r="BS588" i="1"/>
  <c r="BA588" i="1"/>
  <c r="AI588" i="1"/>
  <c r="AB588" i="1"/>
  <c r="G588" i="1"/>
  <c r="F588" i="1"/>
  <c r="E588" i="1"/>
  <c r="A588" i="1"/>
  <c r="EG587" i="1"/>
  <c r="EF587" i="1"/>
  <c r="EE587" i="1"/>
  <c r="ED587" i="1"/>
  <c r="EC587" i="1"/>
  <c r="EB587" i="1"/>
  <c r="EA587" i="1"/>
  <c r="DZ587" i="1"/>
  <c r="DY587" i="1"/>
  <c r="DX587" i="1"/>
  <c r="DW587" i="1"/>
  <c r="DV587" i="1"/>
  <c r="DU587" i="1"/>
  <c r="DT587" i="1"/>
  <c r="DS587" i="1"/>
  <c r="DR587" i="1"/>
  <c r="DQ587" i="1"/>
  <c r="DP587" i="1"/>
  <c r="DO587" i="1"/>
  <c r="DN587" i="1"/>
  <c r="DM587" i="1"/>
  <c r="DL587" i="1"/>
  <c r="CX587" i="1"/>
  <c r="CV587" i="1"/>
  <c r="CS587" i="1"/>
  <c r="BS587" i="1"/>
  <c r="BA587" i="1"/>
  <c r="AI587" i="1"/>
  <c r="AB587" i="1"/>
  <c r="AA587" i="1"/>
  <c r="Z587" i="1"/>
  <c r="Y587" i="1"/>
  <c r="X587" i="1"/>
  <c r="W587" i="1"/>
  <c r="V587" i="1"/>
  <c r="S587" i="1"/>
  <c r="G587" i="1"/>
  <c r="F587" i="1"/>
  <c r="E587" i="1"/>
  <c r="A587" i="1"/>
  <c r="EG586" i="1"/>
  <c r="EF586" i="1"/>
  <c r="EE586" i="1"/>
  <c r="ED586" i="1"/>
  <c r="EC586" i="1"/>
  <c r="EB586" i="1"/>
  <c r="EA586" i="1"/>
  <c r="DZ586" i="1"/>
  <c r="DY586" i="1"/>
  <c r="DX586" i="1"/>
  <c r="DW586" i="1"/>
  <c r="DV586" i="1"/>
  <c r="DU586" i="1"/>
  <c r="DT586" i="1"/>
  <c r="DS586" i="1"/>
  <c r="DR586" i="1"/>
  <c r="DQ586" i="1"/>
  <c r="DP586" i="1"/>
  <c r="DO586" i="1"/>
  <c r="DN586" i="1"/>
  <c r="DM586" i="1"/>
  <c r="DL586" i="1"/>
  <c r="CX586" i="1"/>
  <c r="CV586" i="1"/>
  <c r="CS586" i="1"/>
  <c r="BS586" i="1"/>
  <c r="BA586" i="1"/>
  <c r="AI586" i="1"/>
  <c r="AB586" i="1"/>
  <c r="AA586" i="1"/>
  <c r="Z586" i="1"/>
  <c r="Y586" i="1"/>
  <c r="X586" i="1"/>
  <c r="W586" i="1"/>
  <c r="V586" i="1"/>
  <c r="S586" i="1"/>
  <c r="G586" i="1"/>
  <c r="F586" i="1"/>
  <c r="E586" i="1"/>
  <c r="A586" i="1"/>
  <c r="CX585" i="1"/>
  <c r="CV585" i="1"/>
  <c r="CS585" i="1"/>
  <c r="BS585" i="1"/>
  <c r="BA585" i="1"/>
  <c r="AI585" i="1"/>
  <c r="AB585" i="1"/>
  <c r="G585" i="1"/>
  <c r="F585" i="1"/>
  <c r="E585" i="1"/>
  <c r="A585" i="1"/>
  <c r="CX584" i="1"/>
  <c r="CV584" i="1"/>
  <c r="CS584" i="1"/>
  <c r="BS584" i="1"/>
  <c r="BA584" i="1"/>
  <c r="AI584" i="1"/>
  <c r="AB584" i="1"/>
  <c r="G584" i="1"/>
  <c r="F584" i="1"/>
  <c r="E584" i="1"/>
  <c r="A584" i="1"/>
  <c r="CX583" i="1"/>
  <c r="CV583" i="1"/>
  <c r="CS583" i="1"/>
  <c r="BS583" i="1"/>
  <c r="BA583" i="1"/>
  <c r="AI583" i="1"/>
  <c r="AB583" i="1"/>
  <c r="G583" i="1"/>
  <c r="F583" i="1"/>
  <c r="E583" i="1"/>
  <c r="A583" i="1"/>
  <c r="EE582" i="1"/>
  <c r="ED582" i="1"/>
  <c r="EC582" i="1"/>
  <c r="EB582" i="1"/>
  <c r="EA582" i="1"/>
  <c r="DZ582" i="1"/>
  <c r="DY582" i="1"/>
  <c r="DX582" i="1"/>
  <c r="DW582" i="1"/>
  <c r="DV582" i="1"/>
  <c r="DU582" i="1"/>
  <c r="DT582" i="1"/>
  <c r="DS582" i="1"/>
  <c r="DR582" i="1"/>
  <c r="DQ582" i="1"/>
  <c r="DP582" i="1"/>
  <c r="DO582" i="1"/>
  <c r="DN582" i="1"/>
  <c r="DM582" i="1"/>
  <c r="DL582" i="1"/>
  <c r="CX582" i="1"/>
  <c r="CV582" i="1"/>
  <c r="CS582" i="1"/>
  <c r="BS582" i="1"/>
  <c r="BA582" i="1"/>
  <c r="AI582" i="1"/>
  <c r="AB582" i="1"/>
  <c r="AA582" i="1"/>
  <c r="Z582" i="1"/>
  <c r="Y582" i="1"/>
  <c r="X582" i="1"/>
  <c r="W582" i="1"/>
  <c r="V582" i="1"/>
  <c r="G582" i="1"/>
  <c r="F582" i="1"/>
  <c r="E582" i="1"/>
  <c r="A582" i="1"/>
  <c r="CX581" i="1"/>
  <c r="CV581" i="1"/>
  <c r="CS581" i="1"/>
  <c r="BS581" i="1"/>
  <c r="BA581" i="1"/>
  <c r="AI581" i="1"/>
  <c r="AB581" i="1"/>
  <c r="G581" i="1"/>
  <c r="F581" i="1"/>
  <c r="E581" i="1"/>
  <c r="A581" i="1"/>
  <c r="DQ580" i="1"/>
  <c r="DP580" i="1"/>
  <c r="DO580" i="1"/>
  <c r="DN580" i="1"/>
  <c r="DM580" i="1"/>
  <c r="DL580" i="1"/>
  <c r="CX580" i="1"/>
  <c r="CV580" i="1"/>
  <c r="CS580" i="1"/>
  <c r="BS580" i="1"/>
  <c r="BA580" i="1"/>
  <c r="AI580" i="1"/>
  <c r="AB580" i="1"/>
  <c r="AA580" i="1"/>
  <c r="Z580" i="1"/>
  <c r="Y580" i="1"/>
  <c r="X580" i="1"/>
  <c r="W580" i="1"/>
  <c r="V580" i="1"/>
  <c r="G580" i="1"/>
  <c r="F580" i="1"/>
  <c r="E580" i="1"/>
  <c r="A580" i="1"/>
  <c r="CX579" i="1"/>
  <c r="CV579" i="1"/>
  <c r="CS579" i="1"/>
  <c r="BS579" i="1"/>
  <c r="BA579" i="1"/>
  <c r="AI579" i="1"/>
  <c r="AB579" i="1"/>
  <c r="S579" i="1"/>
  <c r="G579" i="1"/>
  <c r="F579" i="1"/>
  <c r="E579" i="1"/>
  <c r="A579" i="1"/>
  <c r="CX578" i="1"/>
  <c r="CV578" i="1"/>
  <c r="CS578" i="1"/>
  <c r="BS578" i="1"/>
  <c r="BA578" i="1"/>
  <c r="AI578" i="1"/>
  <c r="AB578" i="1"/>
  <c r="G578" i="1"/>
  <c r="F578" i="1"/>
  <c r="E578" i="1"/>
  <c r="A578" i="1"/>
  <c r="CX577" i="1"/>
  <c r="CV577" i="1"/>
  <c r="CS577" i="1"/>
  <c r="BS577" i="1"/>
  <c r="BA577" i="1"/>
  <c r="AI577" i="1"/>
  <c r="AB577" i="1"/>
  <c r="G577" i="1"/>
  <c r="F577" i="1"/>
  <c r="E577" i="1"/>
  <c r="A577" i="1"/>
  <c r="CX576" i="1"/>
  <c r="CV576" i="1"/>
  <c r="CS576" i="1"/>
  <c r="BS576" i="1"/>
  <c r="BA576" i="1"/>
  <c r="AI576" i="1"/>
  <c r="AB576" i="1"/>
  <c r="G576" i="1"/>
  <c r="F576" i="1"/>
  <c r="E576" i="1"/>
  <c r="A576" i="1"/>
  <c r="CX575" i="1"/>
  <c r="CV575" i="1"/>
  <c r="CS575" i="1"/>
  <c r="BS575" i="1"/>
  <c r="BA575" i="1"/>
  <c r="AI575" i="1"/>
  <c r="AB575" i="1"/>
  <c r="G575" i="1"/>
  <c r="F575" i="1"/>
  <c r="E575" i="1"/>
  <c r="A575" i="1"/>
  <c r="CX574" i="1"/>
  <c r="CV574" i="1"/>
  <c r="CS574" i="1"/>
  <c r="BS574" i="1"/>
  <c r="BA574" i="1"/>
  <c r="AI574" i="1"/>
  <c r="AB574" i="1"/>
  <c r="G574" i="1"/>
  <c r="F574" i="1"/>
  <c r="E574" i="1"/>
  <c r="A574" i="1"/>
  <c r="CX573" i="1"/>
  <c r="CV573" i="1"/>
  <c r="CS573" i="1"/>
  <c r="BS573" i="1"/>
  <c r="BA573" i="1"/>
  <c r="AI573" i="1"/>
  <c r="AB573" i="1"/>
  <c r="G573" i="1"/>
  <c r="F573" i="1"/>
  <c r="E573" i="1"/>
  <c r="A573" i="1"/>
  <c r="CX572" i="1"/>
  <c r="CV572" i="1"/>
  <c r="CS572" i="1"/>
  <c r="BS572" i="1"/>
  <c r="BA572" i="1"/>
  <c r="AI572" i="1"/>
  <c r="AB572" i="1"/>
  <c r="S572" i="1"/>
  <c r="G572" i="1"/>
  <c r="F572" i="1"/>
  <c r="E572" i="1"/>
  <c r="A572" i="1"/>
  <c r="CX571" i="1"/>
  <c r="CV571" i="1"/>
  <c r="CS571" i="1"/>
  <c r="BS571" i="1"/>
  <c r="BA571" i="1"/>
  <c r="AI571" i="1"/>
  <c r="AB571" i="1"/>
  <c r="G571" i="1"/>
  <c r="F571" i="1"/>
  <c r="E571" i="1"/>
  <c r="A571" i="1"/>
  <c r="CX570" i="1"/>
  <c r="CV570" i="1"/>
  <c r="CS570" i="1"/>
  <c r="BS570" i="1"/>
  <c r="BA570" i="1"/>
  <c r="AI570" i="1"/>
  <c r="AB570" i="1"/>
  <c r="G570" i="1"/>
  <c r="F570" i="1"/>
  <c r="E570" i="1"/>
  <c r="A570" i="1"/>
  <c r="CX569" i="1"/>
  <c r="CV569" i="1"/>
  <c r="CS569" i="1"/>
  <c r="BS569" i="1"/>
  <c r="BA569" i="1"/>
  <c r="AI569" i="1"/>
  <c r="AB569" i="1"/>
  <c r="G569" i="1"/>
  <c r="F569" i="1"/>
  <c r="E569" i="1"/>
  <c r="A569" i="1"/>
  <c r="CX568" i="1"/>
  <c r="CV568" i="1"/>
  <c r="CS568" i="1"/>
  <c r="BS568" i="1"/>
  <c r="BA568" i="1"/>
  <c r="AI568" i="1"/>
  <c r="AB568" i="1"/>
  <c r="G568" i="1"/>
  <c r="F568" i="1"/>
  <c r="E568" i="1"/>
  <c r="A568" i="1"/>
  <c r="CX567" i="1"/>
  <c r="CV567" i="1"/>
  <c r="CS567" i="1"/>
  <c r="BS567" i="1"/>
  <c r="BA567" i="1"/>
  <c r="AI567" i="1"/>
  <c r="AB567" i="1"/>
  <c r="G567" i="1"/>
  <c r="F567" i="1"/>
  <c r="E567" i="1"/>
  <c r="A567" i="1"/>
  <c r="CX566" i="1"/>
  <c r="CV566" i="1"/>
  <c r="CS566" i="1"/>
  <c r="BS566" i="1"/>
  <c r="BA566" i="1"/>
  <c r="AI566" i="1"/>
  <c r="AB566" i="1"/>
  <c r="G566" i="1"/>
  <c r="F566" i="1"/>
  <c r="E566" i="1"/>
  <c r="A566" i="1"/>
  <c r="CX565" i="1"/>
  <c r="CV565" i="1"/>
  <c r="CS565" i="1"/>
  <c r="BS565" i="1"/>
  <c r="BA565" i="1"/>
  <c r="AI565" i="1"/>
  <c r="AB565" i="1"/>
  <c r="G565" i="1"/>
  <c r="F565" i="1"/>
  <c r="E565" i="1"/>
  <c r="A565" i="1"/>
  <c r="CX564" i="1"/>
  <c r="CV564" i="1"/>
  <c r="CS564" i="1"/>
  <c r="BS564" i="1"/>
  <c r="BA564" i="1"/>
  <c r="AI564" i="1"/>
  <c r="AB564" i="1"/>
  <c r="G564" i="1"/>
  <c r="F564" i="1"/>
  <c r="E564" i="1"/>
  <c r="A564" i="1"/>
  <c r="CX563" i="1"/>
  <c r="CV563" i="1"/>
  <c r="CS563" i="1"/>
  <c r="BS563" i="1"/>
  <c r="BA563" i="1"/>
  <c r="AI563" i="1"/>
  <c r="AB563" i="1"/>
  <c r="G563" i="1"/>
  <c r="F563" i="1"/>
  <c r="E563" i="1"/>
  <c r="A563" i="1"/>
  <c r="CX562" i="1"/>
  <c r="CV562" i="1"/>
  <c r="CS562" i="1"/>
  <c r="BS562" i="1"/>
  <c r="BA562" i="1"/>
  <c r="AI562" i="1"/>
  <c r="AB562" i="1"/>
  <c r="G562" i="1"/>
  <c r="F562" i="1"/>
  <c r="E562" i="1"/>
  <c r="A562" i="1"/>
  <c r="DS561" i="1"/>
  <c r="DR561" i="1"/>
  <c r="DQ561" i="1"/>
  <c r="DP561" i="1"/>
  <c r="DO561" i="1"/>
  <c r="DN561" i="1"/>
  <c r="DM561" i="1"/>
  <c r="DL561" i="1"/>
  <c r="CX561" i="1"/>
  <c r="CV561" i="1"/>
  <c r="CS561" i="1"/>
  <c r="BS561" i="1"/>
  <c r="BA561" i="1"/>
  <c r="AI561" i="1"/>
  <c r="AB561" i="1"/>
  <c r="AA561" i="1"/>
  <c r="Z561" i="1"/>
  <c r="Y561" i="1"/>
  <c r="X561" i="1"/>
  <c r="W561" i="1"/>
  <c r="V561" i="1"/>
  <c r="S561" i="1"/>
  <c r="G561" i="1"/>
  <c r="F561" i="1"/>
  <c r="E561" i="1"/>
  <c r="A561" i="1"/>
  <c r="CX560" i="1"/>
  <c r="CV560" i="1"/>
  <c r="CS560" i="1"/>
  <c r="BS560" i="1"/>
  <c r="BA560" i="1"/>
  <c r="AI560" i="1"/>
  <c r="AB560" i="1"/>
  <c r="G560" i="1"/>
  <c r="F560" i="1"/>
  <c r="E560" i="1"/>
  <c r="A560" i="1"/>
  <c r="CX559" i="1"/>
  <c r="CV559" i="1"/>
  <c r="CS559" i="1"/>
  <c r="BS559" i="1"/>
  <c r="BA559" i="1"/>
  <c r="AI559" i="1"/>
  <c r="AB559" i="1"/>
  <c r="G559" i="1"/>
  <c r="F559" i="1"/>
  <c r="E559" i="1"/>
  <c r="A559" i="1"/>
  <c r="CX558" i="1"/>
  <c r="CV558" i="1"/>
  <c r="CS558" i="1"/>
  <c r="BS558" i="1"/>
  <c r="BA558" i="1"/>
  <c r="AI558" i="1"/>
  <c r="AB558" i="1"/>
  <c r="G558" i="1"/>
  <c r="F558" i="1"/>
  <c r="E558" i="1"/>
  <c r="A558" i="1"/>
  <c r="DU557" i="1"/>
  <c r="DT557" i="1"/>
  <c r="DS557" i="1"/>
  <c r="DR557" i="1"/>
  <c r="DQ557" i="1"/>
  <c r="DP557" i="1"/>
  <c r="DO557" i="1"/>
  <c r="DN557" i="1"/>
  <c r="DM557" i="1"/>
  <c r="DL557" i="1"/>
  <c r="CX557" i="1"/>
  <c r="CV557" i="1"/>
  <c r="CS557" i="1"/>
  <c r="BS557" i="1"/>
  <c r="BA557" i="1"/>
  <c r="AI557" i="1"/>
  <c r="AB557" i="1"/>
  <c r="AA557" i="1"/>
  <c r="Z557" i="1"/>
  <c r="Y557" i="1"/>
  <c r="X557" i="1"/>
  <c r="W557" i="1"/>
  <c r="V557" i="1"/>
  <c r="S557" i="1"/>
  <c r="G557" i="1"/>
  <c r="F557" i="1"/>
  <c r="E557" i="1"/>
  <c r="A557" i="1"/>
  <c r="DQ556" i="1"/>
  <c r="DP556" i="1"/>
  <c r="DO556" i="1"/>
  <c r="DN556" i="1"/>
  <c r="DM556" i="1"/>
  <c r="DL556" i="1"/>
  <c r="CX556" i="1"/>
  <c r="CV556" i="1"/>
  <c r="CS556" i="1"/>
  <c r="BS556" i="1"/>
  <c r="BA556" i="1"/>
  <c r="AI556" i="1"/>
  <c r="AB556" i="1"/>
  <c r="AA556" i="1"/>
  <c r="Z556" i="1"/>
  <c r="Y556" i="1"/>
  <c r="X556" i="1"/>
  <c r="W556" i="1"/>
  <c r="V556" i="1"/>
  <c r="G556" i="1"/>
  <c r="F556" i="1"/>
  <c r="E556" i="1"/>
  <c r="A556" i="1"/>
  <c r="CX555" i="1"/>
  <c r="CV555" i="1"/>
  <c r="CS555" i="1"/>
  <c r="BS555" i="1"/>
  <c r="BA555" i="1"/>
  <c r="AI555" i="1"/>
  <c r="AB555" i="1"/>
  <c r="G555" i="1"/>
  <c r="F555" i="1"/>
  <c r="E555" i="1"/>
  <c r="A555" i="1"/>
  <c r="DS554" i="1"/>
  <c r="DR554" i="1"/>
  <c r="DQ554" i="1"/>
  <c r="DP554" i="1"/>
  <c r="DO554" i="1"/>
  <c r="DN554" i="1"/>
  <c r="DM554" i="1"/>
  <c r="DL554" i="1"/>
  <c r="CX554" i="1"/>
  <c r="CV554" i="1"/>
  <c r="CS554" i="1"/>
  <c r="BS554" i="1"/>
  <c r="BA554" i="1"/>
  <c r="AI554" i="1"/>
  <c r="AB554" i="1"/>
  <c r="AA554" i="1"/>
  <c r="Z554" i="1"/>
  <c r="Y554" i="1"/>
  <c r="X554" i="1"/>
  <c r="W554" i="1"/>
  <c r="V554" i="1"/>
  <c r="G554" i="1"/>
  <c r="F554" i="1"/>
  <c r="E554" i="1"/>
  <c r="A554" i="1"/>
  <c r="CX553" i="1"/>
  <c r="CV553" i="1"/>
  <c r="CS553" i="1"/>
  <c r="BS553" i="1"/>
  <c r="BA553" i="1"/>
  <c r="AI553" i="1"/>
  <c r="AB553" i="1"/>
  <c r="G553" i="1"/>
  <c r="F553" i="1"/>
  <c r="E553" i="1"/>
  <c r="A553" i="1"/>
  <c r="CX552" i="1"/>
  <c r="CV552" i="1"/>
  <c r="CS552" i="1"/>
  <c r="BS552" i="1"/>
  <c r="BA552" i="1"/>
  <c r="AI552" i="1"/>
  <c r="AB552" i="1"/>
  <c r="G552" i="1"/>
  <c r="F552" i="1"/>
  <c r="E552" i="1"/>
  <c r="A552" i="1"/>
  <c r="CX551" i="1"/>
  <c r="CV551" i="1"/>
  <c r="CS551" i="1"/>
  <c r="BS551" i="1"/>
  <c r="BA551" i="1"/>
  <c r="AI551" i="1"/>
  <c r="AB551" i="1"/>
  <c r="G551" i="1"/>
  <c r="F551" i="1"/>
  <c r="E551" i="1"/>
  <c r="A551" i="1"/>
  <c r="CX550" i="1"/>
  <c r="CV550" i="1"/>
  <c r="CS550" i="1"/>
  <c r="BS550" i="1"/>
  <c r="BA550" i="1"/>
  <c r="AI550" i="1"/>
  <c r="AB550" i="1"/>
  <c r="S550" i="1"/>
  <c r="G550" i="1"/>
  <c r="F550" i="1"/>
  <c r="E550" i="1"/>
  <c r="A550" i="1"/>
  <c r="DO549" i="1"/>
  <c r="DN549" i="1"/>
  <c r="DM549" i="1"/>
  <c r="DL549" i="1"/>
  <c r="CX549" i="1"/>
  <c r="CV549" i="1"/>
  <c r="CS549" i="1"/>
  <c r="BS549" i="1"/>
  <c r="BA549" i="1"/>
  <c r="AI549" i="1"/>
  <c r="AB549" i="1"/>
  <c r="Y549" i="1"/>
  <c r="X549" i="1"/>
  <c r="W549" i="1"/>
  <c r="V549" i="1"/>
  <c r="G549" i="1"/>
  <c r="F549" i="1"/>
  <c r="E549" i="1"/>
  <c r="A549" i="1"/>
  <c r="CX548" i="1"/>
  <c r="CV548" i="1"/>
  <c r="CS548" i="1"/>
  <c r="BS548" i="1"/>
  <c r="BA548" i="1"/>
  <c r="AI548" i="1"/>
  <c r="AB548" i="1"/>
  <c r="G548" i="1"/>
  <c r="F548" i="1"/>
  <c r="E548" i="1"/>
  <c r="A548" i="1"/>
  <c r="CX547" i="1"/>
  <c r="CV547" i="1"/>
  <c r="CS547" i="1"/>
  <c r="BS547" i="1"/>
  <c r="BA547" i="1"/>
  <c r="AI547" i="1"/>
  <c r="AB547" i="1"/>
  <c r="G547" i="1"/>
  <c r="F547" i="1"/>
  <c r="E547" i="1"/>
  <c r="A547" i="1"/>
  <c r="CX546" i="1"/>
  <c r="CV546" i="1"/>
  <c r="CS546" i="1"/>
  <c r="BS546" i="1"/>
  <c r="BA546" i="1"/>
  <c r="AI546" i="1"/>
  <c r="AB546" i="1"/>
  <c r="G546" i="1"/>
  <c r="F546" i="1"/>
  <c r="E546" i="1"/>
  <c r="A546" i="1"/>
  <c r="CX545" i="1"/>
  <c r="CV545" i="1"/>
  <c r="CS545" i="1"/>
  <c r="BS545" i="1"/>
  <c r="BA545" i="1"/>
  <c r="AI545" i="1"/>
  <c r="AB545" i="1"/>
  <c r="S545" i="1"/>
  <c r="G545" i="1"/>
  <c r="F545" i="1"/>
  <c r="E545" i="1"/>
  <c r="A545" i="1"/>
  <c r="CX544" i="1"/>
  <c r="CV544" i="1"/>
  <c r="CS544" i="1"/>
  <c r="BS544" i="1"/>
  <c r="BA544" i="1"/>
  <c r="AI544" i="1"/>
  <c r="AB544" i="1"/>
  <c r="G544" i="1"/>
  <c r="F544" i="1"/>
  <c r="E544" i="1"/>
  <c r="A544" i="1"/>
  <c r="CX543" i="1"/>
  <c r="CV543" i="1"/>
  <c r="CS543" i="1"/>
  <c r="BS543" i="1"/>
  <c r="BA543" i="1"/>
  <c r="AI543" i="1"/>
  <c r="AB543" i="1"/>
  <c r="G543" i="1"/>
  <c r="F543" i="1"/>
  <c r="E543" i="1"/>
  <c r="A543" i="1"/>
  <c r="CX542" i="1"/>
  <c r="CV542" i="1"/>
  <c r="CS542" i="1"/>
  <c r="BS542" i="1"/>
  <c r="BA542" i="1"/>
  <c r="AI542" i="1"/>
  <c r="AB542" i="1"/>
  <c r="G542" i="1"/>
  <c r="F542" i="1"/>
  <c r="E542" i="1"/>
  <c r="A542" i="1"/>
  <c r="DY541" i="1"/>
  <c r="DX541" i="1"/>
  <c r="DW541" i="1"/>
  <c r="DV541" i="1"/>
  <c r="DU541" i="1"/>
  <c r="DT541" i="1"/>
  <c r="DS541" i="1"/>
  <c r="DR541" i="1"/>
  <c r="DQ541" i="1"/>
  <c r="DP541" i="1"/>
  <c r="DO541" i="1"/>
  <c r="DN541" i="1"/>
  <c r="DM541" i="1"/>
  <c r="DL541" i="1"/>
  <c r="CX541" i="1"/>
  <c r="CV541" i="1"/>
  <c r="CS541" i="1"/>
  <c r="BS541" i="1"/>
  <c r="BA541" i="1"/>
  <c r="AI541" i="1"/>
  <c r="AB541" i="1"/>
  <c r="AA541" i="1"/>
  <c r="Z541" i="1"/>
  <c r="Y541" i="1"/>
  <c r="X541" i="1"/>
  <c r="W541" i="1"/>
  <c r="V541" i="1"/>
  <c r="G541" i="1"/>
  <c r="F541" i="1"/>
  <c r="E541" i="1"/>
  <c r="A541" i="1"/>
  <c r="CX540" i="1"/>
  <c r="CV540" i="1"/>
  <c r="CS540" i="1"/>
  <c r="BS540" i="1"/>
  <c r="BA540" i="1"/>
  <c r="AI540" i="1"/>
  <c r="AB540" i="1"/>
  <c r="S540" i="1"/>
  <c r="G540" i="1"/>
  <c r="F540" i="1"/>
  <c r="E540" i="1"/>
  <c r="A540" i="1"/>
  <c r="CX539" i="1"/>
  <c r="CV539" i="1"/>
  <c r="CS539" i="1"/>
  <c r="BS539" i="1"/>
  <c r="BA539" i="1"/>
  <c r="AI539" i="1"/>
  <c r="AB539" i="1"/>
  <c r="G539" i="1"/>
  <c r="F539" i="1"/>
  <c r="E539" i="1"/>
  <c r="A539" i="1"/>
  <c r="CX538" i="1"/>
  <c r="CV538" i="1"/>
  <c r="CS538" i="1"/>
  <c r="BS538" i="1"/>
  <c r="BA538" i="1"/>
  <c r="AI538" i="1"/>
  <c r="AB538" i="1"/>
  <c r="G538" i="1"/>
  <c r="F538" i="1"/>
  <c r="E538" i="1"/>
  <c r="A538" i="1"/>
  <c r="CX537" i="1"/>
  <c r="CV537" i="1"/>
  <c r="CS537" i="1"/>
  <c r="BS537" i="1"/>
  <c r="BA537" i="1"/>
  <c r="AI537" i="1"/>
  <c r="AB537" i="1"/>
  <c r="G537" i="1"/>
  <c r="F537" i="1"/>
  <c r="E537" i="1"/>
  <c r="A537" i="1"/>
  <c r="CX536" i="1"/>
  <c r="CV536" i="1"/>
  <c r="CS536" i="1"/>
  <c r="BS536" i="1"/>
  <c r="BA536" i="1"/>
  <c r="AI536" i="1"/>
  <c r="AB536" i="1"/>
  <c r="G536" i="1"/>
  <c r="F536" i="1"/>
  <c r="E536" i="1"/>
  <c r="A536" i="1"/>
  <c r="CX535" i="1"/>
  <c r="CV535" i="1"/>
  <c r="CS535" i="1"/>
  <c r="BS535" i="1"/>
  <c r="BA535" i="1"/>
  <c r="AI535" i="1"/>
  <c r="AB535" i="1"/>
  <c r="G535" i="1"/>
  <c r="F535" i="1"/>
  <c r="E535" i="1"/>
  <c r="A535" i="1"/>
  <c r="CX534" i="1"/>
  <c r="CV534" i="1"/>
  <c r="CS534" i="1"/>
  <c r="BS534" i="1"/>
  <c r="BA534" i="1"/>
  <c r="AI534" i="1"/>
  <c r="AB534" i="1"/>
  <c r="G534" i="1"/>
  <c r="F534" i="1"/>
  <c r="E534" i="1"/>
  <c r="A534" i="1"/>
  <c r="CX533" i="1"/>
  <c r="CV533" i="1"/>
  <c r="CS533" i="1"/>
  <c r="BS533" i="1"/>
  <c r="BA533" i="1"/>
  <c r="AI533" i="1"/>
  <c r="AB533" i="1"/>
  <c r="G533" i="1"/>
  <c r="F533" i="1"/>
  <c r="E533" i="1"/>
  <c r="A533" i="1"/>
  <c r="CX532" i="1"/>
  <c r="CV532" i="1"/>
  <c r="CS532" i="1"/>
  <c r="BS532" i="1"/>
  <c r="BA532" i="1"/>
  <c r="AI532" i="1"/>
  <c r="AB532" i="1"/>
  <c r="S532" i="1"/>
  <c r="G532" i="1"/>
  <c r="F532" i="1"/>
  <c r="E532" i="1"/>
  <c r="A532" i="1"/>
  <c r="CX531" i="1"/>
  <c r="CV531" i="1"/>
  <c r="CS531" i="1"/>
  <c r="BS531" i="1"/>
  <c r="BA531" i="1"/>
  <c r="AI531" i="1"/>
  <c r="AB531" i="1"/>
  <c r="S531" i="1"/>
  <c r="G531" i="1"/>
  <c r="F531" i="1"/>
  <c r="E531" i="1"/>
  <c r="A531" i="1"/>
  <c r="CX530" i="1"/>
  <c r="CV530" i="1"/>
  <c r="CS530" i="1"/>
  <c r="BS530" i="1"/>
  <c r="BA530" i="1"/>
  <c r="AI530" i="1"/>
  <c r="AB530" i="1"/>
  <c r="G530" i="1"/>
  <c r="F530" i="1"/>
  <c r="E530" i="1"/>
  <c r="A530" i="1"/>
  <c r="CX529" i="1"/>
  <c r="CV529" i="1"/>
  <c r="CS529" i="1"/>
  <c r="BS529" i="1"/>
  <c r="BA529" i="1"/>
  <c r="AI529" i="1"/>
  <c r="AB529" i="1"/>
  <c r="G529" i="1"/>
  <c r="F529" i="1"/>
  <c r="E529" i="1"/>
  <c r="A529" i="1"/>
  <c r="CX528" i="1"/>
  <c r="CV528" i="1"/>
  <c r="CS528" i="1"/>
  <c r="BS528" i="1"/>
  <c r="BA528" i="1"/>
  <c r="AI528" i="1"/>
  <c r="AB528" i="1"/>
  <c r="G528" i="1"/>
  <c r="F528" i="1"/>
  <c r="E528" i="1"/>
  <c r="A528" i="1"/>
  <c r="CX527" i="1"/>
  <c r="CV527" i="1"/>
  <c r="CS527" i="1"/>
  <c r="BW527" i="1"/>
  <c r="BS527" i="1"/>
  <c r="BA527" i="1"/>
  <c r="AI527" i="1"/>
  <c r="AB527" i="1"/>
  <c r="G527" i="1"/>
  <c r="F527" i="1"/>
  <c r="E527" i="1"/>
  <c r="A527" i="1"/>
  <c r="CX526" i="1"/>
  <c r="CV526" i="1"/>
  <c r="CS526" i="1"/>
  <c r="BS526" i="1"/>
  <c r="BA526" i="1"/>
  <c r="AI526" i="1"/>
  <c r="AB526" i="1"/>
  <c r="G526" i="1"/>
  <c r="F526" i="1"/>
  <c r="E526" i="1"/>
  <c r="A526" i="1"/>
  <c r="DS525" i="1"/>
  <c r="DR525" i="1"/>
  <c r="DQ525" i="1"/>
  <c r="DP525" i="1"/>
  <c r="DO525" i="1"/>
  <c r="DN525" i="1"/>
  <c r="DM525" i="1"/>
  <c r="DL525" i="1"/>
  <c r="CX525" i="1"/>
  <c r="CV525" i="1"/>
  <c r="CS525" i="1"/>
  <c r="BS525" i="1"/>
  <c r="BA525" i="1"/>
  <c r="AI525" i="1"/>
  <c r="AB525" i="1"/>
  <c r="AA525" i="1"/>
  <c r="Z525" i="1"/>
  <c r="Y525" i="1"/>
  <c r="X525" i="1"/>
  <c r="W525" i="1"/>
  <c r="V525" i="1"/>
  <c r="G525" i="1"/>
  <c r="F525" i="1"/>
  <c r="E525" i="1"/>
  <c r="A525" i="1"/>
  <c r="DY524" i="1"/>
  <c r="DX524" i="1"/>
  <c r="DW524" i="1"/>
  <c r="DV524" i="1"/>
  <c r="DU524" i="1"/>
  <c r="DT524" i="1"/>
  <c r="DS524" i="1"/>
  <c r="DR524" i="1"/>
  <c r="DQ524" i="1"/>
  <c r="DP524" i="1"/>
  <c r="DO524" i="1"/>
  <c r="DN524" i="1"/>
  <c r="DM524" i="1"/>
  <c r="DL524" i="1"/>
  <c r="CX524" i="1"/>
  <c r="CV524" i="1"/>
  <c r="CS524" i="1"/>
  <c r="BS524" i="1"/>
  <c r="BA524" i="1"/>
  <c r="AI524" i="1"/>
  <c r="AB524" i="1"/>
  <c r="AA524" i="1"/>
  <c r="Z524" i="1"/>
  <c r="Y524" i="1"/>
  <c r="X524" i="1"/>
  <c r="W524" i="1"/>
  <c r="V524" i="1"/>
  <c r="G524" i="1"/>
  <c r="F524" i="1"/>
  <c r="E524" i="1"/>
  <c r="A524" i="1"/>
  <c r="DY523" i="1"/>
  <c r="DX523" i="1"/>
  <c r="DW523" i="1"/>
  <c r="DV523" i="1"/>
  <c r="DU523" i="1"/>
  <c r="DT523" i="1"/>
  <c r="DS523" i="1"/>
  <c r="DR523" i="1"/>
  <c r="DQ523" i="1"/>
  <c r="DP523" i="1"/>
  <c r="DO523" i="1"/>
  <c r="DN523" i="1"/>
  <c r="DM523" i="1"/>
  <c r="DL523" i="1"/>
  <c r="CX523" i="1"/>
  <c r="CV523" i="1"/>
  <c r="CS523" i="1"/>
  <c r="BS523" i="1"/>
  <c r="BA523" i="1"/>
  <c r="AI523" i="1"/>
  <c r="AB523" i="1"/>
  <c r="AA523" i="1"/>
  <c r="Z523" i="1"/>
  <c r="Y523" i="1"/>
  <c r="X523" i="1"/>
  <c r="W523" i="1"/>
  <c r="V523" i="1"/>
  <c r="G523" i="1"/>
  <c r="F523" i="1"/>
  <c r="E523" i="1"/>
  <c r="A523" i="1"/>
  <c r="CX522" i="1"/>
  <c r="CV522" i="1"/>
  <c r="CS522" i="1"/>
  <c r="BS522" i="1"/>
  <c r="BA522" i="1"/>
  <c r="AI522" i="1"/>
  <c r="AB522" i="1"/>
  <c r="G522" i="1"/>
  <c r="F522" i="1"/>
  <c r="E522" i="1"/>
  <c r="A522" i="1"/>
  <c r="CX521" i="1"/>
  <c r="CV521" i="1"/>
  <c r="BS521" i="1"/>
  <c r="AB521" i="1"/>
  <c r="G521" i="1"/>
  <c r="F521" i="1"/>
  <c r="E521" i="1"/>
  <c r="A521" i="1"/>
  <c r="CX520" i="1"/>
  <c r="CV520" i="1"/>
  <c r="CS520" i="1"/>
  <c r="BS520" i="1"/>
  <c r="AB520" i="1"/>
  <c r="G520" i="1"/>
  <c r="F520" i="1"/>
  <c r="E520" i="1"/>
  <c r="A520" i="1"/>
  <c r="CX519" i="1"/>
  <c r="CV519" i="1"/>
  <c r="BS519" i="1"/>
  <c r="AB519" i="1"/>
  <c r="G519" i="1"/>
  <c r="F519" i="1"/>
  <c r="E519" i="1"/>
  <c r="A519" i="1"/>
  <c r="CX518" i="1"/>
  <c r="CV518" i="1"/>
  <c r="BS518" i="1"/>
  <c r="AB518" i="1"/>
  <c r="G518" i="1"/>
  <c r="F518" i="1"/>
  <c r="E518" i="1"/>
  <c r="A518" i="1"/>
  <c r="EA517" i="1"/>
  <c r="DZ517" i="1"/>
  <c r="DY517" i="1"/>
  <c r="DX517" i="1"/>
  <c r="DW517" i="1"/>
  <c r="DV517" i="1"/>
  <c r="DU517" i="1"/>
  <c r="DT517" i="1"/>
  <c r="DS517" i="1"/>
  <c r="DR517" i="1"/>
  <c r="DQ517" i="1"/>
  <c r="DP517" i="1"/>
  <c r="DO517" i="1"/>
  <c r="DN517" i="1"/>
  <c r="DM517" i="1"/>
  <c r="DL517" i="1"/>
  <c r="CX517" i="1"/>
  <c r="CV517" i="1"/>
  <c r="BS517" i="1"/>
  <c r="AB517" i="1"/>
  <c r="AA517" i="1"/>
  <c r="Z517" i="1"/>
  <c r="Y517" i="1"/>
  <c r="X517" i="1"/>
  <c r="W517" i="1"/>
  <c r="V517" i="1"/>
  <c r="G517" i="1"/>
  <c r="F517" i="1"/>
  <c r="E517" i="1"/>
  <c r="A517" i="1"/>
  <c r="CX516" i="1"/>
  <c r="CV516" i="1"/>
  <c r="CS516" i="1"/>
  <c r="BS516" i="1"/>
  <c r="BA516" i="1"/>
  <c r="AB516" i="1"/>
  <c r="G516" i="1"/>
  <c r="F516" i="1"/>
  <c r="E516" i="1"/>
  <c r="A516" i="1"/>
  <c r="CX515" i="1"/>
  <c r="CV515" i="1"/>
  <c r="BS515" i="1"/>
  <c r="AB515" i="1"/>
  <c r="G515" i="1"/>
  <c r="F515" i="1"/>
  <c r="E515" i="1"/>
  <c r="A515" i="1"/>
  <c r="CX514" i="1"/>
  <c r="CV514" i="1"/>
  <c r="CS514" i="1"/>
  <c r="BS514" i="1"/>
  <c r="AB514" i="1"/>
  <c r="G514" i="1"/>
  <c r="F514" i="1"/>
  <c r="E514" i="1"/>
  <c r="A514" i="1"/>
  <c r="CX513" i="1"/>
  <c r="CV513" i="1"/>
  <c r="CS513" i="1"/>
  <c r="BS513" i="1"/>
  <c r="BA513" i="1"/>
  <c r="AB513" i="1"/>
  <c r="G513" i="1"/>
  <c r="F513" i="1"/>
  <c r="E513" i="1"/>
  <c r="A513" i="1"/>
  <c r="DM512" i="1"/>
  <c r="DL512" i="1"/>
  <c r="CX512" i="1"/>
  <c r="CV512" i="1"/>
  <c r="AB512" i="1"/>
  <c r="W512" i="1"/>
  <c r="V512" i="1"/>
  <c r="G512" i="1"/>
  <c r="F512" i="1"/>
  <c r="E512" i="1"/>
  <c r="A512" i="1"/>
  <c r="CX511" i="1"/>
  <c r="CV511" i="1"/>
  <c r="CS511" i="1"/>
  <c r="BS511" i="1"/>
  <c r="BA511" i="1"/>
  <c r="AB511" i="1"/>
  <c r="G511" i="1"/>
  <c r="F511" i="1"/>
  <c r="E511" i="1"/>
  <c r="A511" i="1"/>
  <c r="DO510" i="1"/>
  <c r="DN510" i="1"/>
  <c r="DM510" i="1"/>
  <c r="DL510" i="1"/>
  <c r="CX510" i="1"/>
  <c r="CV510" i="1"/>
  <c r="CS510" i="1"/>
  <c r="BS510" i="1"/>
  <c r="BA510" i="1"/>
  <c r="AB510" i="1"/>
  <c r="Y510" i="1"/>
  <c r="X510" i="1"/>
  <c r="W510" i="1"/>
  <c r="V510" i="1"/>
  <c r="G510" i="1"/>
  <c r="F510" i="1"/>
  <c r="E510" i="1"/>
  <c r="A510" i="1"/>
  <c r="EA509" i="1"/>
  <c r="DZ509" i="1"/>
  <c r="DY509" i="1"/>
  <c r="DX509" i="1"/>
  <c r="DW509" i="1"/>
  <c r="DV509" i="1"/>
  <c r="DU509" i="1"/>
  <c r="DT509" i="1"/>
  <c r="DS509" i="1"/>
  <c r="DR509" i="1"/>
  <c r="DQ509" i="1"/>
  <c r="DP509" i="1"/>
  <c r="DO509" i="1"/>
  <c r="DN509" i="1"/>
  <c r="DM509" i="1"/>
  <c r="DL509" i="1"/>
  <c r="CX509" i="1"/>
  <c r="CV509" i="1"/>
  <c r="BS509" i="1"/>
  <c r="AB509" i="1"/>
  <c r="AA509" i="1"/>
  <c r="Z509" i="1"/>
  <c r="Y509" i="1"/>
  <c r="X509" i="1"/>
  <c r="W509" i="1"/>
  <c r="V509" i="1"/>
  <c r="G509" i="1"/>
  <c r="F509" i="1"/>
  <c r="E509" i="1"/>
  <c r="A509" i="1"/>
  <c r="DY508" i="1"/>
  <c r="DX508" i="1"/>
  <c r="DW508" i="1"/>
  <c r="DV508" i="1"/>
  <c r="DU508" i="1"/>
  <c r="DT508" i="1"/>
  <c r="DS508" i="1"/>
  <c r="DR508" i="1"/>
  <c r="DQ508" i="1"/>
  <c r="DP508" i="1"/>
  <c r="DO508" i="1"/>
  <c r="DN508" i="1"/>
  <c r="DM508" i="1"/>
  <c r="DL508" i="1"/>
  <c r="CX508" i="1"/>
  <c r="CV508" i="1"/>
  <c r="CS508" i="1"/>
  <c r="BS508" i="1"/>
  <c r="BA508" i="1"/>
  <c r="AB508" i="1"/>
  <c r="AA508" i="1"/>
  <c r="Z508" i="1"/>
  <c r="Y508" i="1"/>
  <c r="X508" i="1"/>
  <c r="W508" i="1"/>
  <c r="V508" i="1"/>
  <c r="G508" i="1"/>
  <c r="F508" i="1"/>
  <c r="E508" i="1"/>
  <c r="A508" i="1"/>
  <c r="DO507" i="1"/>
  <c r="DN507" i="1"/>
  <c r="DM507" i="1"/>
  <c r="DL507" i="1"/>
  <c r="CX507" i="1"/>
  <c r="CV507" i="1"/>
  <c r="CS507" i="1"/>
  <c r="BS507" i="1"/>
  <c r="AB507" i="1"/>
  <c r="Y507" i="1"/>
  <c r="X507" i="1"/>
  <c r="W507" i="1"/>
  <c r="V507" i="1"/>
  <c r="G507" i="1"/>
  <c r="F507" i="1"/>
  <c r="E507" i="1"/>
  <c r="A507" i="1"/>
  <c r="CX506" i="1"/>
  <c r="CV506" i="1"/>
  <c r="BS506" i="1"/>
  <c r="AB506" i="1"/>
  <c r="G506" i="1"/>
  <c r="F506" i="1"/>
  <c r="E506" i="1"/>
  <c r="A506" i="1"/>
  <c r="CX505" i="1"/>
  <c r="CV505" i="1"/>
  <c r="CS505" i="1"/>
  <c r="BS505" i="1"/>
  <c r="BA505" i="1"/>
  <c r="AB505" i="1"/>
  <c r="G505" i="1"/>
  <c r="F505" i="1"/>
  <c r="E505" i="1"/>
  <c r="A505" i="1"/>
  <c r="DU504" i="1"/>
  <c r="DT504" i="1"/>
  <c r="DS504" i="1"/>
  <c r="DR504" i="1"/>
  <c r="DQ504" i="1"/>
  <c r="DP504" i="1"/>
  <c r="DO504" i="1"/>
  <c r="DN504" i="1"/>
  <c r="DM504" i="1"/>
  <c r="DL504" i="1"/>
  <c r="CX504" i="1"/>
  <c r="AB504" i="1"/>
  <c r="AA504" i="1"/>
  <c r="Z504" i="1"/>
  <c r="Y504" i="1"/>
  <c r="X504" i="1"/>
  <c r="W504" i="1"/>
  <c r="V504" i="1"/>
  <c r="G504" i="1"/>
  <c r="F504" i="1"/>
  <c r="E504" i="1"/>
  <c r="A504" i="1"/>
  <c r="CX503" i="1"/>
  <c r="CV503" i="1"/>
  <c r="CS503" i="1"/>
  <c r="BS503" i="1"/>
  <c r="BA503" i="1"/>
  <c r="AB503" i="1"/>
  <c r="G503" i="1"/>
  <c r="F503" i="1"/>
  <c r="E503" i="1"/>
  <c r="A503" i="1"/>
  <c r="DS502" i="1"/>
  <c r="DR502" i="1"/>
  <c r="DQ502" i="1"/>
  <c r="DP502" i="1"/>
  <c r="DO502" i="1"/>
  <c r="DN502" i="1"/>
  <c r="DM502" i="1"/>
  <c r="DL502" i="1"/>
  <c r="CX502" i="1"/>
  <c r="CV502" i="1"/>
  <c r="BS502" i="1"/>
  <c r="BA502" i="1"/>
  <c r="AB502" i="1"/>
  <c r="AA502" i="1"/>
  <c r="Z502" i="1"/>
  <c r="Y502" i="1"/>
  <c r="X502" i="1"/>
  <c r="W502" i="1"/>
  <c r="V502" i="1"/>
  <c r="G502" i="1"/>
  <c r="F502" i="1"/>
  <c r="E502" i="1"/>
  <c r="A502" i="1"/>
  <c r="CX501" i="1"/>
  <c r="CV501" i="1"/>
  <c r="AB501" i="1"/>
  <c r="G501" i="1"/>
  <c r="F501" i="1"/>
  <c r="E501" i="1"/>
  <c r="A501" i="1"/>
  <c r="CX500" i="1"/>
  <c r="CV500" i="1"/>
  <c r="CS500" i="1"/>
  <c r="BS500" i="1"/>
  <c r="BA500" i="1"/>
  <c r="AB500" i="1"/>
  <c r="G500" i="1"/>
  <c r="F500" i="1"/>
  <c r="E500" i="1"/>
  <c r="A500" i="1"/>
  <c r="CX499" i="1"/>
  <c r="CV499" i="1"/>
  <c r="CS499" i="1"/>
  <c r="BS499" i="1"/>
  <c r="BA499" i="1"/>
  <c r="AB499" i="1"/>
  <c r="G499" i="1"/>
  <c r="F499" i="1"/>
  <c r="E499" i="1"/>
  <c r="A499" i="1"/>
  <c r="DY498" i="1"/>
  <c r="DX498" i="1"/>
  <c r="DW498" i="1"/>
  <c r="DV498" i="1"/>
  <c r="DU498" i="1"/>
  <c r="DT498" i="1"/>
  <c r="DS498" i="1"/>
  <c r="DR498" i="1"/>
  <c r="DQ498" i="1"/>
  <c r="DP498" i="1"/>
  <c r="DO498" i="1"/>
  <c r="DN498" i="1"/>
  <c r="DM498" i="1"/>
  <c r="DL498" i="1"/>
  <c r="CX498" i="1"/>
  <c r="CV498" i="1"/>
  <c r="BS498" i="1"/>
  <c r="AB498" i="1"/>
  <c r="AA498" i="1"/>
  <c r="Z498" i="1"/>
  <c r="Y498" i="1"/>
  <c r="X498" i="1"/>
  <c r="W498" i="1"/>
  <c r="V498" i="1"/>
  <c r="G498" i="1"/>
  <c r="F498" i="1"/>
  <c r="E498" i="1"/>
  <c r="A498" i="1"/>
  <c r="CX497" i="1"/>
  <c r="CV497" i="1"/>
  <c r="CS497" i="1"/>
  <c r="BS497" i="1"/>
  <c r="BA497" i="1"/>
  <c r="AB497" i="1"/>
  <c r="G497" i="1"/>
  <c r="F497" i="1"/>
  <c r="E497" i="1"/>
  <c r="A497" i="1"/>
  <c r="CX496" i="1"/>
  <c r="CV496" i="1"/>
  <c r="CS496" i="1"/>
  <c r="BS496" i="1"/>
  <c r="BA496" i="1"/>
  <c r="AB496" i="1"/>
  <c r="G496" i="1"/>
  <c r="F496" i="1"/>
  <c r="E496" i="1"/>
  <c r="A496" i="1"/>
  <c r="CX495" i="1"/>
  <c r="CV495" i="1"/>
  <c r="CS495" i="1"/>
  <c r="BS495" i="1"/>
  <c r="BA495" i="1"/>
  <c r="AB495" i="1"/>
  <c r="G495" i="1"/>
  <c r="F495" i="1"/>
  <c r="E495" i="1"/>
  <c r="A495" i="1"/>
  <c r="DO494" i="1"/>
  <c r="DN494" i="1"/>
  <c r="DM494" i="1"/>
  <c r="DL494" i="1"/>
  <c r="CX494" i="1"/>
  <c r="CV494" i="1"/>
  <c r="BS494" i="1"/>
  <c r="AB494" i="1"/>
  <c r="Y494" i="1"/>
  <c r="X494" i="1"/>
  <c r="W494" i="1"/>
  <c r="V494" i="1"/>
  <c r="G494" i="1"/>
  <c r="F494" i="1"/>
  <c r="E494" i="1"/>
  <c r="A494" i="1"/>
  <c r="DQ493" i="1"/>
  <c r="DP493" i="1"/>
  <c r="DO493" i="1"/>
  <c r="DN493" i="1"/>
  <c r="DM493" i="1"/>
  <c r="DL493" i="1"/>
  <c r="CX493" i="1"/>
  <c r="AB493" i="1"/>
  <c r="AA493" i="1"/>
  <c r="Z493" i="1"/>
  <c r="Y493" i="1"/>
  <c r="X493" i="1"/>
  <c r="W493" i="1"/>
  <c r="V493" i="1"/>
  <c r="G493" i="1"/>
  <c r="F493" i="1"/>
  <c r="E493" i="1"/>
  <c r="A493" i="1"/>
  <c r="CX492" i="1"/>
  <c r="CV492" i="1"/>
  <c r="CS492" i="1"/>
  <c r="BS492" i="1"/>
  <c r="BA492" i="1"/>
  <c r="AB492" i="1"/>
  <c r="G492" i="1"/>
  <c r="F492" i="1"/>
  <c r="E492" i="1"/>
  <c r="A492" i="1"/>
  <c r="DU491" i="1"/>
  <c r="DT491" i="1"/>
  <c r="DS491" i="1"/>
  <c r="DR491" i="1"/>
  <c r="DQ491" i="1"/>
  <c r="DP491" i="1"/>
  <c r="DO491" i="1"/>
  <c r="DN491" i="1"/>
  <c r="DM491" i="1"/>
  <c r="DL491" i="1"/>
  <c r="CX491" i="1"/>
  <c r="CV491" i="1"/>
  <c r="BS491" i="1"/>
  <c r="AB491" i="1"/>
  <c r="AA491" i="1"/>
  <c r="Z491" i="1"/>
  <c r="Y491" i="1"/>
  <c r="X491" i="1"/>
  <c r="W491" i="1"/>
  <c r="V491" i="1"/>
  <c r="G491" i="1"/>
  <c r="F491" i="1"/>
  <c r="E491" i="1"/>
  <c r="A491" i="1"/>
  <c r="CX490" i="1"/>
  <c r="BS490" i="1"/>
  <c r="AB490" i="1"/>
  <c r="G490" i="1"/>
  <c r="F490" i="1"/>
  <c r="E490" i="1"/>
  <c r="A490" i="1"/>
  <c r="CX489" i="1"/>
  <c r="CV489" i="1"/>
  <c r="CS489" i="1"/>
  <c r="BS489" i="1"/>
  <c r="AB489" i="1"/>
  <c r="G489" i="1"/>
  <c r="F489" i="1"/>
  <c r="E489" i="1"/>
  <c r="A489" i="1"/>
  <c r="CX488" i="1"/>
  <c r="CV488" i="1"/>
  <c r="AB488" i="1"/>
  <c r="G488" i="1"/>
  <c r="F488" i="1"/>
  <c r="E488" i="1"/>
  <c r="A488" i="1"/>
  <c r="CX487" i="1"/>
  <c r="CV487" i="1"/>
  <c r="CS487" i="1"/>
  <c r="AB487" i="1"/>
  <c r="G487" i="1"/>
  <c r="F487" i="1"/>
  <c r="E487" i="1"/>
  <c r="A487" i="1"/>
  <c r="DO486" i="1"/>
  <c r="DN486" i="1"/>
  <c r="DM486" i="1"/>
  <c r="DL486" i="1"/>
  <c r="CX486" i="1"/>
  <c r="CV486" i="1"/>
  <c r="CS486" i="1"/>
  <c r="BS486" i="1"/>
  <c r="BA486" i="1"/>
  <c r="AB486" i="1"/>
  <c r="Y486" i="1"/>
  <c r="X486" i="1"/>
  <c r="W486" i="1"/>
  <c r="V486" i="1"/>
  <c r="G486" i="1"/>
  <c r="F486" i="1"/>
  <c r="E486" i="1"/>
  <c r="A486" i="1"/>
  <c r="CX485" i="1"/>
  <c r="CS485" i="1"/>
  <c r="AB485" i="1"/>
  <c r="G485" i="1"/>
  <c r="F485" i="1"/>
  <c r="E485" i="1"/>
  <c r="A485" i="1"/>
  <c r="CX484" i="1"/>
  <c r="CV484" i="1"/>
  <c r="CS484" i="1"/>
  <c r="BS484" i="1"/>
  <c r="BA484" i="1"/>
  <c r="AB484" i="1"/>
  <c r="G484" i="1"/>
  <c r="F484" i="1"/>
  <c r="E484" i="1"/>
  <c r="A484" i="1"/>
  <c r="DM483" i="1"/>
  <c r="DL483" i="1"/>
  <c r="CX483" i="1"/>
  <c r="CV483" i="1"/>
  <c r="CS483" i="1"/>
  <c r="BS483" i="1"/>
  <c r="AB483" i="1"/>
  <c r="W483" i="1"/>
  <c r="V483" i="1"/>
  <c r="G483" i="1"/>
  <c r="F483" i="1"/>
  <c r="E483" i="1"/>
  <c r="A483" i="1"/>
  <c r="DQ482" i="1"/>
  <c r="DP482" i="1"/>
  <c r="DO482" i="1"/>
  <c r="DN482" i="1"/>
  <c r="DM482" i="1"/>
  <c r="DL482" i="1"/>
  <c r="CX482" i="1"/>
  <c r="CV482" i="1"/>
  <c r="CS482" i="1"/>
  <c r="BS482" i="1"/>
  <c r="BA482" i="1"/>
  <c r="AB482" i="1"/>
  <c r="AA482" i="1"/>
  <c r="Z482" i="1"/>
  <c r="Y482" i="1"/>
  <c r="X482" i="1"/>
  <c r="W482" i="1"/>
  <c r="V482" i="1"/>
  <c r="G482" i="1"/>
  <c r="F482" i="1"/>
  <c r="E482" i="1"/>
  <c r="A482" i="1"/>
  <c r="CX481" i="1"/>
  <c r="CV481" i="1"/>
  <c r="AB481" i="1"/>
  <c r="G481" i="1"/>
  <c r="F481" i="1"/>
  <c r="E481" i="1"/>
  <c r="A481" i="1"/>
  <c r="DO480" i="1"/>
  <c r="DN480" i="1"/>
  <c r="DM480" i="1"/>
  <c r="DL480" i="1"/>
  <c r="CX480" i="1"/>
  <c r="CV480" i="1"/>
  <c r="CS480" i="1"/>
  <c r="BS480" i="1"/>
  <c r="AB480" i="1"/>
  <c r="Y480" i="1"/>
  <c r="X480" i="1"/>
  <c r="W480" i="1"/>
  <c r="V480" i="1"/>
  <c r="G480" i="1"/>
  <c r="F480" i="1"/>
  <c r="E480" i="1"/>
  <c r="A480" i="1"/>
  <c r="DO479" i="1"/>
  <c r="DN479" i="1"/>
  <c r="DM479" i="1"/>
  <c r="DL479" i="1"/>
  <c r="CX479" i="1"/>
  <c r="BS479" i="1"/>
  <c r="Y479" i="1"/>
  <c r="X479" i="1"/>
  <c r="W479" i="1"/>
  <c r="V479" i="1"/>
  <c r="G479" i="1"/>
  <c r="F479" i="1"/>
  <c r="E479" i="1"/>
  <c r="A479" i="1"/>
  <c r="CX478" i="1"/>
  <c r="CV478" i="1"/>
  <c r="AB478" i="1"/>
  <c r="G478" i="1"/>
  <c r="F478" i="1"/>
  <c r="E478" i="1"/>
  <c r="A478" i="1"/>
  <c r="CX477" i="1"/>
  <c r="CV477" i="1"/>
  <c r="CS477" i="1"/>
  <c r="BS477" i="1"/>
  <c r="BA477" i="1"/>
  <c r="AB477" i="1"/>
  <c r="G477" i="1"/>
  <c r="F477" i="1"/>
  <c r="E477" i="1"/>
  <c r="A477" i="1"/>
  <c r="DW476" i="1"/>
  <c r="DV476" i="1"/>
  <c r="DU476" i="1"/>
  <c r="DT476" i="1"/>
  <c r="DS476" i="1"/>
  <c r="DR476" i="1"/>
  <c r="DQ476" i="1"/>
  <c r="DP476" i="1"/>
  <c r="DO476" i="1"/>
  <c r="DN476" i="1"/>
  <c r="DM476" i="1"/>
  <c r="DL476" i="1"/>
  <c r="CX476" i="1"/>
  <c r="CV476" i="1"/>
  <c r="CS476" i="1"/>
  <c r="BA476" i="1"/>
  <c r="AB476" i="1"/>
  <c r="AA476" i="1"/>
  <c r="Z476" i="1"/>
  <c r="Y476" i="1"/>
  <c r="X476" i="1"/>
  <c r="W476" i="1"/>
  <c r="V476" i="1"/>
  <c r="G476" i="1"/>
  <c r="F476" i="1"/>
  <c r="E476" i="1"/>
  <c r="A476" i="1"/>
  <c r="DO475" i="1"/>
  <c r="DN475" i="1"/>
  <c r="DM475" i="1"/>
  <c r="DL475" i="1"/>
  <c r="CX475" i="1"/>
  <c r="CV475" i="1"/>
  <c r="AB475" i="1"/>
  <c r="Y475" i="1"/>
  <c r="X475" i="1"/>
  <c r="W475" i="1"/>
  <c r="V475" i="1"/>
  <c r="G475" i="1"/>
  <c r="F475" i="1"/>
  <c r="E475" i="1"/>
  <c r="A475" i="1"/>
  <c r="DW474" i="1"/>
  <c r="DV474" i="1"/>
  <c r="DU474" i="1"/>
  <c r="DT474" i="1"/>
  <c r="DS474" i="1"/>
  <c r="DR474" i="1"/>
  <c r="DQ474" i="1"/>
  <c r="DP474" i="1"/>
  <c r="DO474" i="1"/>
  <c r="DN474" i="1"/>
  <c r="DM474" i="1"/>
  <c r="DL474" i="1"/>
  <c r="CX474" i="1"/>
  <c r="CV474" i="1"/>
  <c r="CS474" i="1"/>
  <c r="BS474" i="1"/>
  <c r="BA474" i="1"/>
  <c r="AB474" i="1"/>
  <c r="AA474" i="1"/>
  <c r="Z474" i="1"/>
  <c r="Y474" i="1"/>
  <c r="X474" i="1"/>
  <c r="W474" i="1"/>
  <c r="V474" i="1"/>
  <c r="G474" i="1"/>
  <c r="F474" i="1"/>
  <c r="E474" i="1"/>
  <c r="A474" i="1"/>
  <c r="CX473" i="1"/>
  <c r="CV473" i="1"/>
  <c r="BS473" i="1"/>
  <c r="BA473" i="1"/>
  <c r="AB473" i="1"/>
  <c r="G473" i="1"/>
  <c r="F473" i="1"/>
  <c r="E473" i="1"/>
  <c r="A473" i="1"/>
  <c r="CX472" i="1"/>
  <c r="CV472" i="1"/>
  <c r="CS472" i="1"/>
  <c r="BS472" i="1"/>
  <c r="BA472" i="1"/>
  <c r="AB472" i="1"/>
  <c r="G472" i="1"/>
  <c r="F472" i="1"/>
  <c r="E472" i="1"/>
  <c r="A472" i="1"/>
  <c r="DO471" i="1"/>
  <c r="DN471" i="1"/>
  <c r="DM471" i="1"/>
  <c r="DL471" i="1"/>
  <c r="CX471" i="1"/>
  <c r="CV471" i="1"/>
  <c r="CS471" i="1"/>
  <c r="BS471" i="1"/>
  <c r="BA471" i="1"/>
  <c r="AB471" i="1"/>
  <c r="Y471" i="1"/>
  <c r="X471" i="1"/>
  <c r="W471" i="1"/>
  <c r="V471" i="1"/>
  <c r="G471" i="1"/>
  <c r="F471" i="1"/>
  <c r="E471" i="1"/>
  <c r="A471" i="1"/>
  <c r="CX470" i="1"/>
  <c r="CV470" i="1"/>
  <c r="AB470" i="1"/>
  <c r="G470" i="1"/>
  <c r="F470" i="1"/>
  <c r="E470" i="1"/>
  <c r="A470" i="1"/>
  <c r="CX469" i="1"/>
  <c r="CV469" i="1"/>
  <c r="CS469" i="1"/>
  <c r="BS469" i="1"/>
  <c r="BA469" i="1"/>
  <c r="AB469" i="1"/>
  <c r="G469" i="1"/>
  <c r="F469" i="1"/>
  <c r="E469" i="1"/>
  <c r="A469" i="1"/>
  <c r="CX468" i="1"/>
  <c r="CV468" i="1"/>
  <c r="CS468" i="1"/>
  <c r="BS468" i="1"/>
  <c r="AB468" i="1"/>
  <c r="G468" i="1"/>
  <c r="F468" i="1"/>
  <c r="E468" i="1"/>
  <c r="A468" i="1"/>
  <c r="CX467" i="1"/>
  <c r="CV467" i="1"/>
  <c r="CS467" i="1"/>
  <c r="BS467" i="1"/>
  <c r="BA467" i="1"/>
  <c r="AB467" i="1"/>
  <c r="G467" i="1"/>
  <c r="F467" i="1"/>
  <c r="E467" i="1"/>
  <c r="A467" i="1"/>
  <c r="CX466" i="1"/>
  <c r="CV466" i="1"/>
  <c r="CS466" i="1"/>
  <c r="BS466" i="1"/>
  <c r="BA466" i="1"/>
  <c r="AB466" i="1"/>
  <c r="G466" i="1"/>
  <c r="F466" i="1"/>
  <c r="E466" i="1"/>
  <c r="A466" i="1"/>
  <c r="CX465" i="1"/>
  <c r="CV465" i="1"/>
  <c r="CS465" i="1"/>
  <c r="BS465" i="1"/>
  <c r="BA465" i="1"/>
  <c r="AB465" i="1"/>
  <c r="G465" i="1"/>
  <c r="F465" i="1"/>
  <c r="E465" i="1"/>
  <c r="A465" i="1"/>
  <c r="DS464" i="1"/>
  <c r="DR464" i="1"/>
  <c r="DQ464" i="1"/>
  <c r="DP464" i="1"/>
  <c r="DO464" i="1"/>
  <c r="DN464" i="1"/>
  <c r="DM464" i="1"/>
  <c r="DL464" i="1"/>
  <c r="CX464" i="1"/>
  <c r="AB464" i="1"/>
  <c r="AA464" i="1"/>
  <c r="Z464" i="1"/>
  <c r="Y464" i="1"/>
  <c r="X464" i="1"/>
  <c r="W464" i="1"/>
  <c r="V464" i="1"/>
  <c r="G464" i="1"/>
  <c r="F464" i="1"/>
  <c r="E464" i="1"/>
  <c r="A464" i="1"/>
  <c r="DY463" i="1"/>
  <c r="DX463" i="1"/>
  <c r="DW463" i="1"/>
  <c r="DV463" i="1"/>
  <c r="DU463" i="1"/>
  <c r="DT463" i="1"/>
  <c r="DS463" i="1"/>
  <c r="DR463" i="1"/>
  <c r="DQ463" i="1"/>
  <c r="DP463" i="1"/>
  <c r="DO463" i="1"/>
  <c r="DN463" i="1"/>
  <c r="DM463" i="1"/>
  <c r="DL463" i="1"/>
  <c r="CX463" i="1"/>
  <c r="CV463" i="1"/>
  <c r="AB463" i="1"/>
  <c r="AA463" i="1"/>
  <c r="Z463" i="1"/>
  <c r="Y463" i="1"/>
  <c r="X463" i="1"/>
  <c r="W463" i="1"/>
  <c r="V463" i="1"/>
  <c r="G463" i="1"/>
  <c r="F463" i="1"/>
  <c r="E463" i="1"/>
  <c r="A463" i="1"/>
  <c r="CX462" i="1"/>
  <c r="CV462" i="1"/>
  <c r="BS462" i="1"/>
  <c r="AB462" i="1"/>
  <c r="G462" i="1"/>
  <c r="F462" i="1"/>
  <c r="E462" i="1"/>
  <c r="A462" i="1"/>
  <c r="CX461" i="1"/>
  <c r="CV461" i="1"/>
  <c r="CS461" i="1"/>
  <c r="BS461" i="1"/>
  <c r="BA461" i="1"/>
  <c r="AB461" i="1"/>
  <c r="G461" i="1"/>
  <c r="F461" i="1"/>
  <c r="E461" i="1"/>
  <c r="A461" i="1"/>
  <c r="CX460" i="1"/>
  <c r="CV460" i="1"/>
  <c r="CS460" i="1"/>
  <c r="BS460" i="1"/>
  <c r="AB460" i="1"/>
  <c r="G460" i="1"/>
  <c r="F460" i="1"/>
  <c r="E460" i="1"/>
  <c r="A460" i="1"/>
  <c r="CX459" i="1"/>
  <c r="AB459" i="1"/>
  <c r="G459" i="1"/>
  <c r="F459" i="1"/>
  <c r="E459" i="1"/>
  <c r="A459" i="1"/>
  <c r="CX458" i="1"/>
  <c r="CV458" i="1"/>
  <c r="BS458" i="1"/>
  <c r="AB458" i="1"/>
  <c r="G458" i="1"/>
  <c r="F458" i="1"/>
  <c r="E458" i="1"/>
  <c r="A458" i="1"/>
  <c r="CX457" i="1"/>
  <c r="CV457" i="1"/>
  <c r="CS457" i="1"/>
  <c r="BS457" i="1"/>
  <c r="AB457" i="1"/>
  <c r="G457" i="1"/>
  <c r="F457" i="1"/>
  <c r="E457" i="1"/>
  <c r="A457" i="1"/>
  <c r="CX456" i="1"/>
  <c r="CV456" i="1"/>
  <c r="BS456" i="1"/>
  <c r="BA456" i="1"/>
  <c r="AB456" i="1"/>
  <c r="G456" i="1"/>
  <c r="F456" i="1"/>
  <c r="E456" i="1"/>
  <c r="A456" i="1"/>
  <c r="CX455" i="1"/>
  <c r="CV455" i="1"/>
  <c r="CS455" i="1"/>
  <c r="BS455" i="1"/>
  <c r="BA455" i="1"/>
  <c r="AB455" i="1"/>
  <c r="G455" i="1"/>
  <c r="F455" i="1"/>
  <c r="E455" i="1"/>
  <c r="A455" i="1"/>
  <c r="DY454" i="1"/>
  <c r="DX454" i="1"/>
  <c r="DW454" i="1"/>
  <c r="DV454" i="1"/>
  <c r="DU454" i="1"/>
  <c r="DT454" i="1"/>
  <c r="DS454" i="1"/>
  <c r="DR454" i="1"/>
  <c r="DQ454" i="1"/>
  <c r="DP454" i="1"/>
  <c r="DO454" i="1"/>
  <c r="DN454" i="1"/>
  <c r="DM454" i="1"/>
  <c r="DL454" i="1"/>
  <c r="CX454" i="1"/>
  <c r="BA454" i="1"/>
  <c r="AB454" i="1"/>
  <c r="AA454" i="1"/>
  <c r="Z454" i="1"/>
  <c r="Y454" i="1"/>
  <c r="X454" i="1"/>
  <c r="W454" i="1"/>
  <c r="V454" i="1"/>
  <c r="G454" i="1"/>
  <c r="F454" i="1"/>
  <c r="E454" i="1"/>
  <c r="A454" i="1"/>
  <c r="DW453" i="1"/>
  <c r="DV453" i="1"/>
  <c r="DU453" i="1"/>
  <c r="DT453" i="1"/>
  <c r="DS453" i="1"/>
  <c r="DR453" i="1"/>
  <c r="DQ453" i="1"/>
  <c r="DP453" i="1"/>
  <c r="DO453" i="1"/>
  <c r="DN453" i="1"/>
  <c r="DM453" i="1"/>
  <c r="DL453" i="1"/>
  <c r="CX453" i="1"/>
  <c r="CV453" i="1"/>
  <c r="BS453" i="1"/>
  <c r="BA453" i="1"/>
  <c r="AB453" i="1"/>
  <c r="AA453" i="1"/>
  <c r="Z453" i="1"/>
  <c r="Y453" i="1"/>
  <c r="X453" i="1"/>
  <c r="W453" i="1"/>
  <c r="V453" i="1"/>
  <c r="G453" i="1"/>
  <c r="F453" i="1"/>
  <c r="E453" i="1"/>
  <c r="A453" i="1"/>
  <c r="CX452" i="1"/>
  <c r="CV452" i="1"/>
  <c r="BS452" i="1"/>
  <c r="BA452" i="1"/>
  <c r="AB452" i="1"/>
  <c r="G452" i="1"/>
  <c r="F452" i="1"/>
  <c r="E452" i="1"/>
  <c r="A452" i="1"/>
  <c r="CX451" i="1"/>
  <c r="CV451" i="1"/>
  <c r="CS451" i="1"/>
  <c r="BS451" i="1"/>
  <c r="BA451" i="1"/>
  <c r="AB451" i="1"/>
  <c r="G451" i="1"/>
  <c r="F451" i="1"/>
  <c r="E451" i="1"/>
  <c r="A451" i="1"/>
  <c r="DO450" i="1"/>
  <c r="DN450" i="1"/>
  <c r="DM450" i="1"/>
  <c r="DL450" i="1"/>
  <c r="CX450" i="1"/>
  <c r="CV450" i="1"/>
  <c r="AB450" i="1"/>
  <c r="Y450" i="1"/>
  <c r="X450" i="1"/>
  <c r="W450" i="1"/>
  <c r="V450" i="1"/>
  <c r="G450" i="1"/>
  <c r="F450" i="1"/>
  <c r="E450" i="1"/>
  <c r="A450" i="1"/>
  <c r="CX449" i="1"/>
  <c r="CV449" i="1"/>
  <c r="BS449" i="1"/>
  <c r="BA449" i="1"/>
  <c r="AB449" i="1"/>
  <c r="G449" i="1"/>
  <c r="F449" i="1"/>
  <c r="E449" i="1"/>
  <c r="A449" i="1"/>
  <c r="CX448" i="1"/>
  <c r="CV448" i="1"/>
  <c r="CS448" i="1"/>
  <c r="BS448" i="1"/>
  <c r="BA448" i="1"/>
  <c r="AB448" i="1"/>
  <c r="G448" i="1"/>
  <c r="F448" i="1"/>
  <c r="E448" i="1"/>
  <c r="A448" i="1"/>
  <c r="CX447" i="1"/>
  <c r="CV447" i="1"/>
  <c r="CS447" i="1"/>
  <c r="BS447" i="1"/>
  <c r="AB447" i="1"/>
  <c r="G447" i="1"/>
  <c r="F447" i="1"/>
  <c r="E447" i="1"/>
  <c r="A447" i="1"/>
  <c r="AB446" i="1"/>
  <c r="G446" i="1"/>
  <c r="F446" i="1"/>
  <c r="E446" i="1"/>
  <c r="A446" i="1"/>
  <c r="CX445" i="1"/>
  <c r="CV445" i="1"/>
  <c r="CS445" i="1"/>
  <c r="AB445" i="1"/>
  <c r="G445" i="1"/>
  <c r="F445" i="1"/>
  <c r="E445" i="1"/>
  <c r="A445" i="1"/>
  <c r="CX444" i="1"/>
  <c r="CV444" i="1"/>
  <c r="CS444" i="1"/>
  <c r="BS444" i="1"/>
  <c r="BA444" i="1"/>
  <c r="AB444" i="1"/>
  <c r="G444" i="1"/>
  <c r="F444" i="1"/>
  <c r="E444" i="1"/>
  <c r="A444" i="1"/>
  <c r="CX443" i="1"/>
  <c r="CV443" i="1"/>
  <c r="CS443" i="1"/>
  <c r="BS443" i="1"/>
  <c r="BA443" i="1"/>
  <c r="AB443" i="1"/>
  <c r="G443" i="1"/>
  <c r="F443" i="1"/>
  <c r="E443" i="1"/>
  <c r="A443" i="1"/>
  <c r="CX442" i="1"/>
  <c r="CV442" i="1"/>
  <c r="AB442" i="1"/>
  <c r="G442" i="1"/>
  <c r="F442" i="1"/>
  <c r="E442" i="1"/>
  <c r="A442" i="1"/>
  <c r="CX441" i="1"/>
  <c r="AB441" i="1"/>
  <c r="G441" i="1"/>
  <c r="F441" i="1"/>
  <c r="E441" i="1"/>
  <c r="A441" i="1"/>
  <c r="DQ440" i="1"/>
  <c r="DP440" i="1"/>
  <c r="DO440" i="1"/>
  <c r="DN440" i="1"/>
  <c r="DM440" i="1"/>
  <c r="DL440" i="1"/>
  <c r="CX440" i="1"/>
  <c r="CV440" i="1"/>
  <c r="BS440" i="1"/>
  <c r="AB440" i="1"/>
  <c r="AA440" i="1"/>
  <c r="Z440" i="1"/>
  <c r="Y440" i="1"/>
  <c r="X440" i="1"/>
  <c r="W440" i="1"/>
  <c r="V440" i="1"/>
  <c r="G440" i="1"/>
  <c r="F440" i="1"/>
  <c r="E440" i="1"/>
  <c r="A440" i="1"/>
  <c r="CX439" i="1"/>
  <c r="BS439" i="1"/>
  <c r="BA439" i="1"/>
  <c r="AB439" i="1"/>
  <c r="G439" i="1"/>
  <c r="F439" i="1"/>
  <c r="E439" i="1"/>
  <c r="A439" i="1"/>
  <c r="CX438" i="1"/>
  <c r="AB438" i="1"/>
  <c r="G438" i="1"/>
  <c r="F438" i="1"/>
  <c r="E438" i="1"/>
  <c r="A438" i="1"/>
  <c r="DM437" i="1"/>
  <c r="DL437" i="1"/>
  <c r="CX437" i="1"/>
  <c r="CV437" i="1"/>
  <c r="AB437" i="1"/>
  <c r="W437" i="1"/>
  <c r="V437" i="1"/>
  <c r="G437" i="1"/>
  <c r="F437" i="1"/>
  <c r="E437" i="1"/>
  <c r="A437" i="1"/>
  <c r="CX436" i="1"/>
  <c r="CV436" i="1"/>
  <c r="CS436" i="1"/>
  <c r="BS436" i="1"/>
  <c r="BA436" i="1"/>
  <c r="AB436" i="1"/>
  <c r="G436" i="1"/>
  <c r="F436" i="1"/>
  <c r="E436" i="1"/>
  <c r="A436" i="1"/>
  <c r="CX435" i="1"/>
  <c r="AB435" i="1"/>
  <c r="G435" i="1"/>
  <c r="F435" i="1"/>
  <c r="E435" i="1"/>
  <c r="A435" i="1"/>
  <c r="CX434" i="1"/>
  <c r="CV434" i="1"/>
  <c r="CS434" i="1"/>
  <c r="BS434" i="1"/>
  <c r="AB434" i="1"/>
  <c r="G434" i="1"/>
  <c r="F434" i="1"/>
  <c r="E434" i="1"/>
  <c r="A434" i="1"/>
  <c r="DO433" i="1"/>
  <c r="DN433" i="1"/>
  <c r="DM433" i="1"/>
  <c r="DL433" i="1"/>
  <c r="CX433" i="1"/>
  <c r="CV433" i="1"/>
  <c r="CS433" i="1"/>
  <c r="BS433" i="1"/>
  <c r="BA433" i="1"/>
  <c r="AB433" i="1"/>
  <c r="Y433" i="1"/>
  <c r="X433" i="1"/>
  <c r="W433" i="1"/>
  <c r="V433" i="1"/>
  <c r="G433" i="1"/>
  <c r="F433" i="1"/>
  <c r="E433" i="1"/>
  <c r="A433" i="1"/>
  <c r="DQ432" i="1"/>
  <c r="DP432" i="1"/>
  <c r="DO432" i="1"/>
  <c r="DN432" i="1"/>
  <c r="DM432" i="1"/>
  <c r="DL432" i="1"/>
  <c r="CX432" i="1"/>
  <c r="CV432" i="1"/>
  <c r="AB432" i="1"/>
  <c r="AA432" i="1"/>
  <c r="Z432" i="1"/>
  <c r="Y432" i="1"/>
  <c r="X432" i="1"/>
  <c r="W432" i="1"/>
  <c r="V432" i="1"/>
  <c r="G432" i="1"/>
  <c r="F432" i="1"/>
  <c r="E432" i="1"/>
  <c r="A432" i="1"/>
  <c r="CX431" i="1"/>
  <c r="CV431" i="1"/>
  <c r="CS431" i="1"/>
  <c r="BS431" i="1"/>
  <c r="BA431" i="1"/>
  <c r="AB431" i="1"/>
  <c r="G431" i="1"/>
  <c r="F431" i="1"/>
  <c r="E431" i="1"/>
  <c r="A431" i="1"/>
  <c r="CX430" i="1"/>
  <c r="CV430" i="1"/>
  <c r="CS430" i="1"/>
  <c r="BS430" i="1"/>
  <c r="BA430" i="1"/>
  <c r="AB430" i="1"/>
  <c r="G430" i="1"/>
  <c r="F430" i="1"/>
  <c r="E430" i="1"/>
  <c r="A430" i="1"/>
  <c r="CX429" i="1"/>
  <c r="CV429" i="1"/>
  <c r="BS429" i="1"/>
  <c r="BA429" i="1"/>
  <c r="AB429" i="1"/>
  <c r="G429" i="1"/>
  <c r="F429" i="1"/>
  <c r="E429" i="1"/>
  <c r="A429" i="1"/>
  <c r="CX428" i="1"/>
  <c r="CV428" i="1"/>
  <c r="CS428" i="1"/>
  <c r="AB428" i="1"/>
  <c r="G428" i="1"/>
  <c r="F428" i="1"/>
  <c r="E428" i="1"/>
  <c r="A428" i="1"/>
  <c r="DW427" i="1"/>
  <c r="DV427" i="1"/>
  <c r="DU427" i="1"/>
  <c r="DT427" i="1"/>
  <c r="DS427" i="1"/>
  <c r="DR427" i="1"/>
  <c r="DQ427" i="1"/>
  <c r="DP427" i="1"/>
  <c r="DO427" i="1"/>
  <c r="DN427" i="1"/>
  <c r="DM427" i="1"/>
  <c r="DL427" i="1"/>
  <c r="CX427" i="1"/>
  <c r="CV427" i="1"/>
  <c r="CS427" i="1"/>
  <c r="BS427" i="1"/>
  <c r="BA427" i="1"/>
  <c r="AB427" i="1"/>
  <c r="AA427" i="1"/>
  <c r="Z427" i="1"/>
  <c r="Y427" i="1"/>
  <c r="X427" i="1"/>
  <c r="W427" i="1"/>
  <c r="V427" i="1"/>
  <c r="G427" i="1"/>
  <c r="F427" i="1"/>
  <c r="E427" i="1"/>
  <c r="A427" i="1"/>
  <c r="CX426" i="1"/>
  <c r="CV426" i="1"/>
  <c r="AB426" i="1"/>
  <c r="G426" i="1"/>
  <c r="F426" i="1"/>
  <c r="E426" i="1"/>
  <c r="A426" i="1"/>
  <c r="CX425" i="1"/>
  <c r="CV425" i="1"/>
  <c r="BS425" i="1"/>
  <c r="AB425" i="1"/>
  <c r="G425" i="1"/>
  <c r="F425" i="1"/>
  <c r="E425" i="1"/>
  <c r="A425" i="1"/>
  <c r="CX424" i="1"/>
  <c r="CV424" i="1"/>
  <c r="G424" i="1"/>
  <c r="F424" i="1"/>
  <c r="E424" i="1"/>
  <c r="A424" i="1"/>
  <c r="CX423" i="1"/>
  <c r="CV423" i="1"/>
  <c r="CS423" i="1"/>
  <c r="BS423" i="1"/>
  <c r="BA423" i="1"/>
  <c r="AB423" i="1"/>
  <c r="G423" i="1"/>
  <c r="F423" i="1"/>
  <c r="E423" i="1"/>
  <c r="A423" i="1"/>
  <c r="CX422" i="1"/>
  <c r="CV422" i="1"/>
  <c r="CS422" i="1"/>
  <c r="BS422" i="1"/>
  <c r="BA422" i="1"/>
  <c r="AB422" i="1"/>
  <c r="G422" i="1"/>
  <c r="F422" i="1"/>
  <c r="E422" i="1"/>
  <c r="A422" i="1"/>
  <c r="CX421" i="1"/>
  <c r="CV421" i="1"/>
  <c r="BA421" i="1"/>
  <c r="AB421" i="1"/>
  <c r="G421" i="1"/>
  <c r="F421" i="1"/>
  <c r="E421" i="1"/>
  <c r="A421" i="1"/>
  <c r="CX420" i="1"/>
  <c r="CV420" i="1"/>
  <c r="BS420" i="1"/>
  <c r="AB420" i="1"/>
  <c r="G420" i="1"/>
  <c r="F420" i="1"/>
  <c r="E420" i="1"/>
  <c r="A420" i="1"/>
  <c r="CX419" i="1"/>
  <c r="CV419" i="1"/>
  <c r="CS419" i="1"/>
  <c r="BS419" i="1"/>
  <c r="AB419" i="1"/>
  <c r="G419" i="1"/>
  <c r="F419" i="1"/>
  <c r="E419" i="1"/>
  <c r="A419" i="1"/>
  <c r="CX418" i="1"/>
  <c r="CV418" i="1"/>
  <c r="BS418" i="1"/>
  <c r="BA418" i="1"/>
  <c r="AB418" i="1"/>
  <c r="G418" i="1"/>
  <c r="F418" i="1"/>
  <c r="E418" i="1"/>
  <c r="A418" i="1"/>
  <c r="CX417" i="1"/>
  <c r="CS417" i="1"/>
  <c r="AB417" i="1"/>
  <c r="G417" i="1"/>
  <c r="F417" i="1"/>
  <c r="E417" i="1"/>
  <c r="A417" i="1"/>
  <c r="CX416" i="1"/>
  <c r="CV416" i="1"/>
  <c r="CS416" i="1"/>
  <c r="BS416" i="1"/>
  <c r="AB416" i="1"/>
  <c r="G416" i="1"/>
  <c r="F416" i="1"/>
  <c r="E416" i="1"/>
  <c r="A416" i="1"/>
  <c r="CX415" i="1"/>
  <c r="CV415" i="1"/>
  <c r="CS415" i="1"/>
  <c r="BS415" i="1"/>
  <c r="BA415" i="1"/>
  <c r="AB415" i="1"/>
  <c r="G415" i="1"/>
  <c r="F415" i="1"/>
  <c r="E415" i="1"/>
  <c r="A415" i="1"/>
  <c r="CX414" i="1"/>
  <c r="CV414" i="1"/>
  <c r="AB414" i="1"/>
  <c r="G414" i="1"/>
  <c r="F414" i="1"/>
  <c r="E414" i="1"/>
  <c r="A414" i="1"/>
  <c r="CX413" i="1"/>
  <c r="CV413" i="1"/>
  <c r="BS413" i="1"/>
  <c r="BA413" i="1"/>
  <c r="AB413" i="1"/>
  <c r="G413" i="1"/>
  <c r="F413" i="1"/>
  <c r="E413" i="1"/>
  <c r="A413" i="1"/>
  <c r="CX412" i="1"/>
  <c r="AB412" i="1"/>
  <c r="G412" i="1"/>
  <c r="F412" i="1"/>
  <c r="E412" i="1"/>
  <c r="A412" i="1"/>
  <c r="CX411" i="1"/>
  <c r="CV411" i="1"/>
  <c r="CS411" i="1"/>
  <c r="BS411" i="1"/>
  <c r="AB411" i="1"/>
  <c r="G411" i="1"/>
  <c r="F411" i="1"/>
  <c r="E411" i="1"/>
  <c r="A411" i="1"/>
  <c r="CX410" i="1"/>
  <c r="CV410" i="1"/>
  <c r="CS410" i="1"/>
  <c r="AB410" i="1"/>
  <c r="G410" i="1"/>
  <c r="F410" i="1"/>
  <c r="E410" i="1"/>
  <c r="A410" i="1"/>
  <c r="CX409" i="1"/>
  <c r="CV409" i="1"/>
  <c r="AB409" i="1"/>
  <c r="G409" i="1"/>
  <c r="F409" i="1"/>
  <c r="E409" i="1"/>
  <c r="A409" i="1"/>
  <c r="CX408" i="1"/>
  <c r="CV408" i="1"/>
  <c r="AB408" i="1"/>
  <c r="G408" i="1"/>
  <c r="F408" i="1"/>
  <c r="E408" i="1"/>
  <c r="A408" i="1"/>
  <c r="CX407" i="1"/>
  <c r="CV407" i="1"/>
  <c r="CS407" i="1"/>
  <c r="BS407" i="1"/>
  <c r="BA407" i="1"/>
  <c r="AB407" i="1"/>
  <c r="G407" i="1"/>
  <c r="F407" i="1"/>
  <c r="E407" i="1"/>
  <c r="A407" i="1"/>
  <c r="CX406" i="1"/>
  <c r="CV406" i="1"/>
  <c r="CS406" i="1"/>
  <c r="BS406" i="1"/>
  <c r="BA406" i="1"/>
  <c r="AB406" i="1"/>
  <c r="G406" i="1"/>
  <c r="F406" i="1"/>
  <c r="E406" i="1"/>
  <c r="A406" i="1"/>
  <c r="CX405" i="1"/>
  <c r="CV405" i="1"/>
  <c r="BS405" i="1"/>
  <c r="AB405" i="1"/>
  <c r="G405" i="1"/>
  <c r="F405" i="1"/>
  <c r="E405" i="1"/>
  <c r="A405" i="1"/>
  <c r="CX404" i="1"/>
  <c r="CS404" i="1"/>
  <c r="AB404" i="1"/>
  <c r="G404" i="1"/>
  <c r="F404" i="1"/>
  <c r="E404" i="1"/>
  <c r="A404" i="1"/>
  <c r="CX403" i="1"/>
  <c r="CV403" i="1"/>
  <c r="BS403" i="1"/>
  <c r="AB403" i="1"/>
  <c r="G403" i="1"/>
  <c r="F403" i="1"/>
  <c r="E403" i="1"/>
  <c r="A403" i="1"/>
  <c r="CX402" i="1"/>
  <c r="CV402" i="1"/>
  <c r="BS402" i="1"/>
  <c r="AB402" i="1"/>
  <c r="G402" i="1"/>
  <c r="F402" i="1"/>
  <c r="E402" i="1"/>
  <c r="A402" i="1"/>
  <c r="CX401" i="1"/>
  <c r="AB401" i="1"/>
  <c r="G401" i="1"/>
  <c r="F401" i="1"/>
  <c r="E401" i="1"/>
  <c r="A401" i="1"/>
  <c r="CX400" i="1"/>
  <c r="CV400" i="1"/>
  <c r="AB400" i="1"/>
  <c r="G400" i="1"/>
  <c r="F400" i="1"/>
  <c r="E400" i="1"/>
  <c r="A400" i="1"/>
  <c r="CX399" i="1"/>
  <c r="AB399" i="1"/>
  <c r="G399" i="1"/>
  <c r="F399" i="1"/>
  <c r="E399" i="1"/>
  <c r="A399" i="1"/>
  <c r="CX398" i="1"/>
  <c r="CV398" i="1"/>
  <c r="CS398" i="1"/>
  <c r="BA398" i="1"/>
  <c r="AB398" i="1"/>
  <c r="G398" i="1"/>
  <c r="F398" i="1"/>
  <c r="E398" i="1"/>
  <c r="A398" i="1"/>
  <c r="CX397" i="1"/>
  <c r="CV397" i="1"/>
  <c r="CS397" i="1"/>
  <c r="BS397" i="1"/>
  <c r="BA397" i="1"/>
  <c r="AB397" i="1"/>
  <c r="G397" i="1"/>
  <c r="F397" i="1"/>
  <c r="E397" i="1"/>
  <c r="A397" i="1"/>
  <c r="CX396" i="1"/>
  <c r="CV396" i="1"/>
  <c r="BS396" i="1"/>
  <c r="AB396" i="1"/>
  <c r="G396" i="1"/>
  <c r="F396" i="1"/>
  <c r="E396" i="1"/>
  <c r="A396" i="1"/>
  <c r="CX395" i="1"/>
  <c r="CV395" i="1"/>
  <c r="CS395" i="1"/>
  <c r="BS395" i="1"/>
  <c r="AB395" i="1"/>
  <c r="G395" i="1"/>
  <c r="F395" i="1"/>
  <c r="E395" i="1"/>
  <c r="A395" i="1"/>
  <c r="CX394" i="1"/>
  <c r="CV394" i="1"/>
  <c r="AB394" i="1"/>
  <c r="G394" i="1"/>
  <c r="F394" i="1"/>
  <c r="E394" i="1"/>
  <c r="A394" i="1"/>
  <c r="CX393" i="1"/>
  <c r="CV393" i="1"/>
  <c r="CS393" i="1"/>
  <c r="BS393" i="1"/>
  <c r="BA393" i="1"/>
  <c r="AB393" i="1"/>
  <c r="G393" i="1"/>
  <c r="F393" i="1"/>
  <c r="E393" i="1"/>
  <c r="A393" i="1"/>
  <c r="DO392" i="1"/>
  <c r="DN392" i="1"/>
  <c r="DM392" i="1"/>
  <c r="DL392" i="1"/>
  <c r="CX392" i="1"/>
  <c r="AB392" i="1"/>
  <c r="Y392" i="1"/>
  <c r="X392" i="1"/>
  <c r="W392" i="1"/>
  <c r="V392" i="1"/>
  <c r="G392" i="1"/>
  <c r="F392" i="1"/>
  <c r="E392" i="1"/>
  <c r="A392" i="1"/>
  <c r="CX391" i="1"/>
  <c r="CV391" i="1"/>
  <c r="CS391" i="1"/>
  <c r="BS391" i="1"/>
  <c r="BA391" i="1"/>
  <c r="AB391" i="1"/>
  <c r="G391" i="1"/>
  <c r="F391" i="1"/>
  <c r="E391" i="1"/>
  <c r="A391" i="1"/>
  <c r="DW390" i="1"/>
  <c r="DV390" i="1"/>
  <c r="DU390" i="1"/>
  <c r="DT390" i="1"/>
  <c r="DS390" i="1"/>
  <c r="DR390" i="1"/>
  <c r="DQ390" i="1"/>
  <c r="DP390" i="1"/>
  <c r="DO390" i="1"/>
  <c r="DN390" i="1"/>
  <c r="DM390" i="1"/>
  <c r="DL390" i="1"/>
  <c r="CX390" i="1"/>
  <c r="CV390" i="1"/>
  <c r="CS390" i="1"/>
  <c r="BS390" i="1"/>
  <c r="BA390" i="1"/>
  <c r="AB390" i="1"/>
  <c r="AA390" i="1"/>
  <c r="Z390" i="1"/>
  <c r="Y390" i="1"/>
  <c r="X390" i="1"/>
  <c r="W390" i="1"/>
  <c r="V390" i="1"/>
  <c r="G390" i="1"/>
  <c r="F390" i="1"/>
  <c r="E390" i="1"/>
  <c r="A390" i="1"/>
  <c r="CX389" i="1"/>
  <c r="CV389" i="1"/>
  <c r="CS389" i="1"/>
  <c r="BW389" i="1"/>
  <c r="BS389" i="1"/>
  <c r="BA389" i="1"/>
  <c r="AI389" i="1"/>
  <c r="AF389" i="1"/>
  <c r="AB389" i="1"/>
  <c r="S389" i="1"/>
  <c r="G389" i="1"/>
  <c r="F389" i="1"/>
  <c r="E389" i="1"/>
  <c r="A389" i="1"/>
  <c r="DM387" i="1"/>
  <c r="DL387" i="1"/>
  <c r="CZ387" i="1"/>
  <c r="CX387" i="1"/>
  <c r="CV387" i="1"/>
  <c r="CS387" i="1"/>
  <c r="BW387" i="1"/>
  <c r="BS387" i="1"/>
  <c r="BA387" i="1"/>
  <c r="AI387" i="1"/>
  <c r="AF387" i="1"/>
  <c r="AB387" i="1"/>
  <c r="W387" i="1"/>
  <c r="V387" i="1"/>
  <c r="S387" i="1"/>
  <c r="G387" i="1"/>
  <c r="F387" i="1"/>
  <c r="E387" i="1"/>
  <c r="A387" i="1"/>
  <c r="CZ386" i="1"/>
  <c r="CX386" i="1"/>
  <c r="CV386" i="1"/>
  <c r="CS386" i="1"/>
  <c r="BW386" i="1"/>
  <c r="BS386" i="1"/>
  <c r="BA386" i="1"/>
  <c r="AI386" i="1"/>
  <c r="AF386" i="1"/>
  <c r="AB386" i="1"/>
  <c r="S386" i="1"/>
  <c r="G386" i="1"/>
  <c r="F386" i="1"/>
  <c r="E386" i="1"/>
  <c r="A386" i="1"/>
  <c r="DM385" i="1"/>
  <c r="DL385" i="1"/>
  <c r="CZ385" i="1"/>
  <c r="CX385" i="1"/>
  <c r="CV385" i="1"/>
  <c r="CS385" i="1"/>
  <c r="BW385" i="1"/>
  <c r="BS385" i="1"/>
  <c r="BA385" i="1"/>
  <c r="AI385" i="1"/>
  <c r="AF385" i="1"/>
  <c r="AB385" i="1"/>
  <c r="W385" i="1"/>
  <c r="V385" i="1"/>
  <c r="S385" i="1"/>
  <c r="G385" i="1"/>
  <c r="F385" i="1"/>
  <c r="E385" i="1"/>
  <c r="A385" i="1"/>
  <c r="CX383" i="1"/>
  <c r="CV383" i="1"/>
  <c r="CS383" i="1"/>
  <c r="BW383" i="1"/>
  <c r="BS383" i="1"/>
  <c r="BA383" i="1"/>
  <c r="AI383" i="1"/>
  <c r="AF383" i="1"/>
  <c r="AB383" i="1"/>
  <c r="S383" i="1"/>
  <c r="G383" i="1"/>
  <c r="F383" i="1"/>
  <c r="E383" i="1"/>
  <c r="A383" i="1"/>
  <c r="CX382" i="1"/>
  <c r="CV382" i="1"/>
  <c r="CS382" i="1"/>
  <c r="BW382" i="1"/>
  <c r="BS382" i="1"/>
  <c r="BA382" i="1"/>
  <c r="AI382" i="1"/>
  <c r="AF382" i="1"/>
  <c r="AB382" i="1"/>
  <c r="G382" i="1"/>
  <c r="F382" i="1"/>
  <c r="E382" i="1"/>
  <c r="A382" i="1"/>
  <c r="CX381" i="1"/>
  <c r="CV381" i="1"/>
  <c r="CS381" i="1"/>
  <c r="BW381" i="1"/>
  <c r="BS381" i="1"/>
  <c r="BA381" i="1"/>
  <c r="AI381" i="1"/>
  <c r="AF381" i="1"/>
  <c r="AB381" i="1"/>
  <c r="S381" i="1"/>
  <c r="G381" i="1"/>
  <c r="F381" i="1"/>
  <c r="E381" i="1"/>
  <c r="A381" i="1"/>
  <c r="DQ380" i="1"/>
  <c r="DP380" i="1"/>
  <c r="DO380" i="1"/>
  <c r="DN380" i="1"/>
  <c r="DM380" i="1"/>
  <c r="DL380" i="1"/>
  <c r="CX380" i="1"/>
  <c r="CV380" i="1"/>
  <c r="CS380" i="1"/>
  <c r="BW380" i="1"/>
  <c r="BS380" i="1"/>
  <c r="BA380" i="1"/>
  <c r="AI380" i="1"/>
  <c r="AF380" i="1"/>
  <c r="AB380" i="1"/>
  <c r="AA380" i="1"/>
  <c r="Z380" i="1"/>
  <c r="Y380" i="1"/>
  <c r="X380" i="1"/>
  <c r="W380" i="1"/>
  <c r="V380" i="1"/>
  <c r="S380" i="1"/>
  <c r="G380" i="1"/>
  <c r="F380" i="1"/>
  <c r="E380" i="1"/>
  <c r="A380" i="1"/>
  <c r="CX379" i="1"/>
  <c r="CV379" i="1"/>
  <c r="CS379" i="1"/>
  <c r="BW379" i="1"/>
  <c r="BS379" i="1"/>
  <c r="BA379" i="1"/>
  <c r="AI379" i="1"/>
  <c r="AF379" i="1"/>
  <c r="AB379" i="1"/>
  <c r="S379" i="1"/>
  <c r="G379" i="1"/>
  <c r="F379" i="1"/>
  <c r="E379" i="1"/>
  <c r="A379" i="1"/>
  <c r="DU378" i="1"/>
  <c r="DT378" i="1"/>
  <c r="DS378" i="1"/>
  <c r="DR378" i="1"/>
  <c r="DQ378" i="1"/>
  <c r="DP378" i="1"/>
  <c r="DO378" i="1"/>
  <c r="DN378" i="1"/>
  <c r="DM378" i="1"/>
  <c r="DL378" i="1"/>
  <c r="CX378" i="1"/>
  <c r="CV378" i="1"/>
  <c r="CS378" i="1"/>
  <c r="BW378" i="1"/>
  <c r="BS378" i="1"/>
  <c r="BA378" i="1"/>
  <c r="AI378" i="1"/>
  <c r="AF378" i="1"/>
  <c r="AB378" i="1"/>
  <c r="AA378" i="1"/>
  <c r="Z378" i="1"/>
  <c r="Y378" i="1"/>
  <c r="X378" i="1"/>
  <c r="W378" i="1"/>
  <c r="V378" i="1"/>
  <c r="S378" i="1"/>
  <c r="G378" i="1"/>
  <c r="F378" i="1"/>
  <c r="E378" i="1"/>
  <c r="A378" i="1"/>
  <c r="DH377" i="1"/>
  <c r="CX377" i="1"/>
  <c r="CV377" i="1"/>
  <c r="CS377" i="1"/>
  <c r="BS377" i="1"/>
  <c r="BA377" i="1"/>
  <c r="AI377" i="1"/>
  <c r="AF377" i="1"/>
  <c r="AB377" i="1"/>
  <c r="G377" i="1"/>
  <c r="F377" i="1"/>
  <c r="E377" i="1"/>
  <c r="A377" i="1"/>
  <c r="CX376" i="1"/>
  <c r="CV376" i="1"/>
  <c r="CS376" i="1"/>
  <c r="BW376" i="1"/>
  <c r="BS376" i="1"/>
  <c r="BA376" i="1"/>
  <c r="AI376" i="1"/>
  <c r="AF376" i="1"/>
  <c r="AB376" i="1"/>
  <c r="S376" i="1"/>
  <c r="G376" i="1"/>
  <c r="F376" i="1"/>
  <c r="E376" i="1"/>
  <c r="A376" i="1"/>
  <c r="DW375" i="1"/>
  <c r="DV375" i="1"/>
  <c r="DU375" i="1"/>
  <c r="DT375" i="1"/>
  <c r="DS375" i="1"/>
  <c r="DR375" i="1"/>
  <c r="DQ375" i="1"/>
  <c r="DP375" i="1"/>
  <c r="DO375" i="1"/>
  <c r="DN375" i="1"/>
  <c r="DM375" i="1"/>
  <c r="DL375" i="1"/>
  <c r="CX375" i="1"/>
  <c r="CV375" i="1"/>
  <c r="CS375" i="1"/>
  <c r="BW375" i="1"/>
  <c r="BS375" i="1"/>
  <c r="BA375" i="1"/>
  <c r="AI375" i="1"/>
  <c r="AF375" i="1"/>
  <c r="AB375" i="1"/>
  <c r="AA375" i="1"/>
  <c r="Z375" i="1"/>
  <c r="Y375" i="1"/>
  <c r="X375" i="1"/>
  <c r="W375" i="1"/>
  <c r="V375" i="1"/>
  <c r="S375" i="1"/>
  <c r="G375" i="1"/>
  <c r="F375" i="1"/>
  <c r="E375" i="1"/>
  <c r="A375" i="1"/>
  <c r="CX374" i="1"/>
  <c r="CV374" i="1"/>
  <c r="CS374" i="1"/>
  <c r="BS374" i="1"/>
  <c r="BA374" i="1"/>
  <c r="AI374" i="1"/>
  <c r="AF374" i="1"/>
  <c r="AB374" i="1"/>
  <c r="S374" i="1"/>
  <c r="G374" i="1"/>
  <c r="F374" i="1"/>
  <c r="E374" i="1"/>
  <c r="A374" i="1"/>
  <c r="CX373" i="1"/>
  <c r="CV373" i="1"/>
  <c r="CS373" i="1"/>
  <c r="BW373" i="1"/>
  <c r="BS373" i="1"/>
  <c r="BA373" i="1"/>
  <c r="AI373" i="1"/>
  <c r="AF373" i="1"/>
  <c r="AB373" i="1"/>
  <c r="G373" i="1"/>
  <c r="F373" i="1"/>
  <c r="E373" i="1"/>
  <c r="A373" i="1"/>
  <c r="CX372" i="1"/>
  <c r="CV372" i="1"/>
  <c r="CS372" i="1"/>
  <c r="BW372" i="1"/>
  <c r="BS372" i="1"/>
  <c r="BA372" i="1"/>
  <c r="AI372" i="1"/>
  <c r="AF372" i="1"/>
  <c r="AB372" i="1"/>
  <c r="S372" i="1"/>
  <c r="G372" i="1"/>
  <c r="F372" i="1"/>
  <c r="E372" i="1"/>
  <c r="A372" i="1"/>
  <c r="CX371" i="1"/>
  <c r="CV371" i="1"/>
  <c r="CS371" i="1"/>
  <c r="BS371" i="1"/>
  <c r="BA371" i="1"/>
  <c r="AI371" i="1"/>
  <c r="AF371" i="1"/>
  <c r="AB371" i="1"/>
  <c r="S371" i="1"/>
  <c r="G371" i="1"/>
  <c r="F371" i="1"/>
  <c r="E371" i="1"/>
  <c r="A371" i="1"/>
  <c r="CX370" i="1"/>
  <c r="CV370" i="1"/>
  <c r="CS370" i="1"/>
  <c r="BW370" i="1"/>
  <c r="BS370" i="1"/>
  <c r="BA370" i="1"/>
  <c r="AI370" i="1"/>
  <c r="AF370" i="1"/>
  <c r="AB370" i="1"/>
  <c r="G370" i="1"/>
  <c r="F370" i="1"/>
  <c r="E370" i="1"/>
  <c r="A370" i="1"/>
  <c r="DQ369" i="1"/>
  <c r="DP369" i="1"/>
  <c r="DO369" i="1"/>
  <c r="DN369" i="1"/>
  <c r="DM369" i="1"/>
  <c r="DL369" i="1"/>
  <c r="CX369" i="1"/>
  <c r="CV369" i="1"/>
  <c r="CS369" i="1"/>
  <c r="BW369" i="1"/>
  <c r="BS369" i="1"/>
  <c r="BA369" i="1"/>
  <c r="AI369" i="1"/>
  <c r="AF369" i="1"/>
  <c r="AB369" i="1"/>
  <c r="AA369" i="1"/>
  <c r="Z369" i="1"/>
  <c r="Y369" i="1"/>
  <c r="X369" i="1"/>
  <c r="W369" i="1"/>
  <c r="V369" i="1"/>
  <c r="S369" i="1"/>
  <c r="G369" i="1"/>
  <c r="F369" i="1"/>
  <c r="E369" i="1"/>
  <c r="A369" i="1"/>
  <c r="CX368" i="1"/>
  <c r="CV368" i="1"/>
  <c r="CS368" i="1"/>
  <c r="BW368" i="1"/>
  <c r="BS368" i="1"/>
  <c r="BA368" i="1"/>
  <c r="AI368" i="1"/>
  <c r="AF368" i="1"/>
  <c r="AB368" i="1"/>
  <c r="G368" i="1"/>
  <c r="F368" i="1"/>
  <c r="E368" i="1"/>
  <c r="A368" i="1"/>
  <c r="CX367" i="1"/>
  <c r="CV367" i="1"/>
  <c r="CS367" i="1"/>
  <c r="BW367" i="1"/>
  <c r="BS367" i="1"/>
  <c r="BA367" i="1"/>
  <c r="AI367" i="1"/>
  <c r="AF367" i="1"/>
  <c r="AB367" i="1"/>
  <c r="S367" i="1"/>
  <c r="G367" i="1"/>
  <c r="F367" i="1"/>
  <c r="E367" i="1"/>
  <c r="A367" i="1"/>
  <c r="CX366" i="1"/>
  <c r="CV366" i="1"/>
  <c r="CS366" i="1"/>
  <c r="BW366" i="1"/>
  <c r="BS366" i="1"/>
  <c r="BA366" i="1"/>
  <c r="AI366" i="1"/>
  <c r="AF366" i="1"/>
  <c r="AB366" i="1"/>
  <c r="S366" i="1"/>
  <c r="G366" i="1"/>
  <c r="F366" i="1"/>
  <c r="E366" i="1"/>
  <c r="A366" i="1"/>
  <c r="CX365" i="1"/>
  <c r="CV365" i="1"/>
  <c r="CS365" i="1"/>
  <c r="BW365" i="1"/>
  <c r="BS365" i="1"/>
  <c r="BA365" i="1"/>
  <c r="AI365" i="1"/>
  <c r="AF365" i="1"/>
  <c r="AB365" i="1"/>
  <c r="S365" i="1"/>
  <c r="G365" i="1"/>
  <c r="F365" i="1"/>
  <c r="E365" i="1"/>
  <c r="A365" i="1"/>
  <c r="CX364" i="1"/>
  <c r="CV364" i="1"/>
  <c r="CS364" i="1"/>
  <c r="BS364" i="1"/>
  <c r="BA364" i="1"/>
  <c r="AI364" i="1"/>
  <c r="AF364" i="1"/>
  <c r="AB364" i="1"/>
  <c r="G364" i="1"/>
  <c r="F364" i="1"/>
  <c r="E364" i="1"/>
  <c r="A364" i="1"/>
  <c r="CX363" i="1"/>
  <c r="CV363" i="1"/>
  <c r="CS363" i="1"/>
  <c r="BW363" i="1"/>
  <c r="BS363" i="1"/>
  <c r="BA363" i="1"/>
  <c r="AI363" i="1"/>
  <c r="AF363" i="1"/>
  <c r="AB363" i="1"/>
  <c r="S363" i="1"/>
  <c r="G363" i="1"/>
  <c r="F363" i="1"/>
  <c r="E363" i="1"/>
  <c r="A363" i="1"/>
  <c r="CX361" i="1"/>
  <c r="CV361" i="1"/>
  <c r="CS361" i="1"/>
  <c r="BW361" i="1"/>
  <c r="BS361" i="1"/>
  <c r="BA361" i="1"/>
  <c r="AI361" i="1"/>
  <c r="AF361" i="1"/>
  <c r="AB361" i="1"/>
  <c r="S361" i="1"/>
  <c r="G361" i="1"/>
  <c r="F361" i="1"/>
  <c r="E361" i="1"/>
  <c r="A361" i="1"/>
  <c r="CX360" i="1"/>
  <c r="CV360" i="1"/>
  <c r="CS360" i="1"/>
  <c r="BW360" i="1"/>
  <c r="BS360" i="1"/>
  <c r="BA360" i="1"/>
  <c r="AI360" i="1"/>
  <c r="AF360" i="1"/>
  <c r="AB360" i="1"/>
  <c r="S360" i="1"/>
  <c r="G360" i="1"/>
  <c r="F360" i="1"/>
  <c r="E360" i="1"/>
  <c r="A360" i="1"/>
  <c r="CX359" i="1"/>
  <c r="CV359" i="1"/>
  <c r="CS359" i="1"/>
  <c r="BW359" i="1"/>
  <c r="BS359" i="1"/>
  <c r="BA359" i="1"/>
  <c r="AI359" i="1"/>
  <c r="AF359" i="1"/>
  <c r="AB359" i="1"/>
  <c r="G359" i="1"/>
  <c r="F359" i="1"/>
  <c r="E359" i="1"/>
  <c r="A359" i="1"/>
  <c r="CX358" i="1"/>
  <c r="CV358" i="1"/>
  <c r="CS358" i="1"/>
  <c r="BW358" i="1"/>
  <c r="BS358" i="1"/>
  <c r="BA358" i="1"/>
  <c r="AI358" i="1"/>
  <c r="AF358" i="1"/>
  <c r="AB358" i="1"/>
  <c r="S358" i="1"/>
  <c r="G358" i="1"/>
  <c r="F358" i="1"/>
  <c r="E358" i="1"/>
  <c r="A358" i="1"/>
  <c r="CX357" i="1"/>
  <c r="CV357" i="1"/>
  <c r="CS357" i="1"/>
  <c r="BW357" i="1"/>
  <c r="BS357" i="1"/>
  <c r="BA357" i="1"/>
  <c r="AI357" i="1"/>
  <c r="AF357" i="1"/>
  <c r="AB357" i="1"/>
  <c r="S357" i="1"/>
  <c r="G357" i="1"/>
  <c r="F357" i="1"/>
  <c r="E357" i="1"/>
  <c r="A357" i="1"/>
  <c r="CX356" i="1"/>
  <c r="CV356" i="1"/>
  <c r="CS356" i="1"/>
  <c r="BW356" i="1"/>
  <c r="BS356" i="1"/>
  <c r="BA356" i="1"/>
  <c r="AI356" i="1"/>
  <c r="AF356" i="1"/>
  <c r="AB356" i="1"/>
  <c r="S356" i="1"/>
  <c r="G356" i="1"/>
  <c r="F356" i="1"/>
  <c r="E356" i="1"/>
  <c r="A356" i="1"/>
  <c r="CX355" i="1"/>
  <c r="CV355" i="1"/>
  <c r="CS355" i="1"/>
  <c r="BW355" i="1"/>
  <c r="BS355" i="1"/>
  <c r="BA355" i="1"/>
  <c r="AI355" i="1"/>
  <c r="AF355" i="1"/>
  <c r="AB355" i="1"/>
  <c r="S355" i="1"/>
  <c r="G355" i="1"/>
  <c r="F355" i="1"/>
  <c r="E355" i="1"/>
  <c r="A355" i="1"/>
  <c r="CX354" i="1"/>
  <c r="CV354" i="1"/>
  <c r="CS354" i="1"/>
  <c r="BW354" i="1"/>
  <c r="BS354" i="1"/>
  <c r="BA354" i="1"/>
  <c r="AI354" i="1"/>
  <c r="AF354" i="1"/>
  <c r="AB354" i="1"/>
  <c r="S354" i="1"/>
  <c r="G354" i="1"/>
  <c r="F354" i="1"/>
  <c r="E354" i="1"/>
  <c r="A354" i="1"/>
  <c r="CX352" i="1"/>
  <c r="CV352" i="1"/>
  <c r="CS352" i="1"/>
  <c r="BW352" i="1"/>
  <c r="BS352" i="1"/>
  <c r="BA352" i="1"/>
  <c r="AI352" i="1"/>
  <c r="AF352" i="1"/>
  <c r="AB352" i="1"/>
  <c r="S352" i="1"/>
  <c r="G352" i="1"/>
  <c r="F352" i="1"/>
  <c r="E352" i="1"/>
  <c r="A352" i="1"/>
  <c r="EE351" i="1"/>
  <c r="ED351" i="1"/>
  <c r="EC351" i="1"/>
  <c r="EB351" i="1"/>
  <c r="EA351" i="1"/>
  <c r="DZ351" i="1"/>
  <c r="DY351" i="1"/>
  <c r="DX351" i="1"/>
  <c r="DW351" i="1"/>
  <c r="DV351" i="1"/>
  <c r="DU351" i="1"/>
  <c r="DT351" i="1"/>
  <c r="DS351" i="1"/>
  <c r="DR351" i="1"/>
  <c r="DQ351" i="1"/>
  <c r="DP351" i="1"/>
  <c r="DO351" i="1"/>
  <c r="DN351" i="1"/>
  <c r="DM351" i="1"/>
  <c r="DL351" i="1"/>
  <c r="CX351" i="1"/>
  <c r="CV351" i="1"/>
  <c r="CS351" i="1"/>
  <c r="BW351" i="1"/>
  <c r="BS351" i="1"/>
  <c r="BA351" i="1"/>
  <c r="AI351" i="1"/>
  <c r="AF351" i="1"/>
  <c r="AB351" i="1"/>
  <c r="AA351" i="1"/>
  <c r="Z351" i="1"/>
  <c r="Y351" i="1"/>
  <c r="X351" i="1"/>
  <c r="W351" i="1"/>
  <c r="V351" i="1"/>
  <c r="S351" i="1"/>
  <c r="G351" i="1"/>
  <c r="F351" i="1"/>
  <c r="E351" i="1"/>
  <c r="A351" i="1"/>
  <c r="EE350" i="1"/>
  <c r="ED350" i="1"/>
  <c r="EC350" i="1"/>
  <c r="EB350" i="1"/>
  <c r="EA350" i="1"/>
  <c r="DZ350" i="1"/>
  <c r="DY350" i="1"/>
  <c r="DX350" i="1"/>
  <c r="DW350" i="1"/>
  <c r="DV350" i="1"/>
  <c r="DU350" i="1"/>
  <c r="DT350" i="1"/>
  <c r="DS350" i="1"/>
  <c r="DR350" i="1"/>
  <c r="DQ350" i="1"/>
  <c r="DP350" i="1"/>
  <c r="DO350" i="1"/>
  <c r="DN350" i="1"/>
  <c r="DM350" i="1"/>
  <c r="DL350" i="1"/>
  <c r="CX350" i="1"/>
  <c r="CV350" i="1"/>
  <c r="CS350" i="1"/>
  <c r="BW350" i="1"/>
  <c r="BS350" i="1"/>
  <c r="BA350" i="1"/>
  <c r="AI350" i="1"/>
  <c r="AF350" i="1"/>
  <c r="AB350" i="1"/>
  <c r="AA350" i="1"/>
  <c r="Z350" i="1"/>
  <c r="Y350" i="1"/>
  <c r="X350" i="1"/>
  <c r="W350" i="1"/>
  <c r="V350" i="1"/>
  <c r="S350" i="1"/>
  <c r="G350" i="1"/>
  <c r="F350" i="1"/>
  <c r="E350" i="1"/>
  <c r="A350" i="1"/>
  <c r="CX349" i="1"/>
  <c r="CV349" i="1"/>
  <c r="CS349" i="1"/>
  <c r="BW349" i="1"/>
  <c r="BS349" i="1"/>
  <c r="BA349" i="1"/>
  <c r="AI349" i="1"/>
  <c r="AF349" i="1"/>
  <c r="AB349" i="1"/>
  <c r="G349" i="1"/>
  <c r="F349" i="1"/>
  <c r="E349" i="1"/>
  <c r="A349" i="1"/>
  <c r="CX347" i="1"/>
  <c r="CV347" i="1"/>
  <c r="CS347" i="1"/>
  <c r="BW347" i="1"/>
  <c r="BS347" i="1"/>
  <c r="BA347" i="1"/>
  <c r="AI347" i="1"/>
  <c r="AF347" i="1"/>
  <c r="AB347" i="1"/>
  <c r="S347" i="1"/>
  <c r="G347" i="1"/>
  <c r="F347" i="1"/>
  <c r="E347" i="1"/>
  <c r="A347" i="1"/>
  <c r="DS346" i="1"/>
  <c r="DR346" i="1"/>
  <c r="DQ346" i="1"/>
  <c r="DP346" i="1"/>
  <c r="DO346" i="1"/>
  <c r="DN346" i="1"/>
  <c r="DM346" i="1"/>
  <c r="DL346" i="1"/>
  <c r="CX346" i="1"/>
  <c r="CV346" i="1"/>
  <c r="CS346" i="1"/>
  <c r="BW346" i="1"/>
  <c r="BS346" i="1"/>
  <c r="BA346" i="1"/>
  <c r="AI346" i="1"/>
  <c r="AF346" i="1"/>
  <c r="AB346" i="1"/>
  <c r="AA346" i="1"/>
  <c r="Z346" i="1"/>
  <c r="Y346" i="1"/>
  <c r="X346" i="1"/>
  <c r="W346" i="1"/>
  <c r="V346" i="1"/>
  <c r="G346" i="1"/>
  <c r="F346" i="1"/>
  <c r="E346" i="1"/>
  <c r="A346" i="1"/>
  <c r="CX345" i="1"/>
  <c r="CV345" i="1"/>
  <c r="CS345" i="1"/>
  <c r="BW345" i="1"/>
  <c r="BS345" i="1"/>
  <c r="BA345" i="1"/>
  <c r="AI345" i="1"/>
  <c r="AF345" i="1"/>
  <c r="AB345" i="1"/>
  <c r="S345" i="1"/>
  <c r="G345" i="1"/>
  <c r="F345" i="1"/>
  <c r="E345" i="1"/>
  <c r="A345" i="1"/>
  <c r="CX344" i="1"/>
  <c r="CV344" i="1"/>
  <c r="CS344" i="1"/>
  <c r="BW344" i="1"/>
  <c r="BS344" i="1"/>
  <c r="BA344" i="1"/>
  <c r="AI344" i="1"/>
  <c r="AF344" i="1"/>
  <c r="AB344" i="1"/>
  <c r="S344" i="1"/>
  <c r="G344" i="1"/>
  <c r="F344" i="1"/>
  <c r="E344" i="1"/>
  <c r="A344" i="1"/>
  <c r="CX343" i="1"/>
  <c r="CV343" i="1"/>
  <c r="CS343" i="1"/>
  <c r="BW343" i="1"/>
  <c r="BS343" i="1"/>
  <c r="BA343" i="1"/>
  <c r="AI343" i="1"/>
  <c r="AF343" i="1"/>
  <c r="AB343" i="1"/>
  <c r="S343" i="1"/>
  <c r="G343" i="1"/>
  <c r="F343" i="1"/>
  <c r="E343" i="1"/>
  <c r="A343" i="1"/>
  <c r="CX342" i="1"/>
  <c r="CV342" i="1"/>
  <c r="CS342" i="1"/>
  <c r="BW342" i="1"/>
  <c r="BS342" i="1"/>
  <c r="BA342" i="1"/>
  <c r="AI342" i="1"/>
  <c r="AF342" i="1"/>
  <c r="AB342" i="1"/>
  <c r="S342" i="1"/>
  <c r="G342" i="1"/>
  <c r="F342" i="1"/>
  <c r="E342" i="1"/>
  <c r="A342" i="1"/>
  <c r="CX341" i="1"/>
  <c r="CV341" i="1"/>
  <c r="CS341" i="1"/>
  <c r="BW341" i="1"/>
  <c r="BS341" i="1"/>
  <c r="BA341" i="1"/>
  <c r="AI341" i="1"/>
  <c r="AF341" i="1"/>
  <c r="AB341" i="1"/>
  <c r="G341" i="1"/>
  <c r="F341" i="1"/>
  <c r="E341" i="1"/>
  <c r="A341" i="1"/>
  <c r="CX340" i="1"/>
  <c r="CV340" i="1"/>
  <c r="CS340" i="1"/>
  <c r="BW340" i="1"/>
  <c r="BS340" i="1"/>
  <c r="BA340" i="1"/>
  <c r="AI340" i="1"/>
  <c r="AF340" i="1"/>
  <c r="AB340" i="1"/>
  <c r="S340" i="1"/>
  <c r="G340" i="1"/>
  <c r="F340" i="1"/>
  <c r="E340" i="1"/>
  <c r="A340" i="1"/>
  <c r="CX339" i="1"/>
  <c r="CV339" i="1"/>
  <c r="CS339" i="1"/>
  <c r="BW339" i="1"/>
  <c r="BS339" i="1"/>
  <c r="BA339" i="1"/>
  <c r="AI339" i="1"/>
  <c r="AF339" i="1"/>
  <c r="AB339" i="1"/>
  <c r="S339" i="1"/>
  <c r="G339" i="1"/>
  <c r="F339" i="1"/>
  <c r="E339" i="1"/>
  <c r="A339" i="1"/>
  <c r="CX338" i="1"/>
  <c r="CV338" i="1"/>
  <c r="CS338" i="1"/>
  <c r="BW338" i="1"/>
  <c r="BS338" i="1"/>
  <c r="BA338" i="1"/>
  <c r="AI338" i="1"/>
  <c r="AF338" i="1"/>
  <c r="AB338" i="1"/>
  <c r="S338" i="1"/>
  <c r="G338" i="1"/>
  <c r="F338" i="1"/>
  <c r="E338" i="1"/>
  <c r="A338" i="1"/>
  <c r="CX337" i="1"/>
  <c r="CV337" i="1"/>
  <c r="CS337" i="1"/>
  <c r="BW337" i="1"/>
  <c r="BS337" i="1"/>
  <c r="BA337" i="1"/>
  <c r="AI337" i="1"/>
  <c r="AF337" i="1"/>
  <c r="AB337" i="1"/>
  <c r="S337" i="1"/>
  <c r="G337" i="1"/>
  <c r="F337" i="1"/>
  <c r="E337" i="1"/>
  <c r="A337" i="1"/>
  <c r="CX336" i="1"/>
  <c r="CV336" i="1"/>
  <c r="CS336" i="1"/>
  <c r="BW336" i="1"/>
  <c r="BS336" i="1"/>
  <c r="BA336" i="1"/>
  <c r="AI336" i="1"/>
  <c r="AF336" i="1"/>
  <c r="AB336" i="1"/>
  <c r="G336" i="1"/>
  <c r="F336" i="1"/>
  <c r="E336" i="1"/>
  <c r="A336" i="1"/>
  <c r="CX335" i="1"/>
  <c r="CV335" i="1"/>
  <c r="CS335" i="1"/>
  <c r="BW335" i="1"/>
  <c r="BS335" i="1"/>
  <c r="BA335" i="1"/>
  <c r="AI335" i="1"/>
  <c r="AF335" i="1"/>
  <c r="AB335" i="1"/>
  <c r="S335" i="1"/>
  <c r="G335" i="1"/>
  <c r="F335" i="1"/>
  <c r="E335" i="1"/>
  <c r="A335" i="1"/>
  <c r="CX333" i="1"/>
  <c r="CV333" i="1"/>
  <c r="CS333" i="1"/>
  <c r="BW333" i="1"/>
  <c r="BS333" i="1"/>
  <c r="BA333" i="1"/>
  <c r="AI333" i="1"/>
  <c r="AF333" i="1"/>
  <c r="AB333" i="1"/>
  <c r="S333" i="1"/>
  <c r="G333" i="1"/>
  <c r="F333" i="1"/>
  <c r="E333" i="1"/>
  <c r="A333" i="1"/>
  <c r="CX332" i="1"/>
  <c r="CV332" i="1"/>
  <c r="CS332" i="1"/>
  <c r="BW332" i="1"/>
  <c r="BS332" i="1"/>
  <c r="BA332" i="1"/>
  <c r="AI332" i="1"/>
  <c r="AF332" i="1"/>
  <c r="AB332" i="1"/>
  <c r="S332" i="1"/>
  <c r="G332" i="1"/>
  <c r="F332" i="1"/>
  <c r="E332" i="1"/>
  <c r="A332" i="1"/>
  <c r="DS331" i="1"/>
  <c r="DR331" i="1"/>
  <c r="DQ331" i="1"/>
  <c r="DP331" i="1"/>
  <c r="DO331" i="1"/>
  <c r="DN331" i="1"/>
  <c r="DM331" i="1"/>
  <c r="DL331" i="1"/>
  <c r="CX331" i="1"/>
  <c r="CV331" i="1"/>
  <c r="CS331" i="1"/>
  <c r="BW331" i="1"/>
  <c r="BS331" i="1"/>
  <c r="BA331" i="1"/>
  <c r="AI331" i="1"/>
  <c r="AF331" i="1"/>
  <c r="AB331" i="1"/>
  <c r="AA331" i="1"/>
  <c r="Z331" i="1"/>
  <c r="Y331" i="1"/>
  <c r="X331" i="1"/>
  <c r="W331" i="1"/>
  <c r="V331" i="1"/>
  <c r="G331" i="1"/>
  <c r="F331" i="1"/>
  <c r="E331" i="1"/>
  <c r="A331" i="1"/>
  <c r="CX330" i="1"/>
  <c r="CV330" i="1"/>
  <c r="CS330" i="1"/>
  <c r="BW330" i="1"/>
  <c r="BS330" i="1"/>
  <c r="BA330" i="1"/>
  <c r="AI330" i="1"/>
  <c r="AF330" i="1"/>
  <c r="AB330" i="1"/>
  <c r="S330" i="1"/>
  <c r="G330" i="1"/>
  <c r="F330" i="1"/>
  <c r="E330" i="1"/>
  <c r="A330" i="1"/>
  <c r="CX329" i="1"/>
  <c r="CV329" i="1"/>
  <c r="CS329" i="1"/>
  <c r="BW329" i="1"/>
  <c r="BS329" i="1"/>
  <c r="BA329" i="1"/>
  <c r="AI329" i="1"/>
  <c r="AF329" i="1"/>
  <c r="AB329" i="1"/>
  <c r="S329" i="1"/>
  <c r="G329" i="1"/>
  <c r="F329" i="1"/>
  <c r="E329" i="1"/>
  <c r="A329" i="1"/>
  <c r="CX328" i="1"/>
  <c r="CV328" i="1"/>
  <c r="CS328" i="1"/>
  <c r="BW328" i="1"/>
  <c r="BS328" i="1"/>
  <c r="BA328" i="1"/>
  <c r="AI328" i="1"/>
  <c r="AF328" i="1"/>
  <c r="AB328" i="1"/>
  <c r="G328" i="1"/>
  <c r="F328" i="1"/>
  <c r="E328" i="1"/>
  <c r="A328" i="1"/>
  <c r="CX327" i="1"/>
  <c r="CV327" i="1"/>
  <c r="CS327" i="1"/>
  <c r="BW327" i="1"/>
  <c r="BS327" i="1"/>
  <c r="BA327" i="1"/>
  <c r="AI327" i="1"/>
  <c r="AF327" i="1"/>
  <c r="AB327" i="1"/>
  <c r="S327" i="1"/>
  <c r="G327" i="1"/>
  <c r="F327" i="1"/>
  <c r="E327" i="1"/>
  <c r="A327" i="1"/>
  <c r="CX326" i="1"/>
  <c r="CV326" i="1"/>
  <c r="CS326" i="1"/>
  <c r="BW326" i="1"/>
  <c r="BS326" i="1"/>
  <c r="BA326" i="1"/>
  <c r="AI326" i="1"/>
  <c r="AF326" i="1"/>
  <c r="AB326" i="1"/>
  <c r="S326" i="1"/>
  <c r="G326" i="1"/>
  <c r="F326" i="1"/>
  <c r="E326" i="1"/>
  <c r="A326" i="1"/>
  <c r="CX324" i="1"/>
  <c r="CV324" i="1"/>
  <c r="CS324" i="1"/>
  <c r="BW324" i="1"/>
  <c r="BS324" i="1"/>
  <c r="BA324" i="1"/>
  <c r="AI324" i="1"/>
  <c r="AF324" i="1"/>
  <c r="AB324" i="1"/>
  <c r="G324" i="1"/>
  <c r="F324" i="1"/>
  <c r="E324" i="1"/>
  <c r="A324" i="1"/>
  <c r="CX323" i="1"/>
  <c r="CV323" i="1"/>
  <c r="CS323" i="1"/>
  <c r="BW323" i="1"/>
  <c r="BS323" i="1"/>
  <c r="BA323" i="1"/>
  <c r="AI323" i="1"/>
  <c r="AF323" i="1"/>
  <c r="AB323" i="1"/>
  <c r="S323" i="1"/>
  <c r="G323" i="1"/>
  <c r="F323" i="1"/>
  <c r="E323" i="1"/>
  <c r="A323" i="1"/>
  <c r="CX322" i="1"/>
  <c r="CV322" i="1"/>
  <c r="CS322" i="1"/>
  <c r="BW322" i="1"/>
  <c r="BS322" i="1"/>
  <c r="BA322" i="1"/>
  <c r="AI322" i="1"/>
  <c r="AF322" i="1"/>
  <c r="AB322" i="1"/>
  <c r="G322" i="1"/>
  <c r="F322" i="1"/>
  <c r="E322" i="1"/>
  <c r="A322" i="1"/>
  <c r="CX321" i="1"/>
  <c r="CV321" i="1"/>
  <c r="CS321" i="1"/>
  <c r="BW321" i="1"/>
  <c r="BS321" i="1"/>
  <c r="BA321" i="1"/>
  <c r="AI321" i="1"/>
  <c r="AF321" i="1"/>
  <c r="AB321" i="1"/>
  <c r="S321" i="1"/>
  <c r="G321" i="1"/>
  <c r="F321" i="1"/>
  <c r="E321" i="1"/>
  <c r="A321" i="1"/>
  <c r="CX320" i="1"/>
  <c r="CV320" i="1"/>
  <c r="CS320" i="1"/>
  <c r="BW320" i="1"/>
  <c r="BS320" i="1"/>
  <c r="BA320" i="1"/>
  <c r="AI320" i="1"/>
  <c r="AF320" i="1"/>
  <c r="AB320" i="1"/>
  <c r="S320" i="1"/>
  <c r="G320" i="1"/>
  <c r="F320" i="1"/>
  <c r="E320" i="1"/>
  <c r="A320" i="1"/>
  <c r="EC319" i="1"/>
  <c r="EB319" i="1"/>
  <c r="EA319" i="1"/>
  <c r="DZ319" i="1"/>
  <c r="DY319" i="1"/>
  <c r="DX319" i="1"/>
  <c r="DW319" i="1"/>
  <c r="DV319" i="1"/>
  <c r="DU319" i="1"/>
  <c r="DT319" i="1"/>
  <c r="DS319" i="1"/>
  <c r="DR319" i="1"/>
  <c r="DQ319" i="1"/>
  <c r="DP319" i="1"/>
  <c r="DO319" i="1"/>
  <c r="DN319" i="1"/>
  <c r="DM319" i="1"/>
  <c r="DL319" i="1"/>
  <c r="CX319" i="1"/>
  <c r="CV319" i="1"/>
  <c r="CS319" i="1"/>
  <c r="BW319" i="1"/>
  <c r="BS319" i="1"/>
  <c r="BA319" i="1"/>
  <c r="AI319" i="1"/>
  <c r="AF319" i="1"/>
  <c r="AB319" i="1"/>
  <c r="AA319" i="1"/>
  <c r="Z319" i="1"/>
  <c r="Y319" i="1"/>
  <c r="X319" i="1"/>
  <c r="W319" i="1"/>
  <c r="V319" i="1"/>
  <c r="S319" i="1"/>
  <c r="G319" i="1"/>
  <c r="F319" i="1"/>
  <c r="E319" i="1"/>
  <c r="A319" i="1"/>
  <c r="EC318" i="1"/>
  <c r="EB318" i="1"/>
  <c r="EA318" i="1"/>
  <c r="DZ318" i="1"/>
  <c r="DY318" i="1"/>
  <c r="DX318" i="1"/>
  <c r="DW318" i="1"/>
  <c r="DV318" i="1"/>
  <c r="DU318" i="1"/>
  <c r="DT318" i="1"/>
  <c r="DS318" i="1"/>
  <c r="DR318" i="1"/>
  <c r="DQ318" i="1"/>
  <c r="DP318" i="1"/>
  <c r="DO318" i="1"/>
  <c r="DN318" i="1"/>
  <c r="DM318" i="1"/>
  <c r="DL318" i="1"/>
  <c r="CX318" i="1"/>
  <c r="CV318" i="1"/>
  <c r="CS318" i="1"/>
  <c r="BW318" i="1"/>
  <c r="BS318" i="1"/>
  <c r="BA318" i="1"/>
  <c r="AI318" i="1"/>
  <c r="AF318" i="1"/>
  <c r="AB318" i="1"/>
  <c r="AA318" i="1"/>
  <c r="Z318" i="1"/>
  <c r="Y318" i="1"/>
  <c r="X318" i="1"/>
  <c r="W318" i="1"/>
  <c r="V318" i="1"/>
  <c r="S318" i="1"/>
  <c r="G318" i="1"/>
  <c r="F318" i="1"/>
  <c r="E318" i="1"/>
  <c r="A318" i="1"/>
  <c r="CX317" i="1"/>
  <c r="CV317" i="1"/>
  <c r="CS317" i="1"/>
  <c r="BW317" i="1"/>
  <c r="BS317" i="1"/>
  <c r="BA317" i="1"/>
  <c r="AI317" i="1"/>
  <c r="AF317" i="1"/>
  <c r="AB317" i="1"/>
  <c r="S317" i="1"/>
  <c r="G317" i="1"/>
  <c r="F317" i="1"/>
  <c r="E317" i="1"/>
  <c r="A317" i="1"/>
  <c r="CX316" i="1"/>
  <c r="CV316" i="1"/>
  <c r="CS316" i="1"/>
  <c r="BW316" i="1"/>
  <c r="BS316" i="1"/>
  <c r="BA316" i="1"/>
  <c r="AI316" i="1"/>
  <c r="AF316" i="1"/>
  <c r="AB316" i="1"/>
  <c r="G316" i="1"/>
  <c r="F316" i="1"/>
  <c r="E316" i="1"/>
  <c r="A316" i="1"/>
  <c r="CX315" i="1"/>
  <c r="CV315" i="1"/>
  <c r="CS315" i="1"/>
  <c r="BS315" i="1"/>
  <c r="BA315" i="1"/>
  <c r="AI315" i="1"/>
  <c r="AF315" i="1"/>
  <c r="AB315" i="1"/>
  <c r="G315" i="1"/>
  <c r="F315" i="1"/>
  <c r="E315" i="1"/>
  <c r="A315" i="1"/>
  <c r="CX314" i="1"/>
  <c r="CV314" i="1"/>
  <c r="CS314" i="1"/>
  <c r="BW314" i="1"/>
  <c r="BS314" i="1"/>
  <c r="BA314" i="1"/>
  <c r="AI314" i="1"/>
  <c r="AF314" i="1"/>
  <c r="AB314" i="1"/>
  <c r="S314" i="1"/>
  <c r="G314" i="1"/>
  <c r="F314" i="1"/>
  <c r="E314" i="1"/>
  <c r="A314" i="1"/>
  <c r="DJ313" i="1"/>
  <c r="CX313" i="1"/>
  <c r="CV313" i="1"/>
  <c r="CS313" i="1"/>
  <c r="BS313" i="1"/>
  <c r="BA313" i="1"/>
  <c r="AI313" i="1"/>
  <c r="AF313" i="1"/>
  <c r="AB313" i="1"/>
  <c r="G313" i="1"/>
  <c r="F313" i="1"/>
  <c r="E313" i="1"/>
  <c r="A313" i="1"/>
  <c r="EA312" i="1"/>
  <c r="DZ312" i="1"/>
  <c r="DY312" i="1"/>
  <c r="DX312" i="1"/>
  <c r="DW312" i="1"/>
  <c r="DV312" i="1"/>
  <c r="DU312" i="1"/>
  <c r="DT312" i="1"/>
  <c r="DS312" i="1"/>
  <c r="DR312" i="1"/>
  <c r="DQ312" i="1"/>
  <c r="DP312" i="1"/>
  <c r="DO312" i="1"/>
  <c r="DN312" i="1"/>
  <c r="DM312" i="1"/>
  <c r="DL312" i="1"/>
  <c r="CX312" i="1"/>
  <c r="CV312" i="1"/>
  <c r="CS312" i="1"/>
  <c r="BW312" i="1"/>
  <c r="BS312" i="1"/>
  <c r="BA312" i="1"/>
  <c r="AI312" i="1"/>
  <c r="AF312" i="1"/>
  <c r="AB312" i="1"/>
  <c r="AA312" i="1"/>
  <c r="Z312" i="1"/>
  <c r="Y312" i="1"/>
  <c r="X312" i="1"/>
  <c r="W312" i="1"/>
  <c r="V312" i="1"/>
  <c r="S312" i="1"/>
  <c r="G312" i="1"/>
  <c r="F312" i="1"/>
  <c r="E312" i="1"/>
  <c r="A312" i="1"/>
  <c r="DY311" i="1"/>
  <c r="DX311" i="1"/>
  <c r="DW311" i="1"/>
  <c r="DV311" i="1"/>
  <c r="DU311" i="1"/>
  <c r="DT311" i="1"/>
  <c r="DS311" i="1"/>
  <c r="DR311" i="1"/>
  <c r="DQ311" i="1"/>
  <c r="DP311" i="1"/>
  <c r="DO311" i="1"/>
  <c r="DN311" i="1"/>
  <c r="DM311" i="1"/>
  <c r="DL311" i="1"/>
  <c r="CX311" i="1"/>
  <c r="CV311" i="1"/>
  <c r="CS311" i="1"/>
  <c r="BW311" i="1"/>
  <c r="BS311" i="1"/>
  <c r="BA311" i="1"/>
  <c r="AI311" i="1"/>
  <c r="AF311" i="1"/>
  <c r="AB311" i="1"/>
  <c r="AA311" i="1"/>
  <c r="Z311" i="1"/>
  <c r="Y311" i="1"/>
  <c r="X311" i="1"/>
  <c r="W311" i="1"/>
  <c r="V311" i="1"/>
  <c r="G311" i="1"/>
  <c r="F311" i="1"/>
  <c r="E311" i="1"/>
  <c r="A311" i="1"/>
  <c r="EA310" i="1"/>
  <c r="DZ310" i="1"/>
  <c r="DY310" i="1"/>
  <c r="DX310" i="1"/>
  <c r="DW310" i="1"/>
  <c r="DV310" i="1"/>
  <c r="DU310" i="1"/>
  <c r="DT310" i="1"/>
  <c r="DS310" i="1"/>
  <c r="DR310" i="1"/>
  <c r="DQ310" i="1"/>
  <c r="DP310" i="1"/>
  <c r="DO310" i="1"/>
  <c r="DN310" i="1"/>
  <c r="DM310" i="1"/>
  <c r="DL310" i="1"/>
  <c r="CX310" i="1"/>
  <c r="CV310" i="1"/>
  <c r="CS310" i="1"/>
  <c r="BW310" i="1"/>
  <c r="BS310" i="1"/>
  <c r="BA310" i="1"/>
  <c r="AI310" i="1"/>
  <c r="AF310" i="1"/>
  <c r="AB310" i="1"/>
  <c r="AA310" i="1"/>
  <c r="Z310" i="1"/>
  <c r="Y310" i="1"/>
  <c r="X310" i="1"/>
  <c r="W310" i="1"/>
  <c r="V310" i="1"/>
  <c r="S310" i="1"/>
  <c r="G310" i="1"/>
  <c r="F310" i="1"/>
  <c r="E310" i="1"/>
  <c r="A310" i="1"/>
  <c r="CX309" i="1"/>
  <c r="CV309" i="1"/>
  <c r="CS309" i="1"/>
  <c r="BW309" i="1"/>
  <c r="BS309" i="1"/>
  <c r="BA309" i="1"/>
  <c r="AI309" i="1"/>
  <c r="AF309" i="1"/>
  <c r="AB309" i="1"/>
  <c r="S309" i="1"/>
  <c r="G309" i="1"/>
  <c r="F309" i="1"/>
  <c r="E309" i="1"/>
  <c r="A309" i="1"/>
  <c r="CX308" i="1"/>
  <c r="CV308" i="1"/>
  <c r="CS308" i="1"/>
  <c r="BW308" i="1"/>
  <c r="BS308" i="1"/>
  <c r="BA308" i="1"/>
  <c r="AI308" i="1"/>
  <c r="AF308" i="1"/>
  <c r="AB308" i="1"/>
  <c r="S308" i="1"/>
  <c r="G308" i="1"/>
  <c r="F308" i="1"/>
  <c r="E308" i="1"/>
  <c r="A308" i="1"/>
  <c r="CX307" i="1"/>
  <c r="CV307" i="1"/>
  <c r="CS307" i="1"/>
  <c r="BW307" i="1"/>
  <c r="BS307" i="1"/>
  <c r="BA307" i="1"/>
  <c r="AI307" i="1"/>
  <c r="AF307" i="1"/>
  <c r="AB307" i="1"/>
  <c r="G307" i="1"/>
  <c r="F307" i="1"/>
  <c r="E307" i="1"/>
  <c r="A307" i="1"/>
  <c r="CX306" i="1"/>
  <c r="CV306" i="1"/>
  <c r="CS306" i="1"/>
  <c r="BW306" i="1"/>
  <c r="BS306" i="1"/>
  <c r="BA306" i="1"/>
  <c r="AI306" i="1"/>
  <c r="AF306" i="1"/>
  <c r="AB306" i="1"/>
  <c r="G306" i="1"/>
  <c r="F306" i="1"/>
  <c r="E306" i="1"/>
  <c r="A306" i="1"/>
  <c r="CX305" i="1"/>
  <c r="CV305" i="1"/>
  <c r="CS305" i="1"/>
  <c r="BW305" i="1"/>
  <c r="BS305" i="1"/>
  <c r="BA305" i="1"/>
  <c r="AI305" i="1"/>
  <c r="AF305" i="1"/>
  <c r="AB305" i="1"/>
  <c r="G305" i="1"/>
  <c r="F305" i="1"/>
  <c r="E305" i="1"/>
  <c r="A305" i="1"/>
  <c r="DO304" i="1"/>
  <c r="DN304" i="1"/>
  <c r="DM304" i="1"/>
  <c r="DL304" i="1"/>
  <c r="CX304" i="1"/>
  <c r="CV304" i="1"/>
  <c r="CS304" i="1"/>
  <c r="BW304" i="1"/>
  <c r="BS304" i="1"/>
  <c r="BA304" i="1"/>
  <c r="AI304" i="1"/>
  <c r="AF304" i="1"/>
  <c r="AB304" i="1"/>
  <c r="Y304" i="1"/>
  <c r="X304" i="1"/>
  <c r="W304" i="1"/>
  <c r="V304" i="1"/>
  <c r="S304" i="1"/>
  <c r="G304" i="1"/>
  <c r="F304" i="1"/>
  <c r="E304" i="1"/>
  <c r="A304" i="1"/>
  <c r="CX303" i="1"/>
  <c r="CV303" i="1"/>
  <c r="CS303" i="1"/>
  <c r="BW303" i="1"/>
  <c r="BS303" i="1"/>
  <c r="BA303" i="1"/>
  <c r="AI303" i="1"/>
  <c r="AF303" i="1"/>
  <c r="AB303" i="1"/>
  <c r="S303" i="1"/>
  <c r="G303" i="1"/>
  <c r="F303" i="1"/>
  <c r="E303" i="1"/>
  <c r="A303" i="1"/>
  <c r="CX302" i="1"/>
  <c r="CV302" i="1"/>
  <c r="CS302" i="1"/>
  <c r="BW302" i="1"/>
  <c r="BS302" i="1"/>
  <c r="BA302" i="1"/>
  <c r="AI302" i="1"/>
  <c r="AF302" i="1"/>
  <c r="AB302" i="1"/>
  <c r="G302" i="1"/>
  <c r="F302" i="1"/>
  <c r="E302" i="1"/>
  <c r="A302" i="1"/>
  <c r="CX301" i="1"/>
  <c r="CV301" i="1"/>
  <c r="CS301" i="1"/>
  <c r="BW301" i="1"/>
  <c r="BS301" i="1"/>
  <c r="BA301" i="1"/>
  <c r="AI301" i="1"/>
  <c r="AF301" i="1"/>
  <c r="AB301" i="1"/>
  <c r="S301" i="1"/>
  <c r="G301" i="1"/>
  <c r="F301" i="1"/>
  <c r="E301" i="1"/>
  <c r="A301" i="1"/>
  <c r="CX300" i="1"/>
  <c r="CV300" i="1"/>
  <c r="CS300" i="1"/>
  <c r="BW300" i="1"/>
  <c r="BS300" i="1"/>
  <c r="BA300" i="1"/>
  <c r="AI300" i="1"/>
  <c r="AF300" i="1"/>
  <c r="AB300" i="1"/>
  <c r="G300" i="1"/>
  <c r="F300" i="1"/>
  <c r="E300" i="1"/>
  <c r="A300" i="1"/>
  <c r="DQ299" i="1"/>
  <c r="DP299" i="1"/>
  <c r="DO299" i="1"/>
  <c r="DN299" i="1"/>
  <c r="DM299" i="1"/>
  <c r="DL299" i="1"/>
  <c r="CX299" i="1"/>
  <c r="CV299" i="1"/>
  <c r="CS299" i="1"/>
  <c r="BW299" i="1"/>
  <c r="BS299" i="1"/>
  <c r="BA299" i="1"/>
  <c r="AI299" i="1"/>
  <c r="AF299" i="1"/>
  <c r="AB299" i="1"/>
  <c r="AA299" i="1"/>
  <c r="Z299" i="1"/>
  <c r="Y299" i="1"/>
  <c r="X299" i="1"/>
  <c r="W299" i="1"/>
  <c r="V299" i="1"/>
  <c r="G299" i="1"/>
  <c r="F299" i="1"/>
  <c r="E299" i="1"/>
  <c r="A299" i="1"/>
  <c r="CX298" i="1"/>
  <c r="CV298" i="1"/>
  <c r="CS298" i="1"/>
  <c r="BW298" i="1"/>
  <c r="BS298" i="1"/>
  <c r="BA298" i="1"/>
  <c r="AI298" i="1"/>
  <c r="AF298" i="1"/>
  <c r="AB298" i="1"/>
  <c r="G298" i="1"/>
  <c r="F298" i="1"/>
  <c r="E298" i="1"/>
  <c r="A298" i="1"/>
  <c r="CX297" i="1"/>
  <c r="CV297" i="1"/>
  <c r="CS297" i="1"/>
  <c r="BW297" i="1"/>
  <c r="BS297" i="1"/>
  <c r="BA297" i="1"/>
  <c r="AI297" i="1"/>
  <c r="AF297" i="1"/>
  <c r="AB297" i="1"/>
  <c r="S297" i="1"/>
  <c r="G297" i="1"/>
  <c r="F297" i="1"/>
  <c r="E297" i="1"/>
  <c r="A297" i="1"/>
  <c r="EG296" i="1"/>
  <c r="EF296" i="1"/>
  <c r="EE296" i="1"/>
  <c r="ED296" i="1"/>
  <c r="EC296" i="1"/>
  <c r="EB296" i="1"/>
  <c r="EA296" i="1"/>
  <c r="DZ296" i="1"/>
  <c r="DY296" i="1"/>
  <c r="DX296" i="1"/>
  <c r="DW296" i="1"/>
  <c r="DV296" i="1"/>
  <c r="DU296" i="1"/>
  <c r="DT296" i="1"/>
  <c r="DS296" i="1"/>
  <c r="DR296" i="1"/>
  <c r="DQ296" i="1"/>
  <c r="DP296" i="1"/>
  <c r="DO296" i="1"/>
  <c r="DN296" i="1"/>
  <c r="DM296" i="1"/>
  <c r="DL296" i="1"/>
  <c r="CX296" i="1"/>
  <c r="CV296" i="1"/>
  <c r="CS296" i="1"/>
  <c r="BW296" i="1"/>
  <c r="BS296" i="1"/>
  <c r="BA296" i="1"/>
  <c r="AI296" i="1"/>
  <c r="AF296" i="1"/>
  <c r="AB296" i="1"/>
  <c r="AA296" i="1"/>
  <c r="Z296" i="1"/>
  <c r="Y296" i="1"/>
  <c r="X296" i="1"/>
  <c r="W296" i="1"/>
  <c r="V296" i="1"/>
  <c r="G296" i="1"/>
  <c r="F296" i="1"/>
  <c r="E296" i="1"/>
  <c r="A296" i="1"/>
  <c r="EG295" i="1"/>
  <c r="EF295" i="1"/>
  <c r="EE295" i="1"/>
  <c r="ED295" i="1"/>
  <c r="EC295" i="1"/>
  <c r="EB295" i="1"/>
  <c r="EA295" i="1"/>
  <c r="DZ295" i="1"/>
  <c r="DY295" i="1"/>
  <c r="DX295" i="1"/>
  <c r="DW295" i="1"/>
  <c r="DV295" i="1"/>
  <c r="DU295" i="1"/>
  <c r="DT295" i="1"/>
  <c r="DS295" i="1"/>
  <c r="DR295" i="1"/>
  <c r="DQ295" i="1"/>
  <c r="DP295" i="1"/>
  <c r="DO295" i="1"/>
  <c r="DN295" i="1"/>
  <c r="DM295" i="1"/>
  <c r="DL295" i="1"/>
  <c r="CX295" i="1"/>
  <c r="CV295" i="1"/>
  <c r="CS295" i="1"/>
  <c r="BS295" i="1"/>
  <c r="BA295" i="1"/>
  <c r="AI295" i="1"/>
  <c r="AF295" i="1"/>
  <c r="AB295" i="1"/>
  <c r="AA295" i="1"/>
  <c r="Z295" i="1"/>
  <c r="Y295" i="1"/>
  <c r="X295" i="1"/>
  <c r="W295" i="1"/>
  <c r="V295" i="1"/>
  <c r="G295" i="1"/>
  <c r="F295" i="1"/>
  <c r="E295" i="1"/>
  <c r="A295" i="1"/>
  <c r="CX294" i="1"/>
  <c r="CV294" i="1"/>
  <c r="CS294" i="1"/>
  <c r="BW294" i="1"/>
  <c r="BS294" i="1"/>
  <c r="BA294" i="1"/>
  <c r="AI294" i="1"/>
  <c r="AF294" i="1"/>
  <c r="AB294" i="1"/>
  <c r="S294" i="1"/>
  <c r="G294" i="1"/>
  <c r="F294" i="1"/>
  <c r="E294" i="1"/>
  <c r="A294" i="1"/>
  <c r="EI293" i="1"/>
  <c r="EH293" i="1"/>
  <c r="EG293" i="1"/>
  <c r="EF293" i="1"/>
  <c r="EE293" i="1"/>
  <c r="ED293" i="1"/>
  <c r="EC293" i="1"/>
  <c r="EB293" i="1"/>
  <c r="EA293" i="1"/>
  <c r="DZ293" i="1"/>
  <c r="DY293" i="1"/>
  <c r="DX293" i="1"/>
  <c r="DW293" i="1"/>
  <c r="DV293" i="1"/>
  <c r="DU293" i="1"/>
  <c r="DT293" i="1"/>
  <c r="DS293" i="1"/>
  <c r="DR293" i="1"/>
  <c r="DQ293" i="1"/>
  <c r="DP293" i="1"/>
  <c r="DO293" i="1"/>
  <c r="DN293" i="1"/>
  <c r="DM293" i="1"/>
  <c r="DL293" i="1"/>
  <c r="CX293" i="1"/>
  <c r="CV293" i="1"/>
  <c r="CS293" i="1"/>
  <c r="BW293" i="1"/>
  <c r="BS293" i="1"/>
  <c r="BA293" i="1"/>
  <c r="AI293" i="1"/>
  <c r="AF293" i="1"/>
  <c r="AB293" i="1"/>
  <c r="AA293" i="1"/>
  <c r="Z293" i="1"/>
  <c r="Y293" i="1"/>
  <c r="X293" i="1"/>
  <c r="W293" i="1"/>
  <c r="V293" i="1"/>
  <c r="G293" i="1"/>
  <c r="F293" i="1"/>
  <c r="E293" i="1"/>
  <c r="A293" i="1"/>
  <c r="EI292" i="1"/>
  <c r="EH292" i="1"/>
  <c r="EG292" i="1"/>
  <c r="EF292" i="1"/>
  <c r="EE292" i="1"/>
  <c r="ED292" i="1"/>
  <c r="EC292" i="1"/>
  <c r="EB292" i="1"/>
  <c r="EA292" i="1"/>
  <c r="DZ292" i="1"/>
  <c r="DY292" i="1"/>
  <c r="DX292" i="1"/>
  <c r="DW292" i="1"/>
  <c r="DV292" i="1"/>
  <c r="DU292" i="1"/>
  <c r="DT292" i="1"/>
  <c r="DS292" i="1"/>
  <c r="DR292" i="1"/>
  <c r="DQ292" i="1"/>
  <c r="DP292" i="1"/>
  <c r="DO292" i="1"/>
  <c r="DN292" i="1"/>
  <c r="DM292" i="1"/>
  <c r="DL292" i="1"/>
  <c r="CX292" i="1"/>
  <c r="CV292" i="1"/>
  <c r="CS292" i="1"/>
  <c r="BW292" i="1"/>
  <c r="BS292" i="1"/>
  <c r="BA292" i="1"/>
  <c r="AI292" i="1"/>
  <c r="AF292" i="1"/>
  <c r="AB292" i="1"/>
  <c r="AA292" i="1"/>
  <c r="Z292" i="1"/>
  <c r="Y292" i="1"/>
  <c r="X292" i="1"/>
  <c r="W292" i="1"/>
  <c r="V292" i="1"/>
  <c r="G292" i="1"/>
  <c r="F292" i="1"/>
  <c r="E292" i="1"/>
  <c r="A292" i="1"/>
  <c r="CX291" i="1"/>
  <c r="CV291" i="1"/>
  <c r="CS291" i="1"/>
  <c r="BW291" i="1"/>
  <c r="BS291" i="1"/>
  <c r="BA291" i="1"/>
  <c r="AI291" i="1"/>
  <c r="AF291" i="1"/>
  <c r="AB291" i="1"/>
  <c r="G291" i="1"/>
  <c r="F291" i="1"/>
  <c r="E291" i="1"/>
  <c r="A291" i="1"/>
  <c r="CX290" i="1"/>
  <c r="CV290" i="1"/>
  <c r="CS290" i="1"/>
  <c r="BW290" i="1"/>
  <c r="BS290" i="1"/>
  <c r="BA290" i="1"/>
  <c r="AI290" i="1"/>
  <c r="AF290" i="1"/>
  <c r="AB290" i="1"/>
  <c r="G290" i="1"/>
  <c r="F290" i="1"/>
  <c r="E290" i="1"/>
  <c r="A290" i="1"/>
  <c r="CX289" i="1"/>
  <c r="CV289" i="1"/>
  <c r="CS289" i="1"/>
  <c r="BW289" i="1"/>
  <c r="BS289" i="1"/>
  <c r="BA289" i="1"/>
  <c r="AI289" i="1"/>
  <c r="AF289" i="1"/>
  <c r="AB289" i="1"/>
  <c r="G289" i="1"/>
  <c r="F289" i="1"/>
  <c r="E289" i="1"/>
  <c r="A289" i="1"/>
  <c r="CX288" i="1"/>
  <c r="CV288" i="1"/>
  <c r="CS288" i="1"/>
  <c r="BW288" i="1"/>
  <c r="BS288" i="1"/>
  <c r="BA288" i="1"/>
  <c r="AI288" i="1"/>
  <c r="AF288" i="1"/>
  <c r="AB288" i="1"/>
  <c r="S288" i="1"/>
  <c r="G288" i="1"/>
  <c r="F288" i="1"/>
  <c r="E288" i="1"/>
  <c r="A288" i="1"/>
  <c r="EE287" i="1"/>
  <c r="ED287" i="1"/>
  <c r="EC287" i="1"/>
  <c r="EB287" i="1"/>
  <c r="EA287" i="1"/>
  <c r="DZ287" i="1"/>
  <c r="DY287" i="1"/>
  <c r="DX287" i="1"/>
  <c r="DW287" i="1"/>
  <c r="DV287" i="1"/>
  <c r="DU287" i="1"/>
  <c r="DT287" i="1"/>
  <c r="DS287" i="1"/>
  <c r="DR287" i="1"/>
  <c r="DQ287" i="1"/>
  <c r="DP287" i="1"/>
  <c r="DO287" i="1"/>
  <c r="DN287" i="1"/>
  <c r="DM287" i="1"/>
  <c r="DL287" i="1"/>
  <c r="CX287" i="1"/>
  <c r="CV287" i="1"/>
  <c r="CS287" i="1"/>
  <c r="BW287" i="1"/>
  <c r="BS287" i="1"/>
  <c r="BA287" i="1"/>
  <c r="AI287" i="1"/>
  <c r="AF287" i="1"/>
  <c r="AB287" i="1"/>
  <c r="AA287" i="1"/>
  <c r="Z287" i="1"/>
  <c r="Y287" i="1"/>
  <c r="X287" i="1"/>
  <c r="W287" i="1"/>
  <c r="V287" i="1"/>
  <c r="S287" i="1"/>
  <c r="G287" i="1"/>
  <c r="F287" i="1"/>
  <c r="E287" i="1"/>
  <c r="A287" i="1"/>
  <c r="EE286" i="1"/>
  <c r="ED286" i="1"/>
  <c r="EC286" i="1"/>
  <c r="EB286" i="1"/>
  <c r="EA286" i="1"/>
  <c r="DZ286" i="1"/>
  <c r="DY286" i="1"/>
  <c r="DX286" i="1"/>
  <c r="DW286" i="1"/>
  <c r="DV286" i="1"/>
  <c r="DU286" i="1"/>
  <c r="DT286" i="1"/>
  <c r="DS286" i="1"/>
  <c r="DR286" i="1"/>
  <c r="DQ286" i="1"/>
  <c r="DP286" i="1"/>
  <c r="DO286" i="1"/>
  <c r="DN286" i="1"/>
  <c r="DM286" i="1"/>
  <c r="DL286" i="1"/>
  <c r="CX286" i="1"/>
  <c r="CV286" i="1"/>
  <c r="CS286" i="1"/>
  <c r="BW286" i="1"/>
  <c r="BS286" i="1"/>
  <c r="BA286" i="1"/>
  <c r="AI286" i="1"/>
  <c r="AF286" i="1"/>
  <c r="AB286" i="1"/>
  <c r="AA286" i="1"/>
  <c r="Z286" i="1"/>
  <c r="Y286" i="1"/>
  <c r="X286" i="1"/>
  <c r="W286" i="1"/>
  <c r="V286" i="1"/>
  <c r="S286" i="1"/>
  <c r="G286" i="1"/>
  <c r="F286" i="1"/>
  <c r="E286" i="1"/>
  <c r="A286" i="1"/>
  <c r="CX285" i="1"/>
  <c r="CV285" i="1"/>
  <c r="CS285" i="1"/>
  <c r="BW285" i="1"/>
  <c r="BS285" i="1"/>
  <c r="BA285" i="1"/>
  <c r="AI285" i="1"/>
  <c r="AF285" i="1"/>
  <c r="AB285" i="1"/>
  <c r="S285" i="1"/>
  <c r="G285" i="1"/>
  <c r="F285" i="1"/>
  <c r="E285" i="1"/>
  <c r="A285" i="1"/>
  <c r="CX284" i="1"/>
  <c r="CV284" i="1"/>
  <c r="CS284" i="1"/>
  <c r="BW284" i="1"/>
  <c r="BS284" i="1"/>
  <c r="BA284" i="1"/>
  <c r="AI284" i="1"/>
  <c r="AF284" i="1"/>
  <c r="AB284" i="1"/>
  <c r="S284" i="1"/>
  <c r="G284" i="1"/>
  <c r="F284" i="1"/>
  <c r="E284" i="1"/>
  <c r="A284" i="1"/>
  <c r="EE283" i="1"/>
  <c r="ED283" i="1"/>
  <c r="EC283" i="1"/>
  <c r="EB283" i="1"/>
  <c r="EA283" i="1"/>
  <c r="DZ283" i="1"/>
  <c r="DY283" i="1"/>
  <c r="DX283" i="1"/>
  <c r="DW283" i="1"/>
  <c r="DV283" i="1"/>
  <c r="DU283" i="1"/>
  <c r="DT283" i="1"/>
  <c r="DS283" i="1"/>
  <c r="DR283" i="1"/>
  <c r="DQ283" i="1"/>
  <c r="DP283" i="1"/>
  <c r="DO283" i="1"/>
  <c r="DN283" i="1"/>
  <c r="DM283" i="1"/>
  <c r="DL283" i="1"/>
  <c r="CX283" i="1"/>
  <c r="CV283" i="1"/>
  <c r="CS283" i="1"/>
  <c r="BW283" i="1"/>
  <c r="BS283" i="1"/>
  <c r="BA283" i="1"/>
  <c r="AI283" i="1"/>
  <c r="AF283" i="1"/>
  <c r="AB283" i="1"/>
  <c r="AA283" i="1"/>
  <c r="Z283" i="1"/>
  <c r="Y283" i="1"/>
  <c r="X283" i="1"/>
  <c r="W283" i="1"/>
  <c r="V283" i="1"/>
  <c r="S283" i="1"/>
  <c r="G283" i="1"/>
  <c r="F283" i="1"/>
  <c r="E283" i="1"/>
  <c r="A283" i="1"/>
  <c r="EE282" i="1"/>
  <c r="ED282" i="1"/>
  <c r="EC282" i="1"/>
  <c r="EB282" i="1"/>
  <c r="EA282" i="1"/>
  <c r="DZ282" i="1"/>
  <c r="DY282" i="1"/>
  <c r="DX282" i="1"/>
  <c r="DW282" i="1"/>
  <c r="DV282" i="1"/>
  <c r="DU282" i="1"/>
  <c r="DT282" i="1"/>
  <c r="DS282" i="1"/>
  <c r="DR282" i="1"/>
  <c r="DQ282" i="1"/>
  <c r="DP282" i="1"/>
  <c r="DO282" i="1"/>
  <c r="DN282" i="1"/>
  <c r="DM282" i="1"/>
  <c r="DL282" i="1"/>
  <c r="CX282" i="1"/>
  <c r="CV282" i="1"/>
  <c r="CS282" i="1"/>
  <c r="BW282" i="1"/>
  <c r="BS282" i="1"/>
  <c r="BA282" i="1"/>
  <c r="AI282" i="1"/>
  <c r="AF282" i="1"/>
  <c r="AB282" i="1"/>
  <c r="AA282" i="1"/>
  <c r="Z282" i="1"/>
  <c r="Y282" i="1"/>
  <c r="X282" i="1"/>
  <c r="W282" i="1"/>
  <c r="V282" i="1"/>
  <c r="S282" i="1"/>
  <c r="G282" i="1"/>
  <c r="F282" i="1"/>
  <c r="E282" i="1"/>
  <c r="A282" i="1"/>
  <c r="CX281" i="1"/>
  <c r="CV281" i="1"/>
  <c r="CS281" i="1"/>
  <c r="BW281" i="1"/>
  <c r="BS281" i="1"/>
  <c r="BA281" i="1"/>
  <c r="AI281" i="1"/>
  <c r="AF281" i="1"/>
  <c r="AB281" i="1"/>
  <c r="G281" i="1"/>
  <c r="F281" i="1"/>
  <c r="E281" i="1"/>
  <c r="A281" i="1"/>
  <c r="DS280" i="1"/>
  <c r="DR280" i="1"/>
  <c r="DQ280" i="1"/>
  <c r="DP280" i="1"/>
  <c r="DO280" i="1"/>
  <c r="DN280" i="1"/>
  <c r="DM280" i="1"/>
  <c r="DL280" i="1"/>
  <c r="CX280" i="1"/>
  <c r="CV280" i="1"/>
  <c r="CS280" i="1"/>
  <c r="BW280" i="1"/>
  <c r="BS280" i="1"/>
  <c r="BA280" i="1"/>
  <c r="AI280" i="1"/>
  <c r="AF280" i="1"/>
  <c r="AB280" i="1"/>
  <c r="AA280" i="1"/>
  <c r="Z280" i="1"/>
  <c r="Y280" i="1"/>
  <c r="X280" i="1"/>
  <c r="W280" i="1"/>
  <c r="V280" i="1"/>
  <c r="G280" i="1"/>
  <c r="F280" i="1"/>
  <c r="E280" i="1"/>
  <c r="A280" i="1"/>
  <c r="CX279" i="1"/>
  <c r="CV279" i="1"/>
  <c r="CS279" i="1"/>
  <c r="BW279" i="1"/>
  <c r="BS279" i="1"/>
  <c r="BA279" i="1"/>
  <c r="AI279" i="1"/>
  <c r="AF279" i="1"/>
  <c r="AB279" i="1"/>
  <c r="S279" i="1"/>
  <c r="G279" i="1"/>
  <c r="F279" i="1"/>
  <c r="E279" i="1"/>
  <c r="A279" i="1"/>
  <c r="CX278" i="1"/>
  <c r="CV278" i="1"/>
  <c r="CS278" i="1"/>
  <c r="BW278" i="1"/>
  <c r="BS278" i="1"/>
  <c r="BA278" i="1"/>
  <c r="AI278" i="1"/>
  <c r="AF278" i="1"/>
  <c r="AB278" i="1"/>
  <c r="S278" i="1"/>
  <c r="G278" i="1"/>
  <c r="F278" i="1"/>
  <c r="E278" i="1"/>
  <c r="A278" i="1"/>
  <c r="CX277" i="1"/>
  <c r="CV277" i="1"/>
  <c r="CS277" i="1"/>
  <c r="BW277" i="1"/>
  <c r="BS277" i="1"/>
  <c r="BA277" i="1"/>
  <c r="AI277" i="1"/>
  <c r="AF277" i="1"/>
  <c r="AB277" i="1"/>
  <c r="S277" i="1"/>
  <c r="G277" i="1"/>
  <c r="F277" i="1"/>
  <c r="E277" i="1"/>
  <c r="A277" i="1"/>
  <c r="DQ276" i="1"/>
  <c r="DP276" i="1"/>
  <c r="DO276" i="1"/>
  <c r="DN276" i="1"/>
  <c r="DM276" i="1"/>
  <c r="DL276" i="1"/>
  <c r="CX276" i="1"/>
  <c r="CV276" i="1"/>
  <c r="CS276" i="1"/>
  <c r="BW276" i="1"/>
  <c r="BS276" i="1"/>
  <c r="BA276" i="1"/>
  <c r="AI276" i="1"/>
  <c r="AF276" i="1"/>
  <c r="AB276" i="1"/>
  <c r="AA276" i="1"/>
  <c r="Z276" i="1"/>
  <c r="Y276" i="1"/>
  <c r="X276" i="1"/>
  <c r="W276" i="1"/>
  <c r="V276" i="1"/>
  <c r="S276" i="1"/>
  <c r="G276" i="1"/>
  <c r="F276" i="1"/>
  <c r="E276" i="1"/>
  <c r="A276" i="1"/>
  <c r="CX275" i="1"/>
  <c r="CV275" i="1"/>
  <c r="CS275" i="1"/>
  <c r="BW275" i="1"/>
  <c r="BS275" i="1"/>
  <c r="BA275" i="1"/>
  <c r="AI275" i="1"/>
  <c r="AF275" i="1"/>
  <c r="AB275" i="1"/>
  <c r="S275" i="1"/>
  <c r="G275" i="1"/>
  <c r="F275" i="1"/>
  <c r="E275" i="1"/>
  <c r="A275" i="1"/>
  <c r="CX274" i="1"/>
  <c r="CV274" i="1"/>
  <c r="CS274" i="1"/>
  <c r="BW274" i="1"/>
  <c r="BS274" i="1"/>
  <c r="BA274" i="1"/>
  <c r="AI274" i="1"/>
  <c r="AF274" i="1"/>
  <c r="AB274" i="1"/>
  <c r="S274" i="1"/>
  <c r="G274" i="1"/>
  <c r="F274" i="1"/>
  <c r="E274" i="1"/>
  <c r="A274" i="1"/>
  <c r="CX273" i="1"/>
  <c r="CV273" i="1"/>
  <c r="CS273" i="1"/>
  <c r="BW273" i="1"/>
  <c r="BS273" i="1"/>
  <c r="BA273" i="1"/>
  <c r="AI273" i="1"/>
  <c r="AF273" i="1"/>
  <c r="AB273" i="1"/>
  <c r="G273" i="1"/>
  <c r="F273" i="1"/>
  <c r="E273" i="1"/>
  <c r="A273" i="1"/>
  <c r="CX272" i="1"/>
  <c r="CV272" i="1"/>
  <c r="CS272" i="1"/>
  <c r="BW272" i="1"/>
  <c r="BS272" i="1"/>
  <c r="BA272" i="1"/>
  <c r="AI272" i="1"/>
  <c r="AF272" i="1"/>
  <c r="AB272" i="1"/>
  <c r="S272" i="1"/>
  <c r="G272" i="1"/>
  <c r="F272" i="1"/>
  <c r="E272" i="1"/>
  <c r="A272" i="1"/>
  <c r="DU271" i="1"/>
  <c r="DT271" i="1"/>
  <c r="DS271" i="1"/>
  <c r="DR271" i="1"/>
  <c r="DQ271" i="1"/>
  <c r="DP271" i="1"/>
  <c r="DO271" i="1"/>
  <c r="DN271" i="1"/>
  <c r="DM271" i="1"/>
  <c r="DL271" i="1"/>
  <c r="CX271" i="1"/>
  <c r="CV271" i="1"/>
  <c r="CS271" i="1"/>
  <c r="BW271" i="1"/>
  <c r="BS271" i="1"/>
  <c r="BA271" i="1"/>
  <c r="AI271" i="1"/>
  <c r="AF271" i="1"/>
  <c r="AB271" i="1"/>
  <c r="AA271" i="1"/>
  <c r="Z271" i="1"/>
  <c r="Y271" i="1"/>
  <c r="X271" i="1"/>
  <c r="W271" i="1"/>
  <c r="V271" i="1"/>
  <c r="S271" i="1"/>
  <c r="G271" i="1"/>
  <c r="F271" i="1"/>
  <c r="E271" i="1"/>
  <c r="A271" i="1"/>
  <c r="CX270" i="1"/>
  <c r="CV270" i="1"/>
  <c r="CS270" i="1"/>
  <c r="BW270" i="1"/>
  <c r="BS270" i="1"/>
  <c r="BA270" i="1"/>
  <c r="AI270" i="1"/>
  <c r="AF270" i="1"/>
  <c r="AB270" i="1"/>
  <c r="G270" i="1"/>
  <c r="F270" i="1"/>
  <c r="E270" i="1"/>
  <c r="A270" i="1"/>
  <c r="CX269" i="1"/>
  <c r="CV269" i="1"/>
  <c r="CS269" i="1"/>
  <c r="BW269" i="1"/>
  <c r="BS269" i="1"/>
  <c r="BA269" i="1"/>
  <c r="AI269" i="1"/>
  <c r="AF269" i="1"/>
  <c r="AB269" i="1"/>
  <c r="G269" i="1"/>
  <c r="F269" i="1"/>
  <c r="E269" i="1"/>
  <c r="A269" i="1"/>
  <c r="CX268" i="1"/>
  <c r="CV268" i="1"/>
  <c r="CS268" i="1"/>
  <c r="BW268" i="1"/>
  <c r="BS268" i="1"/>
  <c r="BA268" i="1"/>
  <c r="AI268" i="1"/>
  <c r="AF268" i="1"/>
  <c r="AB268" i="1"/>
  <c r="S268" i="1"/>
  <c r="G268" i="1"/>
  <c r="F268" i="1"/>
  <c r="E268" i="1"/>
  <c r="A268" i="1"/>
  <c r="DQ267" i="1"/>
  <c r="DP267" i="1"/>
  <c r="DO267" i="1"/>
  <c r="DN267" i="1"/>
  <c r="DM267" i="1"/>
  <c r="DL267" i="1"/>
  <c r="CX267" i="1"/>
  <c r="CV267" i="1"/>
  <c r="CS267" i="1"/>
  <c r="BW267" i="1"/>
  <c r="BS267" i="1"/>
  <c r="BA267" i="1"/>
  <c r="AI267" i="1"/>
  <c r="AF267" i="1"/>
  <c r="AB267" i="1"/>
  <c r="AA267" i="1"/>
  <c r="Z267" i="1"/>
  <c r="Y267" i="1"/>
  <c r="X267" i="1"/>
  <c r="W267" i="1"/>
  <c r="V267" i="1"/>
  <c r="S267" i="1"/>
  <c r="G267" i="1"/>
  <c r="F267" i="1"/>
  <c r="E267" i="1"/>
  <c r="A267" i="1"/>
  <c r="DQ266" i="1"/>
  <c r="DP266" i="1"/>
  <c r="DO266" i="1"/>
  <c r="DN266" i="1"/>
  <c r="DM266" i="1"/>
  <c r="DL266" i="1"/>
  <c r="CX266" i="1"/>
  <c r="CV266" i="1"/>
  <c r="CS266" i="1"/>
  <c r="BW266" i="1"/>
  <c r="BS266" i="1"/>
  <c r="BA266" i="1"/>
  <c r="AI266" i="1"/>
  <c r="AF266" i="1"/>
  <c r="AB266" i="1"/>
  <c r="AA266" i="1"/>
  <c r="Z266" i="1"/>
  <c r="Y266" i="1"/>
  <c r="X266" i="1"/>
  <c r="W266" i="1"/>
  <c r="V266" i="1"/>
  <c r="S266" i="1"/>
  <c r="G266" i="1"/>
  <c r="F266" i="1"/>
  <c r="E266" i="1"/>
  <c r="A266" i="1"/>
  <c r="CX265" i="1"/>
  <c r="CV265" i="1"/>
  <c r="CS265" i="1"/>
  <c r="BW265" i="1"/>
  <c r="BS265" i="1"/>
  <c r="BA265" i="1"/>
  <c r="AI265" i="1"/>
  <c r="AF265" i="1"/>
  <c r="AB265" i="1"/>
  <c r="S265" i="1"/>
  <c r="G265" i="1"/>
  <c r="F265" i="1"/>
  <c r="E265" i="1"/>
  <c r="A265" i="1"/>
  <c r="CX264" i="1"/>
  <c r="CV264" i="1"/>
  <c r="CS264" i="1"/>
  <c r="BW264" i="1"/>
  <c r="BS264" i="1"/>
  <c r="BA264" i="1"/>
  <c r="AI264" i="1"/>
  <c r="AF264" i="1"/>
  <c r="AB264" i="1"/>
  <c r="G264" i="1"/>
  <c r="F264" i="1"/>
  <c r="E264" i="1"/>
  <c r="A264" i="1"/>
  <c r="EA263" i="1"/>
  <c r="DZ263" i="1"/>
  <c r="DY263" i="1"/>
  <c r="DX263" i="1"/>
  <c r="DW263" i="1"/>
  <c r="DV263" i="1"/>
  <c r="DU263" i="1"/>
  <c r="DT263" i="1"/>
  <c r="DS263" i="1"/>
  <c r="DR263" i="1"/>
  <c r="DQ263" i="1"/>
  <c r="DP263" i="1"/>
  <c r="DO263" i="1"/>
  <c r="DN263" i="1"/>
  <c r="DM263" i="1"/>
  <c r="DL263" i="1"/>
  <c r="CX263" i="1"/>
  <c r="CV263" i="1"/>
  <c r="CS263" i="1"/>
  <c r="BW263" i="1"/>
  <c r="BS263" i="1"/>
  <c r="BA263" i="1"/>
  <c r="AI263" i="1"/>
  <c r="AF263" i="1"/>
  <c r="AB263" i="1"/>
  <c r="AA263" i="1"/>
  <c r="Z263" i="1"/>
  <c r="Y263" i="1"/>
  <c r="X263" i="1"/>
  <c r="W263" i="1"/>
  <c r="V263" i="1"/>
  <c r="S263" i="1"/>
  <c r="G263" i="1"/>
  <c r="F263" i="1"/>
  <c r="E263" i="1"/>
  <c r="A263" i="1"/>
  <c r="DY262" i="1"/>
  <c r="DX262" i="1"/>
  <c r="DW262" i="1"/>
  <c r="DV262" i="1"/>
  <c r="DU262" i="1"/>
  <c r="DT262" i="1"/>
  <c r="DS262" i="1"/>
  <c r="DR262" i="1"/>
  <c r="DQ262" i="1"/>
  <c r="DP262" i="1"/>
  <c r="DO262" i="1"/>
  <c r="DN262" i="1"/>
  <c r="DM262" i="1"/>
  <c r="DL262" i="1"/>
  <c r="CX262" i="1"/>
  <c r="CV262" i="1"/>
  <c r="CS262" i="1"/>
  <c r="BW262" i="1"/>
  <c r="BS262" i="1"/>
  <c r="BA262" i="1"/>
  <c r="AI262" i="1"/>
  <c r="AF262" i="1"/>
  <c r="AB262" i="1"/>
  <c r="AA262" i="1"/>
  <c r="Z262" i="1"/>
  <c r="Y262" i="1"/>
  <c r="X262" i="1"/>
  <c r="W262" i="1"/>
  <c r="V262" i="1"/>
  <c r="S262" i="1"/>
  <c r="G262" i="1"/>
  <c r="F262" i="1"/>
  <c r="E262" i="1"/>
  <c r="A262" i="1"/>
  <c r="EA261" i="1"/>
  <c r="DZ261" i="1"/>
  <c r="DY261" i="1"/>
  <c r="DX261" i="1"/>
  <c r="DW261" i="1"/>
  <c r="DV261" i="1"/>
  <c r="DU261" i="1"/>
  <c r="DT261" i="1"/>
  <c r="DS261" i="1"/>
  <c r="DR261" i="1"/>
  <c r="DQ261" i="1"/>
  <c r="DP261" i="1"/>
  <c r="DO261" i="1"/>
  <c r="DN261" i="1"/>
  <c r="DM261" i="1"/>
  <c r="DL261" i="1"/>
  <c r="CX261" i="1"/>
  <c r="CV261" i="1"/>
  <c r="CS261" i="1"/>
  <c r="BW261" i="1"/>
  <c r="BS261" i="1"/>
  <c r="BA261" i="1"/>
  <c r="AI261" i="1"/>
  <c r="AF261" i="1"/>
  <c r="AB261" i="1"/>
  <c r="AA261" i="1"/>
  <c r="Z261" i="1"/>
  <c r="Y261" i="1"/>
  <c r="X261" i="1"/>
  <c r="W261" i="1"/>
  <c r="V261" i="1"/>
  <c r="S261" i="1"/>
  <c r="G261" i="1"/>
  <c r="F261" i="1"/>
  <c r="E261" i="1"/>
  <c r="A261" i="1"/>
  <c r="DJ260" i="1"/>
  <c r="CX260" i="1"/>
  <c r="CV260" i="1"/>
  <c r="CS260" i="1"/>
  <c r="BW260" i="1"/>
  <c r="BS260" i="1"/>
  <c r="BA260" i="1"/>
  <c r="AI260" i="1"/>
  <c r="AF260" i="1"/>
  <c r="AB260" i="1"/>
  <c r="G260" i="1"/>
  <c r="F260" i="1"/>
  <c r="E260" i="1"/>
  <c r="A260" i="1"/>
  <c r="CX259" i="1"/>
  <c r="CV259" i="1"/>
  <c r="CS259" i="1"/>
  <c r="BW259" i="1"/>
  <c r="BS259" i="1"/>
  <c r="BA259" i="1"/>
  <c r="AI259" i="1"/>
  <c r="AF259" i="1"/>
  <c r="AB259" i="1"/>
  <c r="S259" i="1"/>
  <c r="G259" i="1"/>
  <c r="F259" i="1"/>
  <c r="E259" i="1"/>
  <c r="A259" i="1"/>
  <c r="DJ258" i="1"/>
  <c r="DH258" i="1"/>
  <c r="CX258" i="1"/>
  <c r="CV258" i="1"/>
  <c r="CS258" i="1"/>
  <c r="BS258" i="1"/>
  <c r="BA258" i="1"/>
  <c r="AI258" i="1"/>
  <c r="AF258" i="1"/>
  <c r="AB258" i="1"/>
  <c r="S258" i="1"/>
  <c r="G258" i="1"/>
  <c r="F258" i="1"/>
  <c r="E258" i="1"/>
  <c r="A258" i="1"/>
  <c r="CX257" i="1"/>
  <c r="CV257" i="1"/>
  <c r="CS257" i="1"/>
  <c r="BW257" i="1"/>
  <c r="BS257" i="1"/>
  <c r="BA257" i="1"/>
  <c r="AI257" i="1"/>
  <c r="AF257" i="1"/>
  <c r="AB257" i="1"/>
  <c r="S257" i="1"/>
  <c r="G257" i="1"/>
  <c r="F257" i="1"/>
  <c r="E257" i="1"/>
  <c r="A257" i="1"/>
  <c r="CX256" i="1"/>
  <c r="CV256" i="1"/>
  <c r="CS256" i="1"/>
  <c r="BW256" i="1"/>
  <c r="BS256" i="1"/>
  <c r="BA256" i="1"/>
  <c r="AI256" i="1"/>
  <c r="AF256" i="1"/>
  <c r="AB256" i="1"/>
  <c r="G256" i="1"/>
  <c r="F256" i="1"/>
  <c r="E256" i="1"/>
  <c r="A256" i="1"/>
  <c r="DW255" i="1"/>
  <c r="DV255" i="1"/>
  <c r="DU255" i="1"/>
  <c r="DT255" i="1"/>
  <c r="DS255" i="1"/>
  <c r="DR255" i="1"/>
  <c r="DQ255" i="1"/>
  <c r="DP255" i="1"/>
  <c r="DO255" i="1"/>
  <c r="DN255" i="1"/>
  <c r="DM255" i="1"/>
  <c r="DL255" i="1"/>
  <c r="CX255" i="1"/>
  <c r="CV255" i="1"/>
  <c r="CS255" i="1"/>
  <c r="BW255" i="1"/>
  <c r="BS255" i="1"/>
  <c r="BA255" i="1"/>
  <c r="AI255" i="1"/>
  <c r="AF255" i="1"/>
  <c r="AB255" i="1"/>
  <c r="AA255" i="1"/>
  <c r="Z255" i="1"/>
  <c r="Y255" i="1"/>
  <c r="X255" i="1"/>
  <c r="W255" i="1"/>
  <c r="V255" i="1"/>
  <c r="S255" i="1"/>
  <c r="G255" i="1"/>
  <c r="F255" i="1"/>
  <c r="E255" i="1"/>
  <c r="A255" i="1"/>
  <c r="CX254" i="1"/>
  <c r="CV254" i="1"/>
  <c r="CS254" i="1"/>
  <c r="BW254" i="1"/>
  <c r="BS254" i="1"/>
  <c r="BA254" i="1"/>
  <c r="AI254" i="1"/>
  <c r="AF254" i="1"/>
  <c r="AB254" i="1"/>
  <c r="S254" i="1"/>
  <c r="G254" i="1"/>
  <c r="F254" i="1"/>
  <c r="E254" i="1"/>
  <c r="A254" i="1"/>
  <c r="CX253" i="1"/>
  <c r="CV253" i="1"/>
  <c r="CS253" i="1"/>
  <c r="BW253" i="1"/>
  <c r="BS253" i="1"/>
  <c r="BA253" i="1"/>
  <c r="AI253" i="1"/>
  <c r="AF253" i="1"/>
  <c r="AB253" i="1"/>
  <c r="S253" i="1"/>
  <c r="G253" i="1"/>
  <c r="F253" i="1"/>
  <c r="E253" i="1"/>
  <c r="A253" i="1"/>
  <c r="CX252" i="1"/>
  <c r="CV252" i="1"/>
  <c r="CS252" i="1"/>
  <c r="BW252" i="1"/>
  <c r="BS252" i="1"/>
  <c r="BA252" i="1"/>
  <c r="AI252" i="1"/>
  <c r="AF252" i="1"/>
  <c r="AB252" i="1"/>
  <c r="S252" i="1"/>
  <c r="G252" i="1"/>
  <c r="F252" i="1"/>
  <c r="E252" i="1"/>
  <c r="A252" i="1"/>
  <c r="CX251" i="1"/>
  <c r="CV251" i="1"/>
  <c r="CS251" i="1"/>
  <c r="BW251" i="1"/>
  <c r="BS251" i="1"/>
  <c r="BA251" i="1"/>
  <c r="AI251" i="1"/>
  <c r="AF251" i="1"/>
  <c r="AB251" i="1"/>
  <c r="S251" i="1"/>
  <c r="G251" i="1"/>
  <c r="F251" i="1"/>
  <c r="E251" i="1"/>
  <c r="A251" i="1"/>
  <c r="CX250" i="1"/>
  <c r="CV250" i="1"/>
  <c r="CS250" i="1"/>
  <c r="BW250" i="1"/>
  <c r="BS250" i="1"/>
  <c r="BA250" i="1"/>
  <c r="AI250" i="1"/>
  <c r="AF250" i="1"/>
  <c r="AB250" i="1"/>
  <c r="S250" i="1"/>
  <c r="G250" i="1"/>
  <c r="F250" i="1"/>
  <c r="E250" i="1"/>
  <c r="A250" i="1"/>
  <c r="CX249" i="1"/>
  <c r="CV249" i="1"/>
  <c r="CS249" i="1"/>
  <c r="BW249" i="1"/>
  <c r="BS249" i="1"/>
  <c r="BA249" i="1"/>
  <c r="AI249" i="1"/>
  <c r="AF249" i="1"/>
  <c r="AB249" i="1"/>
  <c r="S249" i="1"/>
  <c r="G249" i="1"/>
  <c r="F249" i="1"/>
  <c r="E249" i="1"/>
  <c r="A249" i="1"/>
  <c r="DS248" i="1"/>
  <c r="DR248" i="1"/>
  <c r="DQ248" i="1"/>
  <c r="DP248" i="1"/>
  <c r="DO248" i="1"/>
  <c r="DN248" i="1"/>
  <c r="DM248" i="1"/>
  <c r="DL248" i="1"/>
  <c r="CX248" i="1"/>
  <c r="CV248" i="1"/>
  <c r="CS248" i="1"/>
  <c r="BW248" i="1"/>
  <c r="BS248" i="1"/>
  <c r="BA248" i="1"/>
  <c r="AI248" i="1"/>
  <c r="AF248" i="1"/>
  <c r="AB248" i="1"/>
  <c r="AA248" i="1"/>
  <c r="Z248" i="1"/>
  <c r="Y248" i="1"/>
  <c r="X248" i="1"/>
  <c r="W248" i="1"/>
  <c r="V248" i="1"/>
  <c r="S248" i="1"/>
  <c r="G248" i="1"/>
  <c r="F248" i="1"/>
  <c r="E248" i="1"/>
  <c r="A248" i="1"/>
  <c r="CX247" i="1"/>
  <c r="CV247" i="1"/>
  <c r="CS247" i="1"/>
  <c r="BW247" i="1"/>
  <c r="BS247" i="1"/>
  <c r="BA247" i="1"/>
  <c r="AI247" i="1"/>
  <c r="AF247" i="1"/>
  <c r="AB247" i="1"/>
  <c r="S247" i="1"/>
  <c r="G247" i="1"/>
  <c r="F247" i="1"/>
  <c r="E247" i="1"/>
  <c r="A247" i="1"/>
  <c r="CX246" i="1"/>
  <c r="CV246" i="1"/>
  <c r="CS246" i="1"/>
  <c r="BW246" i="1"/>
  <c r="BS246" i="1"/>
  <c r="BA246" i="1"/>
  <c r="AI246" i="1"/>
  <c r="AF246" i="1"/>
  <c r="AB246" i="1"/>
  <c r="S246" i="1"/>
  <c r="G246" i="1"/>
  <c r="F246" i="1"/>
  <c r="E246" i="1"/>
  <c r="A246" i="1"/>
  <c r="CX245" i="1"/>
  <c r="CV245" i="1"/>
  <c r="CS245" i="1"/>
  <c r="BW245" i="1"/>
  <c r="BS245" i="1"/>
  <c r="BA245" i="1"/>
  <c r="AI245" i="1"/>
  <c r="AF245" i="1"/>
  <c r="AB245" i="1"/>
  <c r="G245" i="1"/>
  <c r="F245" i="1"/>
  <c r="E245" i="1"/>
  <c r="A245" i="1"/>
  <c r="DW244" i="1"/>
  <c r="DV244" i="1"/>
  <c r="DU244" i="1"/>
  <c r="DT244" i="1"/>
  <c r="DS244" i="1"/>
  <c r="DR244" i="1"/>
  <c r="DQ244" i="1"/>
  <c r="DP244" i="1"/>
  <c r="DO244" i="1"/>
  <c r="DN244" i="1"/>
  <c r="DM244" i="1"/>
  <c r="DL244" i="1"/>
  <c r="CX244" i="1"/>
  <c r="CV244" i="1"/>
  <c r="CS244" i="1"/>
  <c r="BW244" i="1"/>
  <c r="BS244" i="1"/>
  <c r="BA244" i="1"/>
  <c r="AI244" i="1"/>
  <c r="AF244" i="1"/>
  <c r="AB244" i="1"/>
  <c r="AA244" i="1"/>
  <c r="Z244" i="1"/>
  <c r="Y244" i="1"/>
  <c r="X244" i="1"/>
  <c r="W244" i="1"/>
  <c r="V244" i="1"/>
  <c r="S244" i="1"/>
  <c r="G244" i="1"/>
  <c r="F244" i="1"/>
  <c r="E244" i="1"/>
  <c r="A244" i="1"/>
  <c r="CX243" i="1"/>
  <c r="CV243" i="1"/>
  <c r="CS243" i="1"/>
  <c r="BW243" i="1"/>
  <c r="BS243" i="1"/>
  <c r="BA243" i="1"/>
  <c r="AI243" i="1"/>
  <c r="AF243" i="1"/>
  <c r="AB243" i="1"/>
  <c r="S243" i="1"/>
  <c r="G243" i="1"/>
  <c r="F243" i="1"/>
  <c r="E243" i="1"/>
  <c r="A243" i="1"/>
  <c r="CX242" i="1"/>
  <c r="CV242" i="1"/>
  <c r="CS242" i="1"/>
  <c r="BW242" i="1"/>
  <c r="BS242" i="1"/>
  <c r="BA242" i="1"/>
  <c r="AI242" i="1"/>
  <c r="AF242" i="1"/>
  <c r="AB242" i="1"/>
  <c r="S242" i="1"/>
  <c r="G242" i="1"/>
  <c r="F242" i="1"/>
  <c r="E242" i="1"/>
  <c r="A242" i="1"/>
  <c r="CX241" i="1"/>
  <c r="CV241" i="1"/>
  <c r="CS241" i="1"/>
  <c r="BW241" i="1"/>
  <c r="BS241" i="1"/>
  <c r="BA241" i="1"/>
  <c r="AI241" i="1"/>
  <c r="AF241" i="1"/>
  <c r="AB241" i="1"/>
  <c r="S241" i="1"/>
  <c r="G241" i="1"/>
  <c r="F241" i="1"/>
  <c r="E241" i="1"/>
  <c r="A241" i="1"/>
  <c r="CX240" i="1"/>
  <c r="CV240" i="1"/>
  <c r="CS240" i="1"/>
  <c r="BW240" i="1"/>
  <c r="BS240" i="1"/>
  <c r="BA240" i="1"/>
  <c r="AI240" i="1"/>
  <c r="AF240" i="1"/>
  <c r="AB240" i="1"/>
  <c r="S240" i="1"/>
  <c r="G240" i="1"/>
  <c r="F240" i="1"/>
  <c r="E240" i="1"/>
  <c r="A240" i="1"/>
  <c r="CX239" i="1"/>
  <c r="CV239" i="1"/>
  <c r="CS239" i="1"/>
  <c r="BW239" i="1"/>
  <c r="BS239" i="1"/>
  <c r="BA239" i="1"/>
  <c r="AI239" i="1"/>
  <c r="AF239" i="1"/>
  <c r="AB239" i="1"/>
  <c r="S239" i="1"/>
  <c r="G239" i="1"/>
  <c r="F239" i="1"/>
  <c r="E239" i="1"/>
  <c r="A239" i="1"/>
  <c r="CX238" i="1"/>
  <c r="CV238" i="1"/>
  <c r="CS238" i="1"/>
  <c r="BW238" i="1"/>
  <c r="BS238" i="1"/>
  <c r="BA238" i="1"/>
  <c r="AI238" i="1"/>
  <c r="AF238" i="1"/>
  <c r="AB238" i="1"/>
  <c r="S238" i="1"/>
  <c r="G238" i="1"/>
  <c r="F238" i="1"/>
  <c r="E238" i="1"/>
  <c r="A238" i="1"/>
  <c r="DW237" i="1"/>
  <c r="DV237" i="1"/>
  <c r="DU237" i="1"/>
  <c r="DT237" i="1"/>
  <c r="DS237" i="1"/>
  <c r="DR237" i="1"/>
  <c r="DQ237" i="1"/>
  <c r="DP237" i="1"/>
  <c r="DO237" i="1"/>
  <c r="DN237" i="1"/>
  <c r="DM237" i="1"/>
  <c r="DL237" i="1"/>
  <c r="CX237" i="1"/>
  <c r="CV237" i="1"/>
  <c r="CS237" i="1"/>
  <c r="BW237" i="1"/>
  <c r="BS237" i="1"/>
  <c r="BA237" i="1"/>
  <c r="AI237" i="1"/>
  <c r="AF237" i="1"/>
  <c r="AB237" i="1"/>
  <c r="AA237" i="1"/>
  <c r="Z237" i="1"/>
  <c r="Y237" i="1"/>
  <c r="X237" i="1"/>
  <c r="W237" i="1"/>
  <c r="V237" i="1"/>
  <c r="S237" i="1"/>
  <c r="G237" i="1"/>
  <c r="F237" i="1"/>
  <c r="E237" i="1"/>
  <c r="A237" i="1"/>
  <c r="DW236" i="1"/>
  <c r="DV236" i="1"/>
  <c r="DU236" i="1"/>
  <c r="DT236" i="1"/>
  <c r="DS236" i="1"/>
  <c r="DR236" i="1"/>
  <c r="DQ236" i="1"/>
  <c r="DP236" i="1"/>
  <c r="DO236" i="1"/>
  <c r="DN236" i="1"/>
  <c r="DM236" i="1"/>
  <c r="DL236" i="1"/>
  <c r="CX236" i="1"/>
  <c r="CV236" i="1"/>
  <c r="CS236" i="1"/>
  <c r="BW236" i="1"/>
  <c r="BS236" i="1"/>
  <c r="BA236" i="1"/>
  <c r="AI236" i="1"/>
  <c r="AF236" i="1"/>
  <c r="AB236" i="1"/>
  <c r="AA236" i="1"/>
  <c r="Z236" i="1"/>
  <c r="Y236" i="1"/>
  <c r="X236" i="1"/>
  <c r="W236" i="1"/>
  <c r="V236" i="1"/>
  <c r="G236" i="1"/>
  <c r="F236" i="1"/>
  <c r="E236" i="1"/>
  <c r="A236" i="1"/>
  <c r="DQ235" i="1"/>
  <c r="DP235" i="1"/>
  <c r="DO235" i="1"/>
  <c r="DN235" i="1"/>
  <c r="DM235" i="1"/>
  <c r="DL235" i="1"/>
  <c r="CX235" i="1"/>
  <c r="CV235" i="1"/>
  <c r="CS235" i="1"/>
  <c r="BW235" i="1"/>
  <c r="BS235" i="1"/>
  <c r="BA235" i="1"/>
  <c r="AI235" i="1"/>
  <c r="AF235" i="1"/>
  <c r="AB235" i="1"/>
  <c r="AA235" i="1"/>
  <c r="Z235" i="1"/>
  <c r="Y235" i="1"/>
  <c r="X235" i="1"/>
  <c r="W235" i="1"/>
  <c r="V235" i="1"/>
  <c r="S235" i="1"/>
  <c r="G235" i="1"/>
  <c r="F235" i="1"/>
  <c r="E235" i="1"/>
  <c r="A235" i="1"/>
  <c r="CX234" i="1"/>
  <c r="CV234" i="1"/>
  <c r="CS234" i="1"/>
  <c r="BW234" i="1"/>
  <c r="BS234" i="1"/>
  <c r="BA234" i="1"/>
  <c r="AI234" i="1"/>
  <c r="AF234" i="1"/>
  <c r="AB234" i="1"/>
  <c r="S234" i="1"/>
  <c r="G234" i="1"/>
  <c r="F234" i="1"/>
  <c r="E234" i="1"/>
  <c r="A234" i="1"/>
  <c r="CX233" i="1"/>
  <c r="CV233" i="1"/>
  <c r="CS233" i="1"/>
  <c r="BW233" i="1"/>
  <c r="BS233" i="1"/>
  <c r="BA233" i="1"/>
  <c r="AI233" i="1"/>
  <c r="AF233" i="1"/>
  <c r="AB233" i="1"/>
  <c r="S233" i="1"/>
  <c r="G233" i="1"/>
  <c r="F233" i="1"/>
  <c r="E233" i="1"/>
  <c r="A233" i="1"/>
  <c r="EE232" i="1"/>
  <c r="ED232" i="1"/>
  <c r="EC232" i="1"/>
  <c r="EB232" i="1"/>
  <c r="EA232" i="1"/>
  <c r="DZ232" i="1"/>
  <c r="DY232" i="1"/>
  <c r="DX232" i="1"/>
  <c r="DW232" i="1"/>
  <c r="DV232" i="1"/>
  <c r="DU232" i="1"/>
  <c r="DT232" i="1"/>
  <c r="DS232" i="1"/>
  <c r="DR232" i="1"/>
  <c r="DQ232" i="1"/>
  <c r="DP232" i="1"/>
  <c r="DO232" i="1"/>
  <c r="DN232" i="1"/>
  <c r="DM232" i="1"/>
  <c r="DL232" i="1"/>
  <c r="CX232" i="1"/>
  <c r="CV232" i="1"/>
  <c r="CS232" i="1"/>
  <c r="BW232" i="1"/>
  <c r="BS232" i="1"/>
  <c r="BA232" i="1"/>
  <c r="AI232" i="1"/>
  <c r="AF232" i="1"/>
  <c r="AB232" i="1"/>
  <c r="AA232" i="1"/>
  <c r="Z232" i="1"/>
  <c r="Y232" i="1"/>
  <c r="X232" i="1"/>
  <c r="W232" i="1"/>
  <c r="V232" i="1"/>
  <c r="G232" i="1"/>
  <c r="F232" i="1"/>
  <c r="E232" i="1"/>
  <c r="A232" i="1"/>
  <c r="EE231" i="1"/>
  <c r="ED231" i="1"/>
  <c r="EC231" i="1"/>
  <c r="EB231" i="1"/>
  <c r="EA231" i="1"/>
  <c r="DZ231" i="1"/>
  <c r="DY231" i="1"/>
  <c r="DX231" i="1"/>
  <c r="DW231" i="1"/>
  <c r="DV231" i="1"/>
  <c r="DU231" i="1"/>
  <c r="DT231" i="1"/>
  <c r="DS231" i="1"/>
  <c r="DR231" i="1"/>
  <c r="DQ231" i="1"/>
  <c r="DP231" i="1"/>
  <c r="DO231" i="1"/>
  <c r="DN231" i="1"/>
  <c r="DM231" i="1"/>
  <c r="DL231" i="1"/>
  <c r="CX231" i="1"/>
  <c r="CV231" i="1"/>
  <c r="CS231" i="1"/>
  <c r="BW231" i="1"/>
  <c r="BS231" i="1"/>
  <c r="BA231" i="1"/>
  <c r="AI231" i="1"/>
  <c r="AF231" i="1"/>
  <c r="AB231" i="1"/>
  <c r="AA231" i="1"/>
  <c r="Z231" i="1"/>
  <c r="Y231" i="1"/>
  <c r="X231" i="1"/>
  <c r="W231" i="1"/>
  <c r="V231" i="1"/>
  <c r="G231" i="1"/>
  <c r="F231" i="1"/>
  <c r="E231" i="1"/>
  <c r="A231" i="1"/>
  <c r="CX230" i="1"/>
  <c r="CV230" i="1"/>
  <c r="CS230" i="1"/>
  <c r="BW230" i="1"/>
  <c r="BS230" i="1"/>
  <c r="BA230" i="1"/>
  <c r="AI230" i="1"/>
  <c r="AF230" i="1"/>
  <c r="AB230" i="1"/>
  <c r="G230" i="1"/>
  <c r="F230" i="1"/>
  <c r="E230" i="1"/>
  <c r="A230" i="1"/>
  <c r="CX229" i="1"/>
  <c r="CV229" i="1"/>
  <c r="CS229" i="1"/>
  <c r="BW229" i="1"/>
  <c r="BS229" i="1"/>
  <c r="BA229" i="1"/>
  <c r="AI229" i="1"/>
  <c r="AF229" i="1"/>
  <c r="AB229" i="1"/>
  <c r="S229" i="1"/>
  <c r="G229" i="1"/>
  <c r="F229" i="1"/>
  <c r="E229" i="1"/>
  <c r="A229" i="1"/>
  <c r="EI228" i="1"/>
  <c r="EH228" i="1"/>
  <c r="EG228" i="1"/>
  <c r="EF228" i="1"/>
  <c r="EE228" i="1"/>
  <c r="ED228" i="1"/>
  <c r="EC228" i="1"/>
  <c r="EB228" i="1"/>
  <c r="EA228" i="1"/>
  <c r="DZ228" i="1"/>
  <c r="DY228" i="1"/>
  <c r="DX228" i="1"/>
  <c r="DW228" i="1"/>
  <c r="DV228" i="1"/>
  <c r="DU228" i="1"/>
  <c r="DT228" i="1"/>
  <c r="DS228" i="1"/>
  <c r="DR228" i="1"/>
  <c r="DQ228" i="1"/>
  <c r="DP228" i="1"/>
  <c r="DO228" i="1"/>
  <c r="DN228" i="1"/>
  <c r="DM228" i="1"/>
  <c r="DL228" i="1"/>
  <c r="CX228" i="1"/>
  <c r="CV228" i="1"/>
  <c r="CS228" i="1"/>
  <c r="BW228" i="1"/>
  <c r="BS228" i="1"/>
  <c r="BA228" i="1"/>
  <c r="AI228" i="1"/>
  <c r="AF228" i="1"/>
  <c r="AB228" i="1"/>
  <c r="AA228" i="1"/>
  <c r="Z228" i="1"/>
  <c r="Y228" i="1"/>
  <c r="X228" i="1"/>
  <c r="W228" i="1"/>
  <c r="V228" i="1"/>
  <c r="S228" i="1"/>
  <c r="G228" i="1"/>
  <c r="F228" i="1"/>
  <c r="E228" i="1"/>
  <c r="A228" i="1"/>
  <c r="EI227" i="1"/>
  <c r="EH227" i="1"/>
  <c r="EG227" i="1"/>
  <c r="EF227" i="1"/>
  <c r="EE227" i="1"/>
  <c r="ED227" i="1"/>
  <c r="EC227" i="1"/>
  <c r="EB227" i="1"/>
  <c r="EA227" i="1"/>
  <c r="DZ227" i="1"/>
  <c r="DY227" i="1"/>
  <c r="DX227" i="1"/>
  <c r="DW227" i="1"/>
  <c r="DV227" i="1"/>
  <c r="DU227" i="1"/>
  <c r="DT227" i="1"/>
  <c r="DS227" i="1"/>
  <c r="DR227" i="1"/>
  <c r="DQ227" i="1"/>
  <c r="DP227" i="1"/>
  <c r="DO227" i="1"/>
  <c r="DN227" i="1"/>
  <c r="DM227" i="1"/>
  <c r="DL227" i="1"/>
  <c r="CX227" i="1"/>
  <c r="CV227" i="1"/>
  <c r="CS227" i="1"/>
  <c r="BW227" i="1"/>
  <c r="BS227" i="1"/>
  <c r="BA227" i="1"/>
  <c r="AI227" i="1"/>
  <c r="AF227" i="1"/>
  <c r="AB227" i="1"/>
  <c r="AA227" i="1"/>
  <c r="Z227" i="1"/>
  <c r="Y227" i="1"/>
  <c r="X227" i="1"/>
  <c r="W227" i="1"/>
  <c r="V227" i="1"/>
  <c r="S227" i="1"/>
  <c r="G227" i="1"/>
  <c r="F227" i="1"/>
  <c r="E227" i="1"/>
  <c r="A227" i="1"/>
  <c r="EI226" i="1"/>
  <c r="EH226" i="1"/>
  <c r="EG226" i="1"/>
  <c r="EF226" i="1"/>
  <c r="EE226" i="1"/>
  <c r="ED226" i="1"/>
  <c r="EC226" i="1"/>
  <c r="EB226" i="1"/>
  <c r="EA226" i="1"/>
  <c r="DZ226" i="1"/>
  <c r="DY226" i="1"/>
  <c r="DX226" i="1"/>
  <c r="DW226" i="1"/>
  <c r="DV226" i="1"/>
  <c r="DU226" i="1"/>
  <c r="DT226" i="1"/>
  <c r="DS226" i="1"/>
  <c r="DR226" i="1"/>
  <c r="DQ226" i="1"/>
  <c r="DP226" i="1"/>
  <c r="DO226" i="1"/>
  <c r="DN226" i="1"/>
  <c r="DM226" i="1"/>
  <c r="DL226" i="1"/>
  <c r="CX226" i="1"/>
  <c r="CV226" i="1"/>
  <c r="CS226" i="1"/>
  <c r="BW226" i="1"/>
  <c r="BS226" i="1"/>
  <c r="BA226" i="1"/>
  <c r="AI226" i="1"/>
  <c r="AF226" i="1"/>
  <c r="AB226" i="1"/>
  <c r="AA226" i="1"/>
  <c r="Z226" i="1"/>
  <c r="Y226" i="1"/>
  <c r="X226" i="1"/>
  <c r="W226" i="1"/>
  <c r="V226" i="1"/>
  <c r="S226" i="1"/>
  <c r="G226" i="1"/>
  <c r="F226" i="1"/>
  <c r="E226" i="1"/>
  <c r="A226" i="1"/>
  <c r="EG225" i="1"/>
  <c r="EF225" i="1"/>
  <c r="EE225" i="1"/>
  <c r="ED225" i="1"/>
  <c r="EC225" i="1"/>
  <c r="EB225" i="1"/>
  <c r="EA225" i="1"/>
  <c r="DZ225" i="1"/>
  <c r="DY225" i="1"/>
  <c r="DX225" i="1"/>
  <c r="DW225" i="1"/>
  <c r="DV225" i="1"/>
  <c r="DU225" i="1"/>
  <c r="DT225" i="1"/>
  <c r="DS225" i="1"/>
  <c r="DR225" i="1"/>
  <c r="DQ225" i="1"/>
  <c r="DP225" i="1"/>
  <c r="DO225" i="1"/>
  <c r="DN225" i="1"/>
  <c r="DM225" i="1"/>
  <c r="DL225" i="1"/>
  <c r="CX225" i="1"/>
  <c r="CV225" i="1"/>
  <c r="CS225" i="1"/>
  <c r="BW225" i="1"/>
  <c r="BS225" i="1"/>
  <c r="BA225" i="1"/>
  <c r="AI225" i="1"/>
  <c r="AF225" i="1"/>
  <c r="AB225" i="1"/>
  <c r="AA225" i="1"/>
  <c r="Z225" i="1"/>
  <c r="Y225" i="1"/>
  <c r="X225" i="1"/>
  <c r="W225" i="1"/>
  <c r="V225" i="1"/>
  <c r="S225" i="1"/>
  <c r="G225" i="1"/>
  <c r="F225" i="1"/>
  <c r="E225" i="1"/>
  <c r="A225" i="1"/>
  <c r="EI224" i="1"/>
  <c r="EH224" i="1"/>
  <c r="EG224" i="1"/>
  <c r="EF224" i="1"/>
  <c r="EE224" i="1"/>
  <c r="ED224" i="1"/>
  <c r="EC224" i="1"/>
  <c r="EB224" i="1"/>
  <c r="EA224" i="1"/>
  <c r="DZ224" i="1"/>
  <c r="DY224" i="1"/>
  <c r="DX224" i="1"/>
  <c r="DW224" i="1"/>
  <c r="DV224" i="1"/>
  <c r="DU224" i="1"/>
  <c r="DT224" i="1"/>
  <c r="DS224" i="1"/>
  <c r="DR224" i="1"/>
  <c r="DQ224" i="1"/>
  <c r="DP224" i="1"/>
  <c r="DO224" i="1"/>
  <c r="DN224" i="1"/>
  <c r="DM224" i="1"/>
  <c r="DL224" i="1"/>
  <c r="CX224" i="1"/>
  <c r="CV224" i="1"/>
  <c r="CS224" i="1"/>
  <c r="BW224" i="1"/>
  <c r="BS224" i="1"/>
  <c r="BA224" i="1"/>
  <c r="AI224" i="1"/>
  <c r="AF224" i="1"/>
  <c r="AB224" i="1"/>
  <c r="AA224" i="1"/>
  <c r="Z224" i="1"/>
  <c r="Y224" i="1"/>
  <c r="X224" i="1"/>
  <c r="W224" i="1"/>
  <c r="V224" i="1"/>
  <c r="S224" i="1"/>
  <c r="G224" i="1"/>
  <c r="F224" i="1"/>
  <c r="E224" i="1"/>
  <c r="A224" i="1"/>
  <c r="EI223" i="1"/>
  <c r="EH223" i="1"/>
  <c r="EG223" i="1"/>
  <c r="EF223" i="1"/>
  <c r="EE223" i="1"/>
  <c r="ED223" i="1"/>
  <c r="EC223" i="1"/>
  <c r="EB223" i="1"/>
  <c r="EA223" i="1"/>
  <c r="DZ223" i="1"/>
  <c r="DY223" i="1"/>
  <c r="DX223" i="1"/>
  <c r="DW223" i="1"/>
  <c r="DV223" i="1"/>
  <c r="DU223" i="1"/>
  <c r="DT223" i="1"/>
  <c r="DS223" i="1"/>
  <c r="DR223" i="1"/>
  <c r="DQ223" i="1"/>
  <c r="DP223" i="1"/>
  <c r="DO223" i="1"/>
  <c r="DN223" i="1"/>
  <c r="DM223" i="1"/>
  <c r="DL223" i="1"/>
  <c r="CX223" i="1"/>
  <c r="CV223" i="1"/>
  <c r="CS223" i="1"/>
  <c r="BW223" i="1"/>
  <c r="BS223" i="1"/>
  <c r="BA223" i="1"/>
  <c r="AI223" i="1"/>
  <c r="AF223" i="1"/>
  <c r="AB223" i="1"/>
  <c r="AA223" i="1"/>
  <c r="Z223" i="1"/>
  <c r="Y223" i="1"/>
  <c r="X223" i="1"/>
  <c r="W223" i="1"/>
  <c r="V223" i="1"/>
  <c r="S223" i="1"/>
  <c r="G223" i="1"/>
  <c r="F223" i="1"/>
  <c r="E223" i="1"/>
  <c r="A223" i="1"/>
  <c r="DY222" i="1"/>
  <c r="DX222" i="1"/>
  <c r="DW222" i="1"/>
  <c r="DV222" i="1"/>
  <c r="DU222" i="1"/>
  <c r="DT222" i="1"/>
  <c r="DS222" i="1"/>
  <c r="DR222" i="1"/>
  <c r="DQ222" i="1"/>
  <c r="DP222" i="1"/>
  <c r="DO222" i="1"/>
  <c r="DN222" i="1"/>
  <c r="DM222" i="1"/>
  <c r="DL222" i="1"/>
  <c r="CX222" i="1"/>
  <c r="CV222" i="1"/>
  <c r="CS222" i="1"/>
  <c r="BW222" i="1"/>
  <c r="BS222" i="1"/>
  <c r="BA222" i="1"/>
  <c r="AI222" i="1"/>
  <c r="AF222" i="1"/>
  <c r="AB222" i="1"/>
  <c r="AA222" i="1"/>
  <c r="Z222" i="1"/>
  <c r="Y222" i="1"/>
  <c r="X222" i="1"/>
  <c r="W222" i="1"/>
  <c r="V222" i="1"/>
  <c r="G222" i="1"/>
  <c r="F222" i="1"/>
  <c r="E222" i="1"/>
  <c r="A222" i="1"/>
  <c r="CX221" i="1"/>
  <c r="CV221" i="1"/>
  <c r="CS221" i="1"/>
  <c r="BW221" i="1"/>
  <c r="BS221" i="1"/>
  <c r="BA221" i="1"/>
  <c r="AI221" i="1"/>
  <c r="AF221" i="1"/>
  <c r="AB221" i="1"/>
  <c r="G221" i="1"/>
  <c r="F221" i="1"/>
  <c r="E221" i="1"/>
  <c r="A221" i="1"/>
  <c r="CX220" i="1"/>
  <c r="CV220" i="1"/>
  <c r="CS220" i="1"/>
  <c r="BW220" i="1"/>
  <c r="BS220" i="1"/>
  <c r="BA220" i="1"/>
  <c r="AI220" i="1"/>
  <c r="AF220" i="1"/>
  <c r="AB220" i="1"/>
  <c r="S220" i="1"/>
  <c r="G220" i="1"/>
  <c r="F220" i="1"/>
  <c r="E220" i="1"/>
  <c r="A220" i="1"/>
  <c r="CX219" i="1"/>
  <c r="CV219" i="1"/>
  <c r="CS219" i="1"/>
  <c r="BW219" i="1"/>
  <c r="BS219" i="1"/>
  <c r="BA219" i="1"/>
  <c r="AI219" i="1"/>
  <c r="AF219" i="1"/>
  <c r="AB219" i="1"/>
  <c r="S219" i="1"/>
  <c r="G219" i="1"/>
  <c r="F219" i="1"/>
  <c r="E219" i="1"/>
  <c r="A219" i="1"/>
  <c r="EC218" i="1"/>
  <c r="EB218" i="1"/>
  <c r="EA218" i="1"/>
  <c r="DZ218" i="1"/>
  <c r="DY218" i="1"/>
  <c r="DX218" i="1"/>
  <c r="DW218" i="1"/>
  <c r="DV218" i="1"/>
  <c r="DU218" i="1"/>
  <c r="DT218" i="1"/>
  <c r="DS218" i="1"/>
  <c r="DR218" i="1"/>
  <c r="DQ218" i="1"/>
  <c r="DP218" i="1"/>
  <c r="DO218" i="1"/>
  <c r="DN218" i="1"/>
  <c r="DM218" i="1"/>
  <c r="DL218" i="1"/>
  <c r="CX218" i="1"/>
  <c r="CV218" i="1"/>
  <c r="CS218" i="1"/>
  <c r="BW218" i="1"/>
  <c r="BS218" i="1"/>
  <c r="BA218" i="1"/>
  <c r="AI218" i="1"/>
  <c r="AF218" i="1"/>
  <c r="AB218" i="1"/>
  <c r="AA218" i="1"/>
  <c r="Z218" i="1"/>
  <c r="Y218" i="1"/>
  <c r="X218" i="1"/>
  <c r="W218" i="1"/>
  <c r="V218" i="1"/>
  <c r="G218" i="1"/>
  <c r="F218" i="1"/>
  <c r="E218" i="1"/>
  <c r="A218" i="1"/>
  <c r="EC217" i="1"/>
  <c r="EB217" i="1"/>
  <c r="EA217" i="1"/>
  <c r="DZ217" i="1"/>
  <c r="DY217" i="1"/>
  <c r="DX217" i="1"/>
  <c r="DW217" i="1"/>
  <c r="DV217" i="1"/>
  <c r="DU217" i="1"/>
  <c r="DT217" i="1"/>
  <c r="DS217" i="1"/>
  <c r="DR217" i="1"/>
  <c r="DQ217" i="1"/>
  <c r="DP217" i="1"/>
  <c r="DO217" i="1"/>
  <c r="DN217" i="1"/>
  <c r="DM217" i="1"/>
  <c r="DL217" i="1"/>
  <c r="CX217" i="1"/>
  <c r="CV217" i="1"/>
  <c r="CS217" i="1"/>
  <c r="BW217" i="1"/>
  <c r="BS217" i="1"/>
  <c r="BA217" i="1"/>
  <c r="AI217" i="1"/>
  <c r="AF217" i="1"/>
  <c r="AB217" i="1"/>
  <c r="AA217" i="1"/>
  <c r="Z217" i="1"/>
  <c r="Y217" i="1"/>
  <c r="X217" i="1"/>
  <c r="W217" i="1"/>
  <c r="V217" i="1"/>
  <c r="G217" i="1"/>
  <c r="F217" i="1"/>
  <c r="E217" i="1"/>
  <c r="A217" i="1"/>
  <c r="CX216" i="1"/>
  <c r="CV216" i="1"/>
  <c r="CS216" i="1"/>
  <c r="BW216" i="1"/>
  <c r="BS216" i="1"/>
  <c r="BA216" i="1"/>
  <c r="AI216" i="1"/>
  <c r="AF216" i="1"/>
  <c r="AB216" i="1"/>
  <c r="S216" i="1"/>
  <c r="G216" i="1"/>
  <c r="F216" i="1"/>
  <c r="E216" i="1"/>
  <c r="A216" i="1"/>
  <c r="CX215" i="1"/>
  <c r="CV215" i="1"/>
  <c r="CS215" i="1"/>
  <c r="BW215" i="1"/>
  <c r="BS215" i="1"/>
  <c r="BA215" i="1"/>
  <c r="AI215" i="1"/>
  <c r="AF215" i="1"/>
  <c r="AB215" i="1"/>
  <c r="S215" i="1"/>
  <c r="G215" i="1"/>
  <c r="F215" i="1"/>
  <c r="E215" i="1"/>
  <c r="A215" i="1"/>
  <c r="CX214" i="1"/>
  <c r="CV214" i="1"/>
  <c r="CS214" i="1"/>
  <c r="BW214" i="1"/>
  <c r="BS214" i="1"/>
  <c r="BA214" i="1"/>
  <c r="AI214" i="1"/>
  <c r="AF214" i="1"/>
  <c r="AB214" i="1"/>
  <c r="G214" i="1"/>
  <c r="F214" i="1"/>
  <c r="E214" i="1"/>
  <c r="A214" i="1"/>
  <c r="CX213" i="1"/>
  <c r="CV213" i="1"/>
  <c r="CS213" i="1"/>
  <c r="BW213" i="1"/>
  <c r="BS213" i="1"/>
  <c r="BA213" i="1"/>
  <c r="AI213" i="1"/>
  <c r="AF213" i="1"/>
  <c r="AB213" i="1"/>
  <c r="G213" i="1"/>
  <c r="F213" i="1"/>
  <c r="E213" i="1"/>
  <c r="A213" i="1"/>
  <c r="CX212" i="1"/>
  <c r="CV212" i="1"/>
  <c r="CS212" i="1"/>
  <c r="BW212" i="1"/>
  <c r="BS212" i="1"/>
  <c r="BA212" i="1"/>
  <c r="AI212" i="1"/>
  <c r="AF212" i="1"/>
  <c r="AB212" i="1"/>
  <c r="G212" i="1"/>
  <c r="F212" i="1"/>
  <c r="E212" i="1"/>
  <c r="A212" i="1"/>
  <c r="CX211" i="1"/>
  <c r="CV211" i="1"/>
  <c r="CS211" i="1"/>
  <c r="BW211" i="1"/>
  <c r="BS211" i="1"/>
  <c r="BA211" i="1"/>
  <c r="AI211" i="1"/>
  <c r="AF211" i="1"/>
  <c r="AB211" i="1"/>
  <c r="S211" i="1"/>
  <c r="G211" i="1"/>
  <c r="F211" i="1"/>
  <c r="E211" i="1"/>
  <c r="A211" i="1"/>
  <c r="CX210" i="1"/>
  <c r="CV210" i="1"/>
  <c r="CS210" i="1"/>
  <c r="BW210" i="1"/>
  <c r="BS210" i="1"/>
  <c r="BA210" i="1"/>
  <c r="AI210" i="1"/>
  <c r="AF210" i="1"/>
  <c r="AB210" i="1"/>
  <c r="G210" i="1"/>
  <c r="F210" i="1"/>
  <c r="E210" i="1"/>
  <c r="A210" i="1"/>
  <c r="CX209" i="1"/>
  <c r="CV209" i="1"/>
  <c r="CS209" i="1"/>
  <c r="BW209" i="1"/>
  <c r="BS209" i="1"/>
  <c r="BA209" i="1"/>
  <c r="AI209" i="1"/>
  <c r="AF209" i="1"/>
  <c r="AB209" i="1"/>
  <c r="S209" i="1"/>
  <c r="G209" i="1"/>
  <c r="F209" i="1"/>
  <c r="E209" i="1"/>
  <c r="A209" i="1"/>
  <c r="DQ208" i="1"/>
  <c r="DP208" i="1"/>
  <c r="DO208" i="1"/>
  <c r="DN208" i="1"/>
  <c r="DM208" i="1"/>
  <c r="DL208" i="1"/>
  <c r="CX208" i="1"/>
  <c r="CV208" i="1"/>
  <c r="CS208" i="1"/>
  <c r="BW208" i="1"/>
  <c r="BS208" i="1"/>
  <c r="BA208" i="1"/>
  <c r="AI208" i="1"/>
  <c r="AF208" i="1"/>
  <c r="AB208" i="1"/>
  <c r="AA208" i="1"/>
  <c r="Z208" i="1"/>
  <c r="Y208" i="1"/>
  <c r="X208" i="1"/>
  <c r="W208" i="1"/>
  <c r="V208" i="1"/>
  <c r="G208" i="1"/>
  <c r="F208" i="1"/>
  <c r="E208" i="1"/>
  <c r="A208" i="1"/>
  <c r="DQ207" i="1"/>
  <c r="DP207" i="1"/>
  <c r="DO207" i="1"/>
  <c r="DN207" i="1"/>
  <c r="DM207" i="1"/>
  <c r="DL207" i="1"/>
  <c r="CX207" i="1"/>
  <c r="CV207" i="1"/>
  <c r="CS207" i="1"/>
  <c r="BW207" i="1"/>
  <c r="BS207" i="1"/>
  <c r="BA207" i="1"/>
  <c r="AI207" i="1"/>
  <c r="AF207" i="1"/>
  <c r="AB207" i="1"/>
  <c r="AA207" i="1"/>
  <c r="Z207" i="1"/>
  <c r="Y207" i="1"/>
  <c r="X207" i="1"/>
  <c r="W207" i="1"/>
  <c r="V207" i="1"/>
  <c r="S207" i="1"/>
  <c r="G207" i="1"/>
  <c r="F207" i="1"/>
  <c r="E207" i="1"/>
  <c r="A207" i="1"/>
  <c r="DU205" i="1"/>
  <c r="DT205" i="1"/>
  <c r="DS205" i="1"/>
  <c r="DR205" i="1"/>
  <c r="DQ205" i="1"/>
  <c r="DP205" i="1"/>
  <c r="DO205" i="1"/>
  <c r="DN205" i="1"/>
  <c r="DM205" i="1"/>
  <c r="DL205" i="1"/>
  <c r="CX205" i="1"/>
  <c r="CV205" i="1"/>
  <c r="CS205" i="1"/>
  <c r="BW205" i="1"/>
  <c r="BS205" i="1"/>
  <c r="BA205" i="1"/>
  <c r="AI205" i="1"/>
  <c r="AF205" i="1"/>
  <c r="AB205" i="1"/>
  <c r="AA205" i="1"/>
  <c r="Z205" i="1"/>
  <c r="Y205" i="1"/>
  <c r="X205" i="1"/>
  <c r="W205" i="1"/>
  <c r="V205" i="1"/>
  <c r="S205" i="1"/>
  <c r="G205" i="1"/>
  <c r="F205" i="1"/>
  <c r="E205" i="1"/>
  <c r="A205" i="1"/>
  <c r="DU204" i="1"/>
  <c r="DT204" i="1"/>
  <c r="DS204" i="1"/>
  <c r="DR204" i="1"/>
  <c r="DQ204" i="1"/>
  <c r="DP204" i="1"/>
  <c r="DO204" i="1"/>
  <c r="DN204" i="1"/>
  <c r="DM204" i="1"/>
  <c r="DL204" i="1"/>
  <c r="CX204" i="1"/>
  <c r="CV204" i="1"/>
  <c r="CS204" i="1"/>
  <c r="BW204" i="1"/>
  <c r="BS204" i="1"/>
  <c r="BA204" i="1"/>
  <c r="AI204" i="1"/>
  <c r="AF204" i="1"/>
  <c r="AB204" i="1"/>
  <c r="AA204" i="1"/>
  <c r="Z204" i="1"/>
  <c r="Y204" i="1"/>
  <c r="X204" i="1"/>
  <c r="W204" i="1"/>
  <c r="V204" i="1"/>
  <c r="G204" i="1"/>
  <c r="F204" i="1"/>
  <c r="E204" i="1"/>
  <c r="A204" i="1"/>
  <c r="CX203" i="1"/>
  <c r="CV203" i="1"/>
  <c r="CS203" i="1"/>
  <c r="BW203" i="1"/>
  <c r="BS203" i="1"/>
  <c r="BA203" i="1"/>
  <c r="AI203" i="1"/>
  <c r="AF203" i="1"/>
  <c r="AB203" i="1"/>
  <c r="S203" i="1"/>
  <c r="G203" i="1"/>
  <c r="F203" i="1"/>
  <c r="E203" i="1"/>
  <c r="A203" i="1"/>
  <c r="CX202" i="1"/>
  <c r="CV202" i="1"/>
  <c r="CS202" i="1"/>
  <c r="BW202" i="1"/>
  <c r="BS202" i="1"/>
  <c r="BA202" i="1"/>
  <c r="AI202" i="1"/>
  <c r="AF202" i="1"/>
  <c r="AB202" i="1"/>
  <c r="G202" i="1"/>
  <c r="F202" i="1"/>
  <c r="E202" i="1"/>
  <c r="A202" i="1"/>
  <c r="CX201" i="1"/>
  <c r="CV201" i="1"/>
  <c r="CS201" i="1"/>
  <c r="BW201" i="1"/>
  <c r="BS201" i="1"/>
  <c r="BA201" i="1"/>
  <c r="AI201" i="1"/>
  <c r="AF201" i="1"/>
  <c r="AB201" i="1"/>
  <c r="G201" i="1"/>
  <c r="F201" i="1"/>
  <c r="E201" i="1"/>
  <c r="A201" i="1"/>
  <c r="CX200" i="1"/>
  <c r="CV200" i="1"/>
  <c r="CS200" i="1"/>
  <c r="BW200" i="1"/>
  <c r="BS200" i="1"/>
  <c r="BA200" i="1"/>
  <c r="AI200" i="1"/>
  <c r="AF200" i="1"/>
  <c r="AB200" i="1"/>
  <c r="S200" i="1"/>
  <c r="G200" i="1"/>
  <c r="F200" i="1"/>
  <c r="E200" i="1"/>
  <c r="A200" i="1"/>
  <c r="CX199" i="1"/>
  <c r="CV199" i="1"/>
  <c r="CS199" i="1"/>
  <c r="BW199" i="1"/>
  <c r="BS199" i="1"/>
  <c r="BA199" i="1"/>
  <c r="AI199" i="1"/>
  <c r="AF199" i="1"/>
  <c r="AB199" i="1"/>
  <c r="S199" i="1"/>
  <c r="G199" i="1"/>
  <c r="F199" i="1"/>
  <c r="E199" i="1"/>
  <c r="A199" i="1"/>
  <c r="CX198" i="1"/>
  <c r="CV198" i="1"/>
  <c r="CS198" i="1"/>
  <c r="BW198" i="1"/>
  <c r="BS198" i="1"/>
  <c r="BA198" i="1"/>
  <c r="AI198" i="1"/>
  <c r="AF198" i="1"/>
  <c r="AB198" i="1"/>
  <c r="S198" i="1"/>
  <c r="G198" i="1"/>
  <c r="F198" i="1"/>
  <c r="E198" i="1"/>
  <c r="A198" i="1"/>
  <c r="CX197" i="1"/>
  <c r="CV197" i="1"/>
  <c r="CS197" i="1"/>
  <c r="BW197" i="1"/>
  <c r="BS197" i="1"/>
  <c r="BA197" i="1"/>
  <c r="AI197" i="1"/>
  <c r="AF197" i="1"/>
  <c r="AB197" i="1"/>
  <c r="S197" i="1"/>
  <c r="G197" i="1"/>
  <c r="F197" i="1"/>
  <c r="E197" i="1"/>
  <c r="A197" i="1"/>
  <c r="CX195" i="1"/>
  <c r="CV195" i="1"/>
  <c r="CS195" i="1"/>
  <c r="BW195" i="1"/>
  <c r="BS195" i="1"/>
  <c r="BA195" i="1"/>
  <c r="AI195" i="1"/>
  <c r="AF195" i="1"/>
  <c r="AB195" i="1"/>
  <c r="S195" i="1"/>
  <c r="G195" i="1"/>
  <c r="F195" i="1"/>
  <c r="E195" i="1"/>
  <c r="A195" i="1"/>
  <c r="CX194" i="1"/>
  <c r="CV194" i="1"/>
  <c r="CS194" i="1"/>
  <c r="BW194" i="1"/>
  <c r="BS194" i="1"/>
  <c r="BA194" i="1"/>
  <c r="AI194" i="1"/>
  <c r="AF194" i="1"/>
  <c r="AB194" i="1"/>
  <c r="S194" i="1"/>
  <c r="G194" i="1"/>
  <c r="F194" i="1"/>
  <c r="E194" i="1"/>
  <c r="A194" i="1"/>
  <c r="CX193" i="1"/>
  <c r="CV193" i="1"/>
  <c r="CS193" i="1"/>
  <c r="BW193" i="1"/>
  <c r="BS193" i="1"/>
  <c r="BA193" i="1"/>
  <c r="AI193" i="1"/>
  <c r="AF193" i="1"/>
  <c r="AB193" i="1"/>
  <c r="S193" i="1"/>
  <c r="G193" i="1"/>
  <c r="F193" i="1"/>
  <c r="E193" i="1"/>
  <c r="A193" i="1"/>
  <c r="CX192" i="1"/>
  <c r="CV192" i="1"/>
  <c r="CS192" i="1"/>
  <c r="BW192" i="1"/>
  <c r="BS192" i="1"/>
  <c r="BA192" i="1"/>
  <c r="AI192" i="1"/>
  <c r="AF192" i="1"/>
  <c r="AB192" i="1"/>
  <c r="G192" i="1"/>
  <c r="F192" i="1"/>
  <c r="E192" i="1"/>
  <c r="A192" i="1"/>
  <c r="CX191" i="1"/>
  <c r="CV191" i="1"/>
  <c r="CS191" i="1"/>
  <c r="BW191" i="1"/>
  <c r="BS191" i="1"/>
  <c r="BA191" i="1"/>
  <c r="AI191" i="1"/>
  <c r="AF191" i="1"/>
  <c r="AB191" i="1"/>
  <c r="S191" i="1"/>
  <c r="G191" i="1"/>
  <c r="F191" i="1"/>
  <c r="E191" i="1"/>
  <c r="A191" i="1"/>
  <c r="CX190" i="1"/>
  <c r="CV190" i="1"/>
  <c r="CS190" i="1"/>
  <c r="BW190" i="1"/>
  <c r="BS190" i="1"/>
  <c r="BA190" i="1"/>
  <c r="AI190" i="1"/>
  <c r="AF190" i="1"/>
  <c r="AB190" i="1"/>
  <c r="S190" i="1"/>
  <c r="G190" i="1"/>
  <c r="F190" i="1"/>
  <c r="E190" i="1"/>
  <c r="A190" i="1"/>
  <c r="CX189" i="1"/>
  <c r="CV189" i="1"/>
  <c r="CS189" i="1"/>
  <c r="BW189" i="1"/>
  <c r="BS189" i="1"/>
  <c r="BA189" i="1"/>
  <c r="AI189" i="1"/>
  <c r="AF189" i="1"/>
  <c r="AB189" i="1"/>
  <c r="S189" i="1"/>
  <c r="G189" i="1"/>
  <c r="F189" i="1"/>
  <c r="E189" i="1"/>
  <c r="A189" i="1"/>
  <c r="CX188" i="1"/>
  <c r="CV188" i="1"/>
  <c r="CS188" i="1"/>
  <c r="BW188" i="1"/>
  <c r="BS188" i="1"/>
  <c r="BA188" i="1"/>
  <c r="AI188" i="1"/>
  <c r="AF188" i="1"/>
  <c r="AB188" i="1"/>
  <c r="S188" i="1"/>
  <c r="G188" i="1"/>
  <c r="F188" i="1"/>
  <c r="E188" i="1"/>
  <c r="A188" i="1"/>
  <c r="CX187" i="1"/>
  <c r="CV187" i="1"/>
  <c r="CS187" i="1"/>
  <c r="BW187" i="1"/>
  <c r="BS187" i="1"/>
  <c r="BA187" i="1"/>
  <c r="AI187" i="1"/>
  <c r="AF187" i="1"/>
  <c r="AB187" i="1"/>
  <c r="G187" i="1"/>
  <c r="F187" i="1"/>
  <c r="E187" i="1"/>
  <c r="A187" i="1"/>
  <c r="DM186" i="1"/>
  <c r="DL186" i="1"/>
  <c r="CX186" i="1"/>
  <c r="CV186" i="1"/>
  <c r="CS186" i="1"/>
  <c r="BW186" i="1"/>
  <c r="BS186" i="1"/>
  <c r="BA186" i="1"/>
  <c r="AI186" i="1"/>
  <c r="AF186" i="1"/>
  <c r="AB186" i="1"/>
  <c r="W186" i="1"/>
  <c r="V186" i="1"/>
  <c r="S186" i="1"/>
  <c r="G186" i="1"/>
  <c r="F186" i="1"/>
  <c r="E186" i="1"/>
  <c r="A186" i="1"/>
  <c r="CX185" i="1"/>
  <c r="CV185" i="1"/>
  <c r="CS185" i="1"/>
  <c r="BW185" i="1"/>
  <c r="BS185" i="1"/>
  <c r="BA185" i="1"/>
  <c r="AI185" i="1"/>
  <c r="AF185" i="1"/>
  <c r="AB185" i="1"/>
  <c r="G185" i="1"/>
  <c r="F185" i="1"/>
  <c r="E185" i="1"/>
  <c r="A185" i="1"/>
  <c r="CX184" i="1"/>
  <c r="CV184" i="1"/>
  <c r="CS184" i="1"/>
  <c r="BW184" i="1"/>
  <c r="BS184" i="1"/>
  <c r="BA184" i="1"/>
  <c r="AI184" i="1"/>
  <c r="AF184" i="1"/>
  <c r="AB184" i="1"/>
  <c r="S184" i="1"/>
  <c r="G184" i="1"/>
  <c r="F184" i="1"/>
  <c r="E184" i="1"/>
  <c r="A184" i="1"/>
  <c r="CX182" i="1"/>
  <c r="CV182" i="1"/>
  <c r="CS182" i="1"/>
  <c r="BW182" i="1"/>
  <c r="BS182" i="1"/>
  <c r="BA182" i="1"/>
  <c r="AI182" i="1"/>
  <c r="AF182" i="1"/>
  <c r="AB182" i="1"/>
  <c r="S182" i="1"/>
  <c r="G182" i="1"/>
  <c r="F182" i="1"/>
  <c r="E182" i="1"/>
  <c r="A182" i="1"/>
  <c r="CX181" i="1"/>
  <c r="CV181" i="1"/>
  <c r="CS181" i="1"/>
  <c r="BW181" i="1"/>
  <c r="BS181" i="1"/>
  <c r="BA181" i="1"/>
  <c r="AI181" i="1"/>
  <c r="AF181" i="1"/>
  <c r="AB181" i="1"/>
  <c r="S181" i="1"/>
  <c r="G181" i="1"/>
  <c r="F181" i="1"/>
  <c r="E181" i="1"/>
  <c r="A181" i="1"/>
  <c r="CX180" i="1"/>
  <c r="CV180" i="1"/>
  <c r="CS180" i="1"/>
  <c r="BW180" i="1"/>
  <c r="BS180" i="1"/>
  <c r="BA180" i="1"/>
  <c r="AI180" i="1"/>
  <c r="AF180" i="1"/>
  <c r="AB180" i="1"/>
  <c r="S180" i="1"/>
  <c r="G180" i="1"/>
  <c r="F180" i="1"/>
  <c r="E180" i="1"/>
  <c r="A180" i="1"/>
  <c r="CX179" i="1"/>
  <c r="CV179" i="1"/>
  <c r="CS179" i="1"/>
  <c r="BW179" i="1"/>
  <c r="BS179" i="1"/>
  <c r="BA179" i="1"/>
  <c r="AI179" i="1"/>
  <c r="AF179" i="1"/>
  <c r="AB179" i="1"/>
  <c r="S179" i="1"/>
  <c r="G179" i="1"/>
  <c r="F179" i="1"/>
  <c r="E179" i="1"/>
  <c r="A179" i="1"/>
  <c r="CX178" i="1"/>
  <c r="CV178" i="1"/>
  <c r="CS178" i="1"/>
  <c r="BW178" i="1"/>
  <c r="BS178" i="1"/>
  <c r="BA178" i="1"/>
  <c r="AI178" i="1"/>
  <c r="AF178" i="1"/>
  <c r="AB178" i="1"/>
  <c r="S178" i="1"/>
  <c r="G178" i="1"/>
  <c r="F178" i="1"/>
  <c r="E178" i="1"/>
  <c r="A178" i="1"/>
  <c r="CX177" i="1"/>
  <c r="CV177" i="1"/>
  <c r="CS177" i="1"/>
  <c r="BW177" i="1"/>
  <c r="BS177" i="1"/>
  <c r="BA177" i="1"/>
  <c r="AI177" i="1"/>
  <c r="AF177" i="1"/>
  <c r="AB177" i="1"/>
  <c r="G177" i="1"/>
  <c r="F177" i="1"/>
  <c r="E177" i="1"/>
  <c r="A177" i="1"/>
  <c r="CX176" i="1"/>
  <c r="CV176" i="1"/>
  <c r="CS176" i="1"/>
  <c r="BW176" i="1"/>
  <c r="BS176" i="1"/>
  <c r="BA176" i="1"/>
  <c r="AI176" i="1"/>
  <c r="AF176" i="1"/>
  <c r="AB176" i="1"/>
  <c r="S176" i="1"/>
  <c r="G176" i="1"/>
  <c r="F176" i="1"/>
  <c r="E176" i="1"/>
  <c r="A176" i="1"/>
  <c r="CX174" i="1"/>
  <c r="CV174" i="1"/>
  <c r="CS174" i="1"/>
  <c r="BW174" i="1"/>
  <c r="BS174" i="1"/>
  <c r="BA174" i="1"/>
  <c r="AI174" i="1"/>
  <c r="AF174" i="1"/>
  <c r="AB174" i="1"/>
  <c r="S174" i="1"/>
  <c r="G174" i="1"/>
  <c r="F174" i="1"/>
  <c r="E174" i="1"/>
  <c r="A174" i="1"/>
  <c r="CX173" i="1"/>
  <c r="CV173" i="1"/>
  <c r="CS173" i="1"/>
  <c r="BW173" i="1"/>
  <c r="BS173" i="1"/>
  <c r="BA173" i="1"/>
  <c r="AI173" i="1"/>
  <c r="AF173" i="1"/>
  <c r="AB173" i="1"/>
  <c r="G173" i="1"/>
  <c r="F173" i="1"/>
  <c r="E173" i="1"/>
  <c r="A173" i="1"/>
  <c r="CX171" i="1"/>
  <c r="CV171" i="1"/>
  <c r="CS171" i="1"/>
  <c r="BW171" i="1"/>
  <c r="BS171" i="1"/>
  <c r="BA171" i="1"/>
  <c r="AI171" i="1"/>
  <c r="AF171" i="1"/>
  <c r="AB171" i="1"/>
  <c r="S171" i="1"/>
  <c r="G171" i="1"/>
  <c r="F171" i="1"/>
  <c r="E171" i="1"/>
  <c r="A171" i="1"/>
  <c r="CX169" i="1"/>
  <c r="CV169" i="1"/>
  <c r="CS169" i="1"/>
  <c r="BW169" i="1"/>
  <c r="BS169" i="1"/>
  <c r="BA169" i="1"/>
  <c r="AI169" i="1"/>
  <c r="AF169" i="1"/>
  <c r="AB169" i="1"/>
  <c r="S169" i="1"/>
  <c r="G169" i="1"/>
  <c r="F169" i="1"/>
  <c r="E169" i="1"/>
  <c r="A169" i="1"/>
  <c r="DM168" i="1"/>
  <c r="DL168" i="1"/>
  <c r="CX168" i="1"/>
  <c r="CV168" i="1"/>
  <c r="CS168" i="1"/>
  <c r="BW168" i="1"/>
  <c r="BS168" i="1"/>
  <c r="BA168" i="1"/>
  <c r="AI168" i="1"/>
  <c r="AF168" i="1"/>
  <c r="AB168" i="1"/>
  <c r="W168" i="1"/>
  <c r="V168" i="1"/>
  <c r="S168" i="1"/>
  <c r="G168" i="1"/>
  <c r="F168" i="1"/>
  <c r="E168" i="1"/>
  <c r="A168" i="1"/>
  <c r="DM167" i="1"/>
  <c r="DL167" i="1"/>
  <c r="CX167" i="1"/>
  <c r="CV167" i="1"/>
  <c r="CS167" i="1"/>
  <c r="BW167" i="1"/>
  <c r="BS167" i="1"/>
  <c r="BA167" i="1"/>
  <c r="AI167" i="1"/>
  <c r="AF167" i="1"/>
  <c r="AB167" i="1"/>
  <c r="W167" i="1"/>
  <c r="V167" i="1"/>
  <c r="S167" i="1"/>
  <c r="G167" i="1"/>
  <c r="F167" i="1"/>
  <c r="E167" i="1"/>
  <c r="A167" i="1"/>
  <c r="CX165" i="1"/>
  <c r="CV165" i="1"/>
  <c r="CS165" i="1"/>
  <c r="BW165" i="1"/>
  <c r="BS165" i="1"/>
  <c r="BA165" i="1"/>
  <c r="AI165" i="1"/>
  <c r="AF165" i="1"/>
  <c r="AB165" i="1"/>
  <c r="S165" i="1"/>
  <c r="G165" i="1"/>
  <c r="F165" i="1"/>
  <c r="E165" i="1"/>
  <c r="A165" i="1"/>
  <c r="DH163" i="1"/>
  <c r="CX163" i="1"/>
  <c r="CV163" i="1"/>
  <c r="CS163" i="1"/>
  <c r="BW163" i="1"/>
  <c r="BS163" i="1"/>
  <c r="BA163" i="1"/>
  <c r="AI163" i="1"/>
  <c r="AF163" i="1"/>
  <c r="AB163" i="1"/>
  <c r="G163" i="1"/>
  <c r="F163" i="1"/>
  <c r="E163" i="1"/>
  <c r="A163" i="1"/>
  <c r="CX162" i="1"/>
  <c r="CV162" i="1"/>
  <c r="CS162" i="1"/>
  <c r="BW162" i="1"/>
  <c r="BS162" i="1"/>
  <c r="BA162" i="1"/>
  <c r="AI162" i="1"/>
  <c r="AF162" i="1"/>
  <c r="AB162" i="1"/>
  <c r="G162" i="1"/>
  <c r="F162" i="1"/>
  <c r="E162" i="1"/>
  <c r="A162" i="1"/>
  <c r="CX161" i="1"/>
  <c r="CV161" i="1"/>
  <c r="CS161" i="1"/>
  <c r="BW161" i="1"/>
  <c r="BS161" i="1"/>
  <c r="BA161" i="1"/>
  <c r="AI161" i="1"/>
  <c r="AF161" i="1"/>
  <c r="AB161" i="1"/>
  <c r="G161" i="1"/>
  <c r="F161" i="1"/>
  <c r="E161" i="1"/>
  <c r="A161" i="1"/>
  <c r="EG160" i="1"/>
  <c r="EF160" i="1"/>
  <c r="EE160" i="1"/>
  <c r="ED160" i="1"/>
  <c r="EC160" i="1"/>
  <c r="EB160" i="1"/>
  <c r="EA160" i="1"/>
  <c r="DZ160" i="1"/>
  <c r="DY160" i="1"/>
  <c r="DX160" i="1"/>
  <c r="DW160" i="1"/>
  <c r="DV160" i="1"/>
  <c r="DU160" i="1"/>
  <c r="DT160" i="1"/>
  <c r="DS160" i="1"/>
  <c r="DR160" i="1"/>
  <c r="DQ160" i="1"/>
  <c r="DP160" i="1"/>
  <c r="DO160" i="1"/>
  <c r="DN160" i="1"/>
  <c r="DM160" i="1"/>
  <c r="DL160" i="1"/>
  <c r="DH160" i="1"/>
  <c r="CX160" i="1"/>
  <c r="CV160" i="1"/>
  <c r="CS160" i="1"/>
  <c r="BW160" i="1"/>
  <c r="BS160" i="1"/>
  <c r="BA160" i="1"/>
  <c r="AI160" i="1"/>
  <c r="AF160" i="1"/>
  <c r="AB160" i="1"/>
  <c r="AA160" i="1"/>
  <c r="Z160" i="1"/>
  <c r="Y160" i="1"/>
  <c r="X160" i="1"/>
  <c r="W160" i="1"/>
  <c r="V160" i="1"/>
  <c r="G160" i="1"/>
  <c r="F160" i="1"/>
  <c r="E160" i="1"/>
  <c r="A160" i="1"/>
  <c r="EG159" i="1"/>
  <c r="EF159" i="1"/>
  <c r="EE159" i="1"/>
  <c r="ED159" i="1"/>
  <c r="EC159" i="1"/>
  <c r="EB159" i="1"/>
  <c r="EA159" i="1"/>
  <c r="DZ159" i="1"/>
  <c r="DY159" i="1"/>
  <c r="DX159" i="1"/>
  <c r="DW159" i="1"/>
  <c r="DV159" i="1"/>
  <c r="DU159" i="1"/>
  <c r="DT159" i="1"/>
  <c r="DS159" i="1"/>
  <c r="DR159" i="1"/>
  <c r="DQ159" i="1"/>
  <c r="DP159" i="1"/>
  <c r="DO159" i="1"/>
  <c r="DN159" i="1"/>
  <c r="DM159" i="1"/>
  <c r="DL159" i="1"/>
  <c r="DH159" i="1"/>
  <c r="CX159" i="1"/>
  <c r="CV159" i="1"/>
  <c r="CS159" i="1"/>
  <c r="BW159" i="1"/>
  <c r="BS159" i="1"/>
  <c r="BA159" i="1"/>
  <c r="AI159" i="1"/>
  <c r="AF159" i="1"/>
  <c r="AB159" i="1"/>
  <c r="AA159" i="1"/>
  <c r="Z159" i="1"/>
  <c r="Y159" i="1"/>
  <c r="X159" i="1"/>
  <c r="W159" i="1"/>
  <c r="V159" i="1"/>
  <c r="G159" i="1"/>
  <c r="F159" i="1"/>
  <c r="E159" i="1"/>
  <c r="A159" i="1"/>
  <c r="CX158" i="1"/>
  <c r="CV158" i="1"/>
  <c r="CS158" i="1"/>
  <c r="BW158" i="1"/>
  <c r="BS158" i="1"/>
  <c r="BA158" i="1"/>
  <c r="AI158" i="1"/>
  <c r="AF158" i="1"/>
  <c r="AB158" i="1"/>
  <c r="G158" i="1"/>
  <c r="F158" i="1"/>
  <c r="E158" i="1"/>
  <c r="A158" i="1"/>
  <c r="CX157" i="1"/>
  <c r="CV157" i="1"/>
  <c r="CS157" i="1"/>
  <c r="BW157" i="1"/>
  <c r="BS157" i="1"/>
  <c r="BA157" i="1"/>
  <c r="AI157" i="1"/>
  <c r="AF157" i="1"/>
  <c r="AB157" i="1"/>
  <c r="G157" i="1"/>
  <c r="F157" i="1"/>
  <c r="E157" i="1"/>
  <c r="A157" i="1"/>
  <c r="CX156" i="1"/>
  <c r="CV156" i="1"/>
  <c r="CS156" i="1"/>
  <c r="BW156" i="1"/>
  <c r="BS156" i="1"/>
  <c r="BA156" i="1"/>
  <c r="AI156" i="1"/>
  <c r="AF156" i="1"/>
  <c r="AB156" i="1"/>
  <c r="S156" i="1"/>
  <c r="G156" i="1"/>
  <c r="F156" i="1"/>
  <c r="E156" i="1"/>
  <c r="A156" i="1"/>
  <c r="DY155" i="1"/>
  <c r="DX155" i="1"/>
  <c r="DW155" i="1"/>
  <c r="DV155" i="1"/>
  <c r="DU155" i="1"/>
  <c r="DT155" i="1"/>
  <c r="DS155" i="1"/>
  <c r="DR155" i="1"/>
  <c r="DQ155" i="1"/>
  <c r="DP155" i="1"/>
  <c r="DO155" i="1"/>
  <c r="DN155" i="1"/>
  <c r="DM155" i="1"/>
  <c r="DL155" i="1"/>
  <c r="CX155" i="1"/>
  <c r="CV155" i="1"/>
  <c r="CS155" i="1"/>
  <c r="BW155" i="1"/>
  <c r="BS155" i="1"/>
  <c r="BA155" i="1"/>
  <c r="AI155" i="1"/>
  <c r="AF155" i="1"/>
  <c r="AB155" i="1"/>
  <c r="AA155" i="1"/>
  <c r="Z155" i="1"/>
  <c r="Y155" i="1"/>
  <c r="X155" i="1"/>
  <c r="W155" i="1"/>
  <c r="V155" i="1"/>
  <c r="S155" i="1"/>
  <c r="G155" i="1"/>
  <c r="F155" i="1"/>
  <c r="E155" i="1"/>
  <c r="A155" i="1"/>
  <c r="DY154" i="1"/>
  <c r="DX154" i="1"/>
  <c r="DW154" i="1"/>
  <c r="DV154" i="1"/>
  <c r="DU154" i="1"/>
  <c r="DT154" i="1"/>
  <c r="DS154" i="1"/>
  <c r="DR154" i="1"/>
  <c r="DQ154" i="1"/>
  <c r="DP154" i="1"/>
  <c r="DO154" i="1"/>
  <c r="DN154" i="1"/>
  <c r="DM154" i="1"/>
  <c r="DL154" i="1"/>
  <c r="CX154" i="1"/>
  <c r="CV154" i="1"/>
  <c r="CS154" i="1"/>
  <c r="BW154" i="1"/>
  <c r="BS154" i="1"/>
  <c r="BA154" i="1"/>
  <c r="AI154" i="1"/>
  <c r="AF154" i="1"/>
  <c r="AB154" i="1"/>
  <c r="AA154" i="1"/>
  <c r="Z154" i="1"/>
  <c r="Y154" i="1"/>
  <c r="X154" i="1"/>
  <c r="W154" i="1"/>
  <c r="V154" i="1"/>
  <c r="S154" i="1"/>
  <c r="G154" i="1"/>
  <c r="F154" i="1"/>
  <c r="E154" i="1"/>
  <c r="A154" i="1"/>
  <c r="CX153" i="1"/>
  <c r="CV153" i="1"/>
  <c r="CS153" i="1"/>
  <c r="BW153" i="1"/>
  <c r="BS153" i="1"/>
  <c r="BA153" i="1"/>
  <c r="AI153" i="1"/>
  <c r="AF153" i="1"/>
  <c r="AB153" i="1"/>
  <c r="S153" i="1"/>
  <c r="G153" i="1"/>
  <c r="F153" i="1"/>
  <c r="E153" i="1"/>
  <c r="A153" i="1"/>
  <c r="CX152" i="1"/>
  <c r="CV152" i="1"/>
  <c r="CS152" i="1"/>
  <c r="BW152" i="1"/>
  <c r="BS152" i="1"/>
  <c r="BA152" i="1"/>
  <c r="AI152" i="1"/>
  <c r="AF152" i="1"/>
  <c r="AB152" i="1"/>
  <c r="S152" i="1"/>
  <c r="G152" i="1"/>
  <c r="F152" i="1"/>
  <c r="E152" i="1"/>
  <c r="A152" i="1"/>
  <c r="CX151" i="1"/>
  <c r="CV151" i="1"/>
  <c r="CS151" i="1"/>
  <c r="BW151" i="1"/>
  <c r="BS151" i="1"/>
  <c r="BA151" i="1"/>
  <c r="AI151" i="1"/>
  <c r="AF151" i="1"/>
  <c r="AB151" i="1"/>
  <c r="S151" i="1"/>
  <c r="G151" i="1"/>
  <c r="F151" i="1"/>
  <c r="E151" i="1"/>
  <c r="A151" i="1"/>
  <c r="CX150" i="1"/>
  <c r="CV150" i="1"/>
  <c r="CS150" i="1"/>
  <c r="BW150" i="1"/>
  <c r="BS150" i="1"/>
  <c r="BA150" i="1"/>
  <c r="AI150" i="1"/>
  <c r="AF150" i="1"/>
  <c r="AB150" i="1"/>
  <c r="S150" i="1"/>
  <c r="G150" i="1"/>
  <c r="F150" i="1"/>
  <c r="E150" i="1"/>
  <c r="A150" i="1"/>
  <c r="DH149" i="1"/>
  <c r="CX149" i="1"/>
  <c r="CV149" i="1"/>
  <c r="CS149" i="1"/>
  <c r="BW149" i="1"/>
  <c r="BS149" i="1"/>
  <c r="BA149" i="1"/>
  <c r="AI149" i="1"/>
  <c r="AF149" i="1"/>
  <c r="AB149" i="1"/>
  <c r="G149" i="1"/>
  <c r="F149" i="1"/>
  <c r="E149" i="1"/>
  <c r="A149" i="1"/>
  <c r="CX147" i="1"/>
  <c r="CV147" i="1"/>
  <c r="CS147" i="1"/>
  <c r="BS147" i="1"/>
  <c r="BA147" i="1"/>
  <c r="AI147" i="1"/>
  <c r="AF147" i="1"/>
  <c r="AB147" i="1"/>
  <c r="G147" i="1"/>
  <c r="F147" i="1"/>
  <c r="E147" i="1"/>
  <c r="A147" i="1"/>
  <c r="DQ146" i="1"/>
  <c r="DP146" i="1"/>
  <c r="DO146" i="1"/>
  <c r="DN146" i="1"/>
  <c r="DM146" i="1"/>
  <c r="DL146" i="1"/>
  <c r="CX146" i="1"/>
  <c r="CV146" i="1"/>
  <c r="CS146" i="1"/>
  <c r="BW146" i="1"/>
  <c r="BS146" i="1"/>
  <c r="BA146" i="1"/>
  <c r="AI146" i="1"/>
  <c r="AF146" i="1"/>
  <c r="AB146" i="1"/>
  <c r="AA146" i="1"/>
  <c r="Z146" i="1"/>
  <c r="Y146" i="1"/>
  <c r="X146" i="1"/>
  <c r="W146" i="1"/>
  <c r="V146" i="1"/>
  <c r="S146" i="1"/>
  <c r="G146" i="1"/>
  <c r="F146" i="1"/>
  <c r="E146" i="1"/>
  <c r="A146" i="1"/>
  <c r="DQ145" i="1"/>
  <c r="DP145" i="1"/>
  <c r="DO145" i="1"/>
  <c r="DN145" i="1"/>
  <c r="DM145" i="1"/>
  <c r="DL145" i="1"/>
  <c r="CX145" i="1"/>
  <c r="CV145" i="1"/>
  <c r="CS145" i="1"/>
  <c r="BW145" i="1"/>
  <c r="BS145" i="1"/>
  <c r="BA145" i="1"/>
  <c r="AI145" i="1"/>
  <c r="AF145" i="1"/>
  <c r="AB145" i="1"/>
  <c r="AA145" i="1"/>
  <c r="Z145" i="1"/>
  <c r="Y145" i="1"/>
  <c r="X145" i="1"/>
  <c r="W145" i="1"/>
  <c r="V145" i="1"/>
  <c r="G145" i="1"/>
  <c r="F145" i="1"/>
  <c r="E145" i="1"/>
  <c r="A145" i="1"/>
  <c r="DY144" i="1"/>
  <c r="DX144" i="1"/>
  <c r="DW144" i="1"/>
  <c r="DV144" i="1"/>
  <c r="DU144" i="1"/>
  <c r="DT144" i="1"/>
  <c r="DS144" i="1"/>
  <c r="DR144" i="1"/>
  <c r="DQ144" i="1"/>
  <c r="DP144" i="1"/>
  <c r="DO144" i="1"/>
  <c r="DN144" i="1"/>
  <c r="DM144" i="1"/>
  <c r="DL144" i="1"/>
  <c r="CX144" i="1"/>
  <c r="CV144" i="1"/>
  <c r="CS144" i="1"/>
  <c r="BW144" i="1"/>
  <c r="BS144" i="1"/>
  <c r="BA144" i="1"/>
  <c r="AI144" i="1"/>
  <c r="AF144" i="1"/>
  <c r="AB144" i="1"/>
  <c r="AA144" i="1"/>
  <c r="Z144" i="1"/>
  <c r="Y144" i="1"/>
  <c r="X144" i="1"/>
  <c r="W144" i="1"/>
  <c r="V144" i="1"/>
  <c r="S144" i="1"/>
  <c r="G144" i="1"/>
  <c r="F144" i="1"/>
  <c r="E144" i="1"/>
  <c r="A144" i="1"/>
  <c r="DY143" i="1"/>
  <c r="DX143" i="1"/>
  <c r="DW143" i="1"/>
  <c r="DV143" i="1"/>
  <c r="DU143" i="1"/>
  <c r="DT143" i="1"/>
  <c r="DS143" i="1"/>
  <c r="DR143" i="1"/>
  <c r="DQ143" i="1"/>
  <c r="DP143" i="1"/>
  <c r="DO143" i="1"/>
  <c r="DN143" i="1"/>
  <c r="DM143" i="1"/>
  <c r="DL143" i="1"/>
  <c r="CX143" i="1"/>
  <c r="CV143" i="1"/>
  <c r="CS143" i="1"/>
  <c r="BW143" i="1"/>
  <c r="BS143" i="1"/>
  <c r="BA143" i="1"/>
  <c r="AI143" i="1"/>
  <c r="AF143" i="1"/>
  <c r="AB143" i="1"/>
  <c r="AA143" i="1"/>
  <c r="Z143" i="1"/>
  <c r="Y143" i="1"/>
  <c r="X143" i="1"/>
  <c r="W143" i="1"/>
  <c r="V143" i="1"/>
  <c r="S143" i="1"/>
  <c r="G143" i="1"/>
  <c r="F143" i="1"/>
  <c r="E143" i="1"/>
  <c r="A143" i="1"/>
  <c r="CX142" i="1"/>
  <c r="CV142" i="1"/>
  <c r="CS142" i="1"/>
  <c r="BW142" i="1"/>
  <c r="BS142" i="1"/>
  <c r="BA142" i="1"/>
  <c r="AI142" i="1"/>
  <c r="AF142" i="1"/>
  <c r="AB142" i="1"/>
  <c r="G142" i="1"/>
  <c r="F142" i="1"/>
  <c r="E142" i="1"/>
  <c r="A142" i="1"/>
  <c r="CX141" i="1"/>
  <c r="CV141" i="1"/>
  <c r="CS141" i="1"/>
  <c r="BW141" i="1"/>
  <c r="BS141" i="1"/>
  <c r="BA141" i="1"/>
  <c r="AI141" i="1"/>
  <c r="AF141" i="1"/>
  <c r="AB141" i="1"/>
  <c r="S141" i="1"/>
  <c r="G141" i="1"/>
  <c r="F141" i="1"/>
  <c r="E141" i="1"/>
  <c r="A141" i="1"/>
  <c r="CX139" i="1"/>
  <c r="CV139" i="1"/>
  <c r="CS139" i="1"/>
  <c r="BW139" i="1"/>
  <c r="BS139" i="1"/>
  <c r="BA139" i="1"/>
  <c r="AI139" i="1"/>
  <c r="AF139" i="1"/>
  <c r="AB139" i="1"/>
  <c r="S139" i="1"/>
  <c r="G139" i="1"/>
  <c r="F139" i="1"/>
  <c r="E139" i="1"/>
  <c r="A139" i="1"/>
  <c r="CX138" i="1"/>
  <c r="CV138" i="1"/>
  <c r="CS138" i="1"/>
  <c r="BW138" i="1"/>
  <c r="BS138" i="1"/>
  <c r="BA138" i="1"/>
  <c r="AI138" i="1"/>
  <c r="AF138" i="1"/>
  <c r="AB138" i="1"/>
  <c r="G138" i="1"/>
  <c r="F138" i="1"/>
  <c r="E138" i="1"/>
  <c r="A138" i="1"/>
  <c r="CX137" i="1"/>
  <c r="CV137" i="1"/>
  <c r="CS137" i="1"/>
  <c r="BW137" i="1"/>
  <c r="BS137" i="1"/>
  <c r="BA137" i="1"/>
  <c r="AI137" i="1"/>
  <c r="AF137" i="1"/>
  <c r="AB137" i="1"/>
  <c r="G137" i="1"/>
  <c r="F137" i="1"/>
  <c r="E137" i="1"/>
  <c r="A137" i="1"/>
  <c r="CX136" i="1"/>
  <c r="CV136" i="1"/>
  <c r="CS136" i="1"/>
  <c r="BW136" i="1"/>
  <c r="BS136" i="1"/>
  <c r="BA136" i="1"/>
  <c r="AI136" i="1"/>
  <c r="AF136" i="1"/>
  <c r="AB136" i="1"/>
  <c r="S136" i="1"/>
  <c r="G136" i="1"/>
  <c r="F136" i="1"/>
  <c r="E136" i="1"/>
  <c r="A136" i="1"/>
  <c r="CX135" i="1"/>
  <c r="CV135" i="1"/>
  <c r="CS135" i="1"/>
  <c r="BW135" i="1"/>
  <c r="BS135" i="1"/>
  <c r="BA135" i="1"/>
  <c r="AI135" i="1"/>
  <c r="AF135" i="1"/>
  <c r="AB135" i="1"/>
  <c r="G135" i="1"/>
  <c r="F135" i="1"/>
  <c r="E135" i="1"/>
  <c r="A135" i="1"/>
  <c r="CX134" i="1"/>
  <c r="CV134" i="1"/>
  <c r="CS134" i="1"/>
  <c r="BW134" i="1"/>
  <c r="BS134" i="1"/>
  <c r="BA134" i="1"/>
  <c r="AI134" i="1"/>
  <c r="AF134" i="1"/>
  <c r="AB134" i="1"/>
  <c r="S134" i="1"/>
  <c r="G134" i="1"/>
  <c r="F134" i="1"/>
  <c r="E134" i="1"/>
  <c r="A134" i="1"/>
  <c r="CX132" i="1"/>
  <c r="CV132" i="1"/>
  <c r="CS132" i="1"/>
  <c r="BW132" i="1"/>
  <c r="BS132" i="1"/>
  <c r="BA132" i="1"/>
  <c r="AI132" i="1"/>
  <c r="AF132" i="1"/>
  <c r="AB132" i="1"/>
  <c r="S132" i="1"/>
  <c r="G132" i="1"/>
  <c r="F132" i="1"/>
  <c r="E132" i="1"/>
  <c r="A132" i="1"/>
  <c r="CX131" i="1"/>
  <c r="CV131" i="1"/>
  <c r="CS131" i="1"/>
  <c r="BW131" i="1"/>
  <c r="BS131" i="1"/>
  <c r="BA131" i="1"/>
  <c r="AI131" i="1"/>
  <c r="AF131" i="1"/>
  <c r="AB131" i="1"/>
  <c r="S131" i="1"/>
  <c r="G131" i="1"/>
  <c r="F131" i="1"/>
  <c r="E131" i="1"/>
  <c r="A131" i="1"/>
  <c r="CX130" i="1"/>
  <c r="CV130" i="1"/>
  <c r="CS130" i="1"/>
  <c r="BW130" i="1"/>
  <c r="BS130" i="1"/>
  <c r="BA130" i="1"/>
  <c r="AI130" i="1"/>
  <c r="AF130" i="1"/>
  <c r="AB130" i="1"/>
  <c r="S130" i="1"/>
  <c r="G130" i="1"/>
  <c r="F130" i="1"/>
  <c r="E130" i="1"/>
  <c r="A130" i="1"/>
  <c r="EG128" i="1"/>
  <c r="EF128" i="1"/>
  <c r="EE128" i="1"/>
  <c r="ED128" i="1"/>
  <c r="EC128" i="1"/>
  <c r="EB128" i="1"/>
  <c r="EA128" i="1"/>
  <c r="DZ128" i="1"/>
  <c r="DY128" i="1"/>
  <c r="DX128" i="1"/>
  <c r="DW128" i="1"/>
  <c r="DV128" i="1"/>
  <c r="DU128" i="1"/>
  <c r="DT128" i="1"/>
  <c r="DS128" i="1"/>
  <c r="DR128" i="1"/>
  <c r="DQ128" i="1"/>
  <c r="DP128" i="1"/>
  <c r="DO128" i="1"/>
  <c r="DN128" i="1"/>
  <c r="DM128" i="1"/>
  <c r="DL128" i="1"/>
  <c r="CX128" i="1"/>
  <c r="CV128" i="1"/>
  <c r="CS128" i="1"/>
  <c r="BW128" i="1"/>
  <c r="BS128" i="1"/>
  <c r="BA128" i="1"/>
  <c r="AI128" i="1"/>
  <c r="AF128" i="1"/>
  <c r="AB128" i="1"/>
  <c r="AA128" i="1"/>
  <c r="Z128" i="1"/>
  <c r="Y128" i="1"/>
  <c r="X128" i="1"/>
  <c r="W128" i="1"/>
  <c r="V128" i="1"/>
  <c r="S128" i="1"/>
  <c r="G128" i="1"/>
  <c r="F128" i="1"/>
  <c r="E128" i="1"/>
  <c r="A128" i="1"/>
  <c r="CX126" i="1"/>
  <c r="CV126" i="1"/>
  <c r="CS126" i="1"/>
  <c r="BW126" i="1"/>
  <c r="BS126" i="1"/>
  <c r="BA126" i="1"/>
  <c r="AI126" i="1"/>
  <c r="AF126" i="1"/>
  <c r="AB126" i="1"/>
  <c r="G126" i="1"/>
  <c r="F126" i="1"/>
  <c r="E126" i="1"/>
  <c r="A126" i="1"/>
  <c r="CX125" i="1"/>
  <c r="CV125" i="1"/>
  <c r="CS125" i="1"/>
  <c r="BW125" i="1"/>
  <c r="BS125" i="1"/>
  <c r="BA125" i="1"/>
  <c r="AI125" i="1"/>
  <c r="AF125" i="1"/>
  <c r="AB125" i="1"/>
  <c r="S125" i="1"/>
  <c r="G125" i="1"/>
  <c r="F125" i="1"/>
  <c r="E125" i="1"/>
  <c r="A125" i="1"/>
  <c r="CX124" i="1"/>
  <c r="CV124" i="1"/>
  <c r="CS124" i="1"/>
  <c r="BW124" i="1"/>
  <c r="BS124" i="1"/>
  <c r="BA124" i="1"/>
  <c r="AI124" i="1"/>
  <c r="AF124" i="1"/>
  <c r="AB124" i="1"/>
  <c r="G124" i="1"/>
  <c r="F124" i="1"/>
  <c r="E124" i="1"/>
  <c r="A124" i="1"/>
  <c r="CX123" i="1"/>
  <c r="CV123" i="1"/>
  <c r="CS123" i="1"/>
  <c r="BW123" i="1"/>
  <c r="BS123" i="1"/>
  <c r="BA123" i="1"/>
  <c r="AI123" i="1"/>
  <c r="AF123" i="1"/>
  <c r="AB123" i="1"/>
  <c r="S123" i="1"/>
  <c r="G123" i="1"/>
  <c r="F123" i="1"/>
  <c r="E123" i="1"/>
  <c r="A123" i="1"/>
  <c r="CX122" i="1"/>
  <c r="CV122" i="1"/>
  <c r="CS122" i="1"/>
  <c r="BW122" i="1"/>
  <c r="BS122" i="1"/>
  <c r="BA122" i="1"/>
  <c r="AI122" i="1"/>
  <c r="AF122" i="1"/>
  <c r="AB122" i="1"/>
  <c r="S122" i="1"/>
  <c r="G122" i="1"/>
  <c r="F122" i="1"/>
  <c r="E122" i="1"/>
  <c r="A122" i="1"/>
  <c r="CX121" i="1"/>
  <c r="CV121" i="1"/>
  <c r="CS121" i="1"/>
  <c r="BW121" i="1"/>
  <c r="BS121" i="1"/>
  <c r="BA121" i="1"/>
  <c r="AI121" i="1"/>
  <c r="AF121" i="1"/>
  <c r="AB121" i="1"/>
  <c r="S121" i="1"/>
  <c r="G121" i="1"/>
  <c r="F121" i="1"/>
  <c r="E121" i="1"/>
  <c r="A121" i="1"/>
  <c r="EA120" i="1"/>
  <c r="DZ120" i="1"/>
  <c r="DY120" i="1"/>
  <c r="DX120" i="1"/>
  <c r="DW120" i="1"/>
  <c r="DV120" i="1"/>
  <c r="DU120" i="1"/>
  <c r="DT120" i="1"/>
  <c r="DS120" i="1"/>
  <c r="DR120" i="1"/>
  <c r="DQ120" i="1"/>
  <c r="DP120" i="1"/>
  <c r="DO120" i="1"/>
  <c r="DN120" i="1"/>
  <c r="DM120" i="1"/>
  <c r="DL120" i="1"/>
  <c r="CX120" i="1"/>
  <c r="CV120" i="1"/>
  <c r="CS120" i="1"/>
  <c r="BW120" i="1"/>
  <c r="BS120" i="1"/>
  <c r="BA120" i="1"/>
  <c r="AI120" i="1"/>
  <c r="AF120" i="1"/>
  <c r="AB120" i="1"/>
  <c r="AA120" i="1"/>
  <c r="Z120" i="1"/>
  <c r="Y120" i="1"/>
  <c r="X120" i="1"/>
  <c r="W120" i="1"/>
  <c r="V120" i="1"/>
  <c r="G120" i="1"/>
  <c r="F120" i="1"/>
  <c r="E120" i="1"/>
  <c r="A120" i="1"/>
  <c r="DW119" i="1"/>
  <c r="DV119" i="1"/>
  <c r="DU119" i="1"/>
  <c r="DT119" i="1"/>
  <c r="DS119" i="1"/>
  <c r="DR119" i="1"/>
  <c r="DQ119" i="1"/>
  <c r="DP119" i="1"/>
  <c r="DO119" i="1"/>
  <c r="DN119" i="1"/>
  <c r="DM119" i="1"/>
  <c r="DL119" i="1"/>
  <c r="CX119" i="1"/>
  <c r="CV119" i="1"/>
  <c r="CS119" i="1"/>
  <c r="BW119" i="1"/>
  <c r="BS119" i="1"/>
  <c r="BA119" i="1"/>
  <c r="AI119" i="1"/>
  <c r="AF119" i="1"/>
  <c r="AB119" i="1"/>
  <c r="AA119" i="1"/>
  <c r="Z119" i="1"/>
  <c r="Y119" i="1"/>
  <c r="X119" i="1"/>
  <c r="W119" i="1"/>
  <c r="V119" i="1"/>
  <c r="S119" i="1"/>
  <c r="G119" i="1"/>
  <c r="F119" i="1"/>
  <c r="E119" i="1"/>
  <c r="A119" i="1"/>
  <c r="EG118" i="1"/>
  <c r="EF118" i="1"/>
  <c r="EE118" i="1"/>
  <c r="ED118" i="1"/>
  <c r="EC118" i="1"/>
  <c r="EB118" i="1"/>
  <c r="EA118" i="1"/>
  <c r="DZ118" i="1"/>
  <c r="DY118" i="1"/>
  <c r="DX118" i="1"/>
  <c r="DW118" i="1"/>
  <c r="DV118" i="1"/>
  <c r="DU118" i="1"/>
  <c r="DT118" i="1"/>
  <c r="DS118" i="1"/>
  <c r="DR118" i="1"/>
  <c r="DQ118" i="1"/>
  <c r="DP118" i="1"/>
  <c r="DO118" i="1"/>
  <c r="DN118" i="1"/>
  <c r="DM118" i="1"/>
  <c r="DL118" i="1"/>
  <c r="CX118" i="1"/>
  <c r="CV118" i="1"/>
  <c r="CS118" i="1"/>
  <c r="BW118" i="1"/>
  <c r="BS118" i="1"/>
  <c r="BA118" i="1"/>
  <c r="AI118" i="1"/>
  <c r="AF118" i="1"/>
  <c r="AB118" i="1"/>
  <c r="AA118" i="1"/>
  <c r="Z118" i="1"/>
  <c r="Y118" i="1"/>
  <c r="X118" i="1"/>
  <c r="W118" i="1"/>
  <c r="V118" i="1"/>
  <c r="G118" i="1"/>
  <c r="F118" i="1"/>
  <c r="E118" i="1"/>
  <c r="A118" i="1"/>
  <c r="CX117" i="1"/>
  <c r="CV117" i="1"/>
  <c r="CS117" i="1"/>
  <c r="BW117" i="1"/>
  <c r="BS117" i="1"/>
  <c r="BA117" i="1"/>
  <c r="AI117" i="1"/>
  <c r="AF117" i="1"/>
  <c r="AB117" i="1"/>
  <c r="G117" i="1"/>
  <c r="F117" i="1"/>
  <c r="E117" i="1"/>
  <c r="A117" i="1"/>
  <c r="EG116" i="1"/>
  <c r="EF116" i="1"/>
  <c r="EE116" i="1"/>
  <c r="ED116" i="1"/>
  <c r="EC116" i="1"/>
  <c r="EB116" i="1"/>
  <c r="EA116" i="1"/>
  <c r="DZ116" i="1"/>
  <c r="DY116" i="1"/>
  <c r="DX116" i="1"/>
  <c r="DW116" i="1"/>
  <c r="DV116" i="1"/>
  <c r="DU116" i="1"/>
  <c r="DT116" i="1"/>
  <c r="DS116" i="1"/>
  <c r="DR116" i="1"/>
  <c r="DQ116" i="1"/>
  <c r="DP116" i="1"/>
  <c r="DO116" i="1"/>
  <c r="DN116" i="1"/>
  <c r="DM116" i="1"/>
  <c r="DL116" i="1"/>
  <c r="CX116" i="1"/>
  <c r="CV116" i="1"/>
  <c r="CS116" i="1"/>
  <c r="BW116" i="1"/>
  <c r="BS116" i="1"/>
  <c r="BA116" i="1"/>
  <c r="AI116" i="1"/>
  <c r="AF116" i="1"/>
  <c r="AB116" i="1"/>
  <c r="AA116" i="1"/>
  <c r="Z116" i="1"/>
  <c r="Y116" i="1"/>
  <c r="X116" i="1"/>
  <c r="W116" i="1"/>
  <c r="V116" i="1"/>
  <c r="S116" i="1"/>
  <c r="G116" i="1"/>
  <c r="F116" i="1"/>
  <c r="E116" i="1"/>
  <c r="A116" i="1"/>
  <c r="CX115" i="1"/>
  <c r="CV115" i="1"/>
  <c r="CS115" i="1"/>
  <c r="BW115" i="1"/>
  <c r="BS115" i="1"/>
  <c r="BA115" i="1"/>
  <c r="AI115" i="1"/>
  <c r="AF115" i="1"/>
  <c r="AB115" i="1"/>
  <c r="S115" i="1"/>
  <c r="G115" i="1"/>
  <c r="F115" i="1"/>
  <c r="E115" i="1"/>
  <c r="A115" i="1"/>
  <c r="CX114" i="1"/>
  <c r="CV114" i="1"/>
  <c r="CS114" i="1"/>
  <c r="BW114" i="1"/>
  <c r="BS114" i="1"/>
  <c r="BA114" i="1"/>
  <c r="AI114" i="1"/>
  <c r="AF114" i="1"/>
  <c r="AB114" i="1"/>
  <c r="S114" i="1"/>
  <c r="G114" i="1"/>
  <c r="F114" i="1"/>
  <c r="E114" i="1"/>
  <c r="A114" i="1"/>
  <c r="CX113" i="1"/>
  <c r="CV113" i="1"/>
  <c r="CS113" i="1"/>
  <c r="BW113" i="1"/>
  <c r="BS113" i="1"/>
  <c r="BA113" i="1"/>
  <c r="AI113" i="1"/>
  <c r="AF113" i="1"/>
  <c r="AB113" i="1"/>
  <c r="S113" i="1"/>
  <c r="G113" i="1"/>
  <c r="F113" i="1"/>
  <c r="E113" i="1"/>
  <c r="A113" i="1"/>
  <c r="CX110" i="1"/>
  <c r="CV110" i="1"/>
  <c r="CS110" i="1"/>
  <c r="BS110" i="1"/>
  <c r="BA110" i="1"/>
  <c r="AI110" i="1"/>
  <c r="AF110" i="1"/>
  <c r="AB110" i="1"/>
  <c r="S110" i="1"/>
  <c r="G110" i="1"/>
  <c r="F110" i="1"/>
  <c r="E110" i="1"/>
  <c r="A110" i="1"/>
  <c r="CX109" i="1"/>
  <c r="CV109" i="1"/>
  <c r="CS109" i="1"/>
  <c r="BS109" i="1"/>
  <c r="BA109" i="1"/>
  <c r="AI109" i="1"/>
  <c r="AF109" i="1"/>
  <c r="AB109" i="1"/>
  <c r="S109" i="1"/>
  <c r="G109" i="1"/>
  <c r="F109" i="1"/>
  <c r="E109" i="1"/>
  <c r="A109" i="1"/>
  <c r="CX108" i="1"/>
  <c r="CV108" i="1"/>
  <c r="CS108" i="1"/>
  <c r="BS108" i="1"/>
  <c r="BA108" i="1"/>
  <c r="AI108" i="1"/>
  <c r="AF108" i="1"/>
  <c r="AB108" i="1"/>
  <c r="S108" i="1"/>
  <c r="G108" i="1"/>
  <c r="F108" i="1"/>
  <c r="E108" i="1"/>
  <c r="A108" i="1"/>
  <c r="CX107" i="1"/>
  <c r="CV107" i="1"/>
  <c r="CS107" i="1"/>
  <c r="BS107" i="1"/>
  <c r="BA107" i="1"/>
  <c r="AI107" i="1"/>
  <c r="AF107" i="1"/>
  <c r="AB107" i="1"/>
  <c r="S107" i="1"/>
  <c r="G107" i="1"/>
  <c r="F107" i="1"/>
  <c r="E107" i="1"/>
  <c r="A107" i="1"/>
  <c r="CX106" i="1"/>
  <c r="CV106" i="1"/>
  <c r="CS106" i="1"/>
  <c r="BS106" i="1"/>
  <c r="BA106" i="1"/>
  <c r="AI106" i="1"/>
  <c r="AF106" i="1"/>
  <c r="AB106" i="1"/>
  <c r="S106" i="1"/>
  <c r="G106" i="1"/>
  <c r="F106" i="1"/>
  <c r="E106" i="1"/>
  <c r="A106" i="1"/>
  <c r="DQ105" i="1"/>
  <c r="DP105" i="1"/>
  <c r="DO105" i="1"/>
  <c r="DN105" i="1"/>
  <c r="DM105" i="1"/>
  <c r="DL105" i="1"/>
  <c r="CX105" i="1"/>
  <c r="CV105" i="1"/>
  <c r="CS105" i="1"/>
  <c r="BS105" i="1"/>
  <c r="BA105" i="1"/>
  <c r="AI105" i="1"/>
  <c r="AF105" i="1"/>
  <c r="AB105" i="1"/>
  <c r="AA105" i="1"/>
  <c r="Z105" i="1"/>
  <c r="Y105" i="1"/>
  <c r="X105" i="1"/>
  <c r="W105" i="1"/>
  <c r="V105" i="1"/>
  <c r="S105" i="1"/>
  <c r="G105" i="1"/>
  <c r="F105" i="1"/>
  <c r="E105" i="1"/>
  <c r="A105" i="1"/>
  <c r="CX104" i="1"/>
  <c r="CV104" i="1"/>
  <c r="CS104" i="1"/>
  <c r="BS104" i="1"/>
  <c r="BA104" i="1"/>
  <c r="AI104" i="1"/>
  <c r="AF104" i="1"/>
  <c r="AB104" i="1"/>
  <c r="S104" i="1"/>
  <c r="G104" i="1"/>
  <c r="F104" i="1"/>
  <c r="E104" i="1"/>
  <c r="A104" i="1"/>
  <c r="CX103" i="1"/>
  <c r="CV103" i="1"/>
  <c r="CS103" i="1"/>
  <c r="BS103" i="1"/>
  <c r="BA103" i="1"/>
  <c r="AI103" i="1"/>
  <c r="AF103" i="1"/>
  <c r="AB103" i="1"/>
  <c r="S103" i="1"/>
  <c r="G103" i="1"/>
  <c r="F103" i="1"/>
  <c r="E103" i="1"/>
  <c r="A103" i="1"/>
  <c r="CX102" i="1"/>
  <c r="CV102" i="1"/>
  <c r="CS102" i="1"/>
  <c r="BW102" i="1"/>
  <c r="BS102" i="1"/>
  <c r="BA102" i="1"/>
  <c r="AI102" i="1"/>
  <c r="AF102" i="1"/>
  <c r="AB102" i="1"/>
  <c r="S102" i="1"/>
  <c r="G102" i="1"/>
  <c r="F102" i="1"/>
  <c r="E102" i="1"/>
  <c r="A102" i="1"/>
  <c r="CX101" i="1"/>
  <c r="CV101" i="1"/>
  <c r="CS101" i="1"/>
  <c r="BS101" i="1"/>
  <c r="BA101" i="1"/>
  <c r="AI101" i="1"/>
  <c r="AB101" i="1"/>
  <c r="G101" i="1"/>
  <c r="F101" i="1"/>
  <c r="E101" i="1"/>
  <c r="A101" i="1"/>
  <c r="CX99" i="1"/>
  <c r="CV99" i="1"/>
  <c r="CS99" i="1"/>
  <c r="BS99" i="1"/>
  <c r="BA99" i="1"/>
  <c r="AI99" i="1"/>
  <c r="AB99" i="1"/>
  <c r="G99" i="1"/>
  <c r="F99" i="1"/>
  <c r="E99" i="1"/>
  <c r="A99" i="1"/>
  <c r="CX98" i="1"/>
  <c r="CV98" i="1"/>
  <c r="CS98" i="1"/>
  <c r="BS98" i="1"/>
  <c r="BA98" i="1"/>
  <c r="AI98" i="1"/>
  <c r="AF98" i="1"/>
  <c r="AB98" i="1"/>
  <c r="G98" i="1"/>
  <c r="F98" i="1"/>
  <c r="E98" i="1"/>
  <c r="A98" i="1"/>
  <c r="DO97" i="1"/>
  <c r="DN97" i="1"/>
  <c r="DM97" i="1"/>
  <c r="DL97" i="1"/>
  <c r="CX97" i="1"/>
  <c r="CV97" i="1"/>
  <c r="CS97" i="1"/>
  <c r="BS97" i="1"/>
  <c r="BA97" i="1"/>
  <c r="AI97" i="1"/>
  <c r="AB97" i="1"/>
  <c r="Y97" i="1"/>
  <c r="X97" i="1"/>
  <c r="W97" i="1"/>
  <c r="V97" i="1"/>
  <c r="G97" i="1"/>
  <c r="F97" i="1"/>
  <c r="E97" i="1"/>
  <c r="A97" i="1"/>
  <c r="CX96" i="1"/>
  <c r="CV96" i="1"/>
  <c r="CS96" i="1"/>
  <c r="BS96" i="1"/>
  <c r="BA96" i="1"/>
  <c r="AI96" i="1"/>
  <c r="AF96" i="1"/>
  <c r="AB96" i="1"/>
  <c r="S96" i="1"/>
  <c r="G96" i="1"/>
  <c r="F96" i="1"/>
  <c r="E96" i="1"/>
  <c r="A96" i="1"/>
  <c r="CX94" i="1"/>
  <c r="CV94" i="1"/>
  <c r="CS94" i="1"/>
  <c r="BS94" i="1"/>
  <c r="BA94" i="1"/>
  <c r="AI94" i="1"/>
  <c r="AF94" i="1"/>
  <c r="AB94" i="1"/>
  <c r="S94" i="1"/>
  <c r="G94" i="1"/>
  <c r="F94" i="1"/>
  <c r="E94" i="1"/>
  <c r="A94" i="1"/>
  <c r="DQ92" i="1"/>
  <c r="DP92" i="1"/>
  <c r="DO92" i="1"/>
  <c r="DN92" i="1"/>
  <c r="DM92" i="1"/>
  <c r="DL92" i="1"/>
  <c r="CX92" i="1"/>
  <c r="CV92" i="1"/>
  <c r="CS92" i="1"/>
  <c r="BS92" i="1"/>
  <c r="BA92" i="1"/>
  <c r="AI92" i="1"/>
  <c r="AF92" i="1"/>
  <c r="AB92" i="1"/>
  <c r="AA92" i="1"/>
  <c r="Z92" i="1"/>
  <c r="Y92" i="1"/>
  <c r="X92" i="1"/>
  <c r="W92" i="1"/>
  <c r="V92" i="1"/>
  <c r="S92" i="1"/>
  <c r="G92" i="1"/>
  <c r="F92" i="1"/>
  <c r="E92" i="1"/>
  <c r="A92" i="1"/>
  <c r="EC91" i="1"/>
  <c r="EB91" i="1"/>
  <c r="EA91" i="1"/>
  <c r="DZ91" i="1"/>
  <c r="DY91" i="1"/>
  <c r="DX91" i="1"/>
  <c r="DW91" i="1"/>
  <c r="DV91" i="1"/>
  <c r="DU91" i="1"/>
  <c r="DT91" i="1"/>
  <c r="DS91" i="1"/>
  <c r="DR91" i="1"/>
  <c r="DQ91" i="1"/>
  <c r="DP91" i="1"/>
  <c r="DO91" i="1"/>
  <c r="DN91" i="1"/>
  <c r="DM91" i="1"/>
  <c r="DL91" i="1"/>
  <c r="CX91" i="1"/>
  <c r="CV91" i="1"/>
  <c r="CS91" i="1"/>
  <c r="BS91" i="1"/>
  <c r="BA91" i="1"/>
  <c r="AI91" i="1"/>
  <c r="AF91" i="1"/>
  <c r="AB91" i="1"/>
  <c r="AA91" i="1"/>
  <c r="Z91" i="1"/>
  <c r="Y91" i="1"/>
  <c r="X91" i="1"/>
  <c r="W91" i="1"/>
  <c r="V91" i="1"/>
  <c r="S91" i="1"/>
  <c r="G91" i="1"/>
  <c r="F91" i="1"/>
  <c r="E91" i="1"/>
  <c r="A91" i="1"/>
  <c r="DQ90" i="1"/>
  <c r="DP90" i="1"/>
  <c r="DO90" i="1"/>
  <c r="DN90" i="1"/>
  <c r="DM90" i="1"/>
  <c r="DL90" i="1"/>
  <c r="CX90" i="1"/>
  <c r="CV90" i="1"/>
  <c r="CS90" i="1"/>
  <c r="BS90" i="1"/>
  <c r="BA90" i="1"/>
  <c r="AI90" i="1"/>
  <c r="AF90" i="1"/>
  <c r="AB90" i="1"/>
  <c r="AA90" i="1"/>
  <c r="Z90" i="1"/>
  <c r="Y90" i="1"/>
  <c r="X90" i="1"/>
  <c r="W90" i="1"/>
  <c r="V90" i="1"/>
  <c r="S90" i="1"/>
  <c r="G90" i="1"/>
  <c r="F90" i="1"/>
  <c r="E90" i="1"/>
  <c r="A90" i="1"/>
  <c r="DY89" i="1"/>
  <c r="DX89" i="1"/>
  <c r="DW89" i="1"/>
  <c r="DV89" i="1"/>
  <c r="DU89" i="1"/>
  <c r="DT89" i="1"/>
  <c r="DS89" i="1"/>
  <c r="DR89" i="1"/>
  <c r="DQ89" i="1"/>
  <c r="DP89" i="1"/>
  <c r="DO89" i="1"/>
  <c r="DN89" i="1"/>
  <c r="DM89" i="1"/>
  <c r="DL89" i="1"/>
  <c r="CX89" i="1"/>
  <c r="CV89" i="1"/>
  <c r="CS89" i="1"/>
  <c r="BS89" i="1"/>
  <c r="BA89" i="1"/>
  <c r="AI89" i="1"/>
  <c r="AF89" i="1"/>
  <c r="AB89" i="1"/>
  <c r="AA89" i="1"/>
  <c r="Z89" i="1"/>
  <c r="Y89" i="1"/>
  <c r="X89" i="1"/>
  <c r="W89" i="1"/>
  <c r="V89" i="1"/>
  <c r="S89" i="1"/>
  <c r="G89" i="1"/>
  <c r="F89" i="1"/>
  <c r="E89" i="1"/>
  <c r="A89" i="1"/>
  <c r="DY88" i="1"/>
  <c r="DX88" i="1"/>
  <c r="DW88" i="1"/>
  <c r="DV88" i="1"/>
  <c r="DU88" i="1"/>
  <c r="DT88" i="1"/>
  <c r="DS88" i="1"/>
  <c r="DR88" i="1"/>
  <c r="DQ88" i="1"/>
  <c r="DP88" i="1"/>
  <c r="DO88" i="1"/>
  <c r="DN88" i="1"/>
  <c r="DM88" i="1"/>
  <c r="DL88" i="1"/>
  <c r="CX88" i="1"/>
  <c r="CV88" i="1"/>
  <c r="CS88" i="1"/>
  <c r="BS88" i="1"/>
  <c r="BA88" i="1"/>
  <c r="AI88" i="1"/>
  <c r="AF88" i="1"/>
  <c r="AB88" i="1"/>
  <c r="AA88" i="1"/>
  <c r="Z88" i="1"/>
  <c r="Y88" i="1"/>
  <c r="X88" i="1"/>
  <c r="W88" i="1"/>
  <c r="V88" i="1"/>
  <c r="S88" i="1"/>
  <c r="G88" i="1"/>
  <c r="F88" i="1"/>
  <c r="E88" i="1"/>
  <c r="A88" i="1"/>
  <c r="DY87" i="1"/>
  <c r="DX87" i="1"/>
  <c r="DW87" i="1"/>
  <c r="DV87" i="1"/>
  <c r="DU87" i="1"/>
  <c r="DT87" i="1"/>
  <c r="DS87" i="1"/>
  <c r="DR87" i="1"/>
  <c r="DQ87" i="1"/>
  <c r="DP87" i="1"/>
  <c r="DO87" i="1"/>
  <c r="DN87" i="1"/>
  <c r="DM87" i="1"/>
  <c r="DL87" i="1"/>
  <c r="CX87" i="1"/>
  <c r="CV87" i="1"/>
  <c r="CS87" i="1"/>
  <c r="BS87" i="1"/>
  <c r="BA87" i="1"/>
  <c r="AI87" i="1"/>
  <c r="AF87" i="1"/>
  <c r="AB87" i="1"/>
  <c r="AA87" i="1"/>
  <c r="Z87" i="1"/>
  <c r="Y87" i="1"/>
  <c r="X87" i="1"/>
  <c r="W87" i="1"/>
  <c r="V87" i="1"/>
  <c r="S87" i="1"/>
  <c r="G87" i="1"/>
  <c r="F87" i="1"/>
  <c r="E87" i="1"/>
  <c r="A87" i="1"/>
  <c r="EC86" i="1"/>
  <c r="EB86" i="1"/>
  <c r="EA86" i="1"/>
  <c r="DZ86" i="1"/>
  <c r="DY86" i="1"/>
  <c r="DX86" i="1"/>
  <c r="DW86" i="1"/>
  <c r="DV86" i="1"/>
  <c r="DU86" i="1"/>
  <c r="DT86" i="1"/>
  <c r="DS86" i="1"/>
  <c r="DR86" i="1"/>
  <c r="DQ86" i="1"/>
  <c r="DP86" i="1"/>
  <c r="DO86" i="1"/>
  <c r="DN86" i="1"/>
  <c r="DM86" i="1"/>
  <c r="DL86" i="1"/>
  <c r="CX86" i="1"/>
  <c r="CV86" i="1"/>
  <c r="CS86" i="1"/>
  <c r="BS86" i="1"/>
  <c r="BA86" i="1"/>
  <c r="AI86" i="1"/>
  <c r="AF86" i="1"/>
  <c r="AB86" i="1"/>
  <c r="AA86" i="1"/>
  <c r="Z86" i="1"/>
  <c r="Y86" i="1"/>
  <c r="X86" i="1"/>
  <c r="W86" i="1"/>
  <c r="V86" i="1"/>
  <c r="S86" i="1"/>
  <c r="G86" i="1"/>
  <c r="F86" i="1"/>
  <c r="E86" i="1"/>
  <c r="A86" i="1"/>
  <c r="DM84" i="1"/>
  <c r="DL84" i="1"/>
  <c r="CX84" i="1"/>
  <c r="CV84" i="1"/>
  <c r="CS84" i="1"/>
  <c r="BS84" i="1"/>
  <c r="BA84" i="1"/>
  <c r="AI84" i="1"/>
  <c r="AB84" i="1"/>
  <c r="W84" i="1"/>
  <c r="V84" i="1"/>
  <c r="S84" i="1"/>
  <c r="G84" i="1"/>
  <c r="F84" i="1"/>
  <c r="E84" i="1"/>
  <c r="A84" i="1"/>
  <c r="EA83" i="1"/>
  <c r="DZ83" i="1"/>
  <c r="DY83" i="1"/>
  <c r="DX83" i="1"/>
  <c r="DW83" i="1"/>
  <c r="DV83" i="1"/>
  <c r="DU83" i="1"/>
  <c r="DT83" i="1"/>
  <c r="DS83" i="1"/>
  <c r="DR83" i="1"/>
  <c r="DQ83" i="1"/>
  <c r="DP83" i="1"/>
  <c r="DO83" i="1"/>
  <c r="DN83" i="1"/>
  <c r="DM83" i="1"/>
  <c r="DL83" i="1"/>
  <c r="CX83" i="1"/>
  <c r="CV83" i="1"/>
  <c r="CS83" i="1"/>
  <c r="BS83" i="1"/>
  <c r="BA83" i="1"/>
  <c r="AI83" i="1"/>
  <c r="AB83" i="1"/>
  <c r="AA83" i="1"/>
  <c r="Z83" i="1"/>
  <c r="Y83" i="1"/>
  <c r="X83" i="1"/>
  <c r="W83" i="1"/>
  <c r="V83" i="1"/>
  <c r="G83" i="1"/>
  <c r="F83" i="1"/>
  <c r="E83" i="1"/>
  <c r="A83" i="1"/>
  <c r="EA82" i="1"/>
  <c r="DZ82" i="1"/>
  <c r="DY82" i="1"/>
  <c r="DX82" i="1"/>
  <c r="DW82" i="1"/>
  <c r="DV82" i="1"/>
  <c r="DU82" i="1"/>
  <c r="DT82" i="1"/>
  <c r="DS82" i="1"/>
  <c r="DR82" i="1"/>
  <c r="DQ82" i="1"/>
  <c r="DP82" i="1"/>
  <c r="DO82" i="1"/>
  <c r="DN82" i="1"/>
  <c r="DM82" i="1"/>
  <c r="DL82" i="1"/>
  <c r="CX82" i="1"/>
  <c r="CV82" i="1"/>
  <c r="CS82" i="1"/>
  <c r="BS82" i="1"/>
  <c r="BA82" i="1"/>
  <c r="AI82" i="1"/>
  <c r="AF82" i="1"/>
  <c r="AB82" i="1"/>
  <c r="AA82" i="1"/>
  <c r="Z82" i="1"/>
  <c r="Y82" i="1"/>
  <c r="X82" i="1"/>
  <c r="W82" i="1"/>
  <c r="V82" i="1"/>
  <c r="S82" i="1"/>
  <c r="G82" i="1"/>
  <c r="F82" i="1"/>
  <c r="E82" i="1"/>
  <c r="A82" i="1"/>
  <c r="EC81" i="1"/>
  <c r="EB81" i="1"/>
  <c r="EA81" i="1"/>
  <c r="DZ81" i="1"/>
  <c r="DY81" i="1"/>
  <c r="DX81" i="1"/>
  <c r="DW81" i="1"/>
  <c r="DV81" i="1"/>
  <c r="DU81" i="1"/>
  <c r="DT81" i="1"/>
  <c r="DS81" i="1"/>
  <c r="DR81" i="1"/>
  <c r="DQ81" i="1"/>
  <c r="DP81" i="1"/>
  <c r="DO81" i="1"/>
  <c r="DN81" i="1"/>
  <c r="DM81" i="1"/>
  <c r="DL81" i="1"/>
  <c r="CX81" i="1"/>
  <c r="CV81" i="1"/>
  <c r="CS81" i="1"/>
  <c r="BS81" i="1"/>
  <c r="BA81" i="1"/>
  <c r="AI81" i="1"/>
  <c r="AB81" i="1"/>
  <c r="AA81" i="1"/>
  <c r="Z81" i="1"/>
  <c r="Y81" i="1"/>
  <c r="X81" i="1"/>
  <c r="W81" i="1"/>
  <c r="V81" i="1"/>
  <c r="S81" i="1"/>
  <c r="G81" i="1"/>
  <c r="F81" i="1"/>
  <c r="E81" i="1"/>
  <c r="A81" i="1"/>
  <c r="DW80" i="1"/>
  <c r="DV80" i="1"/>
  <c r="DU80" i="1"/>
  <c r="DT80" i="1"/>
  <c r="DS80" i="1"/>
  <c r="DR80" i="1"/>
  <c r="DQ80" i="1"/>
  <c r="DP80" i="1"/>
  <c r="DO80" i="1"/>
  <c r="DN80" i="1"/>
  <c r="DM80" i="1"/>
  <c r="DL80" i="1"/>
  <c r="CX80" i="1"/>
  <c r="CV80" i="1"/>
  <c r="CS80" i="1"/>
  <c r="BS80" i="1"/>
  <c r="BA80" i="1"/>
  <c r="AI80" i="1"/>
  <c r="AF80" i="1"/>
  <c r="AB80" i="1"/>
  <c r="AA80" i="1"/>
  <c r="Z80" i="1"/>
  <c r="Y80" i="1"/>
  <c r="X80" i="1"/>
  <c r="W80" i="1"/>
  <c r="V80" i="1"/>
  <c r="S80" i="1"/>
  <c r="G80" i="1"/>
  <c r="F80" i="1"/>
  <c r="E80" i="1"/>
  <c r="A80" i="1"/>
  <c r="EI79" i="1"/>
  <c r="EH79" i="1"/>
  <c r="EG79" i="1"/>
  <c r="EF79" i="1"/>
  <c r="EE79" i="1"/>
  <c r="ED79" i="1"/>
  <c r="EC79" i="1"/>
  <c r="EB79" i="1"/>
  <c r="EA79" i="1"/>
  <c r="DZ79" i="1"/>
  <c r="DY79" i="1"/>
  <c r="DX79" i="1"/>
  <c r="DW79" i="1"/>
  <c r="DV79" i="1"/>
  <c r="DU79" i="1"/>
  <c r="DT79" i="1"/>
  <c r="DS79" i="1"/>
  <c r="DR79" i="1"/>
  <c r="DQ79" i="1"/>
  <c r="DP79" i="1"/>
  <c r="DO79" i="1"/>
  <c r="DN79" i="1"/>
  <c r="DM79" i="1"/>
  <c r="DL79" i="1"/>
  <c r="CX79" i="1"/>
  <c r="CV79" i="1"/>
  <c r="CS79" i="1"/>
  <c r="BS79" i="1"/>
  <c r="BA79" i="1"/>
  <c r="AI79" i="1"/>
  <c r="AF79" i="1"/>
  <c r="AB79" i="1"/>
  <c r="AA79" i="1"/>
  <c r="Z79" i="1"/>
  <c r="Y79" i="1"/>
  <c r="X79" i="1"/>
  <c r="W79" i="1"/>
  <c r="V79" i="1"/>
  <c r="S79" i="1"/>
  <c r="G79" i="1"/>
  <c r="F79" i="1"/>
  <c r="E79" i="1"/>
  <c r="A79" i="1"/>
  <c r="EI78" i="1"/>
  <c r="EH78" i="1"/>
  <c r="EG78" i="1"/>
  <c r="EF78" i="1"/>
  <c r="EE78" i="1"/>
  <c r="ED78" i="1"/>
  <c r="EC78" i="1"/>
  <c r="EB78" i="1"/>
  <c r="EA78" i="1"/>
  <c r="DZ78" i="1"/>
  <c r="DY78" i="1"/>
  <c r="DX78" i="1"/>
  <c r="DW78" i="1"/>
  <c r="DV78" i="1"/>
  <c r="DU78" i="1"/>
  <c r="DT78" i="1"/>
  <c r="DS78" i="1"/>
  <c r="DR78" i="1"/>
  <c r="DQ78" i="1"/>
  <c r="DP78" i="1"/>
  <c r="DO78" i="1"/>
  <c r="DN78" i="1"/>
  <c r="DM78" i="1"/>
  <c r="DL78" i="1"/>
  <c r="CX78" i="1"/>
  <c r="CV78" i="1"/>
  <c r="CS78" i="1"/>
  <c r="BS78" i="1"/>
  <c r="BA78" i="1"/>
  <c r="AI78" i="1"/>
  <c r="AF78" i="1"/>
  <c r="AB78" i="1"/>
  <c r="AA78" i="1"/>
  <c r="Z78" i="1"/>
  <c r="Y78" i="1"/>
  <c r="X78" i="1"/>
  <c r="W78" i="1"/>
  <c r="V78" i="1"/>
  <c r="S78" i="1"/>
  <c r="G78" i="1"/>
  <c r="F78" i="1"/>
  <c r="E78" i="1"/>
  <c r="A78" i="1"/>
  <c r="EC77" i="1"/>
  <c r="EB77" i="1"/>
  <c r="EA77" i="1"/>
  <c r="DZ77" i="1"/>
  <c r="DY77" i="1"/>
  <c r="DX77" i="1"/>
  <c r="DW77" i="1"/>
  <c r="DV77" i="1"/>
  <c r="DU77" i="1"/>
  <c r="DT77" i="1"/>
  <c r="DS77" i="1"/>
  <c r="DR77" i="1"/>
  <c r="DQ77" i="1"/>
  <c r="DP77" i="1"/>
  <c r="DO77" i="1"/>
  <c r="DN77" i="1"/>
  <c r="DM77" i="1"/>
  <c r="DL77" i="1"/>
  <c r="CX77" i="1"/>
  <c r="CV77" i="1"/>
  <c r="CS77" i="1"/>
  <c r="BS77" i="1"/>
  <c r="BA77" i="1"/>
  <c r="AI77" i="1"/>
  <c r="AF77" i="1"/>
  <c r="AB77" i="1"/>
  <c r="AA77" i="1"/>
  <c r="Z77" i="1"/>
  <c r="Y77" i="1"/>
  <c r="X77" i="1"/>
  <c r="W77" i="1"/>
  <c r="V77" i="1"/>
  <c r="S77" i="1"/>
  <c r="G77" i="1"/>
  <c r="F77" i="1"/>
  <c r="E77" i="1"/>
  <c r="A77" i="1"/>
  <c r="CX75" i="1"/>
  <c r="CV75" i="1"/>
  <c r="CS75" i="1"/>
  <c r="BS75" i="1"/>
  <c r="BA75" i="1"/>
  <c r="AI75" i="1"/>
  <c r="AF75" i="1"/>
  <c r="AB75" i="1"/>
  <c r="S75" i="1"/>
  <c r="G75" i="1"/>
  <c r="F75" i="1"/>
  <c r="E75" i="1"/>
  <c r="A75" i="1"/>
  <c r="CX74" i="1"/>
  <c r="CV74" i="1"/>
  <c r="CS74" i="1"/>
  <c r="BS74" i="1"/>
  <c r="BA74" i="1"/>
  <c r="AI74" i="1"/>
  <c r="AB74" i="1"/>
  <c r="G74" i="1"/>
  <c r="F74" i="1"/>
  <c r="E74" i="1"/>
  <c r="A74" i="1"/>
  <c r="CX73" i="1"/>
  <c r="CV73" i="1"/>
  <c r="CS73" i="1"/>
  <c r="BS73" i="1"/>
  <c r="BA73" i="1"/>
  <c r="AI73" i="1"/>
  <c r="AF73" i="1"/>
  <c r="AB73" i="1"/>
  <c r="S73" i="1"/>
  <c r="G73" i="1"/>
  <c r="F73" i="1"/>
  <c r="E73" i="1"/>
  <c r="A73" i="1"/>
  <c r="EG72" i="1"/>
  <c r="EF72" i="1"/>
  <c r="EE72" i="1"/>
  <c r="ED72" i="1"/>
  <c r="EC72" i="1"/>
  <c r="EB72" i="1"/>
  <c r="EA72" i="1"/>
  <c r="DZ72" i="1"/>
  <c r="DY72" i="1"/>
  <c r="DX72" i="1"/>
  <c r="DW72" i="1"/>
  <c r="DV72" i="1"/>
  <c r="DU72" i="1"/>
  <c r="DT72" i="1"/>
  <c r="DS72" i="1"/>
  <c r="DR72" i="1"/>
  <c r="DQ72" i="1"/>
  <c r="DP72" i="1"/>
  <c r="DO72" i="1"/>
  <c r="DN72" i="1"/>
  <c r="DM72" i="1"/>
  <c r="DL72" i="1"/>
  <c r="CX72" i="1"/>
  <c r="CV72" i="1"/>
  <c r="CS72" i="1"/>
  <c r="BS72" i="1"/>
  <c r="BA72" i="1"/>
  <c r="AI72" i="1"/>
  <c r="AB72" i="1"/>
  <c r="AA72" i="1"/>
  <c r="Z72" i="1"/>
  <c r="Y72" i="1"/>
  <c r="X72" i="1"/>
  <c r="W72" i="1"/>
  <c r="V72" i="1"/>
  <c r="G72" i="1"/>
  <c r="F72" i="1"/>
  <c r="E72" i="1"/>
  <c r="A72" i="1"/>
  <c r="EG71" i="1"/>
  <c r="EF71" i="1"/>
  <c r="EE71" i="1"/>
  <c r="ED71" i="1"/>
  <c r="EC71" i="1"/>
  <c r="EB71" i="1"/>
  <c r="EA71" i="1"/>
  <c r="DZ71" i="1"/>
  <c r="DY71" i="1"/>
  <c r="DX71" i="1"/>
  <c r="DW71" i="1"/>
  <c r="DV71" i="1"/>
  <c r="DU71" i="1"/>
  <c r="DT71" i="1"/>
  <c r="DS71" i="1"/>
  <c r="DR71" i="1"/>
  <c r="DQ71" i="1"/>
  <c r="DP71" i="1"/>
  <c r="DO71" i="1"/>
  <c r="DN71" i="1"/>
  <c r="DM71" i="1"/>
  <c r="DL71" i="1"/>
  <c r="CX71" i="1"/>
  <c r="CV71" i="1"/>
  <c r="CS71" i="1"/>
  <c r="BS71" i="1"/>
  <c r="BA71" i="1"/>
  <c r="AI71" i="1"/>
  <c r="AF71" i="1"/>
  <c r="AB71" i="1"/>
  <c r="AA71" i="1"/>
  <c r="Z71" i="1"/>
  <c r="Y71" i="1"/>
  <c r="X71" i="1"/>
  <c r="W71" i="1"/>
  <c r="V71" i="1"/>
  <c r="G71" i="1"/>
  <c r="F71" i="1"/>
  <c r="E71" i="1"/>
  <c r="A71" i="1"/>
  <c r="EG70" i="1"/>
  <c r="EF70" i="1"/>
  <c r="EE70" i="1"/>
  <c r="ED70" i="1"/>
  <c r="EC70" i="1"/>
  <c r="EB70" i="1"/>
  <c r="EA70" i="1"/>
  <c r="DZ70" i="1"/>
  <c r="DY70" i="1"/>
  <c r="DX70" i="1"/>
  <c r="DW70" i="1"/>
  <c r="DV70" i="1"/>
  <c r="DU70" i="1"/>
  <c r="DT70" i="1"/>
  <c r="DS70" i="1"/>
  <c r="DR70" i="1"/>
  <c r="DQ70" i="1"/>
  <c r="DP70" i="1"/>
  <c r="DO70" i="1"/>
  <c r="DN70" i="1"/>
  <c r="DM70" i="1"/>
  <c r="DL70" i="1"/>
  <c r="CX70" i="1"/>
  <c r="CV70" i="1"/>
  <c r="CS70" i="1"/>
  <c r="BS70" i="1"/>
  <c r="BA70" i="1"/>
  <c r="AI70" i="1"/>
  <c r="AF70" i="1"/>
  <c r="AB70" i="1"/>
  <c r="AA70" i="1"/>
  <c r="Z70" i="1"/>
  <c r="Y70" i="1"/>
  <c r="X70" i="1"/>
  <c r="W70" i="1"/>
  <c r="V70" i="1"/>
  <c r="G70" i="1"/>
  <c r="F70" i="1"/>
  <c r="E70" i="1"/>
  <c r="A70" i="1"/>
  <c r="EG69" i="1"/>
  <c r="EF69" i="1"/>
  <c r="EE69" i="1"/>
  <c r="ED69" i="1"/>
  <c r="EC69" i="1"/>
  <c r="EB69" i="1"/>
  <c r="EA69" i="1"/>
  <c r="DZ69" i="1"/>
  <c r="DY69" i="1"/>
  <c r="DX69" i="1"/>
  <c r="DW69" i="1"/>
  <c r="DV69" i="1"/>
  <c r="DU69" i="1"/>
  <c r="DT69" i="1"/>
  <c r="DS69" i="1"/>
  <c r="DR69" i="1"/>
  <c r="DQ69" i="1"/>
  <c r="DP69" i="1"/>
  <c r="DO69" i="1"/>
  <c r="DN69" i="1"/>
  <c r="DM69" i="1"/>
  <c r="DL69" i="1"/>
  <c r="CX69" i="1"/>
  <c r="CV69" i="1"/>
  <c r="CS69" i="1"/>
  <c r="BS69" i="1"/>
  <c r="BA69" i="1"/>
  <c r="AI69" i="1"/>
  <c r="AB69" i="1"/>
  <c r="AA69" i="1"/>
  <c r="Z69" i="1"/>
  <c r="Y69" i="1"/>
  <c r="X69" i="1"/>
  <c r="W69" i="1"/>
  <c r="V69" i="1"/>
  <c r="G69" i="1"/>
  <c r="F69" i="1"/>
  <c r="E69" i="1"/>
  <c r="A69" i="1"/>
  <c r="EG68" i="1"/>
  <c r="EF68" i="1"/>
  <c r="EE68" i="1"/>
  <c r="ED68" i="1"/>
  <c r="EC68" i="1"/>
  <c r="EB68" i="1"/>
  <c r="EA68" i="1"/>
  <c r="DZ68" i="1"/>
  <c r="DY68" i="1"/>
  <c r="DX68" i="1"/>
  <c r="DW68" i="1"/>
  <c r="DV68" i="1"/>
  <c r="DU68" i="1"/>
  <c r="DT68" i="1"/>
  <c r="DS68" i="1"/>
  <c r="DR68" i="1"/>
  <c r="DQ68" i="1"/>
  <c r="DP68" i="1"/>
  <c r="DO68" i="1"/>
  <c r="DN68" i="1"/>
  <c r="DM68" i="1"/>
  <c r="DL68" i="1"/>
  <c r="CX68" i="1"/>
  <c r="CV68" i="1"/>
  <c r="CS68" i="1"/>
  <c r="BS68" i="1"/>
  <c r="BA68" i="1"/>
  <c r="AI68" i="1"/>
  <c r="AB68" i="1"/>
  <c r="AA68" i="1"/>
  <c r="Z68" i="1"/>
  <c r="Y68" i="1"/>
  <c r="X68" i="1"/>
  <c r="W68" i="1"/>
  <c r="V68" i="1"/>
  <c r="G68" i="1"/>
  <c r="F68" i="1"/>
  <c r="E68" i="1"/>
  <c r="A68" i="1"/>
  <c r="DU67" i="1"/>
  <c r="DT67" i="1"/>
  <c r="DS67" i="1"/>
  <c r="DR67" i="1"/>
  <c r="DQ67" i="1"/>
  <c r="DP67" i="1"/>
  <c r="DO67" i="1"/>
  <c r="DN67" i="1"/>
  <c r="DM67" i="1"/>
  <c r="DL67" i="1"/>
  <c r="CX67" i="1"/>
  <c r="CV67" i="1"/>
  <c r="CS67" i="1"/>
  <c r="BS67" i="1"/>
  <c r="BA67" i="1"/>
  <c r="AI67" i="1"/>
  <c r="AB67" i="1"/>
  <c r="AA67" i="1"/>
  <c r="Z67" i="1"/>
  <c r="Y67" i="1"/>
  <c r="X67" i="1"/>
  <c r="W67" i="1"/>
  <c r="V67" i="1"/>
  <c r="G67" i="1"/>
  <c r="F67" i="1"/>
  <c r="E67" i="1"/>
  <c r="A67" i="1"/>
  <c r="DU66" i="1"/>
  <c r="DT66" i="1"/>
  <c r="DS66" i="1"/>
  <c r="DR66" i="1"/>
  <c r="DQ66" i="1"/>
  <c r="DP66" i="1"/>
  <c r="DO66" i="1"/>
  <c r="DN66" i="1"/>
  <c r="DM66" i="1"/>
  <c r="DL66" i="1"/>
  <c r="CX66" i="1"/>
  <c r="CV66" i="1"/>
  <c r="CS66" i="1"/>
  <c r="BS66" i="1"/>
  <c r="BA66" i="1"/>
  <c r="AI66" i="1"/>
  <c r="AB66" i="1"/>
  <c r="AA66" i="1"/>
  <c r="Z66" i="1"/>
  <c r="Y66" i="1"/>
  <c r="X66" i="1"/>
  <c r="W66" i="1"/>
  <c r="V66" i="1"/>
  <c r="G66" i="1"/>
  <c r="F66" i="1"/>
  <c r="E66" i="1"/>
  <c r="A66" i="1"/>
  <c r="DW65" i="1"/>
  <c r="DV65" i="1"/>
  <c r="DU65" i="1"/>
  <c r="DT65" i="1"/>
  <c r="DS65" i="1"/>
  <c r="DR65" i="1"/>
  <c r="DQ65" i="1"/>
  <c r="DP65" i="1"/>
  <c r="DO65" i="1"/>
  <c r="DN65" i="1"/>
  <c r="DM65" i="1"/>
  <c r="DL65" i="1"/>
  <c r="CX65" i="1"/>
  <c r="CV65" i="1"/>
  <c r="CS65" i="1"/>
  <c r="BS65" i="1"/>
  <c r="BA65" i="1"/>
  <c r="AI65" i="1"/>
  <c r="AB65" i="1"/>
  <c r="AA65" i="1"/>
  <c r="Z65" i="1"/>
  <c r="Y65" i="1"/>
  <c r="X65" i="1"/>
  <c r="W65" i="1"/>
  <c r="V65" i="1"/>
  <c r="G65" i="1"/>
  <c r="F65" i="1"/>
  <c r="E65" i="1"/>
  <c r="A65" i="1"/>
  <c r="DW64" i="1"/>
  <c r="DV64" i="1"/>
  <c r="DU64" i="1"/>
  <c r="DT64" i="1"/>
  <c r="DS64" i="1"/>
  <c r="DR64" i="1"/>
  <c r="DQ64" i="1"/>
  <c r="DP64" i="1"/>
  <c r="DO64" i="1"/>
  <c r="DN64" i="1"/>
  <c r="DM64" i="1"/>
  <c r="DL64" i="1"/>
  <c r="CX64" i="1"/>
  <c r="CV64" i="1"/>
  <c r="CS64" i="1"/>
  <c r="BS64" i="1"/>
  <c r="BA64" i="1"/>
  <c r="AI64" i="1"/>
  <c r="AB64" i="1"/>
  <c r="AA64" i="1"/>
  <c r="Z64" i="1"/>
  <c r="Y64" i="1"/>
  <c r="X64" i="1"/>
  <c r="W64" i="1"/>
  <c r="V64" i="1"/>
  <c r="G64" i="1"/>
  <c r="F64" i="1"/>
  <c r="E64" i="1"/>
  <c r="A64" i="1"/>
  <c r="DY63" i="1"/>
  <c r="DX63" i="1"/>
  <c r="DW63" i="1"/>
  <c r="DV63" i="1"/>
  <c r="DU63" i="1"/>
  <c r="DT63" i="1"/>
  <c r="DS63" i="1"/>
  <c r="DR63" i="1"/>
  <c r="DQ63" i="1"/>
  <c r="DP63" i="1"/>
  <c r="DO63" i="1"/>
  <c r="DN63" i="1"/>
  <c r="DM63" i="1"/>
  <c r="DL63" i="1"/>
  <c r="CX63" i="1"/>
  <c r="CV63" i="1"/>
  <c r="CS63" i="1"/>
  <c r="BS63" i="1"/>
  <c r="BA63" i="1"/>
  <c r="AI63" i="1"/>
  <c r="AB63" i="1"/>
  <c r="AA63" i="1"/>
  <c r="Z63" i="1"/>
  <c r="Y63" i="1"/>
  <c r="X63" i="1"/>
  <c r="W63" i="1"/>
  <c r="V63" i="1"/>
  <c r="G63" i="1"/>
  <c r="F63" i="1"/>
  <c r="E63" i="1"/>
  <c r="A63" i="1"/>
  <c r="EI62" i="1"/>
  <c r="EH62" i="1"/>
  <c r="EG62" i="1"/>
  <c r="EF62" i="1"/>
  <c r="EE62" i="1"/>
  <c r="ED62" i="1"/>
  <c r="EC62" i="1"/>
  <c r="EB62" i="1"/>
  <c r="EA62" i="1"/>
  <c r="DZ62" i="1"/>
  <c r="DY62" i="1"/>
  <c r="DX62" i="1"/>
  <c r="DW62" i="1"/>
  <c r="DV62" i="1"/>
  <c r="DU62" i="1"/>
  <c r="DT62" i="1"/>
  <c r="DS62" i="1"/>
  <c r="DR62" i="1"/>
  <c r="DQ62" i="1"/>
  <c r="DP62" i="1"/>
  <c r="DO62" i="1"/>
  <c r="DN62" i="1"/>
  <c r="DM62" i="1"/>
  <c r="DL62" i="1"/>
  <c r="CX62" i="1"/>
  <c r="CV62" i="1"/>
  <c r="CS62" i="1"/>
  <c r="BS62" i="1"/>
  <c r="BA62" i="1"/>
  <c r="AI62" i="1"/>
  <c r="AF62" i="1"/>
  <c r="AB62" i="1"/>
  <c r="AA62" i="1"/>
  <c r="Z62" i="1"/>
  <c r="Y62" i="1"/>
  <c r="X62" i="1"/>
  <c r="W62" i="1"/>
  <c r="V62" i="1"/>
  <c r="G62" i="1"/>
  <c r="F62" i="1"/>
  <c r="E62" i="1"/>
  <c r="A62" i="1"/>
  <c r="EI61" i="1"/>
  <c r="EH61" i="1"/>
  <c r="EG61" i="1"/>
  <c r="EF61" i="1"/>
  <c r="EE61" i="1"/>
  <c r="ED61" i="1"/>
  <c r="EC61" i="1"/>
  <c r="EB61" i="1"/>
  <c r="EA61" i="1"/>
  <c r="DZ61" i="1"/>
  <c r="DY61" i="1"/>
  <c r="DX61" i="1"/>
  <c r="DW61" i="1"/>
  <c r="DV61" i="1"/>
  <c r="DU61" i="1"/>
  <c r="DT61" i="1"/>
  <c r="DS61" i="1"/>
  <c r="DR61" i="1"/>
  <c r="DQ61" i="1"/>
  <c r="DP61" i="1"/>
  <c r="DO61" i="1"/>
  <c r="DN61" i="1"/>
  <c r="DM61" i="1"/>
  <c r="DL61" i="1"/>
  <c r="CX61" i="1"/>
  <c r="CV61" i="1"/>
  <c r="CS61" i="1"/>
  <c r="BS61" i="1"/>
  <c r="BA61" i="1"/>
  <c r="AI61" i="1"/>
  <c r="AF61" i="1"/>
  <c r="AB61" i="1"/>
  <c r="AA61" i="1"/>
  <c r="Z61" i="1"/>
  <c r="Y61" i="1"/>
  <c r="X61" i="1"/>
  <c r="W61" i="1"/>
  <c r="V61" i="1"/>
  <c r="G61" i="1"/>
  <c r="F61" i="1"/>
  <c r="E61" i="1"/>
  <c r="A61" i="1"/>
  <c r="DY60" i="1"/>
  <c r="DX60" i="1"/>
  <c r="DW60" i="1"/>
  <c r="DV60" i="1"/>
  <c r="DU60" i="1"/>
  <c r="DT60" i="1"/>
  <c r="DS60" i="1"/>
  <c r="DR60" i="1"/>
  <c r="DQ60" i="1"/>
  <c r="DP60" i="1"/>
  <c r="DO60" i="1"/>
  <c r="DN60" i="1"/>
  <c r="DM60" i="1"/>
  <c r="DL60" i="1"/>
  <c r="CX60" i="1"/>
  <c r="CV60" i="1"/>
  <c r="CS60" i="1"/>
  <c r="BS60" i="1"/>
  <c r="BA60" i="1"/>
  <c r="AI60" i="1"/>
  <c r="AF60" i="1"/>
  <c r="AB60" i="1"/>
  <c r="AA60" i="1"/>
  <c r="Z60" i="1"/>
  <c r="Y60" i="1"/>
  <c r="X60" i="1"/>
  <c r="W60" i="1"/>
  <c r="V60" i="1"/>
  <c r="G60" i="1"/>
  <c r="F60" i="1"/>
  <c r="E60" i="1"/>
  <c r="A60" i="1"/>
  <c r="EI59" i="1"/>
  <c r="EH59" i="1"/>
  <c r="EG59" i="1"/>
  <c r="EF59" i="1"/>
  <c r="EE59" i="1"/>
  <c r="ED59" i="1"/>
  <c r="EC59" i="1"/>
  <c r="EB59" i="1"/>
  <c r="EA59" i="1"/>
  <c r="DZ59" i="1"/>
  <c r="DY59" i="1"/>
  <c r="DX59" i="1"/>
  <c r="DW59" i="1"/>
  <c r="DV59" i="1"/>
  <c r="DU59" i="1"/>
  <c r="DT59" i="1"/>
  <c r="DS59" i="1"/>
  <c r="DR59" i="1"/>
  <c r="DQ59" i="1"/>
  <c r="DP59" i="1"/>
  <c r="DO59" i="1"/>
  <c r="DN59" i="1"/>
  <c r="DM59" i="1"/>
  <c r="DL59" i="1"/>
  <c r="CX59" i="1"/>
  <c r="CV59" i="1"/>
  <c r="CS59" i="1"/>
  <c r="BS59" i="1"/>
  <c r="BA59" i="1"/>
  <c r="AI59" i="1"/>
  <c r="AF59" i="1"/>
  <c r="AB59" i="1"/>
  <c r="AA59" i="1"/>
  <c r="Z59" i="1"/>
  <c r="Y59" i="1"/>
  <c r="X59" i="1"/>
  <c r="W59" i="1"/>
  <c r="V59" i="1"/>
  <c r="G59" i="1"/>
  <c r="F59" i="1"/>
  <c r="E59" i="1"/>
  <c r="A59" i="1"/>
  <c r="EA58" i="1"/>
  <c r="DZ58" i="1"/>
  <c r="DY58" i="1"/>
  <c r="DX58" i="1"/>
  <c r="DW58" i="1"/>
  <c r="DV58" i="1"/>
  <c r="DU58" i="1"/>
  <c r="DT58" i="1"/>
  <c r="DS58" i="1"/>
  <c r="DR58" i="1"/>
  <c r="DQ58" i="1"/>
  <c r="DP58" i="1"/>
  <c r="DO58" i="1"/>
  <c r="DN58" i="1"/>
  <c r="DM58" i="1"/>
  <c r="DL58" i="1"/>
  <c r="CX58" i="1"/>
  <c r="CV58" i="1"/>
  <c r="CS58" i="1"/>
  <c r="BS58" i="1"/>
  <c r="BA58" i="1"/>
  <c r="AI58" i="1"/>
  <c r="AF58" i="1"/>
  <c r="AB58" i="1"/>
  <c r="AA58" i="1"/>
  <c r="Z58" i="1"/>
  <c r="Y58" i="1"/>
  <c r="X58" i="1"/>
  <c r="W58" i="1"/>
  <c r="V58" i="1"/>
  <c r="G58" i="1"/>
  <c r="F58" i="1"/>
  <c r="E58" i="1"/>
  <c r="A58" i="1"/>
  <c r="EA57" i="1"/>
  <c r="DZ57" i="1"/>
  <c r="DY57" i="1"/>
  <c r="DX57" i="1"/>
  <c r="DW57" i="1"/>
  <c r="DV57" i="1"/>
  <c r="DU57" i="1"/>
  <c r="DT57" i="1"/>
  <c r="DS57" i="1"/>
  <c r="DR57" i="1"/>
  <c r="DQ57" i="1"/>
  <c r="DP57" i="1"/>
  <c r="DO57" i="1"/>
  <c r="DN57" i="1"/>
  <c r="DM57" i="1"/>
  <c r="DL57" i="1"/>
  <c r="CX57" i="1"/>
  <c r="CV57" i="1"/>
  <c r="CS57" i="1"/>
  <c r="BS57" i="1"/>
  <c r="BA57" i="1"/>
  <c r="AI57" i="1"/>
  <c r="AB57" i="1"/>
  <c r="AA57" i="1"/>
  <c r="Z57" i="1"/>
  <c r="Y57" i="1"/>
  <c r="X57" i="1"/>
  <c r="W57" i="1"/>
  <c r="V57" i="1"/>
  <c r="G57" i="1"/>
  <c r="F57" i="1"/>
  <c r="E57" i="1"/>
  <c r="A57" i="1"/>
  <c r="DY54" i="1"/>
  <c r="DX54" i="1"/>
  <c r="DW54" i="1"/>
  <c r="DV54" i="1"/>
  <c r="DU54" i="1"/>
  <c r="DT54" i="1"/>
  <c r="DS54" i="1"/>
  <c r="DR54" i="1"/>
  <c r="DQ54" i="1"/>
  <c r="DP54" i="1"/>
  <c r="DO54" i="1"/>
  <c r="DN54" i="1"/>
  <c r="DM54" i="1"/>
  <c r="DL54" i="1"/>
  <c r="CX54" i="1"/>
  <c r="CV54" i="1"/>
  <c r="CS54" i="1"/>
  <c r="BS54" i="1"/>
  <c r="BA54" i="1"/>
  <c r="AI54" i="1"/>
  <c r="AF54" i="1"/>
  <c r="AB54" i="1"/>
  <c r="AA54" i="1"/>
  <c r="Z54" i="1"/>
  <c r="Y54" i="1"/>
  <c r="X54" i="1"/>
  <c r="W54" i="1"/>
  <c r="V54" i="1"/>
  <c r="G54" i="1"/>
  <c r="F54" i="1"/>
  <c r="E54" i="1"/>
  <c r="A54" i="1"/>
  <c r="DY53" i="1"/>
  <c r="DX53" i="1"/>
  <c r="DW53" i="1"/>
  <c r="DV53" i="1"/>
  <c r="DU53" i="1"/>
  <c r="DT53" i="1"/>
  <c r="DS53" i="1"/>
  <c r="DR53" i="1"/>
  <c r="DQ53" i="1"/>
  <c r="DP53" i="1"/>
  <c r="DO53" i="1"/>
  <c r="DN53" i="1"/>
  <c r="DM53" i="1"/>
  <c r="DL53" i="1"/>
  <c r="CX53" i="1"/>
  <c r="CV53" i="1"/>
  <c r="CS53" i="1"/>
  <c r="BS53" i="1"/>
  <c r="BA53" i="1"/>
  <c r="AI53" i="1"/>
  <c r="AF53" i="1"/>
  <c r="AB53" i="1"/>
  <c r="AA53" i="1"/>
  <c r="Z53" i="1"/>
  <c r="Y53" i="1"/>
  <c r="X53" i="1"/>
  <c r="W53" i="1"/>
  <c r="V53" i="1"/>
  <c r="S53" i="1"/>
  <c r="G53" i="1"/>
  <c r="F53" i="1"/>
  <c r="E53" i="1"/>
  <c r="A53" i="1"/>
  <c r="DS52" i="1"/>
  <c r="DR52" i="1"/>
  <c r="DQ52" i="1"/>
  <c r="DP52" i="1"/>
  <c r="DO52" i="1"/>
  <c r="DN52" i="1"/>
  <c r="DM52" i="1"/>
  <c r="DL52" i="1"/>
  <c r="CX52" i="1"/>
  <c r="CV52" i="1"/>
  <c r="CS52" i="1"/>
  <c r="BS52" i="1"/>
  <c r="BA52" i="1"/>
  <c r="AI52" i="1"/>
  <c r="AF52" i="1"/>
  <c r="AB52" i="1"/>
  <c r="AA52" i="1"/>
  <c r="Z52" i="1"/>
  <c r="Y52" i="1"/>
  <c r="X52" i="1"/>
  <c r="W52" i="1"/>
  <c r="V52" i="1"/>
  <c r="G52" i="1"/>
  <c r="F52" i="1"/>
  <c r="E52" i="1"/>
  <c r="A52" i="1"/>
  <c r="CX51" i="1"/>
  <c r="CV51" i="1"/>
  <c r="CS51" i="1"/>
  <c r="BS51" i="1"/>
  <c r="BA51" i="1"/>
  <c r="AI51" i="1"/>
  <c r="AF51" i="1"/>
  <c r="AB51" i="1"/>
  <c r="S51" i="1"/>
  <c r="G51" i="1"/>
  <c r="F51" i="1"/>
  <c r="E51" i="1"/>
  <c r="A51" i="1"/>
  <c r="CX50" i="1"/>
  <c r="CV50" i="1"/>
  <c r="CS50" i="1"/>
  <c r="BW50" i="1"/>
  <c r="BS50" i="1"/>
  <c r="BA50" i="1"/>
  <c r="AI50" i="1"/>
  <c r="AF50" i="1"/>
  <c r="AB50" i="1"/>
  <c r="S50" i="1"/>
  <c r="G50" i="1"/>
  <c r="F50" i="1"/>
  <c r="E50" i="1"/>
  <c r="A50" i="1"/>
  <c r="CX48" i="1"/>
  <c r="CV48" i="1"/>
  <c r="CS48" i="1"/>
  <c r="BS48" i="1"/>
  <c r="BA48" i="1"/>
  <c r="AI48" i="1"/>
  <c r="AF48" i="1"/>
  <c r="AB48" i="1"/>
  <c r="G48" i="1"/>
  <c r="F48" i="1"/>
  <c r="E48" i="1"/>
  <c r="A48" i="1"/>
  <c r="DM45" i="1"/>
  <c r="DL45" i="1"/>
  <c r="CX45" i="1"/>
  <c r="CV45" i="1"/>
  <c r="CS45" i="1"/>
  <c r="BS45" i="1"/>
  <c r="BA45" i="1"/>
  <c r="AI45" i="1"/>
  <c r="AF45" i="1"/>
  <c r="AB45" i="1"/>
  <c r="W45" i="1"/>
  <c r="V45" i="1"/>
  <c r="S45" i="1"/>
  <c r="G45" i="1"/>
  <c r="F45" i="1"/>
  <c r="E45" i="1"/>
  <c r="A45" i="1"/>
  <c r="DO44" i="1"/>
  <c r="DN44" i="1"/>
  <c r="DM44" i="1"/>
  <c r="DL44" i="1"/>
  <c r="CX44" i="1"/>
  <c r="CV44" i="1"/>
  <c r="CS44" i="1"/>
  <c r="BW44" i="1"/>
  <c r="BS44" i="1"/>
  <c r="BA44" i="1"/>
  <c r="AI44" i="1"/>
  <c r="AF44" i="1"/>
  <c r="AB44" i="1"/>
  <c r="Y44" i="1"/>
  <c r="X44" i="1"/>
  <c r="W44" i="1"/>
  <c r="V44" i="1"/>
  <c r="S44" i="1"/>
  <c r="G44" i="1"/>
  <c r="F44" i="1"/>
  <c r="E44" i="1"/>
  <c r="A44" i="1"/>
  <c r="DO43" i="1"/>
  <c r="DN43" i="1"/>
  <c r="DM43" i="1"/>
  <c r="DL43" i="1"/>
  <c r="CX43" i="1"/>
  <c r="CV43" i="1"/>
  <c r="CS43" i="1"/>
  <c r="BW43" i="1"/>
  <c r="BS43" i="1"/>
  <c r="BA43" i="1"/>
  <c r="AI43" i="1"/>
  <c r="AF43" i="1"/>
  <c r="AB43" i="1"/>
  <c r="Y43" i="1"/>
  <c r="X43" i="1"/>
  <c r="W43" i="1"/>
  <c r="V43" i="1"/>
  <c r="S43" i="1"/>
  <c r="G43" i="1"/>
  <c r="F43" i="1"/>
  <c r="E43" i="1"/>
  <c r="A43" i="1"/>
  <c r="DU41" i="1"/>
  <c r="DT41" i="1"/>
  <c r="DS41" i="1"/>
  <c r="DR41" i="1"/>
  <c r="DQ41" i="1"/>
  <c r="DP41" i="1"/>
  <c r="DO41" i="1"/>
  <c r="DN41" i="1"/>
  <c r="DM41" i="1"/>
  <c r="DL41" i="1"/>
  <c r="CX41" i="1"/>
  <c r="CV41" i="1"/>
  <c r="CS41" i="1"/>
  <c r="BW41" i="1"/>
  <c r="BS41" i="1"/>
  <c r="BA41" i="1"/>
  <c r="AI41" i="1"/>
  <c r="AF41" i="1"/>
  <c r="AB41" i="1"/>
  <c r="AA41" i="1"/>
  <c r="Z41" i="1"/>
  <c r="Y41" i="1"/>
  <c r="X41" i="1"/>
  <c r="W41" i="1"/>
  <c r="V41" i="1"/>
  <c r="S41" i="1"/>
  <c r="G41" i="1"/>
  <c r="F41" i="1"/>
  <c r="E41" i="1"/>
  <c r="A41" i="1"/>
  <c r="CX40" i="1"/>
  <c r="CV40" i="1"/>
  <c r="CS40" i="1"/>
  <c r="BW40" i="1"/>
  <c r="BS40" i="1"/>
  <c r="BA40" i="1"/>
  <c r="AI40" i="1"/>
  <c r="AF40" i="1"/>
  <c r="AB40" i="1"/>
  <c r="S40" i="1"/>
  <c r="G40" i="1"/>
  <c r="F40" i="1"/>
  <c r="E40" i="1"/>
  <c r="A40" i="1"/>
  <c r="CX39" i="1"/>
  <c r="CV39" i="1"/>
  <c r="CS39" i="1"/>
  <c r="BW39" i="1"/>
  <c r="BS39" i="1"/>
  <c r="BA39" i="1"/>
  <c r="AI39" i="1"/>
  <c r="AF39" i="1"/>
  <c r="AB39" i="1"/>
  <c r="S39" i="1"/>
  <c r="G39" i="1"/>
  <c r="F39" i="1"/>
  <c r="E39" i="1"/>
  <c r="A39" i="1"/>
  <c r="DW37" i="1"/>
  <c r="DV37" i="1"/>
  <c r="DU37" i="1"/>
  <c r="DT37" i="1"/>
  <c r="DS37" i="1"/>
  <c r="DR37" i="1"/>
  <c r="DQ37" i="1"/>
  <c r="DP37" i="1"/>
  <c r="DO37" i="1"/>
  <c r="DN37" i="1"/>
  <c r="DM37" i="1"/>
  <c r="DL37" i="1"/>
  <c r="CX37" i="1"/>
  <c r="CV37" i="1"/>
  <c r="CS37" i="1"/>
  <c r="BW37" i="1"/>
  <c r="BS37" i="1"/>
  <c r="BA37" i="1"/>
  <c r="AI37" i="1"/>
  <c r="AF37" i="1"/>
  <c r="AB37" i="1"/>
  <c r="AA37" i="1"/>
  <c r="Z37" i="1"/>
  <c r="Y37" i="1"/>
  <c r="X37" i="1"/>
  <c r="W37" i="1"/>
  <c r="V37" i="1"/>
  <c r="S37" i="1"/>
  <c r="G37" i="1"/>
  <c r="F37" i="1"/>
  <c r="E37" i="1"/>
  <c r="A37" i="1"/>
  <c r="EG36" i="1"/>
  <c r="EF36" i="1"/>
  <c r="EE36" i="1"/>
  <c r="ED36" i="1"/>
  <c r="EC36" i="1"/>
  <c r="EB36" i="1"/>
  <c r="EA36" i="1"/>
  <c r="DZ36" i="1"/>
  <c r="DY36" i="1"/>
  <c r="DX36" i="1"/>
  <c r="DW36" i="1"/>
  <c r="DV36" i="1"/>
  <c r="DU36" i="1"/>
  <c r="DT36" i="1"/>
  <c r="DS36" i="1"/>
  <c r="DR36" i="1"/>
  <c r="DQ36" i="1"/>
  <c r="DP36" i="1"/>
  <c r="DO36" i="1"/>
  <c r="DN36" i="1"/>
  <c r="DM36" i="1"/>
  <c r="DL36" i="1"/>
  <c r="CX36" i="1"/>
  <c r="CV36" i="1"/>
  <c r="CS36" i="1"/>
  <c r="BW36" i="1"/>
  <c r="BS36" i="1"/>
  <c r="BA36" i="1"/>
  <c r="AI36" i="1"/>
  <c r="AF36" i="1"/>
  <c r="AB36" i="1"/>
  <c r="AA36" i="1"/>
  <c r="Z36" i="1"/>
  <c r="Y36" i="1"/>
  <c r="X36" i="1"/>
  <c r="W36" i="1"/>
  <c r="V36" i="1"/>
  <c r="S36" i="1"/>
  <c r="G36" i="1"/>
  <c r="F36" i="1"/>
  <c r="E36" i="1"/>
  <c r="A36" i="1"/>
  <c r="DW35" i="1"/>
  <c r="DV35" i="1"/>
  <c r="DU35" i="1"/>
  <c r="DT35" i="1"/>
  <c r="DS35" i="1"/>
  <c r="DR35" i="1"/>
  <c r="DQ35" i="1"/>
  <c r="DP35" i="1"/>
  <c r="DO35" i="1"/>
  <c r="DN35" i="1"/>
  <c r="DM35" i="1"/>
  <c r="DL35" i="1"/>
  <c r="CX35" i="1"/>
  <c r="CV35" i="1"/>
  <c r="CS35" i="1"/>
  <c r="BW35" i="1"/>
  <c r="BS35" i="1"/>
  <c r="BA35" i="1"/>
  <c r="AI35" i="1"/>
  <c r="AF35" i="1"/>
  <c r="AB35" i="1"/>
  <c r="AA35" i="1"/>
  <c r="Z35" i="1"/>
  <c r="Y35" i="1"/>
  <c r="X35" i="1"/>
  <c r="W35" i="1"/>
  <c r="V35" i="1"/>
  <c r="S35" i="1"/>
  <c r="G35" i="1"/>
  <c r="F35" i="1"/>
  <c r="E35" i="1"/>
  <c r="A35" i="1"/>
  <c r="EG34" i="1"/>
  <c r="EF34" i="1"/>
  <c r="EE34" i="1"/>
  <c r="ED34" i="1"/>
  <c r="EC34" i="1"/>
  <c r="EB34" i="1"/>
  <c r="EA34" i="1"/>
  <c r="DZ34" i="1"/>
  <c r="DY34" i="1"/>
  <c r="DX34" i="1"/>
  <c r="DW34" i="1"/>
  <c r="DV34" i="1"/>
  <c r="DU34" i="1"/>
  <c r="DT34" i="1"/>
  <c r="DS34" i="1"/>
  <c r="DR34" i="1"/>
  <c r="DQ34" i="1"/>
  <c r="DP34" i="1"/>
  <c r="DO34" i="1"/>
  <c r="DN34" i="1"/>
  <c r="DM34" i="1"/>
  <c r="DL34" i="1"/>
  <c r="CX34" i="1"/>
  <c r="CV34" i="1"/>
  <c r="CS34" i="1"/>
  <c r="BW34" i="1"/>
  <c r="BS34" i="1"/>
  <c r="BA34" i="1"/>
  <c r="AI34" i="1"/>
  <c r="AF34" i="1"/>
  <c r="AB34" i="1"/>
  <c r="AA34" i="1"/>
  <c r="Z34" i="1"/>
  <c r="Y34" i="1"/>
  <c r="X34" i="1"/>
  <c r="W34" i="1"/>
  <c r="V34" i="1"/>
  <c r="S34" i="1"/>
  <c r="G34" i="1"/>
  <c r="F34" i="1"/>
  <c r="E34" i="1"/>
  <c r="A34" i="1"/>
  <c r="DY32" i="1"/>
  <c r="DX32" i="1"/>
  <c r="DW32" i="1"/>
  <c r="DV32" i="1"/>
  <c r="DU32" i="1"/>
  <c r="DT32" i="1"/>
  <c r="DS32" i="1"/>
  <c r="DR32" i="1"/>
  <c r="DQ32" i="1"/>
  <c r="DP32" i="1"/>
  <c r="DO32" i="1"/>
  <c r="DN32" i="1"/>
  <c r="DM32" i="1"/>
  <c r="DL32" i="1"/>
  <c r="CX32" i="1"/>
  <c r="CV32" i="1"/>
  <c r="CS32" i="1"/>
  <c r="BS32" i="1"/>
  <c r="BA32" i="1"/>
  <c r="AI32" i="1"/>
  <c r="AF32" i="1"/>
  <c r="AB32" i="1"/>
  <c r="AA32" i="1"/>
  <c r="Z32" i="1"/>
  <c r="Y32" i="1"/>
  <c r="X32" i="1"/>
  <c r="W32" i="1"/>
  <c r="V32" i="1"/>
  <c r="S32" i="1"/>
  <c r="G32" i="1"/>
  <c r="F32" i="1"/>
  <c r="E32" i="1"/>
  <c r="A32" i="1"/>
  <c r="DY31" i="1"/>
  <c r="DX31" i="1"/>
  <c r="DW31" i="1"/>
  <c r="DV31" i="1"/>
  <c r="DU31" i="1"/>
  <c r="DT31" i="1"/>
  <c r="DS31" i="1"/>
  <c r="DR31" i="1"/>
  <c r="DQ31" i="1"/>
  <c r="DP31" i="1"/>
  <c r="DO31" i="1"/>
  <c r="DN31" i="1"/>
  <c r="DM31" i="1"/>
  <c r="DL31" i="1"/>
  <c r="CX31" i="1"/>
  <c r="CV31" i="1"/>
  <c r="CS31" i="1"/>
  <c r="BS31" i="1"/>
  <c r="BA31" i="1"/>
  <c r="AI31" i="1"/>
  <c r="AF31" i="1"/>
  <c r="AB31" i="1"/>
  <c r="AA31" i="1"/>
  <c r="Z31" i="1"/>
  <c r="Y31" i="1"/>
  <c r="X31" i="1"/>
  <c r="W31" i="1"/>
  <c r="V31" i="1"/>
  <c r="S31" i="1"/>
  <c r="G31" i="1"/>
  <c r="F31" i="1"/>
  <c r="E31" i="1"/>
  <c r="A31" i="1"/>
  <c r="CX29" i="1"/>
  <c r="CV29" i="1"/>
  <c r="CS29" i="1"/>
  <c r="BW29" i="1"/>
  <c r="BS29" i="1"/>
  <c r="BA29" i="1"/>
  <c r="AI29" i="1"/>
  <c r="AF29" i="1"/>
  <c r="AB29" i="1"/>
  <c r="S29" i="1"/>
  <c r="G29" i="1"/>
  <c r="F29" i="1"/>
  <c r="E29" i="1"/>
  <c r="A29" i="1"/>
  <c r="DS28" i="1"/>
  <c r="DR28" i="1"/>
  <c r="DQ28" i="1"/>
  <c r="DP28" i="1"/>
  <c r="DO28" i="1"/>
  <c r="DN28" i="1"/>
  <c r="DM28" i="1"/>
  <c r="DL28" i="1"/>
  <c r="CX28" i="1"/>
  <c r="CV28" i="1"/>
  <c r="CS28" i="1"/>
  <c r="BW28" i="1"/>
  <c r="BS28" i="1"/>
  <c r="BA28" i="1"/>
  <c r="AI28" i="1"/>
  <c r="AF28" i="1"/>
  <c r="AB28" i="1"/>
  <c r="AA28" i="1"/>
  <c r="Z28" i="1"/>
  <c r="Y28" i="1"/>
  <c r="X28" i="1"/>
  <c r="W28" i="1"/>
  <c r="V28" i="1"/>
  <c r="S28" i="1"/>
  <c r="G28" i="1"/>
  <c r="F28" i="1"/>
  <c r="E28" i="1"/>
  <c r="A28" i="1"/>
  <c r="DS27" i="1"/>
  <c r="DR27" i="1"/>
  <c r="DQ27" i="1"/>
  <c r="DP27" i="1"/>
  <c r="DO27" i="1"/>
  <c r="DN27" i="1"/>
  <c r="DM27" i="1"/>
  <c r="DL27" i="1"/>
  <c r="CX27" i="1"/>
  <c r="CV27" i="1"/>
  <c r="CS27" i="1"/>
  <c r="BW27" i="1"/>
  <c r="BS27" i="1"/>
  <c r="BA27" i="1"/>
  <c r="AI27" i="1"/>
  <c r="AF27" i="1"/>
  <c r="AB27" i="1"/>
  <c r="AA27" i="1"/>
  <c r="Z27" i="1"/>
  <c r="Y27" i="1"/>
  <c r="X27" i="1"/>
  <c r="W27" i="1"/>
  <c r="V27" i="1"/>
  <c r="S27" i="1"/>
  <c r="G27" i="1"/>
  <c r="F27" i="1"/>
  <c r="E27" i="1"/>
  <c r="A27" i="1"/>
  <c r="CX25" i="1"/>
  <c r="CV25" i="1"/>
  <c r="CS25" i="1"/>
  <c r="BS25" i="1"/>
  <c r="BA25" i="1"/>
  <c r="AI25" i="1"/>
  <c r="AF25" i="1"/>
  <c r="AB25" i="1"/>
  <c r="S25" i="1"/>
  <c r="G25" i="1"/>
  <c r="F25" i="1"/>
  <c r="E25" i="1"/>
  <c r="A25" i="1"/>
  <c r="CX24" i="1"/>
  <c r="CV24" i="1"/>
  <c r="CS24" i="1"/>
  <c r="BS24" i="1"/>
  <c r="BA24" i="1"/>
  <c r="AI24" i="1"/>
  <c r="AF24" i="1"/>
  <c r="AB24" i="1"/>
  <c r="S24" i="1"/>
  <c r="G24" i="1"/>
  <c r="F24" i="1"/>
  <c r="E24" i="1"/>
  <c r="A24" i="1"/>
  <c r="CX23" i="1"/>
  <c r="CV23" i="1"/>
  <c r="CS23" i="1"/>
  <c r="BS23" i="1"/>
  <c r="BA23" i="1"/>
  <c r="AI23" i="1"/>
  <c r="AF23" i="1"/>
  <c r="AB23" i="1"/>
  <c r="G23" i="1"/>
  <c r="F23" i="1"/>
  <c r="E23" i="1"/>
  <c r="A23" i="1"/>
  <c r="CX22" i="1"/>
  <c r="CV22" i="1"/>
  <c r="CS22" i="1"/>
  <c r="BS22" i="1"/>
  <c r="BA22" i="1"/>
  <c r="AI22" i="1"/>
  <c r="AF22" i="1"/>
  <c r="AB22" i="1"/>
  <c r="S22" i="1"/>
  <c r="G22" i="1"/>
  <c r="F22" i="1"/>
  <c r="E22" i="1"/>
  <c r="A22" i="1"/>
  <c r="CX21" i="1"/>
  <c r="CV21" i="1"/>
  <c r="CS21" i="1"/>
  <c r="BS21" i="1"/>
  <c r="BA21" i="1"/>
  <c r="AI21" i="1"/>
  <c r="AF21" i="1"/>
  <c r="AB21" i="1"/>
  <c r="S21" i="1"/>
  <c r="G21" i="1"/>
  <c r="F21" i="1"/>
  <c r="E21" i="1"/>
  <c r="A21" i="1"/>
  <c r="DM20" i="1"/>
  <c r="DL20" i="1"/>
  <c r="CX20" i="1"/>
  <c r="CV20" i="1"/>
  <c r="CS20" i="1"/>
  <c r="BS20" i="1"/>
  <c r="BA20" i="1"/>
  <c r="AI20" i="1"/>
  <c r="AF20" i="1"/>
  <c r="AB20" i="1"/>
  <c r="W20" i="1"/>
  <c r="V20" i="1"/>
  <c r="S20" i="1"/>
  <c r="G20" i="1"/>
  <c r="F20" i="1"/>
  <c r="E20" i="1"/>
  <c r="A20" i="1"/>
  <c r="DM19" i="1"/>
  <c r="DL19" i="1"/>
  <c r="CX19" i="1"/>
  <c r="CV19" i="1"/>
  <c r="CS19" i="1"/>
  <c r="BW19" i="1"/>
  <c r="BS19" i="1"/>
  <c r="BA19" i="1"/>
  <c r="AI19" i="1"/>
  <c r="AF19" i="1"/>
  <c r="AB19" i="1"/>
  <c r="W19" i="1"/>
  <c r="V19" i="1"/>
  <c r="S19" i="1"/>
  <c r="G19" i="1"/>
  <c r="F19" i="1"/>
  <c r="E19" i="1"/>
  <c r="A19" i="1"/>
  <c r="DQ18" i="1"/>
  <c r="DP18" i="1"/>
  <c r="DO18" i="1"/>
  <c r="DN18" i="1"/>
  <c r="DM18" i="1"/>
  <c r="DL18" i="1"/>
  <c r="CX18" i="1"/>
  <c r="CV18" i="1"/>
  <c r="CS18" i="1"/>
  <c r="BS18" i="1"/>
  <c r="BA18" i="1"/>
  <c r="AI18" i="1"/>
  <c r="AF18" i="1"/>
  <c r="AB18" i="1"/>
  <c r="AA18" i="1"/>
  <c r="Z18" i="1"/>
  <c r="Y18" i="1"/>
  <c r="X18" i="1"/>
  <c r="W18" i="1"/>
  <c r="V18" i="1"/>
  <c r="G18" i="1"/>
  <c r="F18" i="1"/>
  <c r="E18" i="1"/>
  <c r="A18" i="1"/>
  <c r="DQ17" i="1"/>
  <c r="DP17" i="1"/>
  <c r="DO17" i="1"/>
  <c r="DN17" i="1"/>
  <c r="DM17" i="1"/>
  <c r="DL17" i="1"/>
  <c r="CX17" i="1"/>
  <c r="CV17" i="1"/>
  <c r="CS17" i="1"/>
  <c r="BW17" i="1"/>
  <c r="BS17" i="1"/>
  <c r="BA17" i="1"/>
  <c r="AI17" i="1"/>
  <c r="AF17" i="1"/>
  <c r="AB17" i="1"/>
  <c r="AA17" i="1"/>
  <c r="Z17" i="1"/>
  <c r="Y17" i="1"/>
  <c r="X17" i="1"/>
  <c r="W17" i="1"/>
  <c r="V17" i="1"/>
  <c r="S17" i="1"/>
  <c r="G17" i="1"/>
  <c r="F17" i="1"/>
  <c r="E17" i="1"/>
  <c r="A17" i="1"/>
  <c r="DS16" i="1"/>
  <c r="DR16" i="1"/>
  <c r="DQ16" i="1"/>
  <c r="DP16" i="1"/>
  <c r="DO16" i="1"/>
  <c r="DN16" i="1"/>
  <c r="DM16" i="1"/>
  <c r="DL16" i="1"/>
  <c r="CX16" i="1"/>
  <c r="CV16" i="1"/>
  <c r="CS16" i="1"/>
  <c r="BW16" i="1"/>
  <c r="BS16" i="1"/>
  <c r="BA16" i="1"/>
  <c r="AI16" i="1"/>
  <c r="AF16" i="1"/>
  <c r="AB16" i="1"/>
  <c r="AA16" i="1"/>
  <c r="Z16" i="1"/>
  <c r="Y16" i="1"/>
  <c r="X16" i="1"/>
  <c r="W16" i="1"/>
  <c r="V16" i="1"/>
  <c r="S16" i="1"/>
  <c r="G16" i="1"/>
  <c r="F16" i="1"/>
  <c r="E16" i="1"/>
  <c r="A16" i="1"/>
  <c r="DU15" i="1"/>
  <c r="DT15" i="1"/>
  <c r="DS15" i="1"/>
  <c r="DR15" i="1"/>
  <c r="DQ15" i="1"/>
  <c r="DP15" i="1"/>
  <c r="DO15" i="1"/>
  <c r="DN15" i="1"/>
  <c r="DM15" i="1"/>
  <c r="DL15" i="1"/>
  <c r="CX15" i="1"/>
  <c r="CV15" i="1"/>
  <c r="CS15" i="1"/>
  <c r="BS15" i="1"/>
  <c r="BA15" i="1"/>
  <c r="AI15" i="1"/>
  <c r="AF15" i="1"/>
  <c r="AB15" i="1"/>
  <c r="AA15" i="1"/>
  <c r="Z15" i="1"/>
  <c r="Y15" i="1"/>
  <c r="X15" i="1"/>
  <c r="W15" i="1"/>
  <c r="V15" i="1"/>
  <c r="S15" i="1"/>
  <c r="G15" i="1"/>
  <c r="F15" i="1"/>
  <c r="E15" i="1"/>
  <c r="A15" i="1"/>
  <c r="DU14" i="1"/>
  <c r="DT14" i="1"/>
  <c r="DS14" i="1"/>
  <c r="DR14" i="1"/>
  <c r="DQ14" i="1"/>
  <c r="DP14" i="1"/>
  <c r="DO14" i="1"/>
  <c r="DN14" i="1"/>
  <c r="DM14" i="1"/>
  <c r="DL14" i="1"/>
  <c r="CX14" i="1"/>
  <c r="CV14" i="1"/>
  <c r="CS14" i="1"/>
  <c r="BW14" i="1"/>
  <c r="BS14" i="1"/>
  <c r="BA14" i="1"/>
  <c r="AI14" i="1"/>
  <c r="AF14" i="1"/>
  <c r="AB14" i="1"/>
  <c r="AA14" i="1"/>
  <c r="Z14" i="1"/>
  <c r="Y14" i="1"/>
  <c r="X14" i="1"/>
  <c r="W14" i="1"/>
  <c r="V14" i="1"/>
  <c r="S14" i="1"/>
  <c r="G14" i="1"/>
  <c r="F14" i="1"/>
  <c r="E14" i="1"/>
  <c r="A14" i="1"/>
  <c r="EI13" i="1"/>
  <c r="EH13" i="1"/>
  <c r="EG13" i="1"/>
  <c r="EF13" i="1"/>
  <c r="EE13" i="1"/>
  <c r="ED13" i="1"/>
  <c r="EC13" i="1"/>
  <c r="EB13" i="1"/>
  <c r="EA13" i="1"/>
  <c r="DZ13" i="1"/>
  <c r="DY13" i="1"/>
  <c r="DX13" i="1"/>
  <c r="DW13" i="1"/>
  <c r="DV13" i="1"/>
  <c r="DU13" i="1"/>
  <c r="DT13" i="1"/>
  <c r="DS13" i="1"/>
  <c r="DR13" i="1"/>
  <c r="DQ13" i="1"/>
  <c r="DP13" i="1"/>
  <c r="DO13" i="1"/>
  <c r="DN13" i="1"/>
  <c r="DM13" i="1"/>
  <c r="DL13" i="1"/>
  <c r="CX13" i="1"/>
  <c r="CV13" i="1"/>
  <c r="CS13" i="1"/>
  <c r="BS13" i="1"/>
  <c r="BA13" i="1"/>
  <c r="AI13" i="1"/>
  <c r="AF13" i="1"/>
  <c r="AB13" i="1"/>
  <c r="AA13" i="1"/>
  <c r="Z13" i="1"/>
  <c r="Y13" i="1"/>
  <c r="X13" i="1"/>
  <c r="W13" i="1"/>
  <c r="V13" i="1"/>
  <c r="S13" i="1"/>
  <c r="G13" i="1"/>
  <c r="F13" i="1"/>
  <c r="E13" i="1"/>
  <c r="A13" i="1"/>
  <c r="EI12" i="1"/>
  <c r="EH12" i="1"/>
  <c r="EG12" i="1"/>
  <c r="EF12" i="1"/>
  <c r="EE12" i="1"/>
  <c r="ED12" i="1"/>
  <c r="EC12" i="1"/>
  <c r="EB12" i="1"/>
  <c r="EA12" i="1"/>
  <c r="DZ12" i="1"/>
  <c r="DY12" i="1"/>
  <c r="DX12" i="1"/>
  <c r="DW12" i="1"/>
  <c r="DV12" i="1"/>
  <c r="DU12" i="1"/>
  <c r="DT12" i="1"/>
  <c r="DS12" i="1"/>
  <c r="DR12" i="1"/>
  <c r="DQ12" i="1"/>
  <c r="DP12" i="1"/>
  <c r="DO12" i="1"/>
  <c r="DN12" i="1"/>
  <c r="DM12" i="1"/>
  <c r="DL12" i="1"/>
  <c r="CX12" i="1"/>
  <c r="CV12" i="1"/>
  <c r="CS12" i="1"/>
  <c r="BS12" i="1"/>
  <c r="BA12" i="1"/>
  <c r="AI12" i="1"/>
  <c r="AF12" i="1"/>
  <c r="AB12" i="1"/>
  <c r="AA12" i="1"/>
  <c r="Z12" i="1"/>
  <c r="Y12" i="1"/>
  <c r="X12" i="1"/>
  <c r="W12" i="1"/>
  <c r="V12" i="1"/>
  <c r="S12" i="1"/>
  <c r="G12" i="1"/>
  <c r="F12" i="1"/>
  <c r="E12" i="1"/>
  <c r="A12" i="1"/>
  <c r="DO11" i="1"/>
  <c r="DN11" i="1"/>
  <c r="DM11" i="1"/>
  <c r="DL11" i="1"/>
  <c r="CX11" i="1"/>
  <c r="CV11" i="1"/>
  <c r="CS11" i="1"/>
  <c r="BW11" i="1"/>
  <c r="BS11" i="1"/>
  <c r="BA11" i="1"/>
  <c r="AI11" i="1"/>
  <c r="AF11" i="1"/>
  <c r="AB11" i="1"/>
  <c r="Y11" i="1"/>
  <c r="X11" i="1"/>
  <c r="W11" i="1"/>
  <c r="V11" i="1"/>
  <c r="S11" i="1"/>
  <c r="G11" i="1"/>
  <c r="F11" i="1"/>
  <c r="E11" i="1"/>
  <c r="A11" i="1"/>
  <c r="DO10" i="1"/>
  <c r="DN10" i="1"/>
  <c r="DM10" i="1"/>
  <c r="DL10" i="1"/>
  <c r="CX10" i="1"/>
  <c r="CV10" i="1"/>
  <c r="CS10" i="1"/>
  <c r="BS10" i="1"/>
  <c r="BA10" i="1"/>
  <c r="AI10" i="1"/>
  <c r="AF10" i="1"/>
  <c r="AB10" i="1"/>
  <c r="Y10" i="1"/>
  <c r="X10" i="1"/>
  <c r="W10" i="1"/>
  <c r="V10" i="1"/>
  <c r="S10" i="1"/>
  <c r="G10" i="1"/>
  <c r="F10" i="1"/>
  <c r="E10" i="1"/>
  <c r="A10" i="1"/>
  <c r="CX9" i="1"/>
  <c r="CV9" i="1"/>
  <c r="CS9" i="1"/>
  <c r="BS9" i="1"/>
  <c r="BA9" i="1"/>
  <c r="AI9" i="1"/>
  <c r="AB9" i="1"/>
  <c r="G9" i="1"/>
  <c r="F9" i="1"/>
  <c r="E9" i="1"/>
  <c r="A9" i="1"/>
  <c r="CX8" i="1"/>
  <c r="CV8" i="1"/>
  <c r="CS8" i="1"/>
  <c r="BS8" i="1"/>
  <c r="BA8" i="1"/>
  <c r="AI8" i="1"/>
  <c r="AF8" i="1"/>
  <c r="AB8" i="1"/>
  <c r="S8" i="1"/>
  <c r="G8" i="1"/>
  <c r="F8" i="1"/>
  <c r="E8" i="1"/>
  <c r="A8" i="1"/>
  <c r="CX7" i="1"/>
  <c r="CV7" i="1"/>
  <c r="CS7" i="1"/>
  <c r="BS7" i="1"/>
  <c r="BA7" i="1"/>
  <c r="AI7" i="1"/>
  <c r="AB7" i="1"/>
  <c r="G7" i="1"/>
  <c r="F7" i="1"/>
  <c r="E7" i="1"/>
  <c r="A7" i="1"/>
  <c r="CX6" i="1"/>
  <c r="CV6" i="1"/>
  <c r="CS6" i="1"/>
  <c r="BS6" i="1"/>
  <c r="BA6" i="1"/>
  <c r="AI6" i="1"/>
  <c r="AF6" i="1"/>
  <c r="AB6" i="1"/>
  <c r="S6" i="1"/>
  <c r="G6" i="1"/>
  <c r="F6" i="1"/>
  <c r="E6" i="1"/>
  <c r="A6" i="1"/>
  <c r="CX5" i="1"/>
  <c r="CV5" i="1"/>
  <c r="CS5" i="1"/>
  <c r="BS5" i="1"/>
  <c r="BA5" i="1"/>
  <c r="AI5" i="1"/>
  <c r="AB5" i="1"/>
  <c r="S5" i="1"/>
  <c r="G5" i="1"/>
  <c r="F5" i="1"/>
  <c r="E5" i="1"/>
  <c r="A5" i="1"/>
  <c r="M6" i="3"/>
  <c r="M5" i="3"/>
  <c r="M4" i="3"/>
  <c r="M3" i="3"/>
  <c r="I6" i="3"/>
  <c r="I5" i="3"/>
  <c r="I4" i="3"/>
  <c r="I3" i="3"/>
  <c r="H8" i="3"/>
  <c r="L8" i="3"/>
  <c r="D100" i="1"/>
  <c r="D95" i="1"/>
  <c r="D85" i="1"/>
  <c r="D76" i="1"/>
  <c r="D56" i="1"/>
  <c r="D46" i="1"/>
  <c r="D42" i="1"/>
  <c r="D38" i="1"/>
  <c r="D33" i="1"/>
  <c r="D26" i="1"/>
  <c r="D4" i="1"/>
  <c r="C48" i="3"/>
  <c r="B48" i="3"/>
  <c r="D44" i="3"/>
  <c r="D43" i="3"/>
  <c r="D24" i="3"/>
  <c r="D30" i="3"/>
  <c r="D31" i="3"/>
  <c r="D28" i="3"/>
  <c r="D32" i="3"/>
  <c r="D23" i="3"/>
  <c r="D25" i="3"/>
  <c r="D29" i="3"/>
  <c r="D34" i="3"/>
  <c r="D39" i="3"/>
  <c r="D41" i="3"/>
  <c r="D38" i="3"/>
  <c r="D40" i="3"/>
  <c r="D27" i="3"/>
  <c r="D33" i="3"/>
  <c r="D35" i="3"/>
  <c r="D36" i="3"/>
  <c r="D37" i="3"/>
  <c r="D26" i="3"/>
  <c r="D20" i="3"/>
  <c r="D19" i="3"/>
  <c r="D18" i="3"/>
  <c r="D17" i="3"/>
  <c r="D16" i="3"/>
  <c r="D15" i="3"/>
  <c r="D13" i="3"/>
  <c r="D12" i="3"/>
  <c r="D10" i="3"/>
  <c r="D9" i="3"/>
  <c r="D8" i="3"/>
  <c r="D7" i="3"/>
  <c r="D6" i="3"/>
  <c r="D5" i="3"/>
  <c r="C22" i="3"/>
  <c r="B22" i="3"/>
  <c r="C3" i="3"/>
  <c r="D3" i="3" s="1"/>
  <c r="B3" i="3"/>
  <c r="CY35" i="1"/>
  <c r="CW35" i="1"/>
  <c r="CT35" i="1"/>
  <c r="CL35" i="1"/>
  <c r="CE35" i="1"/>
  <c r="BX35" i="1"/>
  <c r="BT35" i="1"/>
  <c r="BB35" i="1"/>
  <c r="AK35" i="1"/>
  <c r="AJ35" i="1"/>
  <c r="CY34" i="1"/>
  <c r="CW34" i="1"/>
  <c r="CT34" i="1"/>
  <c r="CL34" i="1"/>
  <c r="CE34" i="1"/>
  <c r="BX34" i="1"/>
  <c r="BT34" i="1"/>
  <c r="BB34" i="1"/>
  <c r="AK34" i="1"/>
  <c r="AJ34" i="1"/>
  <c r="M8" i="3" l="1"/>
  <c r="I8" i="3"/>
  <c r="D22" i="3"/>
  <c r="CY32" i="1"/>
  <c r="CW32" i="1"/>
  <c r="CT32" i="1"/>
  <c r="BT32" i="1"/>
  <c r="BB32" i="1"/>
  <c r="AK32" i="1"/>
  <c r="AJ32" i="1"/>
  <c r="CY709" i="1"/>
  <c r="CW709" i="1"/>
  <c r="CT709" i="1"/>
  <c r="CL709" i="1"/>
  <c r="CE709" i="1"/>
  <c r="BX709" i="1"/>
  <c r="BT709" i="1"/>
  <c r="BB709" i="1"/>
  <c r="AK709" i="1"/>
  <c r="AJ709" i="1"/>
  <c r="CY598" i="1"/>
  <c r="CW598" i="1"/>
  <c r="CT598" i="1"/>
  <c r="BT598" i="1"/>
  <c r="BB598" i="1"/>
  <c r="AK598" i="1"/>
  <c r="AJ598" i="1"/>
  <c r="CY521" i="1"/>
  <c r="CW521" i="1"/>
  <c r="BT521" i="1"/>
  <c r="CY104" i="1"/>
  <c r="CW104" i="1"/>
  <c r="CT104" i="1"/>
  <c r="BT104" i="1"/>
  <c r="BB104" i="1"/>
  <c r="AK104" i="1"/>
  <c r="AJ104" i="1"/>
  <c r="CY211" i="1"/>
  <c r="CW211" i="1"/>
  <c r="CT211" i="1"/>
  <c r="CL211" i="1"/>
  <c r="CE211" i="1"/>
  <c r="BX211" i="1"/>
  <c r="BT211" i="1"/>
  <c r="BB211" i="1"/>
  <c r="AK211" i="1"/>
  <c r="AJ211" i="1"/>
  <c r="CY827" i="1"/>
  <c r="CW827" i="1"/>
  <c r="CT827" i="1"/>
  <c r="BT827" i="1"/>
  <c r="BB827" i="1"/>
  <c r="AK827" i="1"/>
  <c r="AJ827" i="1"/>
  <c r="CY810" i="1"/>
  <c r="CW810" i="1"/>
  <c r="CT810" i="1"/>
  <c r="BT810" i="1"/>
  <c r="BB810" i="1"/>
  <c r="AK810" i="1"/>
  <c r="AJ810" i="1"/>
  <c r="CY115" i="1"/>
  <c r="CW115" i="1"/>
  <c r="CT115" i="1"/>
  <c r="CL115" i="1"/>
  <c r="CE115" i="1"/>
  <c r="BX115" i="1"/>
  <c r="BT115" i="1"/>
  <c r="BB115" i="1"/>
  <c r="AK115" i="1"/>
  <c r="AJ115" i="1"/>
  <c r="CY563" i="1"/>
  <c r="CW563" i="1"/>
  <c r="CT563" i="1"/>
  <c r="BT563" i="1"/>
  <c r="BB563" i="1"/>
  <c r="AK563" i="1"/>
  <c r="AJ563" i="1"/>
  <c r="CY807" i="1"/>
  <c r="CW807" i="1"/>
  <c r="CT807" i="1"/>
  <c r="CL807" i="1"/>
  <c r="CE807" i="1"/>
  <c r="BX807" i="1"/>
  <c r="BT807" i="1"/>
  <c r="BB807" i="1"/>
  <c r="AK807" i="1"/>
  <c r="AJ807" i="1"/>
  <c r="CY645" i="1"/>
  <c r="CW645" i="1"/>
  <c r="CT645" i="1"/>
  <c r="BT645" i="1"/>
  <c r="BB645" i="1"/>
  <c r="AK645" i="1"/>
  <c r="AJ645" i="1"/>
  <c r="CY820" i="1"/>
  <c r="CW820" i="1"/>
  <c r="CT820" i="1"/>
  <c r="BT820" i="1"/>
  <c r="BB820" i="1"/>
  <c r="AK820" i="1"/>
  <c r="AJ820" i="1"/>
  <c r="CY520" i="1"/>
  <c r="CW520" i="1"/>
  <c r="CT520" i="1"/>
  <c r="BT520" i="1"/>
  <c r="CY110" i="1"/>
  <c r="CW110" i="1"/>
  <c r="CT110" i="1"/>
  <c r="BT110" i="1"/>
  <c r="BB110" i="1"/>
  <c r="AK110" i="1"/>
  <c r="AJ110" i="1"/>
  <c r="CY31" i="1"/>
  <c r="CW31" i="1"/>
  <c r="CT31" i="1"/>
  <c r="BT31" i="1"/>
  <c r="BB31" i="1"/>
  <c r="AK31" i="1"/>
  <c r="AJ31" i="1"/>
  <c r="CY612" i="1"/>
  <c r="CW612" i="1"/>
  <c r="CT612" i="1"/>
  <c r="BT612" i="1"/>
  <c r="BB612" i="1"/>
  <c r="AK612" i="1"/>
  <c r="AJ612" i="1"/>
  <c r="CY654" i="1"/>
  <c r="CW654" i="1"/>
  <c r="BT654" i="1"/>
  <c r="BB654" i="1"/>
  <c r="AK654" i="1"/>
  <c r="AJ654" i="1"/>
  <c r="CY578" i="1"/>
  <c r="CW578" i="1"/>
  <c r="CT578" i="1"/>
  <c r="BT578" i="1"/>
  <c r="BB578" i="1"/>
  <c r="AK578" i="1"/>
  <c r="AJ578" i="1"/>
  <c r="CY173" i="1"/>
  <c r="CW173" i="1"/>
  <c r="CT173" i="1"/>
  <c r="CL173" i="1"/>
  <c r="CE173" i="1"/>
  <c r="BX173" i="1"/>
  <c r="BT173" i="1"/>
  <c r="BB173" i="1"/>
  <c r="AK173" i="1"/>
  <c r="AJ173" i="1"/>
  <c r="CY519" i="1"/>
  <c r="CW519" i="1"/>
  <c r="BT519" i="1"/>
  <c r="CY200" i="1"/>
  <c r="CW200" i="1"/>
  <c r="CT200" i="1"/>
  <c r="CL200" i="1"/>
  <c r="CE200" i="1"/>
  <c r="BX200" i="1"/>
  <c r="BT200" i="1"/>
  <c r="BB200" i="1"/>
  <c r="AK200" i="1"/>
  <c r="AJ200" i="1"/>
  <c r="CY518" i="1"/>
  <c r="CW518" i="1"/>
  <c r="BT518" i="1"/>
  <c r="CY326" i="1"/>
  <c r="CW326" i="1"/>
  <c r="CT326" i="1"/>
  <c r="CL326" i="1"/>
  <c r="CE326" i="1"/>
  <c r="BX326" i="1"/>
  <c r="BT326" i="1"/>
  <c r="BB326" i="1"/>
  <c r="AK326" i="1"/>
  <c r="AJ326" i="1"/>
  <c r="CY769" i="1"/>
  <c r="CW769" i="1"/>
  <c r="CT769" i="1"/>
  <c r="BT769" i="1"/>
  <c r="BB769" i="1"/>
  <c r="AK769" i="1"/>
  <c r="AJ769" i="1"/>
  <c r="CY40" i="1"/>
  <c r="CW40" i="1"/>
  <c r="CT40" i="1"/>
  <c r="CL40" i="1"/>
  <c r="CE40" i="1"/>
  <c r="CC40" i="1"/>
  <c r="CB40" i="1"/>
  <c r="BX40" i="1"/>
  <c r="BT40" i="1"/>
  <c r="BB40" i="1"/>
  <c r="AK40" i="1"/>
  <c r="AJ40" i="1"/>
  <c r="CY283" i="1"/>
  <c r="CW283" i="1"/>
  <c r="CT283" i="1"/>
  <c r="CL283" i="1"/>
  <c r="CE283" i="1"/>
  <c r="BX283" i="1"/>
  <c r="BT283" i="1"/>
  <c r="BB283" i="1"/>
  <c r="AK283" i="1"/>
  <c r="AJ283" i="1"/>
  <c r="CY668" i="1"/>
  <c r="CW668" i="1"/>
  <c r="CT668" i="1"/>
  <c r="BT668" i="1"/>
  <c r="BB668" i="1"/>
  <c r="AK668" i="1"/>
  <c r="AJ668" i="1"/>
  <c r="CY714" i="1"/>
  <c r="CW714" i="1"/>
  <c r="CT714" i="1"/>
  <c r="BT714" i="1"/>
  <c r="BB714" i="1"/>
  <c r="AK714" i="1"/>
  <c r="AJ714" i="1"/>
  <c r="CY567" i="1"/>
  <c r="CW567" i="1"/>
  <c r="CT567" i="1"/>
  <c r="BT567" i="1"/>
  <c r="BB567" i="1"/>
  <c r="AK567" i="1"/>
  <c r="AJ567" i="1"/>
  <c r="CY517" i="1"/>
  <c r="CW517" i="1"/>
  <c r="BT517" i="1"/>
  <c r="CY194" i="1"/>
  <c r="CW194" i="1"/>
  <c r="CT194" i="1"/>
  <c r="CL194" i="1"/>
  <c r="CE194" i="1"/>
  <c r="CB194" i="1"/>
  <c r="BX194" i="1"/>
  <c r="BT194" i="1"/>
  <c r="BB194" i="1"/>
  <c r="AK194" i="1"/>
  <c r="AJ194" i="1"/>
  <c r="CY516" i="1"/>
  <c r="CW516" i="1"/>
  <c r="CT516" i="1"/>
  <c r="BT516" i="1"/>
  <c r="BB516" i="1"/>
  <c r="CY571" i="1"/>
  <c r="CW571" i="1"/>
  <c r="CT571" i="1"/>
  <c r="BT571" i="1"/>
  <c r="BB571" i="1"/>
  <c r="AK571" i="1"/>
  <c r="AJ571" i="1"/>
  <c r="CY825" i="1"/>
  <c r="CW825" i="1"/>
  <c r="CT825" i="1"/>
  <c r="BT825" i="1"/>
  <c r="BB825" i="1"/>
  <c r="AK825" i="1"/>
  <c r="AJ825" i="1"/>
  <c r="CY733" i="1"/>
  <c r="CW733" i="1"/>
  <c r="CT733" i="1"/>
  <c r="BT733" i="1"/>
  <c r="BB733" i="1"/>
  <c r="AK733" i="1"/>
  <c r="AJ733" i="1"/>
  <c r="CY775" i="1"/>
  <c r="CW775" i="1"/>
  <c r="CT775" i="1"/>
  <c r="BT775" i="1"/>
  <c r="BB775" i="1"/>
  <c r="AK775" i="1"/>
  <c r="AJ775" i="1"/>
  <c r="CY821" i="1"/>
  <c r="CW821" i="1"/>
  <c r="CT821" i="1"/>
  <c r="BT821" i="1"/>
  <c r="BB821" i="1"/>
  <c r="AK821" i="1"/>
  <c r="AJ821" i="1"/>
  <c r="CY684" i="1"/>
  <c r="CW684" i="1"/>
  <c r="CT684" i="1"/>
  <c r="BT684" i="1"/>
  <c r="BB684" i="1"/>
  <c r="AK684" i="1"/>
  <c r="AJ684" i="1"/>
  <c r="CY343" i="1"/>
  <c r="CW343" i="1"/>
  <c r="CT343" i="1"/>
  <c r="CL343" i="1"/>
  <c r="CE343" i="1"/>
  <c r="BX343" i="1"/>
  <c r="BT343" i="1"/>
  <c r="BB343" i="1"/>
  <c r="AK343" i="1"/>
  <c r="AJ343" i="1"/>
  <c r="CY11" i="1"/>
  <c r="CW11" i="1"/>
  <c r="CT11" i="1"/>
  <c r="CL11" i="1"/>
  <c r="CE11" i="1"/>
  <c r="CB11" i="1"/>
  <c r="BX11" i="1"/>
  <c r="BT11" i="1"/>
  <c r="BB11" i="1"/>
  <c r="AK11" i="1"/>
  <c r="AJ11" i="1"/>
  <c r="CY515" i="1"/>
  <c r="CW515" i="1"/>
  <c r="BT515" i="1"/>
  <c r="CY150" i="1"/>
  <c r="CW150" i="1"/>
  <c r="CT150" i="1"/>
  <c r="CL150" i="1"/>
  <c r="CE150" i="1"/>
  <c r="CB150" i="1"/>
  <c r="BX150" i="1"/>
  <c r="BT150" i="1"/>
  <c r="BB150" i="1"/>
  <c r="AK150" i="1"/>
  <c r="AJ150" i="1"/>
  <c r="CY632" i="1"/>
  <c r="CW632" i="1"/>
  <c r="CT632" i="1"/>
  <c r="BT632" i="1"/>
  <c r="BB632" i="1"/>
  <c r="AK632" i="1"/>
  <c r="AJ632" i="1"/>
  <c r="CY734" i="1"/>
  <c r="CW734" i="1"/>
  <c r="CT734" i="1"/>
  <c r="BT734" i="1"/>
  <c r="BB734" i="1"/>
  <c r="AK734" i="1"/>
  <c r="AJ734" i="1"/>
  <c r="CY119" i="1"/>
  <c r="CW119" i="1"/>
  <c r="CT119" i="1"/>
  <c r="CL119" i="1"/>
  <c r="CE119" i="1"/>
  <c r="CC119" i="1"/>
  <c r="CB119" i="1"/>
  <c r="BX119" i="1"/>
  <c r="BT119" i="1"/>
  <c r="BB119" i="1"/>
  <c r="AK119" i="1"/>
  <c r="AJ119" i="1"/>
  <c r="CY107" i="1"/>
  <c r="CW107" i="1"/>
  <c r="CT107" i="1"/>
  <c r="BT107" i="1"/>
  <c r="BB107" i="1"/>
  <c r="AK107" i="1"/>
  <c r="AJ107" i="1"/>
  <c r="CY658" i="1"/>
  <c r="CW658" i="1"/>
  <c r="CT658" i="1"/>
  <c r="CL658" i="1"/>
  <c r="CE658" i="1"/>
  <c r="BX658" i="1"/>
  <c r="BT658" i="1"/>
  <c r="BB658" i="1"/>
  <c r="AK658" i="1"/>
  <c r="AJ658" i="1"/>
  <c r="CY376" i="1"/>
  <c r="CW376" i="1"/>
  <c r="CT376" i="1"/>
  <c r="CL376" i="1"/>
  <c r="CE376" i="1"/>
  <c r="BX376" i="1"/>
  <c r="BT376" i="1"/>
  <c r="BB376" i="1"/>
  <c r="AK376" i="1"/>
  <c r="AJ376" i="1"/>
  <c r="CY514" i="1"/>
  <c r="CW514" i="1"/>
  <c r="CT514" i="1"/>
  <c r="BT514" i="1"/>
  <c r="CY381" i="1"/>
  <c r="CW381" i="1"/>
  <c r="CT381" i="1"/>
  <c r="CL381" i="1"/>
  <c r="CE381" i="1"/>
  <c r="CC381" i="1"/>
  <c r="CB381" i="1"/>
  <c r="BX381" i="1"/>
  <c r="BT381" i="1"/>
  <c r="BB381" i="1"/>
  <c r="AK381" i="1"/>
  <c r="AJ381" i="1"/>
  <c r="CY114" i="1"/>
  <c r="CW114" i="1"/>
  <c r="CT114" i="1"/>
  <c r="CL114" i="1"/>
  <c r="CE114" i="1"/>
  <c r="BX114" i="1"/>
  <c r="BT114" i="1"/>
  <c r="BB114" i="1"/>
  <c r="AK114" i="1"/>
  <c r="AJ114" i="1"/>
  <c r="CY156" i="1"/>
  <c r="CW156" i="1"/>
  <c r="CT156" i="1"/>
  <c r="CL156" i="1"/>
  <c r="CE156" i="1"/>
  <c r="CB156" i="1"/>
  <c r="BX156" i="1"/>
  <c r="BT156" i="1"/>
  <c r="BB156" i="1"/>
  <c r="AK156" i="1"/>
  <c r="AJ156" i="1"/>
  <c r="CY237" i="1"/>
  <c r="CW237" i="1"/>
  <c r="CT237" i="1"/>
  <c r="CL237" i="1"/>
  <c r="CE237" i="1"/>
  <c r="BX237" i="1"/>
  <c r="BT237" i="1"/>
  <c r="BB237" i="1"/>
  <c r="AK237" i="1"/>
  <c r="AJ237" i="1"/>
  <c r="CY789" i="1"/>
  <c r="CW789" i="1"/>
  <c r="CT789" i="1"/>
  <c r="BT789" i="1"/>
  <c r="BB789" i="1"/>
  <c r="AK789" i="1"/>
  <c r="AJ789" i="1"/>
  <c r="CY320" i="1"/>
  <c r="CW320" i="1"/>
  <c r="CT320" i="1"/>
  <c r="CL320" i="1"/>
  <c r="CE320" i="1"/>
  <c r="BX320" i="1"/>
  <c r="BT320" i="1"/>
  <c r="BB320" i="1"/>
  <c r="AK320" i="1"/>
  <c r="AJ320" i="1"/>
  <c r="CY118" i="1"/>
  <c r="CW118" i="1"/>
  <c r="CT118" i="1"/>
  <c r="CL118" i="1"/>
  <c r="CE118" i="1"/>
  <c r="BX118" i="1"/>
  <c r="BT118" i="1"/>
  <c r="BB118" i="1"/>
  <c r="AK118" i="1"/>
  <c r="AJ118" i="1"/>
  <c r="CY513" i="1"/>
  <c r="CW513" i="1"/>
  <c r="CT513" i="1"/>
  <c r="BT513" i="1"/>
  <c r="BB513" i="1"/>
  <c r="CY710" i="1"/>
  <c r="CW710" i="1"/>
  <c r="CT710" i="1"/>
  <c r="CL710" i="1"/>
  <c r="CE710" i="1"/>
  <c r="BX710" i="1"/>
  <c r="BT710" i="1"/>
  <c r="BB710" i="1"/>
  <c r="AK710" i="1"/>
  <c r="AJ710" i="1"/>
  <c r="CY579" i="1"/>
  <c r="CW579" i="1"/>
  <c r="CT579" i="1"/>
  <c r="BT579" i="1"/>
  <c r="BB579" i="1"/>
  <c r="AK579" i="1"/>
  <c r="AJ579" i="1"/>
  <c r="CY336" i="1"/>
  <c r="CW336" i="1"/>
  <c r="CT336" i="1"/>
  <c r="CL336" i="1"/>
  <c r="CE336" i="1"/>
  <c r="CB336" i="1"/>
  <c r="BX336" i="1"/>
  <c r="BT336" i="1"/>
  <c r="BB336" i="1"/>
  <c r="AK336" i="1"/>
  <c r="AJ336" i="1"/>
  <c r="CY264" i="1"/>
  <c r="CW264" i="1"/>
  <c r="CT264" i="1"/>
  <c r="CL264" i="1"/>
  <c r="CE264" i="1"/>
  <c r="BX264" i="1"/>
  <c r="BT264" i="1"/>
  <c r="BB264" i="1"/>
  <c r="AK264" i="1"/>
  <c r="AJ264" i="1"/>
  <c r="CY155" i="1"/>
  <c r="CW155" i="1"/>
  <c r="CT155" i="1"/>
  <c r="CL155" i="1"/>
  <c r="CE155" i="1"/>
  <c r="BX155" i="1"/>
  <c r="BT155" i="1"/>
  <c r="BB155" i="1"/>
  <c r="AK155" i="1"/>
  <c r="AJ155" i="1"/>
  <c r="CY168" i="1"/>
  <c r="CW168" i="1"/>
  <c r="CT168" i="1"/>
  <c r="CL168" i="1"/>
  <c r="CE168" i="1"/>
  <c r="CB168" i="1"/>
  <c r="BX168" i="1"/>
  <c r="BT168" i="1"/>
  <c r="BB168" i="1"/>
  <c r="AK168" i="1"/>
  <c r="AJ168" i="1"/>
  <c r="CY659" i="1"/>
  <c r="CW659" i="1"/>
  <c r="BT659" i="1"/>
  <c r="BB659" i="1"/>
  <c r="AK659" i="1"/>
  <c r="AJ659" i="1"/>
  <c r="CY512" i="1"/>
  <c r="CW512" i="1"/>
  <c r="CY621" i="1"/>
  <c r="CW621" i="1"/>
  <c r="CT621" i="1"/>
  <c r="BT621" i="1"/>
  <c r="BB621" i="1"/>
  <c r="AK621" i="1"/>
  <c r="AJ621" i="1"/>
  <c r="CY387" i="1"/>
  <c r="CW387" i="1"/>
  <c r="CT387" i="1"/>
  <c r="CL387" i="1"/>
  <c r="BX387" i="1"/>
  <c r="BT387" i="1"/>
  <c r="BB387" i="1"/>
  <c r="AK387" i="1"/>
  <c r="AJ387" i="1"/>
  <c r="CY272" i="1"/>
  <c r="CW272" i="1"/>
  <c r="CT272" i="1"/>
  <c r="CL272" i="1"/>
  <c r="CE272" i="1"/>
  <c r="CB272" i="1"/>
  <c r="BX272" i="1"/>
  <c r="BT272" i="1"/>
  <c r="BB272" i="1"/>
  <c r="AK272" i="1"/>
  <c r="AJ272" i="1"/>
  <c r="CY744" i="1"/>
  <c r="CW744" i="1"/>
  <c r="CT744" i="1"/>
  <c r="BT744" i="1"/>
  <c r="BB744" i="1"/>
  <c r="AK744" i="1"/>
  <c r="AJ744" i="1"/>
  <c r="CY511" i="1"/>
  <c r="CW511" i="1"/>
  <c r="CT511" i="1"/>
  <c r="BT511" i="1"/>
  <c r="BB511" i="1"/>
  <c r="CY6" i="1"/>
  <c r="CW6" i="1"/>
  <c r="CT6" i="1"/>
  <c r="BT6" i="1"/>
  <c r="BB6" i="1"/>
  <c r="AK6" i="1"/>
  <c r="AJ6" i="1"/>
  <c r="CY743" i="1"/>
  <c r="CW743" i="1"/>
  <c r="CT743" i="1"/>
  <c r="BT743" i="1"/>
  <c r="BB743" i="1"/>
  <c r="AK743" i="1"/>
  <c r="AJ743" i="1"/>
  <c r="CY510" i="1"/>
  <c r="CW510" i="1"/>
  <c r="CT510" i="1"/>
  <c r="BT510" i="1"/>
  <c r="BB510" i="1"/>
  <c r="CY680" i="1"/>
  <c r="CW680" i="1"/>
  <c r="CT680" i="1"/>
  <c r="BT680" i="1"/>
  <c r="BB680" i="1"/>
  <c r="AK680" i="1"/>
  <c r="AJ680" i="1"/>
  <c r="CY536" i="1"/>
  <c r="CW536" i="1"/>
  <c r="CT536" i="1"/>
  <c r="BT536" i="1"/>
  <c r="BB536" i="1"/>
  <c r="AK536" i="1"/>
  <c r="AJ536" i="1"/>
  <c r="CY768" i="1"/>
  <c r="CW768" i="1"/>
  <c r="CT768" i="1"/>
  <c r="BT768" i="1"/>
  <c r="BB768" i="1"/>
  <c r="AK768" i="1"/>
  <c r="AJ768" i="1"/>
  <c r="CY296" i="1"/>
  <c r="CW296" i="1"/>
  <c r="CT296" i="1"/>
  <c r="CL296" i="1"/>
  <c r="CE296" i="1"/>
  <c r="BX296" i="1"/>
  <c r="BT296" i="1"/>
  <c r="BB296" i="1"/>
  <c r="AK296" i="1"/>
  <c r="AJ296" i="1"/>
  <c r="CY187" i="1"/>
  <c r="CW187" i="1"/>
  <c r="CT187" i="1"/>
  <c r="CL187" i="1"/>
  <c r="CE187" i="1"/>
  <c r="CB187" i="1"/>
  <c r="BX187" i="1"/>
  <c r="BT187" i="1"/>
  <c r="BB187" i="1"/>
  <c r="AK187" i="1"/>
  <c r="AJ187" i="1"/>
  <c r="CY169" i="1"/>
  <c r="CW169" i="1"/>
  <c r="CT169" i="1"/>
  <c r="CL169" i="1"/>
  <c r="CE169" i="1"/>
  <c r="CB169" i="1"/>
  <c r="BX169" i="1"/>
  <c r="BT169" i="1"/>
  <c r="BB169" i="1"/>
  <c r="AK169" i="1"/>
  <c r="AJ169" i="1"/>
  <c r="CY50" i="1"/>
  <c r="CW50" i="1"/>
  <c r="CT50" i="1"/>
  <c r="CL50" i="1"/>
  <c r="CE50" i="1"/>
  <c r="BX50" i="1"/>
  <c r="BT50" i="1"/>
  <c r="BB50" i="1"/>
  <c r="AK50" i="1"/>
  <c r="AJ50" i="1"/>
  <c r="CY829" i="1"/>
  <c r="CW829" i="1"/>
  <c r="CT829" i="1"/>
  <c r="BT829" i="1"/>
  <c r="BB829" i="1"/>
  <c r="AK829" i="1"/>
  <c r="AJ829" i="1"/>
  <c r="CY75" i="1"/>
  <c r="CW75" i="1"/>
  <c r="CT75" i="1"/>
  <c r="BT75" i="1"/>
  <c r="BB75" i="1"/>
  <c r="AK75" i="1"/>
  <c r="AJ75" i="1"/>
  <c r="CY725" i="1"/>
  <c r="CW725" i="1"/>
  <c r="CT725" i="1"/>
  <c r="BT725" i="1"/>
  <c r="BB725" i="1"/>
  <c r="AK725" i="1"/>
  <c r="AJ725" i="1"/>
  <c r="CY647" i="1"/>
  <c r="CW647" i="1"/>
  <c r="CT647" i="1"/>
  <c r="BT647" i="1"/>
  <c r="BB647" i="1"/>
  <c r="AK647" i="1"/>
  <c r="AJ647" i="1"/>
  <c r="CY218" i="1"/>
  <c r="CW218" i="1"/>
  <c r="CT218" i="1"/>
  <c r="CL218" i="1"/>
  <c r="CE218" i="1"/>
  <c r="BX218" i="1"/>
  <c r="BT218" i="1"/>
  <c r="BB218" i="1"/>
  <c r="AK218" i="1"/>
  <c r="AJ218" i="1"/>
  <c r="CY317" i="1"/>
  <c r="CW317" i="1"/>
  <c r="CT317" i="1"/>
  <c r="CL317" i="1"/>
  <c r="CE317" i="1"/>
  <c r="BX317" i="1"/>
  <c r="BT317" i="1"/>
  <c r="BB317" i="1"/>
  <c r="AK317" i="1"/>
  <c r="AJ317" i="1"/>
  <c r="CY836" i="1"/>
  <c r="CW836" i="1"/>
  <c r="CT836" i="1"/>
  <c r="BT836" i="1"/>
  <c r="BB836" i="1"/>
  <c r="AK836" i="1"/>
  <c r="AJ836" i="1"/>
  <c r="CY176" i="1"/>
  <c r="CW176" i="1"/>
  <c r="CT176" i="1"/>
  <c r="CL176" i="1"/>
  <c r="CE176" i="1"/>
  <c r="BX176" i="1"/>
  <c r="BT176" i="1"/>
  <c r="BB176" i="1"/>
  <c r="AK176" i="1"/>
  <c r="AJ176" i="1"/>
  <c r="CY590" i="1"/>
  <c r="CW590" i="1"/>
  <c r="CT590" i="1"/>
  <c r="BT590" i="1"/>
  <c r="BB590" i="1"/>
  <c r="AK590" i="1"/>
  <c r="AJ590" i="1"/>
  <c r="CY509" i="1"/>
  <c r="CW509" i="1"/>
  <c r="BT509" i="1"/>
  <c r="CY782" i="1"/>
  <c r="CW782" i="1"/>
  <c r="CT782" i="1"/>
  <c r="BT782" i="1"/>
  <c r="BB782" i="1"/>
  <c r="AK782" i="1"/>
  <c r="AJ782" i="1"/>
  <c r="CY843" i="1"/>
  <c r="CW843" i="1"/>
  <c r="CT843" i="1"/>
  <c r="BT843" i="1"/>
  <c r="BB843" i="1"/>
  <c r="AK843" i="1"/>
  <c r="AJ843" i="1"/>
  <c r="CY707" i="1"/>
  <c r="CW707" i="1"/>
  <c r="CT707" i="1"/>
  <c r="CL707" i="1"/>
  <c r="CE707" i="1"/>
  <c r="BX707" i="1"/>
  <c r="BT707" i="1"/>
  <c r="BB707" i="1"/>
  <c r="AK707" i="1"/>
  <c r="AJ707" i="1"/>
  <c r="CY365" i="1"/>
  <c r="CW365" i="1"/>
  <c r="CT365" i="1"/>
  <c r="CL365" i="1"/>
  <c r="CE365" i="1"/>
  <c r="BX365" i="1"/>
  <c r="BT365" i="1"/>
  <c r="BB365" i="1"/>
  <c r="AK365" i="1"/>
  <c r="AJ365" i="1"/>
  <c r="CY617" i="1"/>
  <c r="CW617" i="1"/>
  <c r="CT617" i="1"/>
  <c r="BT617" i="1"/>
  <c r="BB617" i="1"/>
  <c r="AK617" i="1"/>
  <c r="AJ617" i="1"/>
  <c r="CY811" i="1"/>
  <c r="CW811" i="1"/>
  <c r="CT811" i="1"/>
  <c r="BT811" i="1"/>
  <c r="BB811" i="1"/>
  <c r="AK811" i="1"/>
  <c r="AJ811" i="1"/>
  <c r="CY553" i="1"/>
  <c r="CW553" i="1"/>
  <c r="CT553" i="1"/>
  <c r="BT553" i="1"/>
  <c r="BB553" i="1"/>
  <c r="AK553" i="1"/>
  <c r="AJ553" i="1"/>
  <c r="CY532" i="1"/>
  <c r="CW532" i="1"/>
  <c r="CT532" i="1"/>
  <c r="BT532" i="1"/>
  <c r="BB532" i="1"/>
  <c r="AK532" i="1"/>
  <c r="AJ532" i="1"/>
  <c r="CY706" i="1"/>
  <c r="CW706" i="1"/>
  <c r="CT706" i="1"/>
  <c r="BT706" i="1"/>
  <c r="BB706" i="1"/>
  <c r="AK706" i="1"/>
  <c r="AJ706" i="1"/>
  <c r="CY720" i="1"/>
  <c r="CW720" i="1"/>
  <c r="CT720" i="1"/>
  <c r="BT720" i="1"/>
  <c r="BB720" i="1"/>
  <c r="AK720" i="1"/>
  <c r="AJ720" i="1"/>
  <c r="CY508" i="1"/>
  <c r="CW508" i="1"/>
  <c r="CT508" i="1"/>
  <c r="BT508" i="1"/>
  <c r="BB508" i="1"/>
  <c r="CY507" i="1"/>
  <c r="CW507" i="1"/>
  <c r="CT507" i="1"/>
  <c r="BT507" i="1"/>
  <c r="CY747" i="1"/>
  <c r="CW747" i="1"/>
  <c r="CT747" i="1"/>
  <c r="BT747" i="1"/>
  <c r="BB747" i="1"/>
  <c r="AK747" i="1"/>
  <c r="AJ747" i="1"/>
  <c r="CY355" i="1"/>
  <c r="CW355" i="1"/>
  <c r="CT355" i="1"/>
  <c r="CL355" i="1"/>
  <c r="CE355" i="1"/>
  <c r="BX355" i="1"/>
  <c r="BT355" i="1"/>
  <c r="BB355" i="1"/>
  <c r="AK355" i="1"/>
  <c r="AJ355" i="1"/>
  <c r="CY180" i="1"/>
  <c r="CW180" i="1"/>
  <c r="CT180" i="1"/>
  <c r="CL180" i="1"/>
  <c r="CE180" i="1"/>
  <c r="BX180" i="1"/>
  <c r="BT180" i="1"/>
  <c r="BB180" i="1"/>
  <c r="AK180" i="1"/>
  <c r="AJ180" i="1"/>
  <c r="CY764" i="1"/>
  <c r="CW764" i="1"/>
  <c r="CT764" i="1"/>
  <c r="BT764" i="1"/>
  <c r="BB764" i="1"/>
  <c r="AK764" i="1"/>
  <c r="AJ764" i="1"/>
  <c r="CY506" i="1"/>
  <c r="CW506" i="1"/>
  <c r="BT506" i="1"/>
  <c r="CY236" i="1"/>
  <c r="CW236" i="1"/>
  <c r="CT236" i="1"/>
  <c r="CL236" i="1"/>
  <c r="CE236" i="1"/>
  <c r="BX236" i="1"/>
  <c r="BT236" i="1"/>
  <c r="BB236" i="1"/>
  <c r="AK236" i="1"/>
  <c r="AJ236" i="1"/>
  <c r="CY131" i="1"/>
  <c r="CW131" i="1"/>
  <c r="CT131" i="1"/>
  <c r="CL131" i="1"/>
  <c r="CE131" i="1"/>
  <c r="CB131" i="1"/>
  <c r="BX131" i="1"/>
  <c r="BT131" i="1"/>
  <c r="BB131" i="1"/>
  <c r="AK131" i="1"/>
  <c r="AJ131" i="1"/>
  <c r="DI160" i="1"/>
  <c r="CY160" i="1"/>
  <c r="CW160" i="1"/>
  <c r="CT160" i="1"/>
  <c r="CL160" i="1"/>
  <c r="CE160" i="1"/>
  <c r="CB160" i="1"/>
  <c r="BX160" i="1"/>
  <c r="BT160" i="1"/>
  <c r="BB160" i="1"/>
  <c r="AK160" i="1"/>
  <c r="AJ160" i="1"/>
  <c r="CY338" i="1"/>
  <c r="CW338" i="1"/>
  <c r="CT338" i="1"/>
  <c r="CL338" i="1"/>
  <c r="CE338" i="1"/>
  <c r="BX338" i="1"/>
  <c r="BT338" i="1"/>
  <c r="BB338" i="1"/>
  <c r="AK338" i="1"/>
  <c r="AJ338" i="1"/>
  <c r="CY800" i="1"/>
  <c r="CW800" i="1"/>
  <c r="CT800" i="1"/>
  <c r="BT800" i="1"/>
  <c r="BB800" i="1"/>
  <c r="AK800" i="1"/>
  <c r="AJ800" i="1"/>
  <c r="CY5" i="1"/>
  <c r="CW5" i="1"/>
  <c r="CT5" i="1"/>
  <c r="BT5" i="1"/>
  <c r="BB5" i="1"/>
  <c r="AK5" i="1"/>
  <c r="AJ5" i="1"/>
  <c r="CY824" i="1"/>
  <c r="CW824" i="1"/>
  <c r="CT824" i="1"/>
  <c r="BT824" i="1"/>
  <c r="BB824" i="1"/>
  <c r="AK824" i="1"/>
  <c r="AJ824" i="1"/>
  <c r="CY505" i="1"/>
  <c r="CW505" i="1"/>
  <c r="CT505" i="1"/>
  <c r="BT505" i="1"/>
  <c r="BB505" i="1"/>
  <c r="CY819" i="1"/>
  <c r="CW819" i="1"/>
  <c r="CT819" i="1"/>
  <c r="BT819" i="1"/>
  <c r="BB819" i="1"/>
  <c r="AK819" i="1"/>
  <c r="AJ819" i="1"/>
  <c r="CY504" i="1"/>
  <c r="CY379" i="1"/>
  <c r="CW379" i="1"/>
  <c r="CT379" i="1"/>
  <c r="CL379" i="1"/>
  <c r="CE379" i="1"/>
  <c r="BX379" i="1"/>
  <c r="BT379" i="1"/>
  <c r="BB379" i="1"/>
  <c r="AK379" i="1"/>
  <c r="AJ379" i="1"/>
  <c r="CY335" i="1"/>
  <c r="CW335" i="1"/>
  <c r="CT335" i="1"/>
  <c r="CL335" i="1"/>
  <c r="CE335" i="1"/>
  <c r="BX335" i="1"/>
  <c r="BT335" i="1"/>
  <c r="BB335" i="1"/>
  <c r="AK335" i="1"/>
  <c r="AJ335" i="1"/>
  <c r="CY703" i="1"/>
  <c r="CW703" i="1"/>
  <c r="CT703" i="1"/>
  <c r="CL703" i="1"/>
  <c r="CE703" i="1"/>
  <c r="BX703" i="1"/>
  <c r="BT703" i="1"/>
  <c r="BB703" i="1"/>
  <c r="AK703" i="1"/>
  <c r="AJ703" i="1"/>
  <c r="CY117" i="1"/>
  <c r="CW117" i="1"/>
  <c r="CT117" i="1"/>
  <c r="CL117" i="1"/>
  <c r="CE117" i="1"/>
  <c r="BX117" i="1"/>
  <c r="BT117" i="1"/>
  <c r="BB117" i="1"/>
  <c r="AK117" i="1"/>
  <c r="AJ117" i="1"/>
  <c r="CY340" i="1"/>
  <c r="CW340" i="1"/>
  <c r="CT340" i="1"/>
  <c r="CL340" i="1"/>
  <c r="CE340" i="1"/>
  <c r="BX340" i="1"/>
  <c r="BT340" i="1"/>
  <c r="BB340" i="1"/>
  <c r="AK340" i="1"/>
  <c r="AJ340" i="1"/>
  <c r="CY540" i="1"/>
  <c r="CW540" i="1"/>
  <c r="CT540" i="1"/>
  <c r="BT540" i="1"/>
  <c r="BB540" i="1"/>
  <c r="AK540" i="1"/>
  <c r="AJ540" i="1"/>
  <c r="CY385" i="1"/>
  <c r="CW385" i="1"/>
  <c r="CT385" i="1"/>
  <c r="CL385" i="1"/>
  <c r="BX385" i="1"/>
  <c r="BT385" i="1"/>
  <c r="BB385" i="1"/>
  <c r="AK385" i="1"/>
  <c r="AJ385" i="1"/>
  <c r="CY576" i="1"/>
  <c r="CW576" i="1"/>
  <c r="CT576" i="1"/>
  <c r="BT576" i="1"/>
  <c r="BB576" i="1"/>
  <c r="AK576" i="1"/>
  <c r="AJ576" i="1"/>
  <c r="CY648" i="1"/>
  <c r="CW648" i="1"/>
  <c r="CT648" i="1"/>
  <c r="BT648" i="1"/>
  <c r="BB648" i="1"/>
  <c r="AK648" i="1"/>
  <c r="AJ648" i="1"/>
  <c r="CY701" i="1"/>
  <c r="CW701" i="1"/>
  <c r="CT701" i="1"/>
  <c r="BT701" i="1"/>
  <c r="BB701" i="1"/>
  <c r="AK701" i="1"/>
  <c r="AJ701" i="1"/>
  <c r="CY595" i="1"/>
  <c r="CW595" i="1"/>
  <c r="CT595" i="1"/>
  <c r="CL595" i="1"/>
  <c r="CE595" i="1"/>
  <c r="BX595" i="1"/>
  <c r="BT595" i="1"/>
  <c r="BB595" i="1"/>
  <c r="AK595" i="1"/>
  <c r="AJ595" i="1"/>
  <c r="CY503" i="1"/>
  <c r="CW503" i="1"/>
  <c r="CT503" i="1"/>
  <c r="BT503" i="1"/>
  <c r="BB503" i="1"/>
  <c r="CY651" i="1"/>
  <c r="CW651" i="1"/>
  <c r="CT651" i="1"/>
  <c r="BT651" i="1"/>
  <c r="BB651" i="1"/>
  <c r="AK651" i="1"/>
  <c r="AJ651" i="1"/>
  <c r="CY793" i="1"/>
  <c r="CW793" i="1"/>
  <c r="CT793" i="1"/>
  <c r="BT793" i="1"/>
  <c r="BB793" i="1"/>
  <c r="AK793" i="1"/>
  <c r="AJ793" i="1"/>
  <c r="CY742" i="1"/>
  <c r="CW742" i="1"/>
  <c r="CT742" i="1"/>
  <c r="BT742" i="1"/>
  <c r="BB742" i="1"/>
  <c r="AK742" i="1"/>
  <c r="AJ742" i="1"/>
  <c r="CY84" i="1"/>
  <c r="CW84" i="1"/>
  <c r="CT84" i="1"/>
  <c r="BT84" i="1"/>
  <c r="BB84" i="1"/>
  <c r="AK84" i="1"/>
  <c r="AJ84" i="1"/>
  <c r="CY691" i="1"/>
  <c r="CW691" i="1"/>
  <c r="CT691" i="1"/>
  <c r="BT691" i="1"/>
  <c r="BB691" i="1"/>
  <c r="AK691" i="1"/>
  <c r="AJ691" i="1"/>
  <c r="CY664" i="1"/>
  <c r="CW664" i="1"/>
  <c r="CT664" i="1"/>
  <c r="BT664" i="1"/>
  <c r="BB664" i="1"/>
  <c r="AK664" i="1"/>
  <c r="AJ664" i="1"/>
  <c r="CY502" i="1"/>
  <c r="CW502" i="1"/>
  <c r="BT502" i="1"/>
  <c r="BB502" i="1"/>
  <c r="CY191" i="1"/>
  <c r="CW191" i="1"/>
  <c r="CT191" i="1"/>
  <c r="CL191" i="1"/>
  <c r="CE191" i="1"/>
  <c r="BX191" i="1"/>
  <c r="BT191" i="1"/>
  <c r="BB191" i="1"/>
  <c r="AK191" i="1"/>
  <c r="AJ191" i="1"/>
  <c r="CY146" i="1"/>
  <c r="CW146" i="1"/>
  <c r="CT146" i="1"/>
  <c r="CL146" i="1"/>
  <c r="CE146" i="1"/>
  <c r="CC146" i="1"/>
  <c r="CB146" i="1"/>
  <c r="BX146" i="1"/>
  <c r="BT146" i="1"/>
  <c r="BB146" i="1"/>
  <c r="AK146" i="1"/>
  <c r="AJ146" i="1"/>
  <c r="CY501" i="1"/>
  <c r="CW501" i="1"/>
  <c r="CY158" i="1"/>
  <c r="CW158" i="1"/>
  <c r="CT158" i="1"/>
  <c r="CL158" i="1"/>
  <c r="CE158" i="1"/>
  <c r="CB158" i="1"/>
  <c r="BX158" i="1"/>
  <c r="BT158" i="1"/>
  <c r="BB158" i="1"/>
  <c r="AK158" i="1"/>
  <c r="AJ158" i="1"/>
  <c r="CY500" i="1"/>
  <c r="CW500" i="1"/>
  <c r="CT500" i="1"/>
  <c r="BT500" i="1"/>
  <c r="BB500" i="1"/>
  <c r="CY135" i="1"/>
  <c r="CW135" i="1"/>
  <c r="CT135" i="1"/>
  <c r="CB135" i="1"/>
  <c r="BX135" i="1"/>
  <c r="BT135" i="1"/>
  <c r="BB135" i="1"/>
  <c r="AK135" i="1"/>
  <c r="AJ135" i="1"/>
  <c r="CY357" i="1"/>
  <c r="CW357" i="1"/>
  <c r="CT357" i="1"/>
  <c r="CL357" i="1"/>
  <c r="CE357" i="1"/>
  <c r="CB357" i="1"/>
  <c r="BX357" i="1"/>
  <c r="BT357" i="1"/>
  <c r="BB357" i="1"/>
  <c r="AK357" i="1"/>
  <c r="AJ357" i="1"/>
  <c r="CY539" i="1"/>
  <c r="CW539" i="1"/>
  <c r="CT539" i="1"/>
  <c r="BT539" i="1"/>
  <c r="BB539" i="1"/>
  <c r="AK539" i="1"/>
  <c r="AJ539" i="1"/>
  <c r="CY783" i="1"/>
  <c r="CW783" i="1"/>
  <c r="CT783" i="1"/>
  <c r="BT783" i="1"/>
  <c r="BB783" i="1"/>
  <c r="AK783" i="1"/>
  <c r="AJ783" i="1"/>
  <c r="CY636" i="1"/>
  <c r="CW636" i="1"/>
  <c r="CT636" i="1"/>
  <c r="BT636" i="1"/>
  <c r="BB636" i="1"/>
  <c r="AK636" i="1"/>
  <c r="AJ636" i="1"/>
  <c r="CY777" i="1"/>
  <c r="CW777" i="1"/>
  <c r="CT777" i="1"/>
  <c r="BT777" i="1"/>
  <c r="BB777" i="1"/>
  <c r="AK777" i="1"/>
  <c r="AJ777" i="1"/>
  <c r="CY499" i="1"/>
  <c r="CW499" i="1"/>
  <c r="CT499" i="1"/>
  <c r="BT499" i="1"/>
  <c r="BB499" i="1"/>
  <c r="CY498" i="1"/>
  <c r="CW498" i="1"/>
  <c r="BT498" i="1"/>
  <c r="CY751" i="1"/>
  <c r="CW751" i="1"/>
  <c r="CT751" i="1"/>
  <c r="BT751" i="1"/>
  <c r="BB751" i="1"/>
  <c r="AK751" i="1"/>
  <c r="AJ751" i="1"/>
  <c r="CY529" i="1"/>
  <c r="CW529" i="1"/>
  <c r="CT529" i="1"/>
  <c r="BT529" i="1"/>
  <c r="BB529" i="1"/>
  <c r="AK529" i="1"/>
  <c r="AJ529" i="1"/>
  <c r="CY361" i="1"/>
  <c r="CW361" i="1"/>
  <c r="CT361" i="1"/>
  <c r="CL361" i="1"/>
  <c r="CE361" i="1"/>
  <c r="BT361" i="1"/>
  <c r="BB361" i="1"/>
  <c r="AK361" i="1"/>
  <c r="AJ361" i="1"/>
  <c r="CY29" i="1"/>
  <c r="CW29" i="1"/>
  <c r="CT29" i="1"/>
  <c r="CL29" i="1"/>
  <c r="CE29" i="1"/>
  <c r="CB29" i="1"/>
  <c r="BX29" i="1"/>
  <c r="BT29" i="1"/>
  <c r="BB29" i="1"/>
  <c r="AK29" i="1"/>
  <c r="AJ29" i="1"/>
  <c r="CY609" i="1"/>
  <c r="CW609" i="1"/>
  <c r="CT609" i="1"/>
  <c r="BT609" i="1"/>
  <c r="BB609" i="1"/>
  <c r="AK609" i="1"/>
  <c r="AJ609" i="1"/>
  <c r="CY304" i="1"/>
  <c r="CW304" i="1"/>
  <c r="CT304" i="1"/>
  <c r="CL304" i="1"/>
  <c r="CE304" i="1"/>
  <c r="BX304" i="1"/>
  <c r="BT304" i="1"/>
  <c r="BB304" i="1"/>
  <c r="AK304" i="1"/>
  <c r="AJ304" i="1"/>
  <c r="CY817" i="1"/>
  <c r="CW817" i="1"/>
  <c r="CT817" i="1"/>
  <c r="BT817" i="1"/>
  <c r="BB817" i="1"/>
  <c r="AK817" i="1"/>
  <c r="AJ817" i="1"/>
  <c r="CY497" i="1"/>
  <c r="CW497" i="1"/>
  <c r="CT497" i="1"/>
  <c r="BT497" i="1"/>
  <c r="BB497" i="1"/>
  <c r="CY496" i="1"/>
  <c r="CW496" i="1"/>
  <c r="CT496" i="1"/>
  <c r="BT496" i="1"/>
  <c r="BB496" i="1"/>
  <c r="CY495" i="1"/>
  <c r="CW495" i="1"/>
  <c r="CT495" i="1"/>
  <c r="BT495" i="1"/>
  <c r="BB495" i="1"/>
  <c r="CY322" i="1"/>
  <c r="CW322" i="1"/>
  <c r="CT322" i="1"/>
  <c r="CL322" i="1"/>
  <c r="CE322" i="1"/>
  <c r="BX322" i="1"/>
  <c r="BT322" i="1"/>
  <c r="BB322" i="1"/>
  <c r="AK322" i="1"/>
  <c r="AJ322" i="1"/>
  <c r="CY494" i="1"/>
  <c r="CW494" i="1"/>
  <c r="BT494" i="1"/>
  <c r="CY329" i="1"/>
  <c r="CW329" i="1"/>
  <c r="CT329" i="1"/>
  <c r="CL329" i="1"/>
  <c r="CE329" i="1"/>
  <c r="BT329" i="1"/>
  <c r="BB329" i="1"/>
  <c r="AK329" i="1"/>
  <c r="AJ329" i="1"/>
  <c r="CY370" i="1"/>
  <c r="CW370" i="1"/>
  <c r="CT370" i="1"/>
  <c r="CL370" i="1"/>
  <c r="CE370" i="1"/>
  <c r="BX370" i="1"/>
  <c r="BT370" i="1"/>
  <c r="BB370" i="1"/>
  <c r="AK370" i="1"/>
  <c r="AJ370" i="1"/>
  <c r="CY524" i="1"/>
  <c r="CW524" i="1"/>
  <c r="CT524" i="1"/>
  <c r="BT524" i="1"/>
  <c r="BB524" i="1"/>
  <c r="AK524" i="1"/>
  <c r="AJ524" i="1"/>
  <c r="CY584" i="1"/>
  <c r="CW584" i="1"/>
  <c r="CT584" i="1"/>
  <c r="BT584" i="1"/>
  <c r="BB584" i="1"/>
  <c r="AK584" i="1"/>
  <c r="AJ584" i="1"/>
  <c r="CY805" i="1"/>
  <c r="CW805" i="1"/>
  <c r="CT805" i="1"/>
  <c r="BT805" i="1"/>
  <c r="BB805" i="1"/>
  <c r="AK805" i="1"/>
  <c r="AJ805" i="1"/>
  <c r="CY813" i="1"/>
  <c r="CW813" i="1"/>
  <c r="CT813" i="1"/>
  <c r="BT813" i="1"/>
  <c r="BB813" i="1"/>
  <c r="AK813" i="1"/>
  <c r="AJ813" i="1"/>
  <c r="CY99" i="1"/>
  <c r="CW99" i="1"/>
  <c r="CT99" i="1"/>
  <c r="BT99" i="1"/>
  <c r="BB99" i="1"/>
  <c r="AK99" i="1"/>
  <c r="AJ99" i="1"/>
  <c r="CY174" i="1"/>
  <c r="CW174" i="1"/>
  <c r="CT174" i="1"/>
  <c r="CL174" i="1"/>
  <c r="CE174" i="1"/>
  <c r="BX174" i="1"/>
  <c r="BT174" i="1"/>
  <c r="BB174" i="1"/>
  <c r="AK174" i="1"/>
  <c r="AJ174" i="1"/>
  <c r="CY533" i="1"/>
  <c r="CW533" i="1"/>
  <c r="CT533" i="1"/>
  <c r="BT533" i="1"/>
  <c r="BB533" i="1"/>
  <c r="AK533" i="1"/>
  <c r="AJ533" i="1"/>
  <c r="CY545" i="1"/>
  <c r="CW545" i="1"/>
  <c r="CT545" i="1"/>
  <c r="BT545" i="1"/>
  <c r="BB545" i="1"/>
  <c r="AK545" i="1"/>
  <c r="AJ545" i="1"/>
  <c r="CY569" i="1"/>
  <c r="CW569" i="1"/>
  <c r="CT569" i="1"/>
  <c r="BT569" i="1"/>
  <c r="BB569" i="1"/>
  <c r="AK569" i="1"/>
  <c r="AJ569" i="1"/>
  <c r="CY616" i="1"/>
  <c r="CW616" i="1"/>
  <c r="CT616" i="1"/>
  <c r="CL616" i="1"/>
  <c r="CE616" i="1"/>
  <c r="CB616" i="1"/>
  <c r="BX616" i="1"/>
  <c r="BT616" i="1"/>
  <c r="BB616" i="1"/>
  <c r="AK616" i="1"/>
  <c r="AJ616" i="1"/>
  <c r="CY339" i="1"/>
  <c r="CW339" i="1"/>
  <c r="CT339" i="1"/>
  <c r="CL339" i="1"/>
  <c r="CE339" i="1"/>
  <c r="BX339" i="1"/>
  <c r="BT339" i="1"/>
  <c r="BB339" i="1"/>
  <c r="AK339" i="1"/>
  <c r="AJ339" i="1"/>
  <c r="CY493" i="1"/>
  <c r="CY233" i="1"/>
  <c r="CW233" i="1"/>
  <c r="CT233" i="1"/>
  <c r="CL233" i="1"/>
  <c r="CE233" i="1"/>
  <c r="BX233" i="1"/>
  <c r="BT233" i="1"/>
  <c r="BB233" i="1"/>
  <c r="AK233" i="1"/>
  <c r="AJ233" i="1"/>
  <c r="CY745" i="1"/>
  <c r="CW745" i="1"/>
  <c r="CT745" i="1"/>
  <c r="BT745" i="1"/>
  <c r="BB745" i="1"/>
  <c r="AK745" i="1"/>
  <c r="AJ745" i="1"/>
  <c r="CY193" i="1"/>
  <c r="CW193" i="1"/>
  <c r="CT193" i="1"/>
  <c r="CL193" i="1"/>
  <c r="CE193" i="1"/>
  <c r="CB193" i="1"/>
  <c r="BX193" i="1"/>
  <c r="BT193" i="1"/>
  <c r="BB193" i="1"/>
  <c r="AK193" i="1"/>
  <c r="AJ193" i="1"/>
  <c r="CY623" i="1"/>
  <c r="CW623" i="1"/>
  <c r="CT623" i="1"/>
  <c r="BT623" i="1"/>
  <c r="BB623" i="1"/>
  <c r="AK623" i="1"/>
  <c r="AJ623" i="1"/>
  <c r="CY123" i="1"/>
  <c r="CW123" i="1"/>
  <c r="CT123" i="1"/>
  <c r="CL123" i="1"/>
  <c r="CE123" i="1"/>
  <c r="BX123" i="1"/>
  <c r="BT123" i="1"/>
  <c r="BB123" i="1"/>
  <c r="AK123" i="1"/>
  <c r="AJ123" i="1"/>
  <c r="CY492" i="1"/>
  <c r="CW492" i="1"/>
  <c r="CT492" i="1"/>
  <c r="BT492" i="1"/>
  <c r="BB492" i="1"/>
  <c r="CY491" i="1"/>
  <c r="CW491" i="1"/>
  <c r="BT491" i="1"/>
  <c r="CY136" i="1"/>
  <c r="CW136" i="1"/>
  <c r="CT136" i="1"/>
  <c r="CL136" i="1"/>
  <c r="CE136" i="1"/>
  <c r="BX136" i="1"/>
  <c r="BT136" i="1"/>
  <c r="BB136" i="1"/>
  <c r="AK136" i="1"/>
  <c r="AJ136" i="1"/>
  <c r="CY130" i="1"/>
  <c r="CW130" i="1"/>
  <c r="CT130" i="1"/>
  <c r="CE130" i="1"/>
  <c r="BT130" i="1"/>
  <c r="BB130" i="1"/>
  <c r="AK130" i="1"/>
  <c r="AJ130" i="1"/>
  <c r="CY490" i="1"/>
  <c r="BT490" i="1"/>
  <c r="CY770" i="1"/>
  <c r="CW770" i="1"/>
  <c r="CT770" i="1"/>
  <c r="BT770" i="1"/>
  <c r="BB770" i="1"/>
  <c r="AK770" i="1"/>
  <c r="AJ770" i="1"/>
  <c r="CY694" i="1"/>
  <c r="CW694" i="1"/>
  <c r="CT694" i="1"/>
  <c r="BT694" i="1"/>
  <c r="BB694" i="1"/>
  <c r="AK694" i="1"/>
  <c r="AJ694" i="1"/>
  <c r="CY489" i="1"/>
  <c r="CW489" i="1"/>
  <c r="CT489" i="1"/>
  <c r="BT489" i="1"/>
  <c r="CY528" i="1"/>
  <c r="CW528" i="1"/>
  <c r="CT528" i="1"/>
  <c r="BT528" i="1"/>
  <c r="BB528" i="1"/>
  <c r="AK528" i="1"/>
  <c r="AJ528" i="1"/>
  <c r="CY815" i="1"/>
  <c r="CW815" i="1"/>
  <c r="CT815" i="1"/>
  <c r="BT815" i="1"/>
  <c r="BB815" i="1"/>
  <c r="AK815" i="1"/>
  <c r="AJ815" i="1"/>
  <c r="CY801" i="1"/>
  <c r="CW801" i="1"/>
  <c r="CT801" i="1"/>
  <c r="BT801" i="1"/>
  <c r="BB801" i="1"/>
  <c r="AK801" i="1"/>
  <c r="AJ801" i="1"/>
  <c r="CY488" i="1"/>
  <c r="CW488" i="1"/>
  <c r="CY487" i="1"/>
  <c r="CW487" i="1"/>
  <c r="CT487" i="1"/>
  <c r="CY560" i="1"/>
  <c r="CW560" i="1"/>
  <c r="CT560" i="1"/>
  <c r="BT560" i="1"/>
  <c r="BB560" i="1"/>
  <c r="AK560" i="1"/>
  <c r="AJ560" i="1"/>
  <c r="CY604" i="1"/>
  <c r="CW604" i="1"/>
  <c r="CT604" i="1"/>
  <c r="BT604" i="1"/>
  <c r="BB604" i="1"/>
  <c r="AK604" i="1"/>
  <c r="AJ604" i="1"/>
  <c r="CY735" i="1"/>
  <c r="CW735" i="1"/>
  <c r="CT735" i="1"/>
  <c r="BT735" i="1"/>
  <c r="BB735" i="1"/>
  <c r="AK735" i="1"/>
  <c r="AJ735" i="1"/>
  <c r="CY24" i="1"/>
  <c r="CW24" i="1"/>
  <c r="CT24" i="1"/>
  <c r="BT24" i="1"/>
  <c r="BB24" i="1"/>
  <c r="AK24" i="1"/>
  <c r="AJ24" i="1"/>
  <c r="CY600" i="1"/>
  <c r="CW600" i="1"/>
  <c r="CT600" i="1"/>
  <c r="BT600" i="1"/>
  <c r="BB600" i="1"/>
  <c r="AK600" i="1"/>
  <c r="AJ600" i="1"/>
  <c r="CY116" i="1"/>
  <c r="CW116" i="1"/>
  <c r="CT116" i="1"/>
  <c r="CL116" i="1"/>
  <c r="CE116" i="1"/>
  <c r="BX116" i="1"/>
  <c r="BT116" i="1"/>
  <c r="BB116" i="1"/>
  <c r="AK116" i="1"/>
  <c r="AJ116" i="1"/>
  <c r="CY809" i="1"/>
  <c r="CW809" i="1"/>
  <c r="CT809" i="1"/>
  <c r="BT809" i="1"/>
  <c r="BB809" i="1"/>
  <c r="AK809" i="1"/>
  <c r="AJ809" i="1"/>
  <c r="CY574" i="1"/>
  <c r="CW574" i="1"/>
  <c r="CT574" i="1"/>
  <c r="BT574" i="1"/>
  <c r="BB574" i="1"/>
  <c r="AK574" i="1"/>
  <c r="AJ574" i="1"/>
  <c r="CY599" i="1"/>
  <c r="CW599" i="1"/>
  <c r="CT599" i="1"/>
  <c r="BT599" i="1"/>
  <c r="BB599" i="1"/>
  <c r="AK599" i="1"/>
  <c r="AJ599" i="1"/>
  <c r="CY373" i="1"/>
  <c r="CW373" i="1"/>
  <c r="CT373" i="1"/>
  <c r="CL373" i="1"/>
  <c r="CE373" i="1"/>
  <c r="CB373" i="1"/>
  <c r="BX373" i="1"/>
  <c r="BT373" i="1"/>
  <c r="BB373" i="1"/>
  <c r="AK373" i="1"/>
  <c r="AJ373" i="1"/>
  <c r="CY675" i="1"/>
  <c r="CW675" i="1"/>
  <c r="CT675" i="1"/>
  <c r="BT675" i="1"/>
  <c r="BB675" i="1"/>
  <c r="AK675" i="1"/>
  <c r="AJ675" i="1"/>
  <c r="CY184" i="1"/>
  <c r="CW184" i="1"/>
  <c r="CT184" i="1"/>
  <c r="CL184" i="1"/>
  <c r="CE184" i="1"/>
  <c r="BX184" i="1"/>
  <c r="BT184" i="1"/>
  <c r="BB184" i="1"/>
  <c r="AK184" i="1"/>
  <c r="AJ184" i="1"/>
  <c r="CY792" i="1"/>
  <c r="CW792" i="1"/>
  <c r="CT792" i="1"/>
  <c r="BT792" i="1"/>
  <c r="BB792" i="1"/>
  <c r="AK792" i="1"/>
  <c r="AJ792" i="1"/>
  <c r="CY486" i="1"/>
  <c r="CW486" i="1"/>
  <c r="CT486" i="1"/>
  <c r="BT486" i="1"/>
  <c r="BB486" i="1"/>
  <c r="CY265" i="1"/>
  <c r="CW265" i="1"/>
  <c r="CT265" i="1"/>
  <c r="CL265" i="1"/>
  <c r="CE265" i="1"/>
  <c r="BX265" i="1"/>
  <c r="BT265" i="1"/>
  <c r="BB265" i="1"/>
  <c r="AK265" i="1"/>
  <c r="AJ265" i="1"/>
  <c r="CY167" i="1"/>
  <c r="CW167" i="1"/>
  <c r="CT167" i="1"/>
  <c r="CL167" i="1"/>
  <c r="CE167" i="1"/>
  <c r="CB167" i="1"/>
  <c r="BX167" i="1"/>
  <c r="BT167" i="1"/>
  <c r="BB167" i="1"/>
  <c r="AK167" i="1"/>
  <c r="AJ167" i="1"/>
  <c r="CY327" i="1"/>
  <c r="CW327" i="1"/>
  <c r="CT327" i="1"/>
  <c r="CL327" i="1"/>
  <c r="CE327" i="1"/>
  <c r="BX327" i="1"/>
  <c r="BT327" i="1"/>
  <c r="BB327" i="1"/>
  <c r="AK327" i="1"/>
  <c r="AJ327" i="1"/>
  <c r="CY282" i="1"/>
  <c r="CW282" i="1"/>
  <c r="CT282" i="1"/>
  <c r="CL282" i="1"/>
  <c r="CE282" i="1"/>
  <c r="BX282" i="1"/>
  <c r="BT282" i="1"/>
  <c r="BB282" i="1"/>
  <c r="AK282" i="1"/>
  <c r="AJ282" i="1"/>
  <c r="CY485" i="1"/>
  <c r="CT485" i="1"/>
  <c r="CY366" i="1"/>
  <c r="CW366" i="1"/>
  <c r="CT366" i="1"/>
  <c r="CL366" i="1"/>
  <c r="CE366" i="1"/>
  <c r="BX366" i="1"/>
  <c r="BT366" i="1"/>
  <c r="BB366" i="1"/>
  <c r="AK366" i="1"/>
  <c r="AJ366" i="1"/>
  <c r="CY484" i="1"/>
  <c r="CW484" i="1"/>
  <c r="CT484" i="1"/>
  <c r="BT484" i="1"/>
  <c r="BB484" i="1"/>
  <c r="CY188" i="1"/>
  <c r="CW188" i="1"/>
  <c r="CT188" i="1"/>
  <c r="CL188" i="1"/>
  <c r="CE188" i="1"/>
  <c r="BX188" i="1"/>
  <c r="BT188" i="1"/>
  <c r="BB188" i="1"/>
  <c r="AK188" i="1"/>
  <c r="AJ188" i="1"/>
  <c r="CY596" i="1"/>
  <c r="CW596" i="1"/>
  <c r="CT596" i="1"/>
  <c r="BT596" i="1"/>
  <c r="BB596" i="1"/>
  <c r="AK596" i="1"/>
  <c r="AJ596" i="1"/>
  <c r="CY257" i="1"/>
  <c r="CW257" i="1"/>
  <c r="CT257" i="1"/>
  <c r="CL257" i="1"/>
  <c r="CE257" i="1"/>
  <c r="CB257" i="1"/>
  <c r="BX257" i="1"/>
  <c r="BT257" i="1"/>
  <c r="BB257" i="1"/>
  <c r="AK257" i="1"/>
  <c r="AJ257" i="1"/>
  <c r="CY715" i="1"/>
  <c r="CW715" i="1"/>
  <c r="CT715" i="1"/>
  <c r="BT715" i="1"/>
  <c r="BB715" i="1"/>
  <c r="AK715" i="1"/>
  <c r="AJ715" i="1"/>
  <c r="CY279" i="1"/>
  <c r="CW279" i="1"/>
  <c r="CT279" i="1"/>
  <c r="CL279" i="1"/>
  <c r="CE279" i="1"/>
  <c r="BX279" i="1"/>
  <c r="BT279" i="1"/>
  <c r="BB279" i="1"/>
  <c r="AK279" i="1"/>
  <c r="AJ279" i="1"/>
  <c r="CY162" i="1"/>
  <c r="CW162" i="1"/>
  <c r="CT162" i="1"/>
  <c r="CL162" i="1"/>
  <c r="CE162" i="1"/>
  <c r="CB162" i="1"/>
  <c r="BX162" i="1"/>
  <c r="BT162" i="1"/>
  <c r="BB162" i="1"/>
  <c r="AK162" i="1"/>
  <c r="AJ162" i="1"/>
  <c r="CY483" i="1"/>
  <c r="CW483" i="1"/>
  <c r="CT483" i="1"/>
  <c r="BT483" i="1"/>
  <c r="CY195" i="1"/>
  <c r="CW195" i="1"/>
  <c r="CT195" i="1"/>
  <c r="CL195" i="1"/>
  <c r="CE195" i="1"/>
  <c r="CB195" i="1"/>
  <c r="BX195" i="1"/>
  <c r="BT195" i="1"/>
  <c r="BB195" i="1"/>
  <c r="AK195" i="1"/>
  <c r="AJ195" i="1"/>
  <c r="CY527" i="1"/>
  <c r="CW527" i="1"/>
  <c r="CT527" i="1"/>
  <c r="CL527" i="1"/>
  <c r="CE527" i="1"/>
  <c r="BX527" i="1"/>
  <c r="BT527" i="1"/>
  <c r="BB527" i="1"/>
  <c r="AK527" i="1"/>
  <c r="AJ527" i="1"/>
  <c r="CY605" i="1"/>
  <c r="CW605" i="1"/>
  <c r="CT605" i="1"/>
  <c r="BT605" i="1"/>
  <c r="BB605" i="1"/>
  <c r="AK605" i="1"/>
  <c r="AJ605" i="1"/>
  <c r="CY482" i="1"/>
  <c r="CW482" i="1"/>
  <c r="CT482" i="1"/>
  <c r="BT482" i="1"/>
  <c r="BB482" i="1"/>
  <c r="CY179" i="1"/>
  <c r="CW179" i="1"/>
  <c r="CT179" i="1"/>
  <c r="CL179" i="1"/>
  <c r="CE179" i="1"/>
  <c r="BX179" i="1"/>
  <c r="BT179" i="1"/>
  <c r="BB179" i="1"/>
  <c r="AK179" i="1"/>
  <c r="AJ179" i="1"/>
  <c r="CY333" i="1"/>
  <c r="CW333" i="1"/>
  <c r="CT333" i="1"/>
  <c r="CL333" i="1"/>
  <c r="CE333" i="1"/>
  <c r="BX333" i="1"/>
  <c r="BT333" i="1"/>
  <c r="BB333" i="1"/>
  <c r="AK333" i="1"/>
  <c r="AJ333" i="1"/>
  <c r="CY690" i="1"/>
  <c r="CW690" i="1"/>
  <c r="CT690" i="1"/>
  <c r="BT690" i="1"/>
  <c r="BB690" i="1"/>
  <c r="AK690" i="1"/>
  <c r="AJ690" i="1"/>
  <c r="CY814" i="1"/>
  <c r="CW814" i="1"/>
  <c r="CT814" i="1"/>
  <c r="BT814" i="1"/>
  <c r="BB814" i="1"/>
  <c r="AK814" i="1"/>
  <c r="AJ814" i="1"/>
  <c r="CY124" i="1"/>
  <c r="CW124" i="1"/>
  <c r="CT124" i="1"/>
  <c r="CL124" i="1"/>
  <c r="CE124" i="1"/>
  <c r="BX124" i="1"/>
  <c r="BT124" i="1"/>
  <c r="BB124" i="1"/>
  <c r="AK124" i="1"/>
  <c r="AJ124" i="1"/>
  <c r="CY631" i="1"/>
  <c r="CW631" i="1"/>
  <c r="CT631" i="1"/>
  <c r="BT631" i="1"/>
  <c r="BB631" i="1"/>
  <c r="AK631" i="1"/>
  <c r="AJ631" i="1"/>
  <c r="CY481" i="1"/>
  <c r="CW481" i="1"/>
  <c r="CY480" i="1"/>
  <c r="CW480" i="1"/>
  <c r="CT480" i="1"/>
  <c r="BT480" i="1"/>
  <c r="CY607" i="1"/>
  <c r="CW607" i="1"/>
  <c r="CT607" i="1"/>
  <c r="BT607" i="1"/>
  <c r="BB607" i="1"/>
  <c r="AK607" i="1"/>
  <c r="AJ607" i="1"/>
  <c r="CY358" i="1"/>
  <c r="CW358" i="1"/>
  <c r="CT358" i="1"/>
  <c r="CL358" i="1"/>
  <c r="CE358" i="1"/>
  <c r="BX358" i="1"/>
  <c r="BT358" i="1"/>
  <c r="BB358" i="1"/>
  <c r="AK358" i="1"/>
  <c r="AJ358" i="1"/>
  <c r="CY732" i="1"/>
  <c r="CW732" i="1"/>
  <c r="CT732" i="1"/>
  <c r="BT732" i="1"/>
  <c r="BB732" i="1"/>
  <c r="AK732" i="1"/>
  <c r="AJ732" i="1"/>
  <c r="CY479" i="1"/>
  <c r="BT479" i="1"/>
  <c r="CY580" i="1"/>
  <c r="CW580" i="1"/>
  <c r="CT580" i="1"/>
  <c r="BT580" i="1"/>
  <c r="BB580" i="1"/>
  <c r="AK580" i="1"/>
  <c r="AJ580" i="1"/>
  <c r="CY328" i="1"/>
  <c r="CW328" i="1"/>
  <c r="CT328" i="1"/>
  <c r="CL328" i="1"/>
  <c r="CE328" i="1"/>
  <c r="CB328" i="1"/>
  <c r="BX328" i="1"/>
  <c r="BT328" i="1"/>
  <c r="BB328" i="1"/>
  <c r="AK328" i="1"/>
  <c r="AJ328" i="1"/>
  <c r="CY256" i="1"/>
  <c r="CW256" i="1"/>
  <c r="CT256" i="1"/>
  <c r="CL256" i="1"/>
  <c r="CE256" i="1"/>
  <c r="BX256" i="1"/>
  <c r="BT256" i="1"/>
  <c r="BB256" i="1"/>
  <c r="AK256" i="1"/>
  <c r="AJ256" i="1"/>
  <c r="CY575" i="1"/>
  <c r="CW575" i="1"/>
  <c r="CT575" i="1"/>
  <c r="BT575" i="1"/>
  <c r="BB575" i="1"/>
  <c r="AK575" i="1"/>
  <c r="AJ575" i="1"/>
  <c r="CY109" i="1"/>
  <c r="CW109" i="1"/>
  <c r="CT109" i="1"/>
  <c r="BT109" i="1"/>
  <c r="BB109" i="1"/>
  <c r="AK109" i="1"/>
  <c r="AJ109" i="1"/>
  <c r="CY157" i="1"/>
  <c r="CW157" i="1"/>
  <c r="CT157" i="1"/>
  <c r="CL157" i="1"/>
  <c r="CE157" i="1"/>
  <c r="CB157" i="1"/>
  <c r="BX157" i="1"/>
  <c r="BT157" i="1"/>
  <c r="BB157" i="1"/>
  <c r="AK157" i="1"/>
  <c r="AJ157" i="1"/>
  <c r="CY760" i="1"/>
  <c r="CW760" i="1"/>
  <c r="CT760" i="1"/>
  <c r="BT760" i="1"/>
  <c r="BB760" i="1"/>
  <c r="AK760" i="1"/>
  <c r="AJ760" i="1"/>
  <c r="CY763" i="1"/>
  <c r="CW763" i="1"/>
  <c r="CT763" i="1"/>
  <c r="BT763" i="1"/>
  <c r="BB763" i="1"/>
  <c r="AK763" i="1"/>
  <c r="AJ763" i="1"/>
  <c r="CY269" i="1"/>
  <c r="CW269" i="1"/>
  <c r="CT269" i="1"/>
  <c r="CL269" i="1"/>
  <c r="CE269" i="1"/>
  <c r="BX269" i="1"/>
  <c r="BT269" i="1"/>
  <c r="BB269" i="1"/>
  <c r="AK269" i="1"/>
  <c r="AJ269" i="1"/>
  <c r="CY478" i="1"/>
  <c r="CW478" i="1"/>
  <c r="CY666" i="1"/>
  <c r="CW666" i="1"/>
  <c r="CT666" i="1"/>
  <c r="BT666" i="1"/>
  <c r="AK666" i="1"/>
  <c r="AJ666" i="1"/>
  <c r="CY644" i="1"/>
  <c r="CW644" i="1"/>
  <c r="CT644" i="1"/>
  <c r="BT644" i="1"/>
  <c r="BB644" i="1"/>
  <c r="AK644" i="1"/>
  <c r="AJ644" i="1"/>
  <c r="CY190" i="1"/>
  <c r="CW190" i="1"/>
  <c r="CT190" i="1"/>
  <c r="CL190" i="1"/>
  <c r="CE190" i="1"/>
  <c r="BX190" i="1"/>
  <c r="BT190" i="1"/>
  <c r="BB190" i="1"/>
  <c r="AK190" i="1"/>
  <c r="AJ190" i="1"/>
  <c r="CY477" i="1"/>
  <c r="CW477" i="1"/>
  <c r="CT477" i="1"/>
  <c r="BT477" i="1"/>
  <c r="BB477" i="1"/>
  <c r="CY841" i="1"/>
  <c r="CW841" i="1"/>
  <c r="CT841" i="1"/>
  <c r="BT841" i="1"/>
  <c r="BB841" i="1"/>
  <c r="AK841" i="1"/>
  <c r="AJ841" i="1"/>
  <c r="CY476" i="1"/>
  <c r="CW476" i="1"/>
  <c r="CT476" i="1"/>
  <c r="BB476" i="1"/>
  <c r="CY475" i="1"/>
  <c r="CW475" i="1"/>
  <c r="CY602" i="1"/>
  <c r="CW602" i="1"/>
  <c r="CT602" i="1"/>
  <c r="BT602" i="1"/>
  <c r="BB602" i="1"/>
  <c r="AK602" i="1"/>
  <c r="AJ602" i="1"/>
  <c r="CY474" i="1"/>
  <c r="CW474" i="1"/>
  <c r="CT474" i="1"/>
  <c r="BT474" i="1"/>
  <c r="BB474" i="1"/>
  <c r="CY655" i="1"/>
  <c r="CW655" i="1"/>
  <c r="CT655" i="1"/>
  <c r="BT655" i="1"/>
  <c r="BB655" i="1"/>
  <c r="AK655" i="1"/>
  <c r="AJ655" i="1"/>
  <c r="CY752" i="1"/>
  <c r="CW752" i="1"/>
  <c r="CT752" i="1"/>
  <c r="BT752" i="1"/>
  <c r="BB752" i="1"/>
  <c r="AK752" i="1"/>
  <c r="AJ752" i="1"/>
  <c r="CY147" i="1"/>
  <c r="CW147" i="1"/>
  <c r="CT147" i="1"/>
  <c r="BT147" i="1"/>
  <c r="BB147" i="1"/>
  <c r="AK147" i="1"/>
  <c r="AJ147" i="1"/>
  <c r="CY473" i="1"/>
  <c r="CW473" i="1"/>
  <c r="BT473" i="1"/>
  <c r="BB473" i="1"/>
  <c r="CY472" i="1"/>
  <c r="CW472" i="1"/>
  <c r="CT472" i="1"/>
  <c r="BT472" i="1"/>
  <c r="BB472" i="1"/>
  <c r="CY637" i="1"/>
  <c r="CW637" i="1"/>
  <c r="CT637" i="1"/>
  <c r="BT637" i="1"/>
  <c r="BB637" i="1"/>
  <c r="AK637" i="1"/>
  <c r="AJ637" i="1"/>
  <c r="CY364" i="1"/>
  <c r="CW364" i="1"/>
  <c r="CT364" i="1"/>
  <c r="BT364" i="1"/>
  <c r="BB364" i="1"/>
  <c r="AK364" i="1"/>
  <c r="AJ364" i="1"/>
  <c r="CY581" i="1"/>
  <c r="CW581" i="1"/>
  <c r="CT581" i="1"/>
  <c r="BT581" i="1"/>
  <c r="BB581" i="1"/>
  <c r="AK581" i="1"/>
  <c r="AJ581" i="1"/>
  <c r="CY273" i="1"/>
  <c r="CW273" i="1"/>
  <c r="CT273" i="1"/>
  <c r="CL273" i="1"/>
  <c r="CE273" i="1"/>
  <c r="BX273" i="1"/>
  <c r="BT273" i="1"/>
  <c r="BB273" i="1"/>
  <c r="AK273" i="1"/>
  <c r="AJ273" i="1"/>
  <c r="CY778" i="1"/>
  <c r="CW778" i="1"/>
  <c r="CT778" i="1"/>
  <c r="BT778" i="1"/>
  <c r="BB778" i="1"/>
  <c r="AK778" i="1"/>
  <c r="AJ778" i="1"/>
  <c r="CY771" i="1"/>
  <c r="CW771" i="1"/>
  <c r="CT771" i="1"/>
  <c r="BT771" i="1"/>
  <c r="BB771" i="1"/>
  <c r="AK771" i="1"/>
  <c r="AJ771" i="1"/>
  <c r="DI163" i="1"/>
  <c r="CY163" i="1"/>
  <c r="CW163" i="1"/>
  <c r="CT163" i="1"/>
  <c r="CL163" i="1"/>
  <c r="CE163" i="1"/>
  <c r="CB163" i="1"/>
  <c r="BX163" i="1"/>
  <c r="BT163" i="1"/>
  <c r="BB163" i="1"/>
  <c r="AK163" i="1"/>
  <c r="AJ163" i="1"/>
  <c r="CY51" i="1"/>
  <c r="CW51" i="1"/>
  <c r="CT51" i="1"/>
  <c r="BT51" i="1"/>
  <c r="BB51" i="1"/>
  <c r="AK51" i="1"/>
  <c r="AJ51" i="1"/>
  <c r="CY199" i="1"/>
  <c r="CW199" i="1"/>
  <c r="CT199" i="1"/>
  <c r="CL199" i="1"/>
  <c r="CE199" i="1"/>
  <c r="BX199" i="1"/>
  <c r="BT199" i="1"/>
  <c r="BB199" i="1"/>
  <c r="AK199" i="1"/>
  <c r="AJ199" i="1"/>
  <c r="CY471" i="1"/>
  <c r="CW471" i="1"/>
  <c r="CT471" i="1"/>
  <c r="BT471" i="1"/>
  <c r="BB471" i="1"/>
  <c r="CY823" i="1"/>
  <c r="CW823" i="1"/>
  <c r="CT823" i="1"/>
  <c r="BT823" i="1"/>
  <c r="BB823" i="1"/>
  <c r="AK823" i="1"/>
  <c r="AJ823" i="1"/>
  <c r="CY767" i="1"/>
  <c r="CW767" i="1"/>
  <c r="CT767" i="1"/>
  <c r="BT767" i="1"/>
  <c r="BB767" i="1"/>
  <c r="AK767" i="1"/>
  <c r="AJ767" i="1"/>
  <c r="CY577" i="1"/>
  <c r="CW577" i="1"/>
  <c r="CT577" i="1"/>
  <c r="BT577" i="1"/>
  <c r="BB577" i="1"/>
  <c r="AK577" i="1"/>
  <c r="AJ577" i="1"/>
  <c r="CY321" i="1"/>
  <c r="CW321" i="1"/>
  <c r="CT321" i="1"/>
  <c r="CL321" i="1"/>
  <c r="CE321" i="1"/>
  <c r="BX321" i="1"/>
  <c r="BT321" i="1"/>
  <c r="BB321" i="1"/>
  <c r="AK321" i="1"/>
  <c r="AJ321" i="1"/>
  <c r="CY470" i="1"/>
  <c r="CW470" i="1"/>
  <c r="CY469" i="1"/>
  <c r="CW469" i="1"/>
  <c r="CT469" i="1"/>
  <c r="BT469" i="1"/>
  <c r="BB469" i="1"/>
  <c r="CY592" i="1"/>
  <c r="CW592" i="1"/>
  <c r="CT592" i="1"/>
  <c r="BT592" i="1"/>
  <c r="BB592" i="1"/>
  <c r="AK592" i="1"/>
  <c r="AJ592" i="1"/>
  <c r="CY151" i="1"/>
  <c r="CW151" i="1"/>
  <c r="CT151" i="1"/>
  <c r="CL151" i="1"/>
  <c r="CE151" i="1"/>
  <c r="BX151" i="1"/>
  <c r="BT151" i="1"/>
  <c r="BB151" i="1"/>
  <c r="AK151" i="1"/>
  <c r="AJ151" i="1"/>
  <c r="CY755" i="1"/>
  <c r="CW755" i="1"/>
  <c r="CT755" i="1"/>
  <c r="BT755" i="1"/>
  <c r="BB755" i="1"/>
  <c r="AK755" i="1"/>
  <c r="AJ755" i="1"/>
  <c r="CY468" i="1"/>
  <c r="CW468" i="1"/>
  <c r="CT468" i="1"/>
  <c r="BT468" i="1"/>
  <c r="CY139" i="1"/>
  <c r="CW139" i="1"/>
  <c r="CT139" i="1"/>
  <c r="CL139" i="1"/>
  <c r="CE139" i="1"/>
  <c r="BX139" i="1"/>
  <c r="BT139" i="1"/>
  <c r="BB139" i="1"/>
  <c r="AK139" i="1"/>
  <c r="AJ139" i="1"/>
  <c r="CY697" i="1"/>
  <c r="CW697" i="1"/>
  <c r="CT697" i="1"/>
  <c r="BT697" i="1"/>
  <c r="BB697" i="1"/>
  <c r="AK697" i="1"/>
  <c r="AJ697" i="1"/>
  <c r="CY741" i="1"/>
  <c r="CW741" i="1"/>
  <c r="CT741" i="1"/>
  <c r="BT741" i="1"/>
  <c r="BB741" i="1"/>
  <c r="AK741" i="1"/>
  <c r="AJ741" i="1"/>
  <c r="CY298" i="1"/>
  <c r="CW298" i="1"/>
  <c r="CT298" i="1"/>
  <c r="CL298" i="1"/>
  <c r="CE298" i="1"/>
  <c r="BX298" i="1"/>
  <c r="BT298" i="1"/>
  <c r="BB298" i="1"/>
  <c r="AK298" i="1"/>
  <c r="AJ298" i="1"/>
  <c r="CY153" i="1"/>
  <c r="CW153" i="1"/>
  <c r="CT153" i="1"/>
  <c r="CL153" i="1"/>
  <c r="CE153" i="1"/>
  <c r="CB153" i="1"/>
  <c r="BX153" i="1"/>
  <c r="BT153" i="1"/>
  <c r="BB153" i="1"/>
  <c r="AK153" i="1"/>
  <c r="AJ153" i="1"/>
  <c r="CY467" i="1"/>
  <c r="CW467" i="1"/>
  <c r="CT467" i="1"/>
  <c r="BT467" i="1"/>
  <c r="BB467" i="1"/>
  <c r="CY795" i="1"/>
  <c r="CW795" i="1"/>
  <c r="CT795" i="1"/>
  <c r="BT795" i="1"/>
  <c r="BB795" i="1"/>
  <c r="AK795" i="1"/>
  <c r="AJ795" i="1"/>
  <c r="CY466" i="1"/>
  <c r="CW466" i="1"/>
  <c r="CT466" i="1"/>
  <c r="BT466" i="1"/>
  <c r="BB466" i="1"/>
  <c r="CY192" i="1"/>
  <c r="CW192" i="1"/>
  <c r="CT192" i="1"/>
  <c r="CL192" i="1"/>
  <c r="CE192" i="1"/>
  <c r="CB192" i="1"/>
  <c r="BX192" i="1"/>
  <c r="BT192" i="1"/>
  <c r="BB192" i="1"/>
  <c r="AK192" i="1"/>
  <c r="AJ192" i="1"/>
  <c r="CY611" i="1"/>
  <c r="CW611" i="1"/>
  <c r="CT611" i="1"/>
  <c r="BT611" i="1"/>
  <c r="BB611" i="1"/>
  <c r="AK611" i="1"/>
  <c r="AJ611" i="1"/>
  <c r="CY103" i="1"/>
  <c r="CW103" i="1"/>
  <c r="CT103" i="1"/>
  <c r="BT103" i="1"/>
  <c r="BB103" i="1"/>
  <c r="AK103" i="1"/>
  <c r="AJ103" i="1"/>
  <c r="CY696" i="1"/>
  <c r="CW696" i="1"/>
  <c r="CT696" i="1"/>
  <c r="BT696" i="1"/>
  <c r="BB696" i="1"/>
  <c r="AK696" i="1"/>
  <c r="AJ696" i="1"/>
  <c r="CY465" i="1"/>
  <c r="CW465" i="1"/>
  <c r="CT465" i="1"/>
  <c r="BT465" i="1"/>
  <c r="BB465" i="1"/>
  <c r="CY464" i="1"/>
  <c r="CY13" i="1"/>
  <c r="CW13" i="1"/>
  <c r="CT13" i="1"/>
  <c r="BT13" i="1"/>
  <c r="BB13" i="1"/>
  <c r="AK13" i="1"/>
  <c r="AJ13" i="1"/>
  <c r="CY341" i="1"/>
  <c r="CW341" i="1"/>
  <c r="CT341" i="1"/>
  <c r="CL341" i="1"/>
  <c r="CE341" i="1"/>
  <c r="BX341" i="1"/>
  <c r="BT341" i="1"/>
  <c r="BB341" i="1"/>
  <c r="AK341" i="1"/>
  <c r="AJ341" i="1"/>
  <c r="CY181" i="1"/>
  <c r="CW181" i="1"/>
  <c r="CT181" i="1"/>
  <c r="CL181" i="1"/>
  <c r="CE181" i="1"/>
  <c r="BX181" i="1"/>
  <c r="BT181" i="1"/>
  <c r="BB181" i="1"/>
  <c r="AK181" i="1"/>
  <c r="AJ181" i="1"/>
  <c r="CY259" i="1"/>
  <c r="CW259" i="1"/>
  <c r="CT259" i="1"/>
  <c r="CL259" i="1"/>
  <c r="CE259" i="1"/>
  <c r="BX259" i="1"/>
  <c r="BT259" i="1"/>
  <c r="BB259" i="1"/>
  <c r="AK259" i="1"/>
  <c r="AJ259" i="1"/>
  <c r="CY463" i="1"/>
  <c r="CW463" i="1"/>
  <c r="CY342" i="1"/>
  <c r="CW342" i="1"/>
  <c r="CT342" i="1"/>
  <c r="CL342" i="1"/>
  <c r="CE342" i="1"/>
  <c r="BX342" i="1"/>
  <c r="BT342" i="1"/>
  <c r="BB342" i="1"/>
  <c r="AK342" i="1"/>
  <c r="AJ342" i="1"/>
  <c r="CY462" i="1"/>
  <c r="CW462" i="1"/>
  <c r="BT462" i="1"/>
  <c r="CY679" i="1"/>
  <c r="CW679" i="1"/>
  <c r="CT679" i="1"/>
  <c r="BT679" i="1"/>
  <c r="BB679" i="1"/>
  <c r="AK679" i="1"/>
  <c r="AJ679" i="1"/>
  <c r="CY356" i="1"/>
  <c r="CW356" i="1"/>
  <c r="CT356" i="1"/>
  <c r="CL356" i="1"/>
  <c r="CE356" i="1"/>
  <c r="BX356" i="1"/>
  <c r="BT356" i="1"/>
  <c r="BB356" i="1"/>
  <c r="AK356" i="1"/>
  <c r="AJ356" i="1"/>
  <c r="CY137" i="1"/>
  <c r="CW137" i="1"/>
  <c r="CT137" i="1"/>
  <c r="CL137" i="1"/>
  <c r="CE137" i="1"/>
  <c r="CB137" i="1"/>
  <c r="BX137" i="1"/>
  <c r="BT137" i="1"/>
  <c r="BB137" i="1"/>
  <c r="AK137" i="1"/>
  <c r="AJ137" i="1"/>
  <c r="CY461" i="1"/>
  <c r="CW461" i="1"/>
  <c r="CT461" i="1"/>
  <c r="BT461" i="1"/>
  <c r="BB461" i="1"/>
  <c r="CY750" i="1"/>
  <c r="CW750" i="1"/>
  <c r="CT750" i="1"/>
  <c r="BT750" i="1"/>
  <c r="BB750" i="1"/>
  <c r="AK750" i="1"/>
  <c r="AJ750" i="1"/>
  <c r="CY572" i="1"/>
  <c r="CW572" i="1"/>
  <c r="CT572" i="1"/>
  <c r="BT572" i="1"/>
  <c r="BB572" i="1"/>
  <c r="AK572" i="1"/>
  <c r="AJ572" i="1"/>
  <c r="CY544" i="1"/>
  <c r="CW544" i="1"/>
  <c r="CT544" i="1"/>
  <c r="BT544" i="1"/>
  <c r="BB544" i="1"/>
  <c r="AK544" i="1"/>
  <c r="AJ544" i="1"/>
  <c r="CY460" i="1"/>
  <c r="CW460" i="1"/>
  <c r="CT460" i="1"/>
  <c r="BT460" i="1"/>
  <c r="CY459" i="1"/>
  <c r="CY458" i="1"/>
  <c r="CW458" i="1"/>
  <c r="BT458" i="1"/>
  <c r="CY457" i="1"/>
  <c r="CW457" i="1"/>
  <c r="CT457" i="1"/>
  <c r="BT457" i="1"/>
  <c r="CY573" i="1"/>
  <c r="CW573" i="1"/>
  <c r="CT573" i="1"/>
  <c r="BT573" i="1"/>
  <c r="BB573" i="1"/>
  <c r="AK573" i="1"/>
  <c r="AJ573" i="1"/>
  <c r="CY630" i="1"/>
  <c r="CW630" i="1"/>
  <c r="CT630" i="1"/>
  <c r="BT630" i="1"/>
  <c r="BB630" i="1"/>
  <c r="AK630" i="1"/>
  <c r="AJ630" i="1"/>
  <c r="CY152" i="1"/>
  <c r="CW152" i="1"/>
  <c r="CT152" i="1"/>
  <c r="CL152" i="1"/>
  <c r="CE152" i="1"/>
  <c r="BX152" i="1"/>
  <c r="BT152" i="1"/>
  <c r="BB152" i="1"/>
  <c r="AK152" i="1"/>
  <c r="AJ152" i="1"/>
  <c r="CY375" i="1"/>
  <c r="CW375" i="1"/>
  <c r="CT375" i="1"/>
  <c r="CL375" i="1"/>
  <c r="CE375" i="1"/>
  <c r="BT375" i="1"/>
  <c r="BB375" i="1"/>
  <c r="AK375" i="1"/>
  <c r="AJ375" i="1"/>
  <c r="CY785" i="1"/>
  <c r="CW785" i="1"/>
  <c r="CT785" i="1"/>
  <c r="BT785" i="1"/>
  <c r="BB785" i="1"/>
  <c r="AK785" i="1"/>
  <c r="AJ785" i="1"/>
  <c r="CY674" i="1"/>
  <c r="CW674" i="1"/>
  <c r="CT674" i="1"/>
  <c r="BT674" i="1"/>
  <c r="BB674" i="1"/>
  <c r="AK674" i="1"/>
  <c r="AJ674" i="1"/>
  <c r="CY456" i="1"/>
  <c r="CW456" i="1"/>
  <c r="BT456" i="1"/>
  <c r="BB456" i="1"/>
  <c r="CY585" i="1"/>
  <c r="CW585" i="1"/>
  <c r="CT585" i="1"/>
  <c r="BT585" i="1"/>
  <c r="BB585" i="1"/>
  <c r="AK585" i="1"/>
  <c r="AJ585" i="1"/>
  <c r="CY548" i="1"/>
  <c r="CW548" i="1"/>
  <c r="CT548" i="1"/>
  <c r="BT548" i="1"/>
  <c r="BB548" i="1"/>
  <c r="AK548" i="1"/>
  <c r="AJ548" i="1"/>
  <c r="CY641" i="1"/>
  <c r="CW641" i="1"/>
  <c r="BT641" i="1"/>
  <c r="BB641" i="1"/>
  <c r="AK641" i="1"/>
  <c r="AJ641" i="1"/>
  <c r="CY546" i="1"/>
  <c r="CW546" i="1"/>
  <c r="CT546" i="1"/>
  <c r="BT546" i="1"/>
  <c r="BB546" i="1"/>
  <c r="AK546" i="1"/>
  <c r="AJ546" i="1"/>
  <c r="CY639" i="1"/>
  <c r="CW639" i="1"/>
  <c r="CT639" i="1"/>
  <c r="BT639" i="1"/>
  <c r="BB639" i="1"/>
  <c r="AK639" i="1"/>
  <c r="AJ639" i="1"/>
  <c r="CY455" i="1"/>
  <c r="CW455" i="1"/>
  <c r="CT455" i="1"/>
  <c r="BT455" i="1"/>
  <c r="BB455" i="1"/>
  <c r="CY683" i="1"/>
  <c r="CW683" i="1"/>
  <c r="CT683" i="1"/>
  <c r="BT683" i="1"/>
  <c r="BB683" i="1"/>
  <c r="AK683" i="1"/>
  <c r="AJ683" i="1"/>
  <c r="CY454" i="1"/>
  <c r="BB454" i="1"/>
  <c r="CY555" i="1"/>
  <c r="CW555" i="1"/>
  <c r="CT555" i="1"/>
  <c r="BT555" i="1"/>
  <c r="BB555" i="1"/>
  <c r="AK555" i="1"/>
  <c r="AJ555" i="1"/>
  <c r="CY347" i="1"/>
  <c r="CW347" i="1"/>
  <c r="CT347" i="1"/>
  <c r="CL347" i="1"/>
  <c r="CE347" i="1"/>
  <c r="BX347" i="1"/>
  <c r="BT347" i="1"/>
  <c r="BB347" i="1"/>
  <c r="AK347" i="1"/>
  <c r="AJ347" i="1"/>
  <c r="CY695" i="1"/>
  <c r="CW695" i="1"/>
  <c r="CT695" i="1"/>
  <c r="BT695" i="1"/>
  <c r="BB695" i="1"/>
  <c r="AK695" i="1"/>
  <c r="AJ695" i="1"/>
  <c r="CY583" i="1"/>
  <c r="CW583" i="1"/>
  <c r="CT583" i="1"/>
  <c r="BT583" i="1"/>
  <c r="BB583" i="1"/>
  <c r="AK583" i="1"/>
  <c r="AJ583" i="1"/>
  <c r="CY650" i="1"/>
  <c r="CW650" i="1"/>
  <c r="CT650" i="1"/>
  <c r="CL650" i="1"/>
  <c r="CE650" i="1"/>
  <c r="BX650" i="1"/>
  <c r="BT650" i="1"/>
  <c r="BB650" i="1"/>
  <c r="AK650" i="1"/>
  <c r="AJ650" i="1"/>
  <c r="CY352" i="1"/>
  <c r="CW352" i="1"/>
  <c r="CT352" i="1"/>
  <c r="CL352" i="1"/>
  <c r="CE352" i="1"/>
  <c r="BX352" i="1"/>
  <c r="BT352" i="1"/>
  <c r="BB352" i="1"/>
  <c r="AK352" i="1"/>
  <c r="AJ352" i="1"/>
  <c r="CY453" i="1"/>
  <c r="CW453" i="1"/>
  <c r="BT453" i="1"/>
  <c r="BB453" i="1"/>
  <c r="CY568" i="1"/>
  <c r="CW568" i="1"/>
  <c r="CT568" i="1"/>
  <c r="BT568" i="1"/>
  <c r="BB568" i="1"/>
  <c r="AK568" i="1"/>
  <c r="AJ568" i="1"/>
  <c r="CY245" i="1"/>
  <c r="CW245" i="1"/>
  <c r="CT245" i="1"/>
  <c r="CL245" i="1"/>
  <c r="CE245" i="1"/>
  <c r="BX245" i="1"/>
  <c r="BT245" i="1"/>
  <c r="BB245" i="1"/>
  <c r="AK245" i="1"/>
  <c r="AJ245" i="1"/>
  <c r="CY774" i="1"/>
  <c r="CW774" i="1"/>
  <c r="CT774" i="1"/>
  <c r="BT774" i="1"/>
  <c r="BB774" i="1"/>
  <c r="AK774" i="1"/>
  <c r="AJ774" i="1"/>
  <c r="CY835" i="1"/>
  <c r="CW835" i="1"/>
  <c r="CT835" i="1"/>
  <c r="BT835" i="1"/>
  <c r="BB835" i="1"/>
  <c r="AK835" i="1"/>
  <c r="AJ835" i="1"/>
  <c r="CY786" i="1"/>
  <c r="CW786" i="1"/>
  <c r="BT786" i="1"/>
  <c r="BB786" i="1"/>
  <c r="AK786" i="1"/>
  <c r="AJ786" i="1"/>
  <c r="CY812" i="1"/>
  <c r="CW812" i="1"/>
  <c r="CT812" i="1"/>
  <c r="BT812" i="1"/>
  <c r="BB812" i="1"/>
  <c r="AK812" i="1"/>
  <c r="AJ812" i="1"/>
  <c r="CY713" i="1"/>
  <c r="CW713" i="1"/>
  <c r="CT713" i="1"/>
  <c r="BT713" i="1"/>
  <c r="BB713" i="1"/>
  <c r="AK713" i="1"/>
  <c r="AJ713" i="1"/>
  <c r="CY705" i="1"/>
  <c r="CW705" i="1"/>
  <c r="CT705" i="1"/>
  <c r="BT705" i="1"/>
  <c r="BB705" i="1"/>
  <c r="AK705" i="1"/>
  <c r="AJ705" i="1"/>
  <c r="CY185" i="1"/>
  <c r="CW185" i="1"/>
  <c r="CT185" i="1"/>
  <c r="CL185" i="1"/>
  <c r="CE185" i="1"/>
  <c r="CB185" i="1"/>
  <c r="BX185" i="1"/>
  <c r="BT185" i="1"/>
  <c r="BB185" i="1"/>
  <c r="AK185" i="1"/>
  <c r="AJ185" i="1"/>
  <c r="CY619" i="1"/>
  <c r="CW619" i="1"/>
  <c r="CT619" i="1"/>
  <c r="BT619" i="1"/>
  <c r="BB619" i="1"/>
  <c r="AK619" i="1"/>
  <c r="AJ619" i="1"/>
  <c r="CY177" i="1"/>
  <c r="CW177" i="1"/>
  <c r="CT177" i="1"/>
  <c r="CL177" i="1"/>
  <c r="CE177" i="1"/>
  <c r="BT177" i="1"/>
  <c r="BB177" i="1"/>
  <c r="AK177" i="1"/>
  <c r="AJ177" i="1"/>
  <c r="CY154" i="1"/>
  <c r="CW154" i="1"/>
  <c r="CT154" i="1"/>
  <c r="CL154" i="1"/>
  <c r="CE154" i="1"/>
  <c r="BX154" i="1"/>
  <c r="BT154" i="1"/>
  <c r="BB154" i="1"/>
  <c r="AK154" i="1"/>
  <c r="AJ154" i="1"/>
  <c r="CY626" i="1"/>
  <c r="CW626" i="1"/>
  <c r="CT626" i="1"/>
  <c r="BT626" i="1"/>
  <c r="BB626" i="1"/>
  <c r="AK626" i="1"/>
  <c r="AJ626" i="1"/>
  <c r="CY721" i="1"/>
  <c r="CW721" i="1"/>
  <c r="CT721" i="1"/>
  <c r="BT721" i="1"/>
  <c r="BB721" i="1"/>
  <c r="AK721" i="1"/>
  <c r="AJ721" i="1"/>
  <c r="CY551" i="1"/>
  <c r="CW551" i="1"/>
  <c r="CT551" i="1"/>
  <c r="BT551" i="1"/>
  <c r="BB551" i="1"/>
  <c r="AK551" i="1"/>
  <c r="AJ551" i="1"/>
  <c r="CY141" i="1"/>
  <c r="CW141" i="1"/>
  <c r="CT141" i="1"/>
  <c r="CL141" i="1"/>
  <c r="CE141" i="1"/>
  <c r="CC141" i="1"/>
  <c r="CB141" i="1"/>
  <c r="BX141" i="1"/>
  <c r="BT141" i="1"/>
  <c r="BB141" i="1"/>
  <c r="AK141" i="1"/>
  <c r="AJ141" i="1"/>
  <c r="CY367" i="1"/>
  <c r="CW367" i="1"/>
  <c r="CT367" i="1"/>
  <c r="CL367" i="1"/>
  <c r="CE367" i="1"/>
  <c r="BX367" i="1"/>
  <c r="BT367" i="1"/>
  <c r="BB367" i="1"/>
  <c r="AK367" i="1"/>
  <c r="AJ367" i="1"/>
  <c r="CY270" i="1"/>
  <c r="CW270" i="1"/>
  <c r="CT270" i="1"/>
  <c r="CL270" i="1"/>
  <c r="CE270" i="1"/>
  <c r="BX270" i="1"/>
  <c r="BT270" i="1"/>
  <c r="BB270" i="1"/>
  <c r="AK270" i="1"/>
  <c r="AJ270" i="1"/>
  <c r="CY781" i="1"/>
  <c r="CW781" i="1"/>
  <c r="CT781" i="1"/>
  <c r="BT781" i="1"/>
  <c r="BB781" i="1"/>
  <c r="AK781" i="1"/>
  <c r="AJ781" i="1"/>
  <c r="CY122" i="1"/>
  <c r="CW122" i="1"/>
  <c r="CT122" i="1"/>
  <c r="CL122" i="1"/>
  <c r="CE122" i="1"/>
  <c r="BX122" i="1"/>
  <c r="BT122" i="1"/>
  <c r="BB122" i="1"/>
  <c r="AK122" i="1"/>
  <c r="AJ122" i="1"/>
  <c r="CY452" i="1"/>
  <c r="CW452" i="1"/>
  <c r="BT452" i="1"/>
  <c r="BB452" i="1"/>
  <c r="CY145" i="1"/>
  <c r="CW145" i="1"/>
  <c r="CT145" i="1"/>
  <c r="CL145" i="1"/>
  <c r="CE145" i="1"/>
  <c r="CC145" i="1"/>
  <c r="CB145" i="1"/>
  <c r="BX145" i="1"/>
  <c r="BT145" i="1"/>
  <c r="BB145" i="1"/>
  <c r="AK145" i="1"/>
  <c r="AJ145" i="1"/>
  <c r="CY834" i="1"/>
  <c r="CW834" i="1"/>
  <c r="CT834" i="1"/>
  <c r="BT834" i="1"/>
  <c r="BB834" i="1"/>
  <c r="AK834" i="1"/>
  <c r="AJ834" i="1"/>
  <c r="CY608" i="1"/>
  <c r="CW608" i="1"/>
  <c r="CT608" i="1"/>
  <c r="BT608" i="1"/>
  <c r="BB608" i="1"/>
  <c r="AK608" i="1"/>
  <c r="AJ608" i="1"/>
  <c r="CY788" i="1"/>
  <c r="CW788" i="1"/>
  <c r="CT788" i="1"/>
  <c r="BT788" i="1"/>
  <c r="BB788" i="1"/>
  <c r="AK788" i="1"/>
  <c r="AJ788" i="1"/>
  <c r="DI159" i="1"/>
  <c r="CY159" i="1"/>
  <c r="CW159" i="1"/>
  <c r="CT159" i="1"/>
  <c r="CL159" i="1"/>
  <c r="CE159" i="1"/>
  <c r="CB159" i="1"/>
  <c r="BX159" i="1"/>
  <c r="BT159" i="1"/>
  <c r="BB159" i="1"/>
  <c r="AK159" i="1"/>
  <c r="AJ159" i="1"/>
  <c r="CY522" i="1"/>
  <c r="CW522" i="1"/>
  <c r="CT522" i="1"/>
  <c r="BT522" i="1"/>
  <c r="BB522" i="1"/>
  <c r="AK522" i="1"/>
  <c r="AJ522" i="1"/>
  <c r="CY698" i="1"/>
  <c r="CW698" i="1"/>
  <c r="CT698" i="1"/>
  <c r="BT698" i="1"/>
  <c r="BB698" i="1"/>
  <c r="AK698" i="1"/>
  <c r="AJ698" i="1"/>
  <c r="CY646" i="1"/>
  <c r="CW646" i="1"/>
  <c r="CT646" i="1"/>
  <c r="BT646" i="1"/>
  <c r="BB646" i="1"/>
  <c r="AK646" i="1"/>
  <c r="AJ646" i="1"/>
  <c r="CY451" i="1"/>
  <c r="CW451" i="1"/>
  <c r="CT451" i="1"/>
  <c r="BT451" i="1"/>
  <c r="BB451" i="1"/>
  <c r="CY142" i="1"/>
  <c r="CW142" i="1"/>
  <c r="CT142" i="1"/>
  <c r="CL142" i="1"/>
  <c r="CE142" i="1"/>
  <c r="CC142" i="1"/>
  <c r="CB142" i="1"/>
  <c r="BX142" i="1"/>
  <c r="BT142" i="1"/>
  <c r="BB142" i="1"/>
  <c r="AK142" i="1"/>
  <c r="AJ142" i="1"/>
  <c r="CY182" i="1"/>
  <c r="CW182" i="1"/>
  <c r="CT182" i="1"/>
  <c r="CL182" i="1"/>
  <c r="CE182" i="1"/>
  <c r="BX182" i="1"/>
  <c r="BT182" i="1"/>
  <c r="BB182" i="1"/>
  <c r="AK182" i="1"/>
  <c r="AJ182" i="1"/>
  <c r="CY538" i="1"/>
  <c r="CW538" i="1"/>
  <c r="CT538" i="1"/>
  <c r="BT538" i="1"/>
  <c r="BB538" i="1"/>
  <c r="AK538" i="1"/>
  <c r="AJ538" i="1"/>
  <c r="CY97" i="1"/>
  <c r="CW97" i="1"/>
  <c r="CT97" i="1"/>
  <c r="BT97" i="1"/>
  <c r="BB97" i="1"/>
  <c r="AK97" i="1"/>
  <c r="AJ97" i="1"/>
  <c r="CY766" i="1"/>
  <c r="CW766" i="1"/>
  <c r="CT766" i="1"/>
  <c r="BT766" i="1"/>
  <c r="BB766" i="1"/>
  <c r="AK766" i="1"/>
  <c r="AJ766" i="1"/>
  <c r="CY610" i="1"/>
  <c r="CW610" i="1"/>
  <c r="BT610" i="1"/>
  <c r="BB610" i="1"/>
  <c r="AK610" i="1"/>
  <c r="AJ610" i="1"/>
  <c r="CY638" i="1"/>
  <c r="CW638" i="1"/>
  <c r="CT638" i="1"/>
  <c r="BT638" i="1"/>
  <c r="BB638" i="1"/>
  <c r="AK638" i="1"/>
  <c r="AJ638" i="1"/>
  <c r="CY634" i="1"/>
  <c r="CW634" i="1"/>
  <c r="CT634" i="1"/>
  <c r="BT634" i="1"/>
  <c r="BB634" i="1"/>
  <c r="AK634" i="1"/>
  <c r="AJ634" i="1"/>
  <c r="CY554" i="1"/>
  <c r="CW554" i="1"/>
  <c r="CT554" i="1"/>
  <c r="BT554" i="1"/>
  <c r="BB554" i="1"/>
  <c r="AK554" i="1"/>
  <c r="AJ554" i="1"/>
  <c r="CY627" i="1"/>
  <c r="CW627" i="1"/>
  <c r="CT627" i="1"/>
  <c r="BT627" i="1"/>
  <c r="BB627" i="1"/>
  <c r="AK627" i="1"/>
  <c r="AJ627" i="1"/>
  <c r="CY382" i="1"/>
  <c r="CW382" i="1"/>
  <c r="CT382" i="1"/>
  <c r="CL382" i="1"/>
  <c r="CE382" i="1"/>
  <c r="BX382" i="1"/>
  <c r="BT382" i="1"/>
  <c r="BB382" i="1"/>
  <c r="AK382" i="1"/>
  <c r="AJ382" i="1"/>
  <c r="CY372" i="1"/>
  <c r="CW372" i="1"/>
  <c r="CT372" i="1"/>
  <c r="CL372" i="1"/>
  <c r="CE372" i="1"/>
  <c r="CB372" i="1"/>
  <c r="BX372" i="1"/>
  <c r="BT372" i="1"/>
  <c r="BB372" i="1"/>
  <c r="AK372" i="1"/>
  <c r="AJ372" i="1"/>
  <c r="CY549" i="1"/>
  <c r="CW549" i="1"/>
  <c r="CT549" i="1"/>
  <c r="BT549" i="1"/>
  <c r="BB549" i="1"/>
  <c r="AK549" i="1"/>
  <c r="AJ549" i="1"/>
  <c r="CY635" i="1"/>
  <c r="CW635" i="1"/>
  <c r="CT635" i="1"/>
  <c r="BT635" i="1"/>
  <c r="BB635" i="1"/>
  <c r="AK635" i="1"/>
  <c r="AJ635" i="1"/>
  <c r="CY126" i="1"/>
  <c r="CW126" i="1"/>
  <c r="CT126" i="1"/>
  <c r="CL126" i="1"/>
  <c r="CE126" i="1"/>
  <c r="BX126" i="1"/>
  <c r="BT126" i="1"/>
  <c r="BB126" i="1"/>
  <c r="AK126" i="1"/>
  <c r="AJ126" i="1"/>
  <c r="CY689" i="1"/>
  <c r="CW689" i="1"/>
  <c r="CT689" i="1"/>
  <c r="BT689" i="1"/>
  <c r="BB689" i="1"/>
  <c r="AK689" i="1"/>
  <c r="AJ689" i="1"/>
  <c r="CY842" i="1"/>
  <c r="CW842" i="1"/>
  <c r="CT842" i="1"/>
  <c r="BT842" i="1"/>
  <c r="BB842" i="1"/>
  <c r="AK842" i="1"/>
  <c r="AJ842" i="1"/>
  <c r="CY9" i="1"/>
  <c r="CW9" i="1"/>
  <c r="CT9" i="1"/>
  <c r="BT9" i="1"/>
  <c r="BB9" i="1"/>
  <c r="AK9" i="1"/>
  <c r="AJ9" i="1"/>
  <c r="CY203" i="1"/>
  <c r="CW203" i="1"/>
  <c r="CT203" i="1"/>
  <c r="CL203" i="1"/>
  <c r="CE203" i="1"/>
  <c r="BX203" i="1"/>
  <c r="BT203" i="1"/>
  <c r="BB203" i="1"/>
  <c r="AK203" i="1"/>
  <c r="AJ203" i="1"/>
  <c r="CY8" i="1"/>
  <c r="CW8" i="1"/>
  <c r="CT8" i="1"/>
  <c r="BT8" i="1"/>
  <c r="BB8" i="1"/>
  <c r="AK8" i="1"/>
  <c r="AJ8" i="1"/>
  <c r="CY247" i="1"/>
  <c r="CW247" i="1"/>
  <c r="CT247" i="1"/>
  <c r="CL247" i="1"/>
  <c r="CE247" i="1"/>
  <c r="BX247" i="1"/>
  <c r="BT247" i="1"/>
  <c r="BB247" i="1"/>
  <c r="AK247" i="1"/>
  <c r="AJ247" i="1"/>
  <c r="CY640" i="1"/>
  <c r="CW640" i="1"/>
  <c r="CT640" i="1"/>
  <c r="BT640" i="1"/>
  <c r="BB640" i="1"/>
  <c r="AK640" i="1"/>
  <c r="AJ640" i="1"/>
  <c r="CY776" i="1"/>
  <c r="CW776" i="1"/>
  <c r="CT776" i="1"/>
  <c r="BT776" i="1"/>
  <c r="BB776" i="1"/>
  <c r="AK776" i="1"/>
  <c r="AJ776" i="1"/>
  <c r="CY816" i="1"/>
  <c r="CW816" i="1"/>
  <c r="CT816" i="1"/>
  <c r="BT816" i="1"/>
  <c r="BB816" i="1"/>
  <c r="AK816" i="1"/>
  <c r="AJ816" i="1"/>
  <c r="CY704" i="1"/>
  <c r="CW704" i="1"/>
  <c r="CT704" i="1"/>
  <c r="CL704" i="1"/>
  <c r="BT704" i="1"/>
  <c r="BB704" i="1"/>
  <c r="AK704" i="1"/>
  <c r="AJ704" i="1"/>
  <c r="CY614" i="1"/>
  <c r="CW614" i="1"/>
  <c r="CT614" i="1"/>
  <c r="BT614" i="1"/>
  <c r="BB614" i="1"/>
  <c r="AK614" i="1"/>
  <c r="AJ614" i="1"/>
  <c r="CY736" i="1"/>
  <c r="CW736" i="1"/>
  <c r="CT736" i="1"/>
  <c r="BT736" i="1"/>
  <c r="BB736" i="1"/>
  <c r="AK736" i="1"/>
  <c r="AJ736" i="1"/>
  <c r="CY171" i="1"/>
  <c r="CW171" i="1"/>
  <c r="CT171" i="1"/>
  <c r="CL171" i="1"/>
  <c r="CE171" i="1"/>
  <c r="CB171" i="1"/>
  <c r="BX171" i="1"/>
  <c r="BT171" i="1"/>
  <c r="BB171" i="1"/>
  <c r="AK171" i="1"/>
  <c r="AJ171" i="1"/>
  <c r="CY161" i="1"/>
  <c r="CW161" i="1"/>
  <c r="CT161" i="1"/>
  <c r="CL161" i="1"/>
  <c r="CE161" i="1"/>
  <c r="CB161" i="1"/>
  <c r="BX161" i="1"/>
  <c r="BT161" i="1"/>
  <c r="BB161" i="1"/>
  <c r="AK161" i="1"/>
  <c r="AJ161" i="1"/>
  <c r="CY837" i="1"/>
  <c r="CW837" i="1"/>
  <c r="CT837" i="1"/>
  <c r="BT837" i="1"/>
  <c r="BB837" i="1"/>
  <c r="AK837" i="1"/>
  <c r="AJ837" i="1"/>
  <c r="CY450" i="1"/>
  <c r="CW450" i="1"/>
  <c r="CY344" i="1"/>
  <c r="CW344" i="1"/>
  <c r="CT344" i="1"/>
  <c r="CL344" i="1"/>
  <c r="CE344" i="1"/>
  <c r="BX344" i="1"/>
  <c r="BT344" i="1"/>
  <c r="BB344" i="1"/>
  <c r="AK344" i="1"/>
  <c r="AJ344" i="1"/>
  <c r="CY449" i="1"/>
  <c r="CW449" i="1"/>
  <c r="BT449" i="1"/>
  <c r="BB449" i="1"/>
  <c r="CY833" i="1"/>
  <c r="CW833" i="1"/>
  <c r="CT833" i="1"/>
  <c r="CL833" i="1"/>
  <c r="CE833" i="1"/>
  <c r="BX833" i="1"/>
  <c r="BT833" i="1"/>
  <c r="BB833" i="1"/>
  <c r="AK833" i="1"/>
  <c r="AJ833" i="1"/>
  <c r="CY210" i="1"/>
  <c r="CW210" i="1"/>
  <c r="CT210" i="1"/>
  <c r="CL210" i="1"/>
  <c r="CE210" i="1"/>
  <c r="BX210" i="1"/>
  <c r="BT210" i="1"/>
  <c r="BB210" i="1"/>
  <c r="AK210" i="1"/>
  <c r="AJ210" i="1"/>
  <c r="CY633" i="1"/>
  <c r="CW633" i="1"/>
  <c r="CT633" i="1"/>
  <c r="BT633" i="1"/>
  <c r="AK633" i="1"/>
  <c r="AJ633" i="1"/>
  <c r="CY749" i="1"/>
  <c r="CW749" i="1"/>
  <c r="CT749" i="1"/>
  <c r="BT749" i="1"/>
  <c r="BB749" i="1"/>
  <c r="AK749" i="1"/>
  <c r="AJ749" i="1"/>
  <c r="CY535" i="1"/>
  <c r="CW535" i="1"/>
  <c r="CT535" i="1"/>
  <c r="BT535" i="1"/>
  <c r="BB535" i="1"/>
  <c r="AK535" i="1"/>
  <c r="AJ535" i="1"/>
  <c r="CY7" i="1"/>
  <c r="CW7" i="1"/>
  <c r="CT7" i="1"/>
  <c r="BT7" i="1"/>
  <c r="BB7" i="1"/>
  <c r="AK7" i="1"/>
  <c r="AJ7" i="1"/>
  <c r="CY682" i="1"/>
  <c r="CW682" i="1"/>
  <c r="CT682" i="1"/>
  <c r="BT682" i="1"/>
  <c r="BB682" i="1"/>
  <c r="AK682" i="1"/>
  <c r="AJ682" i="1"/>
  <c r="CY589" i="1"/>
  <c r="CW589" i="1"/>
  <c r="CT589" i="1"/>
  <c r="BT589" i="1"/>
  <c r="BB589" i="1"/>
  <c r="AK589" i="1"/>
  <c r="AJ589" i="1"/>
  <c r="CY693" i="1"/>
  <c r="CW693" i="1"/>
  <c r="CT693" i="1"/>
  <c r="BT693" i="1"/>
  <c r="BB693" i="1"/>
  <c r="AK693" i="1"/>
  <c r="AJ693" i="1"/>
  <c r="CY613" i="1"/>
  <c r="CW613" i="1"/>
  <c r="CT613" i="1"/>
  <c r="BT613" i="1"/>
  <c r="BB613" i="1"/>
  <c r="AK613" i="1"/>
  <c r="AJ613" i="1"/>
  <c r="CY448" i="1"/>
  <c r="CW448" i="1"/>
  <c r="CT448" i="1"/>
  <c r="BT448" i="1"/>
  <c r="BB448" i="1"/>
  <c r="CY285" i="1"/>
  <c r="CW285" i="1"/>
  <c r="CT285" i="1"/>
  <c r="CL285" i="1"/>
  <c r="CE285" i="1"/>
  <c r="BX285" i="1"/>
  <c r="BT285" i="1"/>
  <c r="BB285" i="1"/>
  <c r="AK285" i="1"/>
  <c r="AJ285" i="1"/>
  <c r="CY447" i="1"/>
  <c r="CW447" i="1"/>
  <c r="CT447" i="1"/>
  <c r="BT447" i="1"/>
  <c r="CY708" i="1"/>
  <c r="CW708" i="1"/>
  <c r="CT708" i="1"/>
  <c r="CL708" i="1"/>
  <c r="CE708" i="1"/>
  <c r="BX708" i="1"/>
  <c r="BT708" i="1"/>
  <c r="BB708" i="1"/>
  <c r="AK708" i="1"/>
  <c r="AJ708" i="1"/>
  <c r="CY12" i="1"/>
  <c r="CW12" i="1"/>
  <c r="CT12" i="1"/>
  <c r="BT12" i="1"/>
  <c r="BB12" i="1"/>
  <c r="AK12" i="1"/>
  <c r="AJ12" i="1"/>
  <c r="CY761" i="1"/>
  <c r="CW761" i="1"/>
  <c r="CT761" i="1"/>
  <c r="BT761" i="1"/>
  <c r="BB761" i="1"/>
  <c r="AK761" i="1"/>
  <c r="AJ761" i="1"/>
  <c r="CY845" i="1"/>
  <c r="CW845" i="1"/>
  <c r="CT845" i="1"/>
  <c r="BT845" i="1"/>
  <c r="BB845" i="1"/>
  <c r="AK845" i="1"/>
  <c r="AJ845" i="1"/>
  <c r="CY531" i="1"/>
  <c r="CW531" i="1"/>
  <c r="CT531" i="1"/>
  <c r="BT531" i="1"/>
  <c r="BB531" i="1"/>
  <c r="AK531" i="1"/>
  <c r="AJ531" i="1"/>
  <c r="CY673" i="1"/>
  <c r="CW673" i="1"/>
  <c r="CT673" i="1"/>
  <c r="BT673" i="1"/>
  <c r="BB673" i="1"/>
  <c r="AK673" i="1"/>
  <c r="AJ673" i="1"/>
  <c r="DI149" i="1"/>
  <c r="CY149" i="1"/>
  <c r="CW149" i="1"/>
  <c r="CT149" i="1"/>
  <c r="CL149" i="1"/>
  <c r="CE149" i="1"/>
  <c r="CB149" i="1"/>
  <c r="BX149" i="1"/>
  <c r="BT149" i="1"/>
  <c r="BB149" i="1"/>
  <c r="AK149" i="1"/>
  <c r="AJ149" i="1"/>
  <c r="CY445" i="1"/>
  <c r="CW445" i="1"/>
  <c r="CT445" i="1"/>
  <c r="CY268" i="1"/>
  <c r="CW268" i="1"/>
  <c r="CT268" i="1"/>
  <c r="CL268" i="1"/>
  <c r="CE268" i="1"/>
  <c r="CB268" i="1"/>
  <c r="BX268" i="1"/>
  <c r="BT268" i="1"/>
  <c r="BB268" i="1"/>
  <c r="AK268" i="1"/>
  <c r="AJ268" i="1"/>
  <c r="CY588" i="1"/>
  <c r="CW588" i="1"/>
  <c r="CT588" i="1"/>
  <c r="BT588" i="1"/>
  <c r="BB588" i="1"/>
  <c r="AK588" i="1"/>
  <c r="AJ588" i="1"/>
  <c r="CY643" i="1"/>
  <c r="CW643" i="1"/>
  <c r="CT643" i="1"/>
  <c r="BT643" i="1"/>
  <c r="BB643" i="1"/>
  <c r="AK643" i="1"/>
  <c r="AJ643" i="1"/>
  <c r="CY625" i="1"/>
  <c r="CW625" i="1"/>
  <c r="CT625" i="1"/>
  <c r="BT625" i="1"/>
  <c r="BB625" i="1"/>
  <c r="AK625" i="1"/>
  <c r="AJ625" i="1"/>
  <c r="CY642" i="1"/>
  <c r="CW642" i="1"/>
  <c r="CT642" i="1"/>
  <c r="BT642" i="1"/>
  <c r="BB642" i="1"/>
  <c r="AK642" i="1"/>
  <c r="AJ642" i="1"/>
  <c r="CY444" i="1"/>
  <c r="CW444" i="1"/>
  <c r="CT444" i="1"/>
  <c r="BT444" i="1"/>
  <c r="BB444" i="1"/>
  <c r="CY559" i="1"/>
  <c r="CW559" i="1"/>
  <c r="CT559" i="1"/>
  <c r="BT559" i="1"/>
  <c r="BB559" i="1"/>
  <c r="AK559" i="1"/>
  <c r="AJ559" i="1"/>
  <c r="CY138" i="1"/>
  <c r="CW138" i="1"/>
  <c r="CT138" i="1"/>
  <c r="CL138" i="1"/>
  <c r="CB138" i="1"/>
  <c r="BX138" i="1"/>
  <c r="BT138" i="1"/>
  <c r="BB138" i="1"/>
  <c r="AK138" i="1"/>
  <c r="AJ138" i="1"/>
  <c r="CY383" i="1"/>
  <c r="CW383" i="1"/>
  <c r="CT383" i="1"/>
  <c r="CL383" i="1"/>
  <c r="CE383" i="1"/>
  <c r="BX383" i="1"/>
  <c r="BT383" i="1"/>
  <c r="BB383" i="1"/>
  <c r="AK383" i="1"/>
  <c r="AJ383" i="1"/>
  <c r="CY661" i="1"/>
  <c r="CW661" i="1"/>
  <c r="CT661" i="1"/>
  <c r="BT661" i="1"/>
  <c r="BB661" i="1"/>
  <c r="AK661" i="1"/>
  <c r="AJ661" i="1"/>
  <c r="CY718" i="1"/>
  <c r="CW718" i="1"/>
  <c r="CT718" i="1"/>
  <c r="BT718" i="1"/>
  <c r="BB718" i="1"/>
  <c r="AK718" i="1"/>
  <c r="AJ718" i="1"/>
  <c r="DK260" i="1"/>
  <c r="CY260" i="1"/>
  <c r="CW260" i="1"/>
  <c r="CT260" i="1"/>
  <c r="CL260" i="1"/>
  <c r="BX260" i="1"/>
  <c r="BT260" i="1"/>
  <c r="BB260" i="1"/>
  <c r="AK260" i="1"/>
  <c r="AJ260" i="1"/>
  <c r="CY565" i="1"/>
  <c r="CW565" i="1"/>
  <c r="CT565" i="1"/>
  <c r="BT565" i="1"/>
  <c r="BB565" i="1"/>
  <c r="AK565" i="1"/>
  <c r="AJ565" i="1"/>
  <c r="CY443" i="1"/>
  <c r="CW443" i="1"/>
  <c r="CT443" i="1"/>
  <c r="BT443" i="1"/>
  <c r="BB443" i="1"/>
  <c r="CY134" i="1"/>
  <c r="CW134" i="1"/>
  <c r="CT134" i="1"/>
  <c r="CL134" i="1"/>
  <c r="CE134" i="1"/>
  <c r="CB134" i="1"/>
  <c r="BX134" i="1"/>
  <c r="BT134" i="1"/>
  <c r="BB134" i="1"/>
  <c r="AK134" i="1"/>
  <c r="AJ134" i="1"/>
  <c r="CY23" i="1"/>
  <c r="CW23" i="1"/>
  <c r="CT23" i="1"/>
  <c r="BT23" i="1"/>
  <c r="BB23" i="1"/>
  <c r="AK23" i="1"/>
  <c r="AJ23" i="1"/>
  <c r="CY374" i="1"/>
  <c r="CW374" i="1"/>
  <c r="CT374" i="1"/>
  <c r="BT374" i="1"/>
  <c r="BB374" i="1"/>
  <c r="AK374" i="1"/>
  <c r="AJ374" i="1"/>
  <c r="CY345" i="1"/>
  <c r="CW345" i="1"/>
  <c r="CT345" i="1"/>
  <c r="CL345" i="1"/>
  <c r="CE345" i="1"/>
  <c r="BX345" i="1"/>
  <c r="BT345" i="1"/>
  <c r="BB345" i="1"/>
  <c r="AK345" i="1"/>
  <c r="AJ345" i="1"/>
  <c r="CY839" i="1"/>
  <c r="CW839" i="1"/>
  <c r="CT839" i="1"/>
  <c r="BT839" i="1"/>
  <c r="BB839" i="1"/>
  <c r="AK839" i="1"/>
  <c r="AJ839" i="1"/>
  <c r="CY371" i="1"/>
  <c r="CW371" i="1"/>
  <c r="CT371" i="1"/>
  <c r="BT371" i="1"/>
  <c r="BB371" i="1"/>
  <c r="AK371" i="1"/>
  <c r="AJ371" i="1"/>
  <c r="CY442" i="1"/>
  <c r="CW442" i="1"/>
  <c r="CY178" i="1"/>
  <c r="CW178" i="1"/>
  <c r="CT178" i="1"/>
  <c r="CL178" i="1"/>
  <c r="CE178" i="1"/>
  <c r="BX178" i="1"/>
  <c r="BT178" i="1"/>
  <c r="BB178" i="1"/>
  <c r="AK178" i="1"/>
  <c r="AJ178" i="1"/>
  <c r="CY249" i="1"/>
  <c r="CW249" i="1"/>
  <c r="CT249" i="1"/>
  <c r="CL249" i="1"/>
  <c r="CE249" i="1"/>
  <c r="BX249" i="1"/>
  <c r="BT249" i="1"/>
  <c r="BB249" i="1"/>
  <c r="AK249" i="1"/>
  <c r="AJ249" i="1"/>
  <c r="CY441" i="1"/>
  <c r="CY784" i="1"/>
  <c r="CW784" i="1"/>
  <c r="CT784" i="1"/>
  <c r="BT784" i="1"/>
  <c r="BB784" i="1"/>
  <c r="AK784" i="1"/>
  <c r="AJ784" i="1"/>
  <c r="CY440" i="1"/>
  <c r="CW440" i="1"/>
  <c r="BT440" i="1"/>
  <c r="CY439" i="1"/>
  <c r="BT439" i="1"/>
  <c r="BB439" i="1"/>
  <c r="CY10" i="1"/>
  <c r="CW10" i="1"/>
  <c r="CT10" i="1"/>
  <c r="BT10" i="1"/>
  <c r="BB10" i="1"/>
  <c r="AK10" i="1"/>
  <c r="AJ10" i="1"/>
  <c r="CY667" i="1"/>
  <c r="CW667" i="1"/>
  <c r="CT667" i="1"/>
  <c r="BT667" i="1"/>
  <c r="BB667" i="1"/>
  <c r="AK667" i="1"/>
  <c r="AJ667" i="1"/>
  <c r="CY363" i="1"/>
  <c r="CW363" i="1"/>
  <c r="CT363" i="1"/>
  <c r="CL363" i="1"/>
  <c r="CE363" i="1"/>
  <c r="BX363" i="1"/>
  <c r="BT363" i="1"/>
  <c r="BB363" i="1"/>
  <c r="AK363" i="1"/>
  <c r="AJ363" i="1"/>
  <c r="CY526" i="1"/>
  <c r="CW526" i="1"/>
  <c r="CT526" i="1"/>
  <c r="BT526" i="1"/>
  <c r="BB526" i="1"/>
  <c r="AK526" i="1"/>
  <c r="AJ526" i="1"/>
  <c r="CY663" i="1"/>
  <c r="CW663" i="1"/>
  <c r="CT663" i="1"/>
  <c r="BT663" i="1"/>
  <c r="BB663" i="1"/>
  <c r="AK663" i="1"/>
  <c r="AJ663" i="1"/>
  <c r="CY740" i="1"/>
  <c r="CW740" i="1"/>
  <c r="CT740" i="1"/>
  <c r="BT740" i="1"/>
  <c r="BB740" i="1"/>
  <c r="AK740" i="1"/>
  <c r="AJ740" i="1"/>
  <c r="CY808" i="1"/>
  <c r="CW808" i="1"/>
  <c r="CT808" i="1"/>
  <c r="BT808" i="1"/>
  <c r="BB808" i="1"/>
  <c r="AK808" i="1"/>
  <c r="AJ808" i="1"/>
  <c r="CY438" i="1"/>
  <c r="CY437" i="1"/>
  <c r="CW437" i="1"/>
  <c r="CY779" i="1"/>
  <c r="CW779" i="1"/>
  <c r="CT779" i="1"/>
  <c r="BT779" i="1"/>
  <c r="BB779" i="1"/>
  <c r="AK779" i="1"/>
  <c r="AJ779" i="1"/>
  <c r="CY436" i="1"/>
  <c r="CW436" i="1"/>
  <c r="CT436" i="1"/>
  <c r="BT436" i="1"/>
  <c r="BB436" i="1"/>
  <c r="CY435" i="1"/>
  <c r="CY202" i="1"/>
  <c r="CW202" i="1"/>
  <c r="CT202" i="1"/>
  <c r="CL202" i="1"/>
  <c r="CE202" i="1"/>
  <c r="BX202" i="1"/>
  <c r="BT202" i="1"/>
  <c r="BB202" i="1"/>
  <c r="AK202" i="1"/>
  <c r="AJ202" i="1"/>
  <c r="CY434" i="1"/>
  <c r="CW434" i="1"/>
  <c r="CT434" i="1"/>
  <c r="BT434" i="1"/>
  <c r="CY433" i="1"/>
  <c r="CW433" i="1"/>
  <c r="CT433" i="1"/>
  <c r="BT433" i="1"/>
  <c r="BB433" i="1"/>
  <c r="CY739" i="1"/>
  <c r="CW739" i="1"/>
  <c r="CT739" i="1"/>
  <c r="BT739" i="1"/>
  <c r="BB739" i="1"/>
  <c r="AK739" i="1"/>
  <c r="AJ739" i="1"/>
  <c r="CY552" i="1"/>
  <c r="CW552" i="1"/>
  <c r="CT552" i="1"/>
  <c r="BT552" i="1"/>
  <c r="BB552" i="1"/>
  <c r="AK552" i="1"/>
  <c r="AJ552" i="1"/>
  <c r="CY165" i="1"/>
  <c r="CW165" i="1"/>
  <c r="CT165" i="1"/>
  <c r="CL165" i="1"/>
  <c r="CE165" i="1"/>
  <c r="CB165" i="1"/>
  <c r="BX165" i="1"/>
  <c r="BT165" i="1"/>
  <c r="BB165" i="1"/>
  <c r="AK165" i="1"/>
  <c r="AJ165" i="1"/>
  <c r="CY432" i="1"/>
  <c r="CW432" i="1"/>
  <c r="CY431" i="1"/>
  <c r="CW431" i="1"/>
  <c r="CT431" i="1"/>
  <c r="BT431" i="1"/>
  <c r="BB431" i="1"/>
  <c r="CY534" i="1"/>
  <c r="CW534" i="1"/>
  <c r="CT534" i="1"/>
  <c r="BT534" i="1"/>
  <c r="BB534" i="1"/>
  <c r="AK534" i="1"/>
  <c r="AJ534" i="1"/>
  <c r="CY557" i="1"/>
  <c r="CW557" i="1"/>
  <c r="CT557" i="1"/>
  <c r="BT557" i="1"/>
  <c r="BB557" i="1"/>
  <c r="AK557" i="1"/>
  <c r="AJ557" i="1"/>
  <c r="CY430" i="1"/>
  <c r="CW430" i="1"/>
  <c r="CT430" i="1"/>
  <c r="BT430" i="1"/>
  <c r="BB430" i="1"/>
  <c r="CY429" i="1"/>
  <c r="CW429" i="1"/>
  <c r="BT429" i="1"/>
  <c r="BB429" i="1"/>
  <c r="CY428" i="1"/>
  <c r="CW428" i="1"/>
  <c r="CT428" i="1"/>
  <c r="CY427" i="1"/>
  <c r="CW427" i="1"/>
  <c r="CT427" i="1"/>
  <c r="BT427" i="1"/>
  <c r="BB427" i="1"/>
  <c r="CY426" i="1"/>
  <c r="CW426" i="1"/>
  <c r="DI377" i="1"/>
  <c r="CY377" i="1"/>
  <c r="CW377" i="1"/>
  <c r="CT377" i="1"/>
  <c r="BT377" i="1"/>
  <c r="BB377" i="1"/>
  <c r="AK377" i="1"/>
  <c r="AJ377" i="1"/>
  <c r="CY653" i="1"/>
  <c r="CW653" i="1"/>
  <c r="CT653" i="1"/>
  <c r="BT653" i="1"/>
  <c r="BB653" i="1"/>
  <c r="AK653" i="1"/>
  <c r="AJ653" i="1"/>
  <c r="CY562" i="1"/>
  <c r="CW562" i="1"/>
  <c r="CT562" i="1"/>
  <c r="BT562" i="1"/>
  <c r="BB562" i="1"/>
  <c r="AK562" i="1"/>
  <c r="AJ562" i="1"/>
  <c r="CY846" i="1"/>
  <c r="CW846" i="1"/>
  <c r="CT846" i="1"/>
  <c r="BT846" i="1"/>
  <c r="BB846" i="1"/>
  <c r="AK846" i="1"/>
  <c r="AJ846" i="1"/>
  <c r="CY717" i="1"/>
  <c r="CW717" i="1"/>
  <c r="CT717" i="1"/>
  <c r="BT717" i="1"/>
  <c r="BB717" i="1"/>
  <c r="AK717" i="1"/>
  <c r="AJ717" i="1"/>
  <c r="CY425" i="1"/>
  <c r="CW425" i="1"/>
  <c r="BT425" i="1"/>
  <c r="CY765" i="1"/>
  <c r="CW765" i="1"/>
  <c r="CT765" i="1"/>
  <c r="BT765" i="1"/>
  <c r="BB765" i="1"/>
  <c r="AK765" i="1"/>
  <c r="AJ765" i="1"/>
  <c r="CY806" i="1"/>
  <c r="CW806" i="1"/>
  <c r="CT806" i="1"/>
  <c r="BT806" i="1"/>
  <c r="BB806" i="1"/>
  <c r="AK806" i="1"/>
  <c r="AJ806" i="1"/>
  <c r="CY330" i="1"/>
  <c r="CW330" i="1"/>
  <c r="CT330" i="1"/>
  <c r="CL330" i="1"/>
  <c r="CE330" i="1"/>
  <c r="BX330" i="1"/>
  <c r="BT330" i="1"/>
  <c r="BB330" i="1"/>
  <c r="AK330" i="1"/>
  <c r="AJ330" i="1"/>
  <c r="CY424" i="1"/>
  <c r="CW424" i="1"/>
  <c r="CY354" i="1"/>
  <c r="CW354" i="1"/>
  <c r="CT354" i="1"/>
  <c r="CL354" i="1"/>
  <c r="CE354" i="1"/>
  <c r="BX354" i="1"/>
  <c r="BT354" i="1"/>
  <c r="BB354" i="1"/>
  <c r="AK354" i="1"/>
  <c r="AJ354" i="1"/>
  <c r="CY217" i="1"/>
  <c r="CW217" i="1"/>
  <c r="CT217" i="1"/>
  <c r="CL217" i="1"/>
  <c r="CE217" i="1"/>
  <c r="BX217" i="1"/>
  <c r="BT217" i="1"/>
  <c r="BB217" i="1"/>
  <c r="AK217" i="1"/>
  <c r="AJ217" i="1"/>
  <c r="CY423" i="1"/>
  <c r="CW423" i="1"/>
  <c r="CT423" i="1"/>
  <c r="BT423" i="1"/>
  <c r="BB423" i="1"/>
  <c r="CY671" i="1"/>
  <c r="CW671" i="1"/>
  <c r="CT671" i="1"/>
  <c r="BT671" i="1"/>
  <c r="BB671" i="1"/>
  <c r="AK671" i="1"/>
  <c r="AJ671" i="1"/>
  <c r="CY624" i="1"/>
  <c r="CW624" i="1"/>
  <c r="CT624" i="1"/>
  <c r="BT624" i="1"/>
  <c r="BB624" i="1"/>
  <c r="AK624" i="1"/>
  <c r="AJ624" i="1"/>
  <c r="CY543" i="1"/>
  <c r="CW543" i="1"/>
  <c r="CT543" i="1"/>
  <c r="BT543" i="1"/>
  <c r="BB543" i="1"/>
  <c r="AK543" i="1"/>
  <c r="AJ543" i="1"/>
  <c r="CY332" i="1"/>
  <c r="CW332" i="1"/>
  <c r="CT332" i="1"/>
  <c r="CL332" i="1"/>
  <c r="CE332" i="1"/>
  <c r="BX332" i="1"/>
  <c r="BT332" i="1"/>
  <c r="BB332" i="1"/>
  <c r="AK332" i="1"/>
  <c r="AJ332" i="1"/>
  <c r="CY687" i="1"/>
  <c r="CW687" i="1"/>
  <c r="CT687" i="1"/>
  <c r="BT687" i="1"/>
  <c r="BB687" i="1"/>
  <c r="AK687" i="1"/>
  <c r="AJ687" i="1"/>
  <c r="CY530" i="1"/>
  <c r="CW530" i="1"/>
  <c r="CT530" i="1"/>
  <c r="BT530" i="1"/>
  <c r="BB530" i="1"/>
  <c r="AK530" i="1"/>
  <c r="AJ530" i="1"/>
  <c r="CY368" i="1"/>
  <c r="CW368" i="1"/>
  <c r="CT368" i="1"/>
  <c r="CL368" i="1"/>
  <c r="BX368" i="1"/>
  <c r="BT368" i="1"/>
  <c r="BB368" i="1"/>
  <c r="AK368" i="1"/>
  <c r="AJ368" i="1"/>
  <c r="CY346" i="1"/>
  <c r="CW346" i="1"/>
  <c r="CT346" i="1"/>
  <c r="CL346" i="1"/>
  <c r="CE346" i="1"/>
  <c r="BX346" i="1"/>
  <c r="BT346" i="1"/>
  <c r="BB346" i="1"/>
  <c r="AK346" i="1"/>
  <c r="AJ346" i="1"/>
  <c r="CY113" i="1"/>
  <c r="CW113" i="1"/>
  <c r="CT113" i="1"/>
  <c r="CL113" i="1"/>
  <c r="CE113" i="1"/>
  <c r="BX113" i="1"/>
  <c r="BT113" i="1"/>
  <c r="BB113" i="1"/>
  <c r="AK113" i="1"/>
  <c r="AJ113" i="1"/>
  <c r="CY537" i="1"/>
  <c r="CW537" i="1"/>
  <c r="CT537" i="1"/>
  <c r="BT537" i="1"/>
  <c r="BB537" i="1"/>
  <c r="AK537" i="1"/>
  <c r="AJ537" i="1"/>
  <c r="CY629" i="1"/>
  <c r="CW629" i="1"/>
  <c r="CT629" i="1"/>
  <c r="CL629" i="1"/>
  <c r="CE629" i="1"/>
  <c r="BX629" i="1"/>
  <c r="BT629" i="1"/>
  <c r="BB629" i="1"/>
  <c r="AK629" i="1"/>
  <c r="AJ629" i="1"/>
  <c r="CY359" i="1"/>
  <c r="CW359" i="1"/>
  <c r="CT359" i="1"/>
  <c r="CL359" i="1"/>
  <c r="CE359" i="1"/>
  <c r="CB359" i="1"/>
  <c r="BX359" i="1"/>
  <c r="BT359" i="1"/>
  <c r="BB359" i="1"/>
  <c r="AK359" i="1"/>
  <c r="AJ359" i="1"/>
  <c r="DK313" i="1"/>
  <c r="CY313" i="1"/>
  <c r="CW313" i="1"/>
  <c r="CT313" i="1"/>
  <c r="BT313" i="1"/>
  <c r="BB313" i="1"/>
  <c r="AK313" i="1"/>
  <c r="AJ313" i="1"/>
  <c r="CY797" i="1"/>
  <c r="CW797" i="1"/>
  <c r="CT797" i="1"/>
  <c r="BT797" i="1"/>
  <c r="BB797" i="1"/>
  <c r="AK797" i="1"/>
  <c r="AJ797" i="1"/>
  <c r="CY542" i="1"/>
  <c r="CW542" i="1"/>
  <c r="CT542" i="1"/>
  <c r="BT542" i="1"/>
  <c r="BB542" i="1"/>
  <c r="AK542" i="1"/>
  <c r="AJ542" i="1"/>
  <c r="CY96" i="1"/>
  <c r="CW96" i="1"/>
  <c r="CT96" i="1"/>
  <c r="BT96" i="1"/>
  <c r="BB96" i="1"/>
  <c r="AK96" i="1"/>
  <c r="AJ96" i="1"/>
  <c r="CY597" i="1"/>
  <c r="CW597" i="1"/>
  <c r="CT597" i="1"/>
  <c r="BT597" i="1"/>
  <c r="BB597" i="1"/>
  <c r="AK597" i="1"/>
  <c r="AJ597" i="1"/>
  <c r="CY422" i="1"/>
  <c r="CW422" i="1"/>
  <c r="CT422" i="1"/>
  <c r="BT422" i="1"/>
  <c r="BB422" i="1"/>
  <c r="CY421" i="1"/>
  <c r="CW421" i="1"/>
  <c r="BB421" i="1"/>
  <c r="CY525" i="1"/>
  <c r="CW525" i="1"/>
  <c r="CT525" i="1"/>
  <c r="BT525" i="1"/>
  <c r="BB525" i="1"/>
  <c r="AK525" i="1"/>
  <c r="AJ525" i="1"/>
  <c r="CY189" i="1"/>
  <c r="CW189" i="1"/>
  <c r="CT189" i="1"/>
  <c r="CL189" i="1"/>
  <c r="CE189" i="1"/>
  <c r="BX189" i="1"/>
  <c r="BT189" i="1"/>
  <c r="BB189" i="1"/>
  <c r="AK189" i="1"/>
  <c r="AJ189" i="1"/>
  <c r="CY300" i="1"/>
  <c r="CW300" i="1"/>
  <c r="CT300" i="1"/>
  <c r="CL300" i="1"/>
  <c r="CE300" i="1"/>
  <c r="BX300" i="1"/>
  <c r="BT300" i="1"/>
  <c r="BB300" i="1"/>
  <c r="AK300" i="1"/>
  <c r="AJ300" i="1"/>
  <c r="CY420" i="1"/>
  <c r="CW420" i="1"/>
  <c r="BT420" i="1"/>
  <c r="CY692" i="1"/>
  <c r="CW692" i="1"/>
  <c r="CT692" i="1"/>
  <c r="BT692" i="1"/>
  <c r="BB692" i="1"/>
  <c r="AK692" i="1"/>
  <c r="AJ692" i="1"/>
  <c r="CY419" i="1"/>
  <c r="CW419" i="1"/>
  <c r="CT419" i="1"/>
  <c r="BT419" i="1"/>
  <c r="CY418" i="1"/>
  <c r="CW418" i="1"/>
  <c r="BT418" i="1"/>
  <c r="BB418" i="1"/>
  <c r="CY564" i="1"/>
  <c r="CW564" i="1"/>
  <c r="CT564" i="1"/>
  <c r="BT564" i="1"/>
  <c r="BB564" i="1"/>
  <c r="AK564" i="1"/>
  <c r="AJ564" i="1"/>
  <c r="CY702" i="1"/>
  <c r="CW702" i="1"/>
  <c r="CT702" i="1"/>
  <c r="BT702" i="1"/>
  <c r="BB702" i="1"/>
  <c r="AK702" i="1"/>
  <c r="AJ702" i="1"/>
  <c r="CY331" i="1"/>
  <c r="CW331" i="1"/>
  <c r="CT331" i="1"/>
  <c r="CL331" i="1"/>
  <c r="CE331" i="1"/>
  <c r="BX331" i="1"/>
  <c r="BT331" i="1"/>
  <c r="BB331" i="1"/>
  <c r="AK331" i="1"/>
  <c r="AJ331" i="1"/>
  <c r="CY297" i="1"/>
  <c r="CW297" i="1"/>
  <c r="CT297" i="1"/>
  <c r="CL297" i="1"/>
  <c r="CE297" i="1"/>
  <c r="BX297" i="1"/>
  <c r="BT297" i="1"/>
  <c r="BB297" i="1"/>
  <c r="AK297" i="1"/>
  <c r="AJ297" i="1"/>
  <c r="CY125" i="1"/>
  <c r="CW125" i="1"/>
  <c r="CT125" i="1"/>
  <c r="CL125" i="1"/>
  <c r="CE125" i="1"/>
  <c r="CC125" i="1"/>
  <c r="CB125" i="1"/>
  <c r="BX125" i="1"/>
  <c r="BT125" i="1"/>
  <c r="BB125" i="1"/>
  <c r="AK125" i="1"/>
  <c r="AJ125" i="1"/>
  <c r="CY726" i="1"/>
  <c r="CW726" i="1"/>
  <c r="CT726" i="1"/>
  <c r="BT726" i="1"/>
  <c r="BB726" i="1"/>
  <c r="AK726" i="1"/>
  <c r="AJ726" i="1"/>
  <c r="CY417" i="1"/>
  <c r="CT417" i="1"/>
  <c r="CY295" i="1"/>
  <c r="CW295" i="1"/>
  <c r="CT295" i="1"/>
  <c r="BT295" i="1"/>
  <c r="BB295" i="1"/>
  <c r="AK295" i="1"/>
  <c r="AJ295" i="1"/>
  <c r="CY416" i="1"/>
  <c r="CW416" i="1"/>
  <c r="CT416" i="1"/>
  <c r="BT416" i="1"/>
  <c r="CY415" i="1"/>
  <c r="CW415" i="1"/>
  <c r="CT415" i="1"/>
  <c r="BT415" i="1"/>
  <c r="BB415" i="1"/>
  <c r="CY414" i="1"/>
  <c r="CW414" i="1"/>
  <c r="CY550" i="1"/>
  <c r="CW550" i="1"/>
  <c r="CT550" i="1"/>
  <c r="BT550" i="1"/>
  <c r="BB550" i="1"/>
  <c r="AK550" i="1"/>
  <c r="AJ550" i="1"/>
  <c r="CY413" i="1"/>
  <c r="CW413" i="1"/>
  <c r="BT413" i="1"/>
  <c r="BB413" i="1"/>
  <c r="CY412" i="1"/>
  <c r="CY411" i="1"/>
  <c r="CW411" i="1"/>
  <c r="CT411" i="1"/>
  <c r="BT411" i="1"/>
  <c r="CY106" i="1"/>
  <c r="CW106" i="1"/>
  <c r="CT106" i="1"/>
  <c r="BT106" i="1"/>
  <c r="BB106" i="1"/>
  <c r="AK106" i="1"/>
  <c r="AJ106" i="1"/>
  <c r="CY410" i="1"/>
  <c r="CW410" i="1"/>
  <c r="CT410" i="1"/>
  <c r="CY409" i="1"/>
  <c r="CW409" i="1"/>
  <c r="CY408" i="1"/>
  <c r="CW408" i="1"/>
  <c r="CY738" i="1"/>
  <c r="CW738" i="1"/>
  <c r="CT738" i="1"/>
  <c r="BT738" i="1"/>
  <c r="BB738" i="1"/>
  <c r="AK738" i="1"/>
  <c r="AJ738" i="1"/>
  <c r="CY407" i="1"/>
  <c r="CW407" i="1"/>
  <c r="CT407" i="1"/>
  <c r="BT407" i="1"/>
  <c r="BB407" i="1"/>
  <c r="CY791" i="1"/>
  <c r="CW791" i="1"/>
  <c r="CT791" i="1"/>
  <c r="BT791" i="1"/>
  <c r="BB791" i="1"/>
  <c r="AK791" i="1"/>
  <c r="AJ791" i="1"/>
  <c r="CY748" i="1"/>
  <c r="CW748" i="1"/>
  <c r="CT748" i="1"/>
  <c r="BT748" i="1"/>
  <c r="BB748" i="1"/>
  <c r="AK748" i="1"/>
  <c r="AJ748" i="1"/>
  <c r="CY523" i="1"/>
  <c r="CW523" i="1"/>
  <c r="CT523" i="1"/>
  <c r="BT523" i="1"/>
  <c r="BB523" i="1"/>
  <c r="AK523" i="1"/>
  <c r="AJ523" i="1"/>
  <c r="CY406" i="1"/>
  <c r="CW406" i="1"/>
  <c r="CT406" i="1"/>
  <c r="BT406" i="1"/>
  <c r="BB406" i="1"/>
  <c r="CY802" i="1"/>
  <c r="CW802" i="1"/>
  <c r="CT802" i="1"/>
  <c r="BB802" i="1"/>
  <c r="AK802" i="1"/>
  <c r="AJ802" i="1"/>
  <c r="CY570" i="1"/>
  <c r="CW570" i="1"/>
  <c r="CT570" i="1"/>
  <c r="BT570" i="1"/>
  <c r="BB570" i="1"/>
  <c r="AK570" i="1"/>
  <c r="AJ570" i="1"/>
  <c r="CY405" i="1"/>
  <c r="CW405" i="1"/>
  <c r="BT405" i="1"/>
  <c r="CY665" i="1"/>
  <c r="CW665" i="1"/>
  <c r="CT665" i="1"/>
  <c r="BT665" i="1"/>
  <c r="BB665" i="1"/>
  <c r="AK665" i="1"/>
  <c r="AJ665" i="1"/>
  <c r="CY404" i="1"/>
  <c r="CT404" i="1"/>
  <c r="CY403" i="1"/>
  <c r="CW403" i="1"/>
  <c r="BT403" i="1"/>
  <c r="CY20" i="1"/>
  <c r="CW20" i="1"/>
  <c r="CT20" i="1"/>
  <c r="BT20" i="1"/>
  <c r="BB20" i="1"/>
  <c r="AK20" i="1"/>
  <c r="AJ20" i="1"/>
  <c r="CY402" i="1"/>
  <c r="CW402" i="1"/>
  <c r="BT402" i="1"/>
  <c r="CY401" i="1"/>
  <c r="CY400" i="1"/>
  <c r="CW400" i="1"/>
  <c r="CY399" i="1"/>
  <c r="CY398" i="1"/>
  <c r="CW398" i="1"/>
  <c r="CT398" i="1"/>
  <c r="BB398" i="1"/>
  <c r="CY397" i="1"/>
  <c r="CW397" i="1"/>
  <c r="CT397" i="1"/>
  <c r="BT397" i="1"/>
  <c r="BB397" i="1"/>
  <c r="CY657" i="1"/>
  <c r="CW657" i="1"/>
  <c r="CT657" i="1"/>
  <c r="BT657" i="1"/>
  <c r="BB657" i="1"/>
  <c r="AK657" i="1"/>
  <c r="AJ657" i="1"/>
  <c r="CY396" i="1"/>
  <c r="CW396" i="1"/>
  <c r="BT396" i="1"/>
  <c r="CY660" i="1"/>
  <c r="CW660" i="1"/>
  <c r="CT660" i="1"/>
  <c r="BT660" i="1"/>
  <c r="BB660" i="1"/>
  <c r="AK660" i="1"/>
  <c r="AJ660" i="1"/>
  <c r="CY201" i="1"/>
  <c r="CW201" i="1"/>
  <c r="CT201" i="1"/>
  <c r="CL201" i="1"/>
  <c r="CE201" i="1"/>
  <c r="CB201" i="1"/>
  <c r="BX201" i="1"/>
  <c r="BT201" i="1"/>
  <c r="BB201" i="1"/>
  <c r="AK201" i="1"/>
  <c r="AJ201" i="1"/>
  <c r="CY606" i="1"/>
  <c r="CW606" i="1"/>
  <c r="CT606" i="1"/>
  <c r="BT606" i="1"/>
  <c r="BB606" i="1"/>
  <c r="AK606" i="1"/>
  <c r="AJ606" i="1"/>
  <c r="CY229" i="1"/>
  <c r="CW229" i="1"/>
  <c r="CT229" i="1"/>
  <c r="CL229" i="1"/>
  <c r="CE229" i="1"/>
  <c r="BX229" i="1"/>
  <c r="BT229" i="1"/>
  <c r="BB229" i="1"/>
  <c r="AK229" i="1"/>
  <c r="AJ229" i="1"/>
  <c r="CY395" i="1"/>
  <c r="CW395" i="1"/>
  <c r="CT395" i="1"/>
  <c r="BT395" i="1"/>
  <c r="CY593" i="1"/>
  <c r="CW593" i="1"/>
  <c r="CT593" i="1"/>
  <c r="BT593" i="1"/>
  <c r="BB593" i="1"/>
  <c r="AK593" i="1"/>
  <c r="AJ593" i="1"/>
  <c r="CY22" i="1"/>
  <c r="CW22" i="1"/>
  <c r="CT22" i="1"/>
  <c r="BT22" i="1"/>
  <c r="BB22" i="1"/>
  <c r="AK22" i="1"/>
  <c r="AJ22" i="1"/>
  <c r="CY716" i="1"/>
  <c r="CW716" i="1"/>
  <c r="CT716" i="1"/>
  <c r="BT716" i="1"/>
  <c r="BB716" i="1"/>
  <c r="AK716" i="1"/>
  <c r="AJ716" i="1"/>
  <c r="CY386" i="1"/>
  <c r="CW386" i="1"/>
  <c r="CT386" i="1"/>
  <c r="CL386" i="1"/>
  <c r="BX386" i="1"/>
  <c r="BT386" i="1"/>
  <c r="BB386" i="1"/>
  <c r="AK386" i="1"/>
  <c r="AJ386" i="1"/>
  <c r="CY281" i="1"/>
  <c r="CW281" i="1"/>
  <c r="CT281" i="1"/>
  <c r="CL281" i="1"/>
  <c r="CE281" i="1"/>
  <c r="BX281" i="1"/>
  <c r="BT281" i="1"/>
  <c r="BB281" i="1"/>
  <c r="AK281" i="1"/>
  <c r="AJ281" i="1"/>
  <c r="CY132" i="1"/>
  <c r="CW132" i="1"/>
  <c r="CT132" i="1"/>
  <c r="CL132" i="1"/>
  <c r="CE132" i="1"/>
  <c r="CC132" i="1"/>
  <c r="CB132" i="1"/>
  <c r="BX132" i="1"/>
  <c r="BT132" i="1"/>
  <c r="BB132" i="1"/>
  <c r="AK132" i="1"/>
  <c r="AJ132" i="1"/>
  <c r="CY337" i="1"/>
  <c r="CW337" i="1"/>
  <c r="CT337" i="1"/>
  <c r="CL337" i="1"/>
  <c r="CE337" i="1"/>
  <c r="BX337" i="1"/>
  <c r="BT337" i="1"/>
  <c r="BB337" i="1"/>
  <c r="AK337" i="1"/>
  <c r="AJ337" i="1"/>
  <c r="CY253" i="1"/>
  <c r="CW253" i="1"/>
  <c r="CT253" i="1"/>
  <c r="CL253" i="1"/>
  <c r="CE253" i="1"/>
  <c r="BX253" i="1"/>
  <c r="BT253" i="1"/>
  <c r="BB253" i="1"/>
  <c r="AK253" i="1"/>
  <c r="AJ253" i="1"/>
  <c r="CY238" i="1"/>
  <c r="CW238" i="1"/>
  <c r="CT238" i="1"/>
  <c r="CL238" i="1"/>
  <c r="CE238" i="1"/>
  <c r="BX238" i="1"/>
  <c r="BT238" i="1"/>
  <c r="BB238" i="1"/>
  <c r="AK238" i="1"/>
  <c r="AJ238" i="1"/>
  <c r="CY316" i="1"/>
  <c r="CW316" i="1"/>
  <c r="CT316" i="1"/>
  <c r="CL316" i="1"/>
  <c r="CE316" i="1"/>
  <c r="BX316" i="1"/>
  <c r="BT316" i="1"/>
  <c r="BB316" i="1"/>
  <c r="AK316" i="1"/>
  <c r="AJ316" i="1"/>
  <c r="CY722" i="1"/>
  <c r="CW722" i="1"/>
  <c r="CT722" i="1"/>
  <c r="BT722" i="1"/>
  <c r="BB722" i="1"/>
  <c r="AK722" i="1"/>
  <c r="AJ722" i="1"/>
  <c r="CY737" i="1"/>
  <c r="CW737" i="1"/>
  <c r="CT737" i="1"/>
  <c r="BT737" i="1"/>
  <c r="BB737" i="1"/>
  <c r="AK737" i="1"/>
  <c r="AJ737" i="1"/>
  <c r="CY360" i="1"/>
  <c r="CW360" i="1"/>
  <c r="CT360" i="1"/>
  <c r="CL360" i="1"/>
  <c r="CE360" i="1"/>
  <c r="BX360" i="1"/>
  <c r="BT360" i="1"/>
  <c r="BB360" i="1"/>
  <c r="AK360" i="1"/>
  <c r="AJ360" i="1"/>
  <c r="CY309" i="1"/>
  <c r="CW309" i="1"/>
  <c r="CT309" i="1"/>
  <c r="CL309" i="1"/>
  <c r="CE309" i="1"/>
  <c r="BX309" i="1"/>
  <c r="BT309" i="1"/>
  <c r="BB309" i="1"/>
  <c r="AK309" i="1"/>
  <c r="AJ309" i="1"/>
  <c r="CY276" i="1"/>
  <c r="CW276" i="1"/>
  <c r="CT276" i="1"/>
  <c r="CL276" i="1"/>
  <c r="CE276" i="1"/>
  <c r="BX276" i="1"/>
  <c r="BT276" i="1"/>
  <c r="BB276" i="1"/>
  <c r="AK276" i="1"/>
  <c r="AJ276" i="1"/>
  <c r="CY235" i="1"/>
  <c r="CW235" i="1"/>
  <c r="CT235" i="1"/>
  <c r="CL235" i="1"/>
  <c r="CE235" i="1"/>
  <c r="BX235" i="1"/>
  <c r="BT235" i="1"/>
  <c r="BB235" i="1"/>
  <c r="AK235" i="1"/>
  <c r="AJ235" i="1"/>
  <c r="CY239" i="1"/>
  <c r="CW239" i="1"/>
  <c r="CT239" i="1"/>
  <c r="CL239" i="1"/>
  <c r="CE239" i="1"/>
  <c r="BX239" i="1"/>
  <c r="BT239" i="1"/>
  <c r="BB239" i="1"/>
  <c r="AK239" i="1"/>
  <c r="AJ239" i="1"/>
  <c r="CY105" i="1"/>
  <c r="CW105" i="1"/>
  <c r="CT105" i="1"/>
  <c r="BT105" i="1"/>
  <c r="BB105" i="1"/>
  <c r="AK105" i="1"/>
  <c r="AJ105" i="1"/>
  <c r="CY828" i="1"/>
  <c r="CW828" i="1"/>
  <c r="CT828" i="1"/>
  <c r="BT828" i="1"/>
  <c r="BB828" i="1"/>
  <c r="AK828" i="1"/>
  <c r="AJ828" i="1"/>
  <c r="CY723" i="1"/>
  <c r="CW723" i="1"/>
  <c r="CT723" i="1"/>
  <c r="BT723" i="1"/>
  <c r="BB723" i="1"/>
  <c r="AK723" i="1"/>
  <c r="AJ723" i="1"/>
  <c r="CY729" i="1"/>
  <c r="CW729" i="1"/>
  <c r="CT729" i="1"/>
  <c r="BT729" i="1"/>
  <c r="BB729" i="1"/>
  <c r="AK729" i="1"/>
  <c r="AJ729" i="1"/>
  <c r="CY803" i="1"/>
  <c r="CW803" i="1"/>
  <c r="CT803" i="1"/>
  <c r="BT803" i="1"/>
  <c r="BB803" i="1"/>
  <c r="AK803" i="1"/>
  <c r="AJ803" i="1"/>
  <c r="CY121" i="1"/>
  <c r="CW121" i="1"/>
  <c r="CT121" i="1"/>
  <c r="CL121" i="1"/>
  <c r="CE121" i="1"/>
  <c r="CB121" i="1"/>
  <c r="BX121" i="1"/>
  <c r="BT121" i="1"/>
  <c r="BB121" i="1"/>
  <c r="AK121" i="1"/>
  <c r="AJ121" i="1"/>
  <c r="CY394" i="1"/>
  <c r="CW394" i="1"/>
  <c r="CY144" i="1"/>
  <c r="CW144" i="1"/>
  <c r="CT144" i="1"/>
  <c r="CL144" i="1"/>
  <c r="CE144" i="1"/>
  <c r="CB144" i="1"/>
  <c r="BX144" i="1"/>
  <c r="BT144" i="1"/>
  <c r="BB144" i="1"/>
  <c r="AK144" i="1"/>
  <c r="AJ144" i="1"/>
  <c r="CY143" i="1"/>
  <c r="CW143" i="1"/>
  <c r="CT143" i="1"/>
  <c r="CL143" i="1"/>
  <c r="CE143" i="1"/>
  <c r="CB143" i="1"/>
  <c r="BX143" i="1"/>
  <c r="BT143" i="1"/>
  <c r="BB143" i="1"/>
  <c r="AK143" i="1"/>
  <c r="AJ143" i="1"/>
  <c r="CY219" i="1"/>
  <c r="CW219" i="1"/>
  <c r="CT219" i="1"/>
  <c r="CL219" i="1"/>
  <c r="CE219" i="1"/>
  <c r="CB219" i="1"/>
  <c r="BX219" i="1"/>
  <c r="BT219" i="1"/>
  <c r="BB219" i="1"/>
  <c r="AK219" i="1"/>
  <c r="AJ219" i="1"/>
  <c r="CY21" i="1"/>
  <c r="CW21" i="1"/>
  <c r="CT21" i="1"/>
  <c r="BT21" i="1"/>
  <c r="BB21" i="1"/>
  <c r="AK21" i="1"/>
  <c r="AJ21" i="1"/>
  <c r="CY754" i="1"/>
  <c r="CW754" i="1"/>
  <c r="CT754" i="1"/>
  <c r="BT754" i="1"/>
  <c r="BB754" i="1"/>
  <c r="AK754" i="1"/>
  <c r="AJ754" i="1"/>
  <c r="CY677" i="1"/>
  <c r="CW677" i="1"/>
  <c r="CT677" i="1"/>
  <c r="BT677" i="1"/>
  <c r="BB677" i="1"/>
  <c r="AK677" i="1"/>
  <c r="AJ677" i="1"/>
  <c r="CY305" i="1"/>
  <c r="CW305" i="1"/>
  <c r="CT305" i="1"/>
  <c r="CL305" i="1"/>
  <c r="CE305" i="1"/>
  <c r="BX305" i="1"/>
  <c r="BT305" i="1"/>
  <c r="BB305" i="1"/>
  <c r="AK305" i="1"/>
  <c r="AJ305" i="1"/>
  <c r="CY847" i="1"/>
  <c r="CW847" i="1"/>
  <c r="CT847" i="1"/>
  <c r="BT847" i="1"/>
  <c r="BB847" i="1"/>
  <c r="AK847" i="1"/>
  <c r="AJ847" i="1"/>
  <c r="CY287" i="1"/>
  <c r="CW287" i="1"/>
  <c r="CT287" i="1"/>
  <c r="CL287" i="1"/>
  <c r="CE287" i="1"/>
  <c r="BX287" i="1"/>
  <c r="BT287" i="1"/>
  <c r="BB287" i="1"/>
  <c r="AK287" i="1"/>
  <c r="AJ287" i="1"/>
  <c r="CY286" i="1"/>
  <c r="CW286" i="1"/>
  <c r="CT286" i="1"/>
  <c r="CL286" i="1"/>
  <c r="CE286" i="1"/>
  <c r="BX286" i="1"/>
  <c r="BT286" i="1"/>
  <c r="BB286" i="1"/>
  <c r="AK286" i="1"/>
  <c r="AJ286" i="1"/>
  <c r="CY275" i="1"/>
  <c r="CW275" i="1"/>
  <c r="CT275" i="1"/>
  <c r="CL275" i="1"/>
  <c r="CE275" i="1"/>
  <c r="BX275" i="1"/>
  <c r="BT275" i="1"/>
  <c r="BB275" i="1"/>
  <c r="AK275" i="1"/>
  <c r="AJ275" i="1"/>
  <c r="CY670" i="1"/>
  <c r="CW670" i="1"/>
  <c r="CT670" i="1"/>
  <c r="BT670" i="1"/>
  <c r="BB670" i="1"/>
  <c r="AK670" i="1"/>
  <c r="AJ670" i="1"/>
  <c r="CY669" i="1"/>
  <c r="CW669" i="1"/>
  <c r="CT669" i="1"/>
  <c r="BT669" i="1"/>
  <c r="BB669" i="1"/>
  <c r="AK669" i="1"/>
  <c r="AJ669" i="1"/>
  <c r="CY349" i="1"/>
  <c r="CW349" i="1"/>
  <c r="CT349" i="1"/>
  <c r="CL349" i="1"/>
  <c r="CE349" i="1"/>
  <c r="BX349" i="1"/>
  <c r="BT349" i="1"/>
  <c r="BB349" i="1"/>
  <c r="AK349" i="1"/>
  <c r="AJ349" i="1"/>
  <c r="CY250" i="1"/>
  <c r="CW250" i="1"/>
  <c r="CT250" i="1"/>
  <c r="CL250" i="1"/>
  <c r="CE250" i="1"/>
  <c r="BX250" i="1"/>
  <c r="BT250" i="1"/>
  <c r="BB250" i="1"/>
  <c r="AK250" i="1"/>
  <c r="AJ250" i="1"/>
  <c r="CY48" i="1"/>
  <c r="CW48" i="1"/>
  <c r="CT48" i="1"/>
  <c r="BT48" i="1"/>
  <c r="BB48" i="1"/>
  <c r="AK48" i="1"/>
  <c r="AJ48" i="1"/>
  <c r="CY676" i="1"/>
  <c r="CW676" i="1"/>
  <c r="CT676" i="1"/>
  <c r="BT676" i="1"/>
  <c r="BB676" i="1"/>
  <c r="AK676" i="1"/>
  <c r="AJ676" i="1"/>
  <c r="CY380" i="1"/>
  <c r="CW380" i="1"/>
  <c r="CT380" i="1"/>
  <c r="CE380" i="1"/>
  <c r="BT380" i="1"/>
  <c r="BB380" i="1"/>
  <c r="AK380" i="1"/>
  <c r="AJ380" i="1"/>
  <c r="CY267" i="1"/>
  <c r="CW267" i="1"/>
  <c r="CT267" i="1"/>
  <c r="CL267" i="1"/>
  <c r="CE267" i="1"/>
  <c r="CB267" i="1"/>
  <c r="BX267" i="1"/>
  <c r="BT267" i="1"/>
  <c r="BB267" i="1"/>
  <c r="AK267" i="1"/>
  <c r="AJ267" i="1"/>
  <c r="CY266" i="1"/>
  <c r="CW266" i="1"/>
  <c r="CT266" i="1"/>
  <c r="CL266" i="1"/>
  <c r="CE266" i="1"/>
  <c r="CB266" i="1"/>
  <c r="BX266" i="1"/>
  <c r="BT266" i="1"/>
  <c r="BB266" i="1"/>
  <c r="AK266" i="1"/>
  <c r="AJ266" i="1"/>
  <c r="CY234" i="1"/>
  <c r="CW234" i="1"/>
  <c r="CT234" i="1"/>
  <c r="CL234" i="1"/>
  <c r="CE234" i="1"/>
  <c r="BX234" i="1"/>
  <c r="BT234" i="1"/>
  <c r="BB234" i="1"/>
  <c r="AK234" i="1"/>
  <c r="AJ234" i="1"/>
  <c r="CY378" i="1"/>
  <c r="CW378" i="1"/>
  <c r="CT378" i="1"/>
  <c r="CL378" i="1"/>
  <c r="CE378" i="1"/>
  <c r="BX378" i="1"/>
  <c r="BT378" i="1"/>
  <c r="BB378" i="1"/>
  <c r="AK378" i="1"/>
  <c r="AJ378" i="1"/>
  <c r="CY271" i="1"/>
  <c r="CW271" i="1"/>
  <c r="CT271" i="1"/>
  <c r="CL271" i="1"/>
  <c r="CE271" i="1"/>
  <c r="BX271" i="1"/>
  <c r="BT271" i="1"/>
  <c r="BB271" i="1"/>
  <c r="AK271" i="1"/>
  <c r="AJ271" i="1"/>
  <c r="CY209" i="1"/>
  <c r="CW209" i="1"/>
  <c r="CT209" i="1"/>
  <c r="CL209" i="1"/>
  <c r="CE209" i="1"/>
  <c r="BX209" i="1"/>
  <c r="BT209" i="1"/>
  <c r="BB209" i="1"/>
  <c r="AK209" i="1"/>
  <c r="AJ209" i="1"/>
  <c r="CY558" i="1"/>
  <c r="CW558" i="1"/>
  <c r="CT558" i="1"/>
  <c r="BT558" i="1"/>
  <c r="BB558" i="1"/>
  <c r="AK558" i="1"/>
  <c r="AJ558" i="1"/>
  <c r="CY319" i="1"/>
  <c r="CW319" i="1"/>
  <c r="CT319" i="1"/>
  <c r="CL319" i="1"/>
  <c r="CE319" i="1"/>
  <c r="BX319" i="1"/>
  <c r="BT319" i="1"/>
  <c r="BB319" i="1"/>
  <c r="AK319" i="1"/>
  <c r="AJ319" i="1"/>
  <c r="CY318" i="1"/>
  <c r="CW318" i="1"/>
  <c r="CT318" i="1"/>
  <c r="CL318" i="1"/>
  <c r="CE318" i="1"/>
  <c r="BX318" i="1"/>
  <c r="BT318" i="1"/>
  <c r="BB318" i="1"/>
  <c r="AK318" i="1"/>
  <c r="AJ318" i="1"/>
  <c r="CY278" i="1"/>
  <c r="CW278" i="1"/>
  <c r="CT278" i="1"/>
  <c r="CL278" i="1"/>
  <c r="CE278" i="1"/>
  <c r="BX278" i="1"/>
  <c r="BT278" i="1"/>
  <c r="BB278" i="1"/>
  <c r="AK278" i="1"/>
  <c r="AJ278" i="1"/>
  <c r="CY323" i="1"/>
  <c r="CW323" i="1"/>
  <c r="CT323" i="1"/>
  <c r="CL323" i="1"/>
  <c r="CE323" i="1"/>
  <c r="BX323" i="1"/>
  <c r="BT323" i="1"/>
  <c r="BB323" i="1"/>
  <c r="AK323" i="1"/>
  <c r="AJ323" i="1"/>
  <c r="CY221" i="1"/>
  <c r="CW221" i="1"/>
  <c r="CT221" i="1"/>
  <c r="CL221" i="1"/>
  <c r="CE221" i="1"/>
  <c r="BX221" i="1"/>
  <c r="BT221" i="1"/>
  <c r="BB221" i="1"/>
  <c r="AK221" i="1"/>
  <c r="AJ221" i="1"/>
  <c r="CY393" i="1"/>
  <c r="CW393" i="1"/>
  <c r="CT393" i="1"/>
  <c r="BT393" i="1"/>
  <c r="BB393" i="1"/>
  <c r="CY306" i="1"/>
  <c r="CW306" i="1"/>
  <c r="CT306" i="1"/>
  <c r="CL306" i="1"/>
  <c r="CE306" i="1"/>
  <c r="BX306" i="1"/>
  <c r="BT306" i="1"/>
  <c r="BB306" i="1"/>
  <c r="AK306" i="1"/>
  <c r="AJ306" i="1"/>
  <c r="CY662" i="1"/>
  <c r="CW662" i="1"/>
  <c r="CT662" i="1"/>
  <c r="BT662" i="1"/>
  <c r="BB662" i="1"/>
  <c r="AK662" i="1"/>
  <c r="AJ662" i="1"/>
  <c r="CY54" i="1"/>
  <c r="CW54" i="1"/>
  <c r="CT54" i="1"/>
  <c r="BT54" i="1"/>
  <c r="BB54" i="1"/>
  <c r="AK54" i="1"/>
  <c r="AJ54" i="1"/>
  <c r="CY53" i="1"/>
  <c r="CW53" i="1"/>
  <c r="CT53" i="1"/>
  <c r="BT53" i="1"/>
  <c r="BB53" i="1"/>
  <c r="AK53" i="1"/>
  <c r="AJ53" i="1"/>
  <c r="CY52" i="1"/>
  <c r="CW52" i="1"/>
  <c r="CT52" i="1"/>
  <c r="BT52" i="1"/>
  <c r="BB52" i="1"/>
  <c r="AK52" i="1"/>
  <c r="AJ52" i="1"/>
  <c r="CY216" i="1"/>
  <c r="CW216" i="1"/>
  <c r="CT216" i="1"/>
  <c r="CL216" i="1"/>
  <c r="CE216" i="1"/>
  <c r="BX216" i="1"/>
  <c r="BT216" i="1"/>
  <c r="BB216" i="1"/>
  <c r="AK216" i="1"/>
  <c r="AJ216" i="1"/>
  <c r="CY288" i="1"/>
  <c r="CW288" i="1"/>
  <c r="CT288" i="1"/>
  <c r="CL288" i="1"/>
  <c r="CE288" i="1"/>
  <c r="BX288" i="1"/>
  <c r="BT288" i="1"/>
  <c r="BB288" i="1"/>
  <c r="AK288" i="1"/>
  <c r="AJ288" i="1"/>
  <c r="CY672" i="1"/>
  <c r="CW672" i="1"/>
  <c r="CT672" i="1"/>
  <c r="BT672" i="1"/>
  <c r="BB672" i="1"/>
  <c r="AK672" i="1"/>
  <c r="AJ672" i="1"/>
  <c r="CY759" i="1"/>
  <c r="CW759" i="1"/>
  <c r="CT759" i="1"/>
  <c r="BT759" i="1"/>
  <c r="BB759" i="1"/>
  <c r="AK759" i="1"/>
  <c r="AJ759" i="1"/>
  <c r="CY315" i="1"/>
  <c r="CW315" i="1"/>
  <c r="CT315" i="1"/>
  <c r="BT315" i="1"/>
  <c r="BB315" i="1"/>
  <c r="AK315" i="1"/>
  <c r="AJ315" i="1"/>
  <c r="CY289" i="1"/>
  <c r="CW289" i="1"/>
  <c r="CT289" i="1"/>
  <c r="CL289" i="1"/>
  <c r="CE289" i="1"/>
  <c r="BX289" i="1"/>
  <c r="BT289" i="1"/>
  <c r="BB289" i="1"/>
  <c r="AK289" i="1"/>
  <c r="AJ289" i="1"/>
  <c r="CY280" i="1"/>
  <c r="CW280" i="1"/>
  <c r="CT280" i="1"/>
  <c r="CL280" i="1"/>
  <c r="CE280" i="1"/>
  <c r="BX280" i="1"/>
  <c r="BT280" i="1"/>
  <c r="BB280" i="1"/>
  <c r="AK280" i="1"/>
  <c r="AJ280" i="1"/>
  <c r="CY248" i="1"/>
  <c r="CW248" i="1"/>
  <c r="CT248" i="1"/>
  <c r="CL248" i="1"/>
  <c r="CE248" i="1"/>
  <c r="BX248" i="1"/>
  <c r="BT248" i="1"/>
  <c r="BB248" i="1"/>
  <c r="AK248" i="1"/>
  <c r="AJ248" i="1"/>
  <c r="CY208" i="1"/>
  <c r="CW208" i="1"/>
  <c r="CT208" i="1"/>
  <c r="CL208" i="1"/>
  <c r="CE208" i="1"/>
  <c r="BX208" i="1"/>
  <c r="BT208" i="1"/>
  <c r="BB208" i="1"/>
  <c r="AK208" i="1"/>
  <c r="AJ208" i="1"/>
  <c r="CY207" i="1"/>
  <c r="CW207" i="1"/>
  <c r="CT207" i="1"/>
  <c r="CL207" i="1"/>
  <c r="CE207" i="1"/>
  <c r="BX207" i="1"/>
  <c r="BT207" i="1"/>
  <c r="BB207" i="1"/>
  <c r="AK207" i="1"/>
  <c r="AJ207" i="1"/>
  <c r="CY284" i="1"/>
  <c r="CW284" i="1"/>
  <c r="CT284" i="1"/>
  <c r="CL284" i="1"/>
  <c r="CE284" i="1"/>
  <c r="BX284" i="1"/>
  <c r="BT284" i="1"/>
  <c r="BB284" i="1"/>
  <c r="AK284" i="1"/>
  <c r="AJ284" i="1"/>
  <c r="CY822" i="1"/>
  <c r="CW822" i="1"/>
  <c r="CT822" i="1"/>
  <c r="BT822" i="1"/>
  <c r="BB822" i="1"/>
  <c r="AK822" i="1"/>
  <c r="AJ822" i="1"/>
  <c r="CY622" i="1"/>
  <c r="CW622" i="1"/>
  <c r="CT622" i="1"/>
  <c r="BT622" i="1"/>
  <c r="BB622" i="1"/>
  <c r="AK622" i="1"/>
  <c r="AJ622" i="1"/>
  <c r="CY649" i="1"/>
  <c r="CW649" i="1"/>
  <c r="CT649" i="1"/>
  <c r="BT649" i="1"/>
  <c r="BB649" i="1"/>
  <c r="AK649" i="1"/>
  <c r="AJ649" i="1"/>
  <c r="CY652" i="1"/>
  <c r="CW652" i="1"/>
  <c r="CT652" i="1"/>
  <c r="BT652" i="1"/>
  <c r="BB652" i="1"/>
  <c r="AK652" i="1"/>
  <c r="AJ652" i="1"/>
  <c r="CY225" i="1"/>
  <c r="CW225" i="1"/>
  <c r="CT225" i="1"/>
  <c r="CL225" i="1"/>
  <c r="CE225" i="1"/>
  <c r="BX225" i="1"/>
  <c r="BT225" i="1"/>
  <c r="BB225" i="1"/>
  <c r="AK225" i="1"/>
  <c r="AJ225" i="1"/>
  <c r="CY224" i="1"/>
  <c r="CW224" i="1"/>
  <c r="CT224" i="1"/>
  <c r="CL224" i="1"/>
  <c r="CE224" i="1"/>
  <c r="BX224" i="1"/>
  <c r="BT224" i="1"/>
  <c r="BB224" i="1"/>
  <c r="AK224" i="1"/>
  <c r="AJ224" i="1"/>
  <c r="CY223" i="1"/>
  <c r="CW223" i="1"/>
  <c r="CT223" i="1"/>
  <c r="CL223" i="1"/>
  <c r="CE223" i="1"/>
  <c r="BX223" i="1"/>
  <c r="BT223" i="1"/>
  <c r="BB223" i="1"/>
  <c r="AK223" i="1"/>
  <c r="AJ223" i="1"/>
  <c r="CY94" i="1"/>
  <c r="CW94" i="1"/>
  <c r="CT94" i="1"/>
  <c r="BT94" i="1"/>
  <c r="BB94" i="1"/>
  <c r="AK94" i="1"/>
  <c r="AJ94" i="1"/>
  <c r="CY308" i="1"/>
  <c r="CW308" i="1"/>
  <c r="CT308" i="1"/>
  <c r="CL308" i="1"/>
  <c r="CE308" i="1"/>
  <c r="BX308" i="1"/>
  <c r="BT308" i="1"/>
  <c r="BB308" i="1"/>
  <c r="AK308" i="1"/>
  <c r="AJ308" i="1"/>
  <c r="CY307" i="1"/>
  <c r="CW307" i="1"/>
  <c r="CT307" i="1"/>
  <c r="CL307" i="1"/>
  <c r="CE307" i="1"/>
  <c r="BX307" i="1"/>
  <c r="BT307" i="1"/>
  <c r="BB307" i="1"/>
  <c r="AK307" i="1"/>
  <c r="AJ307" i="1"/>
  <c r="CY392" i="1"/>
  <c r="CY753" i="1"/>
  <c r="CW753" i="1"/>
  <c r="CT753" i="1"/>
  <c r="BT753" i="1"/>
  <c r="BB753" i="1"/>
  <c r="AK753" i="1"/>
  <c r="AJ753" i="1"/>
  <c r="CY628" i="1"/>
  <c r="CW628" i="1"/>
  <c r="CT628" i="1"/>
  <c r="BT628" i="1"/>
  <c r="BB628" i="1"/>
  <c r="AK628" i="1"/>
  <c r="AJ628" i="1"/>
  <c r="CY251" i="1"/>
  <c r="CW251" i="1"/>
  <c r="CT251" i="1"/>
  <c r="CL251" i="1"/>
  <c r="CE251" i="1"/>
  <c r="BX251" i="1"/>
  <c r="BT251" i="1"/>
  <c r="BB251" i="1"/>
  <c r="AK251" i="1"/>
  <c r="AJ251" i="1"/>
  <c r="CY274" i="1"/>
  <c r="CW274" i="1"/>
  <c r="CT274" i="1"/>
  <c r="CL274" i="1"/>
  <c r="CE274" i="1"/>
  <c r="BX274" i="1"/>
  <c r="BT274" i="1"/>
  <c r="BB274" i="1"/>
  <c r="AK274" i="1"/>
  <c r="AJ274" i="1"/>
  <c r="CY656" i="1"/>
  <c r="CW656" i="1"/>
  <c r="CT656" i="1"/>
  <c r="BT656" i="1"/>
  <c r="BB656" i="1"/>
  <c r="AK656" i="1"/>
  <c r="AJ656" i="1"/>
  <c r="CY831" i="1"/>
  <c r="CW831" i="1"/>
  <c r="CT831" i="1"/>
  <c r="BT831" i="1"/>
  <c r="BB831" i="1"/>
  <c r="AK831" i="1"/>
  <c r="AJ831" i="1"/>
  <c r="CY620" i="1"/>
  <c r="CW620" i="1"/>
  <c r="CT620" i="1"/>
  <c r="BT620" i="1"/>
  <c r="BB620" i="1"/>
  <c r="AK620" i="1"/>
  <c r="AJ620" i="1"/>
  <c r="CY796" i="1"/>
  <c r="CW796" i="1"/>
  <c r="CT796" i="1"/>
  <c r="BT796" i="1"/>
  <c r="BB796" i="1"/>
  <c r="AK796" i="1"/>
  <c r="AJ796" i="1"/>
  <c r="CY186" i="1"/>
  <c r="CW186" i="1"/>
  <c r="CT186" i="1"/>
  <c r="CL186" i="1"/>
  <c r="CE186" i="1"/>
  <c r="BX186" i="1"/>
  <c r="BT186" i="1"/>
  <c r="BB186" i="1"/>
  <c r="AK186" i="1"/>
  <c r="AJ186" i="1"/>
  <c r="CY351" i="1"/>
  <c r="CW351" i="1"/>
  <c r="CT351" i="1"/>
  <c r="CL351" i="1"/>
  <c r="CE351" i="1"/>
  <c r="BX351" i="1"/>
  <c r="BT351" i="1"/>
  <c r="BB351" i="1"/>
  <c r="AK351" i="1"/>
  <c r="AJ351" i="1"/>
  <c r="CY350" i="1"/>
  <c r="CW350" i="1"/>
  <c r="CT350" i="1"/>
  <c r="CL350" i="1"/>
  <c r="CE350" i="1"/>
  <c r="BX350" i="1"/>
  <c r="BT350" i="1"/>
  <c r="BB350" i="1"/>
  <c r="AK350" i="1"/>
  <c r="AJ350" i="1"/>
  <c r="CY254" i="1"/>
  <c r="CW254" i="1"/>
  <c r="CT254" i="1"/>
  <c r="CL254" i="1"/>
  <c r="CE254" i="1"/>
  <c r="BX254" i="1"/>
  <c r="BT254" i="1"/>
  <c r="BB254" i="1"/>
  <c r="AK254" i="1"/>
  <c r="AJ254" i="1"/>
  <c r="CY242" i="1"/>
  <c r="CW242" i="1"/>
  <c r="CT242" i="1"/>
  <c r="CL242" i="1"/>
  <c r="CE242" i="1"/>
  <c r="BX242" i="1"/>
  <c r="BT242" i="1"/>
  <c r="BB242" i="1"/>
  <c r="AK242" i="1"/>
  <c r="AJ242" i="1"/>
  <c r="CY213" i="1"/>
  <c r="CW213" i="1"/>
  <c r="CT213" i="1"/>
  <c r="CL213" i="1"/>
  <c r="CE213" i="1"/>
  <c r="BX213" i="1"/>
  <c r="BT213" i="1"/>
  <c r="BB213" i="1"/>
  <c r="AK213" i="1"/>
  <c r="AJ213" i="1"/>
  <c r="CY303" i="1"/>
  <c r="CW303" i="1"/>
  <c r="CT303" i="1"/>
  <c r="CL303" i="1"/>
  <c r="CE303" i="1"/>
  <c r="BX303" i="1"/>
  <c r="BT303" i="1"/>
  <c r="BB303" i="1"/>
  <c r="AK303" i="1"/>
  <c r="AJ303" i="1"/>
  <c r="CY246" i="1"/>
  <c r="CW246" i="1"/>
  <c r="CT246" i="1"/>
  <c r="CL246" i="1"/>
  <c r="CE246" i="1"/>
  <c r="BX246" i="1"/>
  <c r="BT246" i="1"/>
  <c r="BB246" i="1"/>
  <c r="AK246" i="1"/>
  <c r="AJ246" i="1"/>
  <c r="CY591" i="1"/>
  <c r="CW591" i="1"/>
  <c r="CT591" i="1"/>
  <c r="BT591" i="1"/>
  <c r="BB591" i="1"/>
  <c r="AK591" i="1"/>
  <c r="AJ591" i="1"/>
  <c r="CY18" i="1"/>
  <c r="CW18" i="1"/>
  <c r="CT18" i="1"/>
  <c r="BT18" i="1"/>
  <c r="BB18" i="1"/>
  <c r="AK18" i="1"/>
  <c r="AJ18" i="1"/>
  <c r="CY369" i="1"/>
  <c r="CW369" i="1"/>
  <c r="CT369" i="1"/>
  <c r="CB369" i="1"/>
  <c r="BX369" i="1"/>
  <c r="BT369" i="1"/>
  <c r="BB369" i="1"/>
  <c r="AK369" i="1"/>
  <c r="AJ369" i="1"/>
  <c r="CY301" i="1"/>
  <c r="CW301" i="1"/>
  <c r="CT301" i="1"/>
  <c r="CL301" i="1"/>
  <c r="CE301" i="1"/>
  <c r="BX301" i="1"/>
  <c r="BT301" i="1"/>
  <c r="BB301" i="1"/>
  <c r="AK301" i="1"/>
  <c r="AJ301" i="1"/>
  <c r="CY293" i="1"/>
  <c r="CW293" i="1"/>
  <c r="CT293" i="1"/>
  <c r="CL293" i="1"/>
  <c r="CE293" i="1"/>
  <c r="BX293" i="1"/>
  <c r="BT293" i="1"/>
  <c r="BB293" i="1"/>
  <c r="AK293" i="1"/>
  <c r="AJ293" i="1"/>
  <c r="CY292" i="1"/>
  <c r="CW292" i="1"/>
  <c r="CT292" i="1"/>
  <c r="CL292" i="1"/>
  <c r="CE292" i="1"/>
  <c r="BX292" i="1"/>
  <c r="BT292" i="1"/>
  <c r="BB292" i="1"/>
  <c r="AK292" i="1"/>
  <c r="AJ292" i="1"/>
  <c r="CY389" i="1"/>
  <c r="CW389" i="1"/>
  <c r="CT389" i="1"/>
  <c r="CL389" i="1"/>
  <c r="CE389" i="1"/>
  <c r="BX389" i="1"/>
  <c r="BT389" i="1"/>
  <c r="BB389" i="1"/>
  <c r="AK389" i="1"/>
  <c r="AJ389" i="1"/>
  <c r="CY198" i="1"/>
  <c r="CW198" i="1"/>
  <c r="CT198" i="1"/>
  <c r="CL198" i="1"/>
  <c r="CE198" i="1"/>
  <c r="BX198" i="1"/>
  <c r="BT198" i="1"/>
  <c r="BB198" i="1"/>
  <c r="AK198" i="1"/>
  <c r="AJ198" i="1"/>
  <c r="CY312" i="1"/>
  <c r="CW312" i="1"/>
  <c r="CT312" i="1"/>
  <c r="CL312" i="1"/>
  <c r="CE312" i="1"/>
  <c r="BX312" i="1"/>
  <c r="BT312" i="1"/>
  <c r="BB312" i="1"/>
  <c r="AK312" i="1"/>
  <c r="AJ312" i="1"/>
  <c r="CY299" i="1"/>
  <c r="CW299" i="1"/>
  <c r="CT299" i="1"/>
  <c r="CL299" i="1"/>
  <c r="CE299" i="1"/>
  <c r="BX299" i="1"/>
  <c r="BT299" i="1"/>
  <c r="BB299" i="1"/>
  <c r="AK299" i="1"/>
  <c r="AJ299" i="1"/>
  <c r="CY310" i="1"/>
  <c r="CW310" i="1"/>
  <c r="CT310" i="1"/>
  <c r="CL310" i="1"/>
  <c r="CE310" i="1"/>
  <c r="BX310" i="1"/>
  <c r="BT310" i="1"/>
  <c r="BB310" i="1"/>
  <c r="AK310" i="1"/>
  <c r="AJ310" i="1"/>
  <c r="CY566" i="1"/>
  <c r="CW566" i="1"/>
  <c r="CT566" i="1"/>
  <c r="BT566" i="1"/>
  <c r="BB566" i="1"/>
  <c r="AK566" i="1"/>
  <c r="AJ566" i="1"/>
  <c r="CY724" i="1"/>
  <c r="CW724" i="1"/>
  <c r="CT724" i="1"/>
  <c r="BT724" i="1"/>
  <c r="BB724" i="1"/>
  <c r="AK724" i="1"/>
  <c r="AJ724" i="1"/>
  <c r="CY804" i="1"/>
  <c r="CW804" i="1"/>
  <c r="CT804" i="1"/>
  <c r="BT804" i="1"/>
  <c r="BB804" i="1"/>
  <c r="AK804" i="1"/>
  <c r="AJ804" i="1"/>
  <c r="CY700" i="1"/>
  <c r="CW700" i="1"/>
  <c r="CT700" i="1"/>
  <c r="CL700" i="1"/>
  <c r="CE700" i="1"/>
  <c r="BX700" i="1"/>
  <c r="BT700" i="1"/>
  <c r="BB700" i="1"/>
  <c r="AK700" i="1"/>
  <c r="AJ700" i="1"/>
  <c r="CY128" i="1"/>
  <c r="CW128" i="1"/>
  <c r="CT128" i="1"/>
  <c r="CL128" i="1"/>
  <c r="CE128" i="1"/>
  <c r="BX128" i="1"/>
  <c r="BT128" i="1"/>
  <c r="BB128" i="1"/>
  <c r="AK128" i="1"/>
  <c r="AJ128" i="1"/>
  <c r="CY826" i="1"/>
  <c r="CW826" i="1"/>
  <c r="CT826" i="1"/>
  <c r="BT826" i="1"/>
  <c r="BB826" i="1"/>
  <c r="AK826" i="1"/>
  <c r="AJ826" i="1"/>
  <c r="CY844" i="1"/>
  <c r="CW844" i="1"/>
  <c r="CT844" i="1"/>
  <c r="BT844" i="1"/>
  <c r="BB844" i="1"/>
  <c r="AK844" i="1"/>
  <c r="AJ844" i="1"/>
  <c r="CY582" i="1"/>
  <c r="CW582" i="1"/>
  <c r="CT582" i="1"/>
  <c r="BT582" i="1"/>
  <c r="BB582" i="1"/>
  <c r="AK582" i="1"/>
  <c r="AJ582" i="1"/>
  <c r="CY212" i="1"/>
  <c r="CW212" i="1"/>
  <c r="CT212" i="1"/>
  <c r="CL212" i="1"/>
  <c r="CE212" i="1"/>
  <c r="BX212" i="1"/>
  <c r="BT212" i="1"/>
  <c r="BB212" i="1"/>
  <c r="AK212" i="1"/>
  <c r="AJ212" i="1"/>
  <c r="CY302" i="1"/>
  <c r="CW302" i="1"/>
  <c r="CT302" i="1"/>
  <c r="CL302" i="1"/>
  <c r="CE302" i="1"/>
  <c r="BX302" i="1"/>
  <c r="BT302" i="1"/>
  <c r="BB302" i="1"/>
  <c r="AK302" i="1"/>
  <c r="AJ302" i="1"/>
  <c r="CY220" i="1"/>
  <c r="CW220" i="1"/>
  <c r="CT220" i="1"/>
  <c r="CL220" i="1"/>
  <c r="CE220" i="1"/>
  <c r="BX220" i="1"/>
  <c r="BT220" i="1"/>
  <c r="BB220" i="1"/>
  <c r="AK220" i="1"/>
  <c r="AJ220" i="1"/>
  <c r="CY618" i="1"/>
  <c r="CW618" i="1"/>
  <c r="CT618" i="1"/>
  <c r="BT618" i="1"/>
  <c r="BB618" i="1"/>
  <c r="AK618" i="1"/>
  <c r="AJ618" i="1"/>
  <c r="CY615" i="1"/>
  <c r="CW615" i="1"/>
  <c r="CT615" i="1"/>
  <c r="BT615" i="1"/>
  <c r="BB615" i="1"/>
  <c r="AK615" i="1"/>
  <c r="AJ615" i="1"/>
  <c r="CY252" i="1"/>
  <c r="CW252" i="1"/>
  <c r="CT252" i="1"/>
  <c r="CL252" i="1"/>
  <c r="CE252" i="1"/>
  <c r="BX252" i="1"/>
  <c r="BT252" i="1"/>
  <c r="BB252" i="1"/>
  <c r="AK252" i="1"/>
  <c r="AJ252" i="1"/>
  <c r="CY324" i="1"/>
  <c r="CW324" i="1"/>
  <c r="CT324" i="1"/>
  <c r="CL324" i="1"/>
  <c r="CE324" i="1"/>
  <c r="BX324" i="1"/>
  <c r="BT324" i="1"/>
  <c r="BB324" i="1"/>
  <c r="AK324" i="1"/>
  <c r="AJ324" i="1"/>
  <c r="CY17" i="1"/>
  <c r="CW17" i="1"/>
  <c r="CT17" i="1"/>
  <c r="CB17" i="1"/>
  <c r="BX17" i="1"/>
  <c r="BT17" i="1"/>
  <c r="BB17" i="1"/>
  <c r="AK17" i="1"/>
  <c r="AJ17" i="1"/>
  <c r="CY758" i="1"/>
  <c r="CW758" i="1"/>
  <c r="CT758" i="1"/>
  <c r="BT758" i="1"/>
  <c r="BB758" i="1"/>
  <c r="AK758" i="1"/>
  <c r="AJ758" i="1"/>
  <c r="CY243" i="1"/>
  <c r="CW243" i="1"/>
  <c r="CT243" i="1"/>
  <c r="CL243" i="1"/>
  <c r="CE243" i="1"/>
  <c r="BX243" i="1"/>
  <c r="BT243" i="1"/>
  <c r="BB243" i="1"/>
  <c r="AK243" i="1"/>
  <c r="AJ243" i="1"/>
  <c r="CY108" i="1"/>
  <c r="CW108" i="1"/>
  <c r="CT108" i="1"/>
  <c r="BT108" i="1"/>
  <c r="BB108" i="1"/>
  <c r="AK108" i="1"/>
  <c r="AJ108" i="1"/>
  <c r="CY241" i="1"/>
  <c r="CW241" i="1"/>
  <c r="CT241" i="1"/>
  <c r="CL241" i="1"/>
  <c r="CE241" i="1"/>
  <c r="BX241" i="1"/>
  <c r="BT241" i="1"/>
  <c r="BB241" i="1"/>
  <c r="AK241" i="1"/>
  <c r="AJ241" i="1"/>
  <c r="CY240" i="1"/>
  <c r="CW240" i="1"/>
  <c r="CT240" i="1"/>
  <c r="CL240" i="1"/>
  <c r="CE240" i="1"/>
  <c r="BX240" i="1"/>
  <c r="BT240" i="1"/>
  <c r="BB240" i="1"/>
  <c r="AK240" i="1"/>
  <c r="AJ240" i="1"/>
  <c r="CY120" i="1"/>
  <c r="CW120" i="1"/>
  <c r="CT120" i="1"/>
  <c r="CL120" i="1"/>
  <c r="CE120" i="1"/>
  <c r="BX120" i="1"/>
  <c r="BT120" i="1"/>
  <c r="BB120" i="1"/>
  <c r="AK120" i="1"/>
  <c r="AJ120" i="1"/>
  <c r="CY263" i="1"/>
  <c r="CW263" i="1"/>
  <c r="CT263" i="1"/>
  <c r="CL263" i="1"/>
  <c r="CE263" i="1"/>
  <c r="BX263" i="1"/>
  <c r="BT263" i="1"/>
  <c r="BB263" i="1"/>
  <c r="AK263" i="1"/>
  <c r="AJ263" i="1"/>
  <c r="CY262" i="1"/>
  <c r="CW262" i="1"/>
  <c r="CT262" i="1"/>
  <c r="CL262" i="1"/>
  <c r="CE262" i="1"/>
  <c r="BX262" i="1"/>
  <c r="BT262" i="1"/>
  <c r="BB262" i="1"/>
  <c r="AK262" i="1"/>
  <c r="AJ262" i="1"/>
  <c r="CY261" i="1"/>
  <c r="CW261" i="1"/>
  <c r="CT261" i="1"/>
  <c r="CL261" i="1"/>
  <c r="CE261" i="1"/>
  <c r="BX261" i="1"/>
  <c r="BT261" i="1"/>
  <c r="BB261" i="1"/>
  <c r="AK261" i="1"/>
  <c r="AJ261" i="1"/>
  <c r="CY230" i="1"/>
  <c r="CW230" i="1"/>
  <c r="CT230" i="1"/>
  <c r="CL230" i="1"/>
  <c r="CE230" i="1"/>
  <c r="BX230" i="1"/>
  <c r="BT230" i="1"/>
  <c r="BB230" i="1"/>
  <c r="AK230" i="1"/>
  <c r="AJ230" i="1"/>
  <c r="CY594" i="1"/>
  <c r="CW594" i="1"/>
  <c r="CT594" i="1"/>
  <c r="BT594" i="1"/>
  <c r="BB594" i="1"/>
  <c r="AK594" i="1"/>
  <c r="AJ594" i="1"/>
  <c r="CY294" i="1"/>
  <c r="CW294" i="1"/>
  <c r="CT294" i="1"/>
  <c r="CL294" i="1"/>
  <c r="CE294" i="1"/>
  <c r="BX294" i="1"/>
  <c r="BT294" i="1"/>
  <c r="BB294" i="1"/>
  <c r="AK294" i="1"/>
  <c r="AJ294" i="1"/>
  <c r="CY314" i="1"/>
  <c r="CW314" i="1"/>
  <c r="CT314" i="1"/>
  <c r="CL314" i="1"/>
  <c r="CE314" i="1"/>
  <c r="BX314" i="1"/>
  <c r="BT314" i="1"/>
  <c r="BB314" i="1"/>
  <c r="AK314" i="1"/>
  <c r="AJ314" i="1"/>
  <c r="CY277" i="1"/>
  <c r="CW277" i="1"/>
  <c r="CT277" i="1"/>
  <c r="CL277" i="1"/>
  <c r="CE277" i="1"/>
  <c r="BX277" i="1"/>
  <c r="BT277" i="1"/>
  <c r="BB277" i="1"/>
  <c r="AK277" i="1"/>
  <c r="AJ277" i="1"/>
  <c r="CY244" i="1"/>
  <c r="CW244" i="1"/>
  <c r="CT244" i="1"/>
  <c r="CL244" i="1"/>
  <c r="CE244" i="1"/>
  <c r="BX244" i="1"/>
  <c r="BT244" i="1"/>
  <c r="BB244" i="1"/>
  <c r="AK244" i="1"/>
  <c r="AJ244" i="1"/>
  <c r="CY255" i="1"/>
  <c r="CW255" i="1"/>
  <c r="CT255" i="1"/>
  <c r="CL255" i="1"/>
  <c r="CE255" i="1"/>
  <c r="BX255" i="1"/>
  <c r="BT255" i="1"/>
  <c r="BB255" i="1"/>
  <c r="AK255" i="1"/>
  <c r="AJ255" i="1"/>
  <c r="CY228" i="1"/>
  <c r="CW228" i="1"/>
  <c r="CT228" i="1"/>
  <c r="CL228" i="1"/>
  <c r="CE228" i="1"/>
  <c r="BX228" i="1"/>
  <c r="BT228" i="1"/>
  <c r="BB228" i="1"/>
  <c r="AK228" i="1"/>
  <c r="AJ228" i="1"/>
  <c r="CY227" i="1"/>
  <c r="CW227" i="1"/>
  <c r="CT227" i="1"/>
  <c r="CL227" i="1"/>
  <c r="CE227" i="1"/>
  <c r="BX227" i="1"/>
  <c r="BT227" i="1"/>
  <c r="BB227" i="1"/>
  <c r="AK227" i="1"/>
  <c r="AJ227" i="1"/>
  <c r="CY226" i="1"/>
  <c r="CW226" i="1"/>
  <c r="CT226" i="1"/>
  <c r="CL226" i="1"/>
  <c r="CE226" i="1"/>
  <c r="BX226" i="1"/>
  <c r="BT226" i="1"/>
  <c r="BB226" i="1"/>
  <c r="AK226" i="1"/>
  <c r="AJ226" i="1"/>
  <c r="CY215" i="1"/>
  <c r="CW215" i="1"/>
  <c r="CT215" i="1"/>
  <c r="CL215" i="1"/>
  <c r="CE215" i="1"/>
  <c r="BX215" i="1"/>
  <c r="BT215" i="1"/>
  <c r="BB215" i="1"/>
  <c r="AK215" i="1"/>
  <c r="AJ215" i="1"/>
  <c r="CY214" i="1"/>
  <c r="CW214" i="1"/>
  <c r="CT214" i="1"/>
  <c r="CL214" i="1"/>
  <c r="CE214" i="1"/>
  <c r="BX214" i="1"/>
  <c r="BT214" i="1"/>
  <c r="BB214" i="1"/>
  <c r="AK214" i="1"/>
  <c r="AJ214" i="1"/>
  <c r="CY727" i="1"/>
  <c r="CW727" i="1"/>
  <c r="CT727" i="1"/>
  <c r="BT727" i="1"/>
  <c r="BB727" i="1"/>
  <c r="AK727" i="1"/>
  <c r="AJ727" i="1"/>
  <c r="CY39" i="1"/>
  <c r="CW39" i="1"/>
  <c r="CT39" i="1"/>
  <c r="CL39" i="1"/>
  <c r="CE39" i="1"/>
  <c r="CC39" i="1"/>
  <c r="CB39" i="1"/>
  <c r="BX39" i="1"/>
  <c r="BT39" i="1"/>
  <c r="BB39" i="1"/>
  <c r="AK39" i="1"/>
  <c r="AJ39" i="1"/>
  <c r="CY290" i="1"/>
  <c r="CW290" i="1"/>
  <c r="CT290" i="1"/>
  <c r="CL290" i="1"/>
  <c r="CE290" i="1"/>
  <c r="BX290" i="1"/>
  <c r="BT290" i="1"/>
  <c r="BB290" i="1"/>
  <c r="AK290" i="1"/>
  <c r="AJ290" i="1"/>
  <c r="CY291" i="1"/>
  <c r="CW291" i="1"/>
  <c r="CT291" i="1"/>
  <c r="CL291" i="1"/>
  <c r="CE291" i="1"/>
  <c r="BX291" i="1"/>
  <c r="BT291" i="1"/>
  <c r="BB291" i="1"/>
  <c r="AK291" i="1"/>
  <c r="AJ291" i="1"/>
  <c r="CY222" i="1"/>
  <c r="CW222" i="1"/>
  <c r="CT222" i="1"/>
  <c r="CL222" i="1"/>
  <c r="CE222" i="1"/>
  <c r="BX222" i="1"/>
  <c r="BT222" i="1"/>
  <c r="BB222" i="1"/>
  <c r="AK222" i="1"/>
  <c r="AJ222" i="1"/>
  <c r="CY311" i="1"/>
  <c r="CW311" i="1"/>
  <c r="CT311" i="1"/>
  <c r="CL311" i="1"/>
  <c r="CE311" i="1"/>
  <c r="BX311" i="1"/>
  <c r="BT311" i="1"/>
  <c r="BB311" i="1"/>
  <c r="AK311" i="1"/>
  <c r="AJ311" i="1"/>
  <c r="CY72" i="1"/>
  <c r="CW72" i="1"/>
  <c r="CT72" i="1"/>
  <c r="BT72" i="1"/>
  <c r="BB72" i="1"/>
  <c r="AK72" i="1"/>
  <c r="AJ72" i="1"/>
  <c r="CY71" i="1"/>
  <c r="CW71" i="1"/>
  <c r="CT71" i="1"/>
  <c r="BT71" i="1"/>
  <c r="BB71" i="1"/>
  <c r="AK71" i="1"/>
  <c r="AJ71" i="1"/>
  <c r="CY787" i="1"/>
  <c r="CW787" i="1"/>
  <c r="CT787" i="1"/>
  <c r="BT787" i="1"/>
  <c r="BB787" i="1"/>
  <c r="AK787" i="1"/>
  <c r="AJ787" i="1"/>
  <c r="CY603" i="1"/>
  <c r="CW603" i="1"/>
  <c r="CT603" i="1"/>
  <c r="BT603" i="1"/>
  <c r="BB603" i="1"/>
  <c r="AK603" i="1"/>
  <c r="AJ603" i="1"/>
  <c r="CY205" i="1"/>
  <c r="CW205" i="1"/>
  <c r="CT205" i="1"/>
  <c r="CL205" i="1"/>
  <c r="CE205" i="1"/>
  <c r="BX205" i="1"/>
  <c r="BT205" i="1"/>
  <c r="BB205" i="1"/>
  <c r="AK205" i="1"/>
  <c r="AJ205" i="1"/>
  <c r="CY204" i="1"/>
  <c r="CW204" i="1"/>
  <c r="CT204" i="1"/>
  <c r="CL204" i="1"/>
  <c r="CE204" i="1"/>
  <c r="BX204" i="1"/>
  <c r="BT204" i="1"/>
  <c r="BB204" i="1"/>
  <c r="AK204" i="1"/>
  <c r="AJ204" i="1"/>
  <c r="CY197" i="1"/>
  <c r="CW197" i="1"/>
  <c r="CT197" i="1"/>
  <c r="CL197" i="1"/>
  <c r="CE197" i="1"/>
  <c r="BX197" i="1"/>
  <c r="BT197" i="1"/>
  <c r="BB197" i="1"/>
  <c r="AK197" i="1"/>
  <c r="AJ197" i="1"/>
  <c r="CY840" i="1"/>
  <c r="CW840" i="1"/>
  <c r="CT840" i="1"/>
  <c r="BT840" i="1"/>
  <c r="BB840" i="1"/>
  <c r="AK840" i="1"/>
  <c r="AJ840" i="1"/>
  <c r="CY772" i="1"/>
  <c r="CW772" i="1"/>
  <c r="CT772" i="1"/>
  <c r="BT772" i="1"/>
  <c r="BB772" i="1"/>
  <c r="AK772" i="1"/>
  <c r="AJ772" i="1"/>
  <c r="CY830" i="1"/>
  <c r="CW830" i="1"/>
  <c r="CT830" i="1"/>
  <c r="BT830" i="1"/>
  <c r="BB830" i="1"/>
  <c r="AK830" i="1"/>
  <c r="AJ830" i="1"/>
  <c r="CY686" i="1"/>
  <c r="CW686" i="1"/>
  <c r="CT686" i="1"/>
  <c r="BT686" i="1"/>
  <c r="BB686" i="1"/>
  <c r="AK686" i="1"/>
  <c r="AJ686" i="1"/>
  <c r="CY561" i="1"/>
  <c r="CW561" i="1"/>
  <c r="CT561" i="1"/>
  <c r="BT561" i="1"/>
  <c r="BB561" i="1"/>
  <c r="AK561" i="1"/>
  <c r="AJ561" i="1"/>
  <c r="CY102" i="1"/>
  <c r="CW102" i="1"/>
  <c r="CT102" i="1"/>
  <c r="CL102" i="1"/>
  <c r="CE102" i="1"/>
  <c r="BX102" i="1"/>
  <c r="BT102" i="1"/>
  <c r="BB102" i="1"/>
  <c r="AK102" i="1"/>
  <c r="AJ102" i="1"/>
  <c r="CY391" i="1"/>
  <c r="CW391" i="1"/>
  <c r="CT391" i="1"/>
  <c r="BT391" i="1"/>
  <c r="BB391" i="1"/>
  <c r="CY28" i="1"/>
  <c r="CW28" i="1"/>
  <c r="CT28" i="1"/>
  <c r="CE28" i="1"/>
  <c r="CB28" i="1"/>
  <c r="BX28" i="1"/>
  <c r="BT28" i="1"/>
  <c r="BB28" i="1"/>
  <c r="AK28" i="1"/>
  <c r="AJ28" i="1"/>
  <c r="CY27" i="1"/>
  <c r="CW27" i="1"/>
  <c r="CT27" i="1"/>
  <c r="CL27" i="1"/>
  <c r="CE27" i="1"/>
  <c r="CB27" i="1"/>
  <c r="BX27" i="1"/>
  <c r="BT27" i="1"/>
  <c r="BB27" i="1"/>
  <c r="AK27" i="1"/>
  <c r="AJ27" i="1"/>
  <c r="CY19" i="1"/>
  <c r="CW19" i="1"/>
  <c r="CT19" i="1"/>
  <c r="CE19" i="1"/>
  <c r="CB19" i="1"/>
  <c r="BX19" i="1"/>
  <c r="BT19" i="1"/>
  <c r="BB19" i="1"/>
  <c r="AK19" i="1"/>
  <c r="AJ19" i="1"/>
  <c r="CY728" i="1"/>
  <c r="CW728" i="1"/>
  <c r="CT728" i="1"/>
  <c r="BT728" i="1"/>
  <c r="BB728" i="1"/>
  <c r="AK728" i="1"/>
  <c r="AJ728" i="1"/>
  <c r="CY798" i="1"/>
  <c r="CW798" i="1"/>
  <c r="CT798" i="1"/>
  <c r="BT798" i="1"/>
  <c r="BB798" i="1"/>
  <c r="AK798" i="1"/>
  <c r="AJ798" i="1"/>
  <c r="CY711" i="1"/>
  <c r="CW711" i="1"/>
  <c r="CT711" i="1"/>
  <c r="BT711" i="1"/>
  <c r="BB711" i="1"/>
  <c r="AK711" i="1"/>
  <c r="AJ711" i="1"/>
  <c r="CY98" i="1"/>
  <c r="CW98" i="1"/>
  <c r="CT98" i="1"/>
  <c r="BT98" i="1"/>
  <c r="BB98" i="1"/>
  <c r="AK98" i="1"/>
  <c r="AJ98" i="1"/>
  <c r="CY232" i="1"/>
  <c r="CW232" i="1"/>
  <c r="CT232" i="1"/>
  <c r="CL232" i="1"/>
  <c r="CE232" i="1"/>
  <c r="BX232" i="1"/>
  <c r="BT232" i="1"/>
  <c r="BB232" i="1"/>
  <c r="AK232" i="1"/>
  <c r="AJ232" i="1"/>
  <c r="CY231" i="1"/>
  <c r="CW231" i="1"/>
  <c r="CT231" i="1"/>
  <c r="CL231" i="1"/>
  <c r="CE231" i="1"/>
  <c r="BX231" i="1"/>
  <c r="BT231" i="1"/>
  <c r="BB231" i="1"/>
  <c r="AK231" i="1"/>
  <c r="AJ231" i="1"/>
  <c r="CY757" i="1"/>
  <c r="CW757" i="1"/>
  <c r="CT757" i="1"/>
  <c r="BT757" i="1"/>
  <c r="BB757" i="1"/>
  <c r="AK757" i="1"/>
  <c r="AJ757" i="1"/>
  <c r="CY67" i="1"/>
  <c r="CW67" i="1"/>
  <c r="CT67" i="1"/>
  <c r="BT67" i="1"/>
  <c r="BB67" i="1"/>
  <c r="AK67" i="1"/>
  <c r="AJ67" i="1"/>
  <c r="CY66" i="1"/>
  <c r="CW66" i="1"/>
  <c r="CT66" i="1"/>
  <c r="BT66" i="1"/>
  <c r="BB66" i="1"/>
  <c r="AK66" i="1"/>
  <c r="AJ66" i="1"/>
  <c r="CY65" i="1"/>
  <c r="CW65" i="1"/>
  <c r="CT65" i="1"/>
  <c r="BT65" i="1"/>
  <c r="BB65" i="1"/>
  <c r="AK65" i="1"/>
  <c r="AJ65" i="1"/>
  <c r="CY74" i="1"/>
  <c r="CW74" i="1"/>
  <c r="CT74" i="1"/>
  <c r="BT74" i="1"/>
  <c r="BB74" i="1"/>
  <c r="AK74" i="1"/>
  <c r="AJ74" i="1"/>
  <c r="CY70" i="1"/>
  <c r="CW70" i="1"/>
  <c r="CT70" i="1"/>
  <c r="BT70" i="1"/>
  <c r="BB70" i="1"/>
  <c r="AK70" i="1"/>
  <c r="AJ70" i="1"/>
  <c r="CY64" i="1"/>
  <c r="CW64" i="1"/>
  <c r="CT64" i="1"/>
  <c r="BT64" i="1"/>
  <c r="BB64" i="1"/>
  <c r="AK64" i="1"/>
  <c r="AJ64" i="1"/>
  <c r="CY73" i="1"/>
  <c r="CW73" i="1"/>
  <c r="CT73" i="1"/>
  <c r="BT73" i="1"/>
  <c r="BB73" i="1"/>
  <c r="AK73" i="1"/>
  <c r="AJ73" i="1"/>
  <c r="CY69" i="1"/>
  <c r="CW69" i="1"/>
  <c r="CT69" i="1"/>
  <c r="BT69" i="1"/>
  <c r="BB69" i="1"/>
  <c r="AK69" i="1"/>
  <c r="AJ69" i="1"/>
  <c r="CY68" i="1"/>
  <c r="CW68" i="1"/>
  <c r="CT68" i="1"/>
  <c r="BT68" i="1"/>
  <c r="BB68" i="1"/>
  <c r="AK68" i="1"/>
  <c r="AJ68" i="1"/>
  <c r="CY37" i="1"/>
  <c r="CW37" i="1"/>
  <c r="CT37" i="1"/>
  <c r="CL37" i="1"/>
  <c r="CE37" i="1"/>
  <c r="CB37" i="1"/>
  <c r="BX37" i="1"/>
  <c r="BT37" i="1"/>
  <c r="BB37" i="1"/>
  <c r="AK37" i="1"/>
  <c r="AJ37" i="1"/>
  <c r="CY36" i="1"/>
  <c r="CW36" i="1"/>
  <c r="CT36" i="1"/>
  <c r="CL36" i="1"/>
  <c r="CE36" i="1"/>
  <c r="BX36" i="1"/>
  <c r="BT36" i="1"/>
  <c r="BB36" i="1"/>
  <c r="AK36" i="1"/>
  <c r="AJ36" i="1"/>
  <c r="CY688" i="1"/>
  <c r="CW688" i="1"/>
  <c r="CT688" i="1"/>
  <c r="BT688" i="1"/>
  <c r="BB688" i="1"/>
  <c r="AK688" i="1"/>
  <c r="AJ688" i="1"/>
  <c r="CY832" i="1"/>
  <c r="CW832" i="1"/>
  <c r="CT832" i="1"/>
  <c r="BT832" i="1"/>
  <c r="BB832" i="1"/>
  <c r="AK832" i="1"/>
  <c r="AJ832" i="1"/>
  <c r="CY41" i="1"/>
  <c r="CW41" i="1"/>
  <c r="CT41" i="1"/>
  <c r="CL41" i="1"/>
  <c r="BT41" i="1"/>
  <c r="BB41" i="1"/>
  <c r="AK41" i="1"/>
  <c r="AJ41" i="1"/>
  <c r="CY101" i="1"/>
  <c r="CW101" i="1"/>
  <c r="CT101" i="1"/>
  <c r="BT101" i="1"/>
  <c r="BB101" i="1"/>
  <c r="AK101" i="1"/>
  <c r="AJ101" i="1"/>
  <c r="CY45" i="1"/>
  <c r="CW45" i="1"/>
  <c r="CT45" i="1"/>
  <c r="BT45" i="1"/>
  <c r="BB45" i="1"/>
  <c r="AK45" i="1"/>
  <c r="AJ45" i="1"/>
  <c r="CY780" i="1"/>
  <c r="CW780" i="1"/>
  <c r="CT780" i="1"/>
  <c r="BT780" i="1"/>
  <c r="BB780" i="1"/>
  <c r="AK780" i="1"/>
  <c r="AJ780" i="1"/>
  <c r="CY44" i="1"/>
  <c r="CW44" i="1"/>
  <c r="CT44" i="1"/>
  <c r="CL44" i="1"/>
  <c r="CE44" i="1"/>
  <c r="BX44" i="1"/>
  <c r="BT44" i="1"/>
  <c r="BB44" i="1"/>
  <c r="AK44" i="1"/>
  <c r="AJ44" i="1"/>
  <c r="CY43" i="1"/>
  <c r="CW43" i="1"/>
  <c r="CT43" i="1"/>
  <c r="CL43" i="1"/>
  <c r="CE43" i="1"/>
  <c r="BX43" i="1"/>
  <c r="BT43" i="1"/>
  <c r="BB43" i="1"/>
  <c r="AK43" i="1"/>
  <c r="AJ43" i="1"/>
  <c r="CY25" i="1"/>
  <c r="CW25" i="1"/>
  <c r="CT25" i="1"/>
  <c r="BT25" i="1"/>
  <c r="BB25" i="1"/>
  <c r="AK25" i="1"/>
  <c r="AJ25" i="1"/>
  <c r="CY16" i="1"/>
  <c r="CW16" i="1"/>
  <c r="CT16" i="1"/>
  <c r="CE16" i="1"/>
  <c r="CB16" i="1"/>
  <c r="BX16" i="1"/>
  <c r="BT16" i="1"/>
  <c r="BB16" i="1"/>
  <c r="AK16" i="1"/>
  <c r="AJ16" i="1"/>
  <c r="CY15" i="1"/>
  <c r="CW15" i="1"/>
  <c r="CT15" i="1"/>
  <c r="BT15" i="1"/>
  <c r="BB15" i="1"/>
  <c r="AK15" i="1"/>
  <c r="AJ15" i="1"/>
  <c r="CY14" i="1"/>
  <c r="CW14" i="1"/>
  <c r="CT14" i="1"/>
  <c r="CE14" i="1"/>
  <c r="CB14" i="1"/>
  <c r="BX14" i="1"/>
  <c r="BT14" i="1"/>
  <c r="BB14" i="1"/>
  <c r="AK14" i="1"/>
  <c r="AJ14" i="1"/>
  <c r="CY587" i="1"/>
  <c r="CW587" i="1"/>
  <c r="CT587" i="1"/>
  <c r="BT587" i="1"/>
  <c r="BB587" i="1"/>
  <c r="AK587" i="1"/>
  <c r="AJ587" i="1"/>
  <c r="CY586" i="1"/>
  <c r="CW586" i="1"/>
  <c r="CT586" i="1"/>
  <c r="BT586" i="1"/>
  <c r="BB586" i="1"/>
  <c r="AK586" i="1"/>
  <c r="AJ586" i="1"/>
  <c r="CY790" i="1"/>
  <c r="CW790" i="1"/>
  <c r="CT790" i="1"/>
  <c r="BT790" i="1"/>
  <c r="BB790" i="1"/>
  <c r="AK790" i="1"/>
  <c r="AJ790" i="1"/>
  <c r="CY685" i="1"/>
  <c r="CW685" i="1"/>
  <c r="CT685" i="1"/>
  <c r="BT685" i="1"/>
  <c r="BB685" i="1"/>
  <c r="AK685" i="1"/>
  <c r="AJ685" i="1"/>
  <c r="CY547" i="1"/>
  <c r="CW547" i="1"/>
  <c r="CT547" i="1"/>
  <c r="BT547" i="1"/>
  <c r="BB547" i="1"/>
  <c r="AK547" i="1"/>
  <c r="AJ547" i="1"/>
  <c r="CY62" i="1"/>
  <c r="CW62" i="1"/>
  <c r="CT62" i="1"/>
  <c r="BT62" i="1"/>
  <c r="BB62" i="1"/>
  <c r="AK62" i="1"/>
  <c r="AJ62" i="1"/>
  <c r="CY61" i="1"/>
  <c r="CW61" i="1"/>
  <c r="CT61" i="1"/>
  <c r="BT61" i="1"/>
  <c r="BB61" i="1"/>
  <c r="AK61" i="1"/>
  <c r="AJ61" i="1"/>
  <c r="CY60" i="1"/>
  <c r="CW60" i="1"/>
  <c r="CT60" i="1"/>
  <c r="BT60" i="1"/>
  <c r="BB60" i="1"/>
  <c r="AK60" i="1"/>
  <c r="AJ60" i="1"/>
  <c r="CY63" i="1"/>
  <c r="CW63" i="1"/>
  <c r="CT63" i="1"/>
  <c r="BT63" i="1"/>
  <c r="BB63" i="1"/>
  <c r="AK63" i="1"/>
  <c r="AJ63" i="1"/>
  <c r="CY58" i="1"/>
  <c r="CW58" i="1"/>
  <c r="CT58" i="1"/>
  <c r="BT58" i="1"/>
  <c r="BB58" i="1"/>
  <c r="AK58" i="1"/>
  <c r="AJ58" i="1"/>
  <c r="CY773" i="1"/>
  <c r="CW773" i="1"/>
  <c r="CT773" i="1"/>
  <c r="BT773" i="1"/>
  <c r="BB773" i="1"/>
  <c r="AK773" i="1"/>
  <c r="AJ773" i="1"/>
  <c r="CY699" i="1"/>
  <c r="CW699" i="1"/>
  <c r="CT699" i="1"/>
  <c r="BT699" i="1"/>
  <c r="BB699" i="1"/>
  <c r="AK699" i="1"/>
  <c r="AJ699" i="1"/>
  <c r="CY818" i="1"/>
  <c r="CW818" i="1"/>
  <c r="CT818" i="1"/>
  <c r="BT818" i="1"/>
  <c r="BB818" i="1"/>
  <c r="AK818" i="1"/>
  <c r="AJ818" i="1"/>
  <c r="CY678" i="1"/>
  <c r="CW678" i="1"/>
  <c r="CT678" i="1"/>
  <c r="BT678" i="1"/>
  <c r="BB678" i="1"/>
  <c r="AK678" i="1"/>
  <c r="AJ678" i="1"/>
  <c r="CY731" i="1"/>
  <c r="CW731" i="1"/>
  <c r="CT731" i="1"/>
  <c r="BT731" i="1"/>
  <c r="BB731" i="1"/>
  <c r="AK731" i="1"/>
  <c r="AJ731" i="1"/>
  <c r="CY59" i="1"/>
  <c r="CW59" i="1"/>
  <c r="CT59" i="1"/>
  <c r="BT59" i="1"/>
  <c r="BB59" i="1"/>
  <c r="AK59" i="1"/>
  <c r="AJ59" i="1"/>
  <c r="CY556" i="1"/>
  <c r="CW556" i="1"/>
  <c r="CT556" i="1"/>
  <c r="BT556" i="1"/>
  <c r="BB556" i="1"/>
  <c r="AK556" i="1"/>
  <c r="AJ556" i="1"/>
  <c r="CY57" i="1"/>
  <c r="CW57" i="1"/>
  <c r="CT57" i="1"/>
  <c r="BT57" i="1"/>
  <c r="BB57" i="1"/>
  <c r="AK57" i="1"/>
  <c r="AJ57" i="1"/>
  <c r="CY799" i="1"/>
  <c r="CW799" i="1"/>
  <c r="CT799" i="1"/>
  <c r="BT799" i="1"/>
  <c r="BB799" i="1"/>
  <c r="AK799" i="1"/>
  <c r="AJ799" i="1"/>
  <c r="CY601" i="1"/>
  <c r="CW601" i="1"/>
  <c r="CT601" i="1"/>
  <c r="BT601" i="1"/>
  <c r="BB601" i="1"/>
  <c r="AK601" i="1"/>
  <c r="AJ601" i="1"/>
  <c r="CY681" i="1"/>
  <c r="CW681" i="1"/>
  <c r="CT681" i="1"/>
  <c r="BT681" i="1"/>
  <c r="BB681" i="1"/>
  <c r="AK681" i="1"/>
  <c r="AJ681" i="1"/>
  <c r="CY92" i="1"/>
  <c r="CW92" i="1"/>
  <c r="CT92" i="1"/>
  <c r="BT92" i="1"/>
  <c r="BB92" i="1"/>
  <c r="AK92" i="1"/>
  <c r="AJ92" i="1"/>
  <c r="CY794" i="1"/>
  <c r="CW794" i="1"/>
  <c r="CT794" i="1"/>
  <c r="BT794" i="1"/>
  <c r="BB794" i="1"/>
  <c r="AK794" i="1"/>
  <c r="AJ794" i="1"/>
  <c r="CY838" i="1"/>
  <c r="CW838" i="1"/>
  <c r="CT838" i="1"/>
  <c r="BT838" i="1"/>
  <c r="BB838" i="1"/>
  <c r="AK838" i="1"/>
  <c r="AJ838" i="1"/>
  <c r="CY746" i="1"/>
  <c r="CW746" i="1"/>
  <c r="CT746" i="1"/>
  <c r="BT746" i="1"/>
  <c r="BB746" i="1"/>
  <c r="AK746" i="1"/>
  <c r="AJ746" i="1"/>
  <c r="DK258" i="1"/>
  <c r="DI258" i="1"/>
  <c r="CY258" i="1"/>
  <c r="CW258" i="1"/>
  <c r="CT258" i="1"/>
  <c r="BT258" i="1"/>
  <c r="BB258" i="1"/>
  <c r="AK258" i="1"/>
  <c r="AJ258" i="1"/>
  <c r="CY762" i="1"/>
  <c r="CW762" i="1"/>
  <c r="CT762" i="1"/>
  <c r="BT762" i="1"/>
  <c r="BB762" i="1"/>
  <c r="AK762" i="1"/>
  <c r="AJ762" i="1"/>
  <c r="CY77" i="1"/>
  <c r="CW77" i="1"/>
  <c r="CT77" i="1"/>
  <c r="BT77" i="1"/>
  <c r="BB77" i="1"/>
  <c r="AK77" i="1"/>
  <c r="AJ77" i="1"/>
  <c r="CY712" i="1"/>
  <c r="CW712" i="1"/>
  <c r="CT712" i="1"/>
  <c r="BT712" i="1"/>
  <c r="BB712" i="1"/>
  <c r="AK712" i="1"/>
  <c r="AJ712" i="1"/>
  <c r="CY82" i="1"/>
  <c r="CW82" i="1"/>
  <c r="CT82" i="1"/>
  <c r="BT82" i="1"/>
  <c r="BB82" i="1"/>
  <c r="AK82" i="1"/>
  <c r="AJ82" i="1"/>
  <c r="CY81" i="1"/>
  <c r="CW81" i="1"/>
  <c r="CT81" i="1"/>
  <c r="BT81" i="1"/>
  <c r="BB81" i="1"/>
  <c r="AK81" i="1"/>
  <c r="AJ81" i="1"/>
  <c r="CY83" i="1"/>
  <c r="CW83" i="1"/>
  <c r="CT83" i="1"/>
  <c r="BT83" i="1"/>
  <c r="BB83" i="1"/>
  <c r="AK83" i="1"/>
  <c r="AJ83" i="1"/>
  <c r="CY80" i="1"/>
  <c r="CW80" i="1"/>
  <c r="CT80" i="1"/>
  <c r="BT80" i="1"/>
  <c r="BB80" i="1"/>
  <c r="AK80" i="1"/>
  <c r="AJ80" i="1"/>
  <c r="CY79" i="1"/>
  <c r="CW79" i="1"/>
  <c r="CT79" i="1"/>
  <c r="BT79" i="1"/>
  <c r="BB79" i="1"/>
  <c r="AK79" i="1"/>
  <c r="AJ79" i="1"/>
  <c r="CY78" i="1"/>
  <c r="CW78" i="1"/>
  <c r="CT78" i="1"/>
  <c r="BT78" i="1"/>
  <c r="BB78" i="1"/>
  <c r="AK78" i="1"/>
  <c r="AJ78" i="1"/>
  <c r="CY541" i="1"/>
  <c r="CW541" i="1"/>
  <c r="CT541" i="1"/>
  <c r="BT541" i="1"/>
  <c r="BB541" i="1"/>
  <c r="AK541" i="1"/>
  <c r="AJ541" i="1"/>
  <c r="CY91" i="1"/>
  <c r="CW91" i="1"/>
  <c r="CT91" i="1"/>
  <c r="BT91" i="1"/>
  <c r="BB91" i="1"/>
  <c r="AK91" i="1"/>
  <c r="AJ91" i="1"/>
  <c r="CY390" i="1"/>
  <c r="CW390" i="1"/>
  <c r="CT390" i="1"/>
  <c r="BT390" i="1"/>
  <c r="BB390" i="1"/>
  <c r="CY730" i="1"/>
  <c r="CW730" i="1"/>
  <c r="CT730" i="1"/>
  <c r="BT730" i="1"/>
  <c r="BB730" i="1"/>
  <c r="AK730" i="1"/>
  <c r="AJ730" i="1"/>
  <c r="CY90" i="1"/>
  <c r="CW90" i="1"/>
  <c r="CT90" i="1"/>
  <c r="BT90" i="1"/>
  <c r="BB90" i="1"/>
  <c r="AK90" i="1"/>
  <c r="AJ90" i="1"/>
  <c r="CY89" i="1"/>
  <c r="CW89" i="1"/>
  <c r="CT89" i="1"/>
  <c r="BT89" i="1"/>
  <c r="BB89" i="1"/>
  <c r="AK89" i="1"/>
  <c r="AJ89" i="1"/>
  <c r="CY88" i="1"/>
  <c r="CW88" i="1"/>
  <c r="CT88" i="1"/>
  <c r="BT88" i="1"/>
  <c r="BB88" i="1"/>
  <c r="AK88" i="1"/>
  <c r="AJ88" i="1"/>
  <c r="CY756" i="1"/>
  <c r="CW756" i="1"/>
  <c r="CT756" i="1"/>
  <c r="BT756" i="1"/>
  <c r="BB756" i="1"/>
  <c r="AK756" i="1"/>
  <c r="AJ756" i="1"/>
  <c r="CY719" i="1"/>
  <c r="CW719" i="1"/>
  <c r="CT719" i="1"/>
  <c r="BT719" i="1"/>
  <c r="BB719" i="1"/>
  <c r="AK719" i="1"/>
  <c r="AJ719" i="1"/>
  <c r="CY87" i="1"/>
  <c r="CW87" i="1"/>
  <c r="CT87" i="1"/>
  <c r="BT87" i="1"/>
  <c r="BB87" i="1"/>
  <c r="AK87" i="1"/>
  <c r="AJ87" i="1"/>
  <c r="CY86" i="1"/>
  <c r="CW86" i="1"/>
  <c r="CT86" i="1"/>
  <c r="BT86" i="1"/>
  <c r="BB86" i="1"/>
  <c r="AK86" i="1"/>
  <c r="AJ86" i="1"/>
</calcChain>
</file>

<file path=xl/sharedStrings.xml><?xml version="1.0" encoding="utf-8"?>
<sst xmlns="http://schemas.openxmlformats.org/spreadsheetml/2006/main" count="44733" uniqueCount="4982">
  <si>
    <t>Assembled contig</t>
  </si>
  <si>
    <t>Assembler output</t>
  </si>
  <si>
    <t>Fasta file</t>
  </si>
  <si>
    <t>Number of sequences</t>
  </si>
  <si>
    <t>Average qual value</t>
  </si>
  <si>
    <t>Percent N</t>
  </si>
  <si>
    <t>Percent AT</t>
  </si>
  <si>
    <t>PA at</t>
  </si>
  <si>
    <t>Reverse?</t>
  </si>
  <si>
    <t>Name of larger sequence</t>
  </si>
  <si>
    <t>PolyA at</t>
  </si>
  <si>
    <t>.</t>
  </si>
  <si>
    <t>N</t>
  </si>
  <si>
    <t>CAFL_P1-017_H03</t>
  </si>
  <si>
    <t>P12-1189375_006_F02</t>
  </si>
  <si>
    <t>P1-1152511_092_C12</t>
  </si>
  <si>
    <t>P10-1189212_049_H07</t>
  </si>
  <si>
    <t>P19-1190160_041_D05</t>
  </si>
  <si>
    <t>P12-1189315_016_A02</t>
  </si>
  <si>
    <t>P13-1189460_023_E03</t>
  </si>
  <si>
    <t>P13-1189466_071_E09</t>
  </si>
  <si>
    <t>CAFM_P2-061_B07</t>
  </si>
  <si>
    <t>CAFL_P1-079_A09</t>
  </si>
  <si>
    <t>P4-1188663_078_B10</t>
  </si>
  <si>
    <t>P2-1190461_036_G06</t>
  </si>
  <si>
    <t>P4-1188688_089_D11</t>
  </si>
  <si>
    <t>P2-1190405_078_B10</t>
  </si>
  <si>
    <t>P4-1188671_044_C06</t>
  </si>
  <si>
    <t>P12-1189318_047_A05</t>
  </si>
  <si>
    <t>P1-1152527_024_E04</t>
  </si>
  <si>
    <t>P5-1188747_080_A10</t>
  </si>
  <si>
    <t>P15-1189738_031_A03</t>
  </si>
  <si>
    <t>P1-1152513_010_D02</t>
  </si>
  <si>
    <t>P16-1189871_026_D04</t>
  </si>
  <si>
    <t>P7-1188979_008_E02</t>
  </si>
  <si>
    <t>P6-1188888_055_E07</t>
  </si>
  <si>
    <t>P20-1190218_031_A03</t>
  </si>
  <si>
    <t>P4-1188721_052_G08</t>
  </si>
  <si>
    <t>P2-1190428_073_D09</t>
  </si>
  <si>
    <t>P17-1189967_026_D04</t>
  </si>
  <si>
    <t>P8-1189086_005_F01</t>
  </si>
  <si>
    <t>P2-1190450_053_F07</t>
  </si>
  <si>
    <t xml:space="preserve"> </t>
  </si>
  <si>
    <t>P10-1189191_070_F10</t>
  </si>
  <si>
    <t>P12-1189362_007_E01</t>
  </si>
  <si>
    <t>P5-1188829_050_H08</t>
  </si>
  <si>
    <t>P19-1190140_077_B09</t>
  </si>
  <si>
    <t>P2-1190384_015_A01</t>
  </si>
  <si>
    <t>P2-1190438_055_E07</t>
  </si>
  <si>
    <t>P6-1188915_068_G10</t>
  </si>
  <si>
    <t>P10-1189128_063_A07</t>
  </si>
  <si>
    <t>P18-1190052_043_C05</t>
  </si>
  <si>
    <t>P14-1189525_062_B08</t>
  </si>
  <si>
    <t>P19-1190204_001_H01</t>
  </si>
  <si>
    <t>P16-1189854_093_B11</t>
  </si>
  <si>
    <t>P10-1189152_059_C07</t>
  </si>
  <si>
    <t>P11-1189235_046_B06</t>
  </si>
  <si>
    <t>P9-1188515_038_F06</t>
  </si>
  <si>
    <t>P2-1190399_030_B04</t>
  </si>
  <si>
    <t>P8-1189093_054_F08</t>
  </si>
  <si>
    <t>P13-1189499_034_H06</t>
  </si>
  <si>
    <t>P8-1189052_027_C03</t>
  </si>
  <si>
    <t>P20-1190230_029_B03</t>
  </si>
  <si>
    <t>P7-1188957_028_C04</t>
  </si>
  <si>
    <t>P1-1152493_046_B06</t>
  </si>
  <si>
    <t>P10-1189164_057_D07</t>
  </si>
  <si>
    <t>P14-1189555_008_E02</t>
  </si>
  <si>
    <t>P5-1188788_023_E03</t>
  </si>
  <si>
    <t>P4-1188669_028_C04</t>
  </si>
  <si>
    <t>P5-1188741_032_A04</t>
  </si>
  <si>
    <t>P15-1189823_018_H04</t>
  </si>
  <si>
    <t>P4-1188723_068_G10</t>
  </si>
  <si>
    <t>P2-1190427_058_D08</t>
  </si>
  <si>
    <t>P9-1188463_014_B02</t>
  </si>
  <si>
    <t>P20-1190255_026_D04</t>
  </si>
  <si>
    <t>P3-1188547_016_A02</t>
  </si>
  <si>
    <t>P2-1190412_043_C05</t>
  </si>
  <si>
    <t>P15-1189794_087_E11</t>
  </si>
  <si>
    <t>P9-1188499_008_E02</t>
  </si>
  <si>
    <t>P7-1188978_007_E01</t>
  </si>
  <si>
    <t>P8-1189036_095_A11</t>
  </si>
  <si>
    <t>P16-1189906_019_G03</t>
  </si>
  <si>
    <t>P11-1189299_068_G10</t>
  </si>
  <si>
    <t>P19-1190134_029_B03</t>
  </si>
  <si>
    <t>P20-1190263_090_D12</t>
  </si>
  <si>
    <t>P14-1189539_076_C10</t>
  </si>
  <si>
    <t>P20-1190299_084_G12</t>
  </si>
  <si>
    <t>P19-1190181_006_F02</t>
  </si>
  <si>
    <t>P6-1188908_019_G03</t>
  </si>
  <si>
    <t>P6-1188922_033_H05</t>
  </si>
  <si>
    <t>P20-1190275_088_E12</t>
  </si>
  <si>
    <t>P20-1190287_086_F12</t>
  </si>
  <si>
    <t>P6-1188851_046_B06</t>
  </si>
  <si>
    <t>P13-1189503_066_H10</t>
  </si>
  <si>
    <t>P8-1189098_003_G01</t>
  </si>
  <si>
    <t>P19-1190151_060_C08</t>
  </si>
  <si>
    <t>P6-1188924_049_H07</t>
  </si>
  <si>
    <t>P3-1188570_011_C01</t>
  </si>
  <si>
    <t>P19-1190159_026_D04</t>
  </si>
  <si>
    <t>CAFM_P2-010_D02</t>
  </si>
  <si>
    <t>P1-1152486_095_A11</t>
  </si>
  <si>
    <t>P8-1189116_049_H07</t>
  </si>
  <si>
    <t>P13-1189421_096_A12</t>
  </si>
  <si>
    <t>P14-1189528_093_B11</t>
  </si>
  <si>
    <t>P18-1190061_010_D02</t>
  </si>
  <si>
    <t>P3-1188585_026_D04</t>
  </si>
  <si>
    <t>P7-1188948_061_B07</t>
  </si>
  <si>
    <t>P4-1188687_074_D10</t>
  </si>
  <si>
    <t>P18-1190030_063_A07</t>
  </si>
  <si>
    <t>CAFM_P2-071_E09</t>
  </si>
  <si>
    <t>P8-1189056_059_C07</t>
  </si>
  <si>
    <t>P8-1189090_037_F05</t>
  </si>
  <si>
    <t>P6-1188861_028_C04</t>
  </si>
  <si>
    <t>P17-1189953_012_C02</t>
  </si>
  <si>
    <t>P11-1189293_020_G04</t>
  </si>
  <si>
    <t>P11-1189226_079_A09</t>
  </si>
  <si>
    <t>CAFL_P1-007_E01</t>
  </si>
  <si>
    <t>P20-1190281_038_F06</t>
  </si>
  <si>
    <t>P10-1189162_041_D05</t>
  </si>
  <si>
    <t>P6-1188840_063_A07</t>
  </si>
  <si>
    <t>P12-1189383_070_F10</t>
  </si>
  <si>
    <t>P4-1188685_058_D08</t>
  </si>
  <si>
    <t>P10-1189149_028_C04</t>
  </si>
  <si>
    <t>P4-1188690_007_E01</t>
  </si>
  <si>
    <t>CAFL_P1-060_C08</t>
  </si>
  <si>
    <t>P18-1190113_034_H06</t>
  </si>
  <si>
    <t>P14-1189515_080_A10</t>
  </si>
  <si>
    <t>P16-1189894_021_F03</t>
  </si>
  <si>
    <t>P11-1189228_095_A11</t>
  </si>
  <si>
    <t>CAFL_P1-067_G09</t>
  </si>
  <si>
    <t>P19-1190194_019_G03</t>
  </si>
  <si>
    <t>P18-1190049_012_C02</t>
  </si>
  <si>
    <t>P8-1189044_061_B07</t>
  </si>
  <si>
    <t>P16-1189880_007_E01</t>
  </si>
  <si>
    <t>P15-1189774_025_D03</t>
  </si>
  <si>
    <t>P2-1190468_001_H01</t>
  </si>
  <si>
    <t>P3-1188576_059_C07</t>
  </si>
  <si>
    <t>P19-1190177_072_E10</t>
  </si>
  <si>
    <t>CAFL_P1-077_B09</t>
  </si>
  <si>
    <t>P16-1189891_088_E12</t>
  </si>
  <si>
    <t>P3-1188637_050_H08</t>
  </si>
  <si>
    <t>P19-1190198_051_G07</t>
  </si>
  <si>
    <t>P11-1189219_016_A02</t>
  </si>
  <si>
    <t>P16-1189919_018_H04</t>
  </si>
  <si>
    <t>P14-1189546_041_D05</t>
  </si>
  <si>
    <t>P1-1152566_049_H07</t>
  </si>
  <si>
    <t>P3-1188552_063_A07</t>
  </si>
  <si>
    <t>P15-1189763_028_C04</t>
  </si>
  <si>
    <t>P5-1188801_022_F04</t>
  </si>
  <si>
    <t>P19-1190156_009_D01</t>
  </si>
  <si>
    <t>P8-1189118_065_H09</t>
  </si>
  <si>
    <t>P4-1188715_004_G02</t>
  </si>
  <si>
    <t>P3-1188562_045_B05</t>
  </si>
  <si>
    <t>P12-1189332_061_B07</t>
  </si>
  <si>
    <t>P13-1189441_060_C08</t>
  </si>
  <si>
    <t>P2-1190385_016_A02</t>
  </si>
  <si>
    <t>P6-1188896_021_F03</t>
  </si>
  <si>
    <t>CAFL_P1-014_B02</t>
  </si>
  <si>
    <t>CAFM_P2-073_D09</t>
  </si>
  <si>
    <t>P15-1189742_063_A07</t>
  </si>
  <si>
    <t>P11-1189222_047_A05</t>
  </si>
  <si>
    <t>P20-1190265_008_E02</t>
  </si>
  <si>
    <t>CAFM_P2-068_G10</t>
  </si>
  <si>
    <t>P14-1189547_042_D06</t>
  </si>
  <si>
    <t>CAFL_P1-028_C04</t>
  </si>
  <si>
    <t>P18-1190083_088_E12</t>
  </si>
  <si>
    <t>P9-1188512_021_F03</t>
  </si>
  <si>
    <t>P7-1188946_045_B05</t>
  </si>
  <si>
    <t>P14-1189574_069_F09</t>
  </si>
  <si>
    <t>P3-1188555_080_A10</t>
  </si>
  <si>
    <t>P11-1189218_015_A01</t>
  </si>
  <si>
    <t>P5-1188807_070_F10</t>
  </si>
  <si>
    <t>P10-1189169_090_D12</t>
  </si>
  <si>
    <t>P4-1188675_076_C10</t>
  </si>
  <si>
    <t>P7-1188930_015_A01</t>
  </si>
  <si>
    <t>P13-1189435_012_C02</t>
  </si>
  <si>
    <t>P16-1189885_040_E06</t>
  </si>
  <si>
    <t>P10-1189192_085_F11</t>
  </si>
  <si>
    <t>P11-1189237_062_B08</t>
  </si>
  <si>
    <t>P5-1188796_087_E11</t>
  </si>
  <si>
    <t>P7-1188996_053_F07</t>
  </si>
  <si>
    <t>P13-1189416_063_A07</t>
  </si>
  <si>
    <t>P3-1188565_062_B08</t>
  </si>
  <si>
    <t>P9-1188461_096_A12</t>
  </si>
  <si>
    <t>P7-1189021_050_H08</t>
  </si>
  <si>
    <t>P7-1189018_033_H05</t>
  </si>
  <si>
    <t>P20-1190257_042_D06</t>
  </si>
  <si>
    <t>P5-1188749_096_A12</t>
  </si>
  <si>
    <t>P16-1189900_069_F09</t>
  </si>
  <si>
    <t>P14-1189519_014_B02</t>
  </si>
  <si>
    <t>CAFL_P1-050_H08</t>
  </si>
  <si>
    <t>P4-1188667_012_C02</t>
  </si>
  <si>
    <t>P9-1188464_029_B03</t>
  </si>
  <si>
    <t>P6-1188914_067_G09</t>
  </si>
  <si>
    <t>CAFL_P1-072_E10</t>
  </si>
  <si>
    <t>CAFL_P1-066_H10</t>
  </si>
  <si>
    <t>P1-1152531_056_E08</t>
  </si>
  <si>
    <t>P1-1152570_081_H11</t>
  </si>
  <si>
    <t>P4-1188681_026_D04</t>
  </si>
  <si>
    <t>P14-1189522_045_B05</t>
  </si>
  <si>
    <t>P3-1188621_020_G04</t>
  </si>
  <si>
    <t>P16-1189920_033_H05</t>
  </si>
  <si>
    <t>P4-1188719_036_G06</t>
  </si>
  <si>
    <t>P8-1189068_057_D07</t>
  </si>
  <si>
    <t>P9-1188471_078_B10</t>
  </si>
  <si>
    <t>P18-1190043_062_B08</t>
  </si>
  <si>
    <t>P3-1188558_013_B01</t>
  </si>
  <si>
    <t>P13-1189451_042_D06</t>
  </si>
  <si>
    <t>P2-1190473_034_H06</t>
  </si>
  <si>
    <t>P9-1188498_007_E01</t>
  </si>
  <si>
    <t>P10-1189159_010_D02</t>
  </si>
  <si>
    <t>P12-1189370_071_E09</t>
  </si>
  <si>
    <t>P10-1189193_086_F12</t>
  </si>
  <si>
    <t>P9-1188541_050_H08</t>
  </si>
  <si>
    <t>CAFM_P2-049_H07</t>
  </si>
  <si>
    <t>CAFL_P1-057_D07</t>
  </si>
  <si>
    <t>P5-1188793_056_E08</t>
  </si>
  <si>
    <t>P10-1189176_055_E07</t>
  </si>
  <si>
    <t>CAFL_P1-088_E12</t>
  </si>
  <si>
    <t>P10-1189203_068_G10</t>
  </si>
  <si>
    <t>P1-1152489_014_B02</t>
  </si>
  <si>
    <t>P1-1152500_011_C01</t>
  </si>
  <si>
    <t>P5-1188802_037_F05</t>
  </si>
  <si>
    <t>P3-1188583_010_D02</t>
  </si>
  <si>
    <t>P8-1189091_038_F06</t>
  </si>
  <si>
    <t>P14-1189572_053_F07</t>
  </si>
  <si>
    <t>P17-1189985_072_E10</t>
  </si>
  <si>
    <t>P8-1189045_062_B08</t>
  </si>
  <si>
    <t>P14-1189590_001_H01</t>
  </si>
  <si>
    <t>P7-1188975_074_D10</t>
  </si>
  <si>
    <t>P16-1189849_046_B06</t>
  </si>
  <si>
    <t>P11-1189264_089_D11</t>
  </si>
  <si>
    <t>P17-1190021_066_H10</t>
  </si>
  <si>
    <t>P6-1188847_014_B02</t>
  </si>
  <si>
    <t>P8-1189079_040_E06</t>
  </si>
  <si>
    <t>P15-1189821_002_H02</t>
  </si>
  <si>
    <t>P17-1189991_022_F04</t>
  </si>
  <si>
    <t>P17-1189973_074_D10</t>
  </si>
  <si>
    <t>P7-1188947_046_B06</t>
  </si>
  <si>
    <t>P16-1189874_057_D07</t>
  </si>
  <si>
    <t>P3-1188568_093_B11</t>
  </si>
  <si>
    <t>P6-1188865_060_C08</t>
  </si>
  <si>
    <t>P7-1188998_069_F09</t>
  </si>
  <si>
    <t>P2-1190419_092_C12</t>
  </si>
  <si>
    <t>P4-1188725_084_G12</t>
  </si>
  <si>
    <t>P5-1188790_039_E05</t>
  </si>
  <si>
    <t>P3-1188549_032_A04</t>
  </si>
  <si>
    <t>P19-1190167_090_D12</t>
  </si>
  <si>
    <t>P7-1189002_003_G01</t>
  </si>
  <si>
    <t>P9-1188532_083_G11</t>
  </si>
  <si>
    <t>P4-1188683_042_D06</t>
  </si>
  <si>
    <t>P7-1188942_013_B01</t>
  </si>
  <si>
    <t>P8-1189111_002_H02</t>
  </si>
  <si>
    <t>P5-1188771_076_C10</t>
  </si>
  <si>
    <t>P12-1189344_059_C07</t>
  </si>
  <si>
    <t>P5-1188792_055_E07</t>
  </si>
  <si>
    <t>P16-1189921_034_H06</t>
  </si>
  <si>
    <t>P18-1190104_067_G09</t>
  </si>
  <si>
    <t>P7-1189020_049_H07</t>
  </si>
  <si>
    <t>P9-1188543_066_H10</t>
  </si>
  <si>
    <t>P12-1189387_004_G02</t>
  </si>
  <si>
    <t>CAFM_P2-016_A02</t>
  </si>
  <si>
    <t>CAFM_P2-047_A05</t>
  </si>
  <si>
    <t>CAFM_P2-048_A06</t>
  </si>
  <si>
    <t>CAFM_P2-064_A08</t>
  </si>
  <si>
    <t>CAFM_P2-095_A11</t>
  </si>
  <si>
    <t>CAFM_P2-013_B01</t>
  </si>
  <si>
    <t>CAFM_P2-030_B04</t>
  </si>
  <si>
    <t>CAFM_P2-045_B05</t>
  </si>
  <si>
    <t>CAFM_P2-046_B06</t>
  </si>
  <si>
    <t>CAFM_P2-062_B08</t>
  </si>
  <si>
    <t>CAFM_P2-078_B10</t>
  </si>
  <si>
    <t>CAFM_P2-012_C02</t>
  </si>
  <si>
    <t>CAFM_P2-043_C05</t>
  </si>
  <si>
    <t>CAFM_P2-059_C07</t>
  </si>
  <si>
    <t>CAFM_P2-060_C08</t>
  </si>
  <si>
    <t>CAFM_P2-075_C09</t>
  </si>
  <si>
    <t>CAFM_P2-091_C11</t>
  </si>
  <si>
    <t>CAFM_P2-092_C12</t>
  </si>
  <si>
    <t>CAFM_P2-009_D01</t>
  </si>
  <si>
    <t>CAFM_P2-025_D03</t>
  </si>
  <si>
    <t>CAFM_P2-041_D05</t>
  </si>
  <si>
    <t>CAFM_P2-089_D11</t>
  </si>
  <si>
    <t>CAFM_P2-007_E01</t>
  </si>
  <si>
    <t>CAFM_P2-040_E06</t>
  </si>
  <si>
    <t>CAFM_P2-055_E07</t>
  </si>
  <si>
    <t>CAFM_P2-088_E12</t>
  </si>
  <si>
    <t>CAFM_P2-005_F01</t>
  </si>
  <si>
    <t>CAFM_P2-037_F05</t>
  </si>
  <si>
    <t>CAFM_P2-054_F08</t>
  </si>
  <si>
    <t>CAFM_P2-085_F11</t>
  </si>
  <si>
    <t>CAFM_P2-086_F12</t>
  </si>
  <si>
    <t>CAFM_P2-052_G08</t>
  </si>
  <si>
    <t>CAFM_P2-083_G11</t>
  </si>
  <si>
    <t>CAFM_P2-033_H05</t>
  </si>
  <si>
    <t>CAFM_P2-034_H06</t>
  </si>
  <si>
    <t>CAFM_P2-050_H08</t>
  </si>
  <si>
    <t>CAFM_P2-065_H09</t>
  </si>
  <si>
    <t>CAFM_P2-066_H10</t>
  </si>
  <si>
    <t>CAFL_P1-016_A02</t>
  </si>
  <si>
    <t>CAFL_P1-096_A12</t>
  </si>
  <si>
    <t>CAFL_P1-029_B03</t>
  </si>
  <si>
    <t>CAFL_P1-046_B06</t>
  </si>
  <si>
    <t>CAFL_P1-061_B07</t>
  </si>
  <si>
    <t>CAFL_P1-078_B10</t>
  </si>
  <si>
    <t>CAFL_P1-093_B11</t>
  </si>
  <si>
    <t>CAFL_P1-012_C02</t>
  </si>
  <si>
    <t>CAFL_P1-027_C03</t>
  </si>
  <si>
    <t>CAFL_P1-043_C05</t>
  </si>
  <si>
    <t>CAFL_P1-059_C07</t>
  </si>
  <si>
    <t>CAFL_P1-075_C09</t>
  </si>
  <si>
    <t>CAFL_P1-076_C10</t>
  </si>
  <si>
    <t>CAFL_P1-091_C11</t>
  </si>
  <si>
    <t>CAFL_P1-010_D02</t>
  </si>
  <si>
    <t>CAFL_P1-025_D03</t>
  </si>
  <si>
    <t>CAFL_P1-073_D09</t>
  </si>
  <si>
    <t>CAFL_P1-074_D10</t>
  </si>
  <si>
    <t>CAFL_P1-089_D11</t>
  </si>
  <si>
    <t>CAFL_P1-090_D12</t>
  </si>
  <si>
    <t>CAFL_P1-023_E03</t>
  </si>
  <si>
    <t>CAFL_P1-040_E06</t>
  </si>
  <si>
    <t>CAFL_P1-055_E07</t>
  </si>
  <si>
    <t>CAFL_P1-071_E09</t>
  </si>
  <si>
    <t>CAFL_P1-087_E11</t>
  </si>
  <si>
    <t>CAFL_P1-005_F01</t>
  </si>
  <si>
    <t>CAFL_P1-006_F02</t>
  </si>
  <si>
    <t>CAFL_P1-022_F04</t>
  </si>
  <si>
    <t>CAFL_P1-038_F06</t>
  </si>
  <si>
    <t>CAFL_P1-053_F07</t>
  </si>
  <si>
    <t>CAFL_P1-054_F08</t>
  </si>
  <si>
    <t>CAFL_P1-069_F09</t>
  </si>
  <si>
    <t>CAFL_P1-004_G02</t>
  </si>
  <si>
    <t>CAFL_P1-019_G03</t>
  </si>
  <si>
    <t>CAFL_P1-083_G11</t>
  </si>
  <si>
    <t>CAFL_P1-084_G12</t>
  </si>
  <si>
    <t>CAFL_P1-002_H02</t>
  </si>
  <si>
    <t>CAFL_P1-033_H05</t>
  </si>
  <si>
    <t>P1-1152482_063_A07</t>
  </si>
  <si>
    <t>P1-1152484_079_A09</t>
  </si>
  <si>
    <t>P1-1152487_096_A12</t>
  </si>
  <si>
    <t>P1-1152488_013_B01</t>
  </si>
  <si>
    <t>P1-1152492_045_B05</t>
  </si>
  <si>
    <t>P1-1152495_062_B08</t>
  </si>
  <si>
    <t>P1-1152496_077_B09</t>
  </si>
  <si>
    <t>P1-1152497_078_B10</t>
  </si>
  <si>
    <t>P1-1152499_094_B12</t>
  </si>
  <si>
    <t>P1-1152510_091_C11</t>
  </si>
  <si>
    <t>P1-1152514_025_D03</t>
  </si>
  <si>
    <t>P1-1152530_055_E07</t>
  </si>
  <si>
    <t>P1-1152532_071_E09</t>
  </si>
  <si>
    <t>P1-1152533_072_E10</t>
  </si>
  <si>
    <t>P1-1152536_005_F01</t>
  </si>
  <si>
    <t>P1-1152541_038_F06</t>
  </si>
  <si>
    <t>P1-1152546_085_F11</t>
  </si>
  <si>
    <t>P1-1152549_004_G02</t>
  </si>
  <si>
    <t>P1-1152551_020_G04</t>
  </si>
  <si>
    <t>P1-1152555_052_G08</t>
  </si>
  <si>
    <t>P1-1152556_067_G09</t>
  </si>
  <si>
    <t>P1-1152558_083_G11</t>
  </si>
  <si>
    <t>P1-1152560_001_H01</t>
  </si>
  <si>
    <t>P1-1152561_002_H02</t>
  </si>
  <si>
    <t>P1-1152562_017_H03</t>
  </si>
  <si>
    <t>P1-1152564_033_H05</t>
  </si>
  <si>
    <t>P1-1152567_050_H08</t>
  </si>
  <si>
    <t>P1-1152569_066_H10</t>
  </si>
  <si>
    <t>P14-1189506_015_A01</t>
  </si>
  <si>
    <t>P14-1189508_031_A03</t>
  </si>
  <si>
    <t>P14-1189509_032_A04</t>
  </si>
  <si>
    <t>P14-1189516_095_A11</t>
  </si>
  <si>
    <t>P14-1189518_013_B01</t>
  </si>
  <si>
    <t>P14-1189520_029_B03</t>
  </si>
  <si>
    <t>P14-1189521_030_B04</t>
  </si>
  <si>
    <t>P14-1189531_012_C02</t>
  </si>
  <si>
    <t>P14-1189537_060_C08</t>
  </si>
  <si>
    <t>P14-1189538_075_C09</t>
  </si>
  <si>
    <t>P14-1189540_091_C11</t>
  </si>
  <si>
    <t>P14-1189552_089_D11</t>
  </si>
  <si>
    <t>P14-1189553_090_D12</t>
  </si>
  <si>
    <t>P14-1189561_056_E08</t>
  </si>
  <si>
    <t>P14-1189570_037_F05</t>
  </si>
  <si>
    <t>P14-1189573_054_F08</t>
  </si>
  <si>
    <t>P14-1189575_070_F10</t>
  </si>
  <si>
    <t>P14-1189577_086_F12</t>
  </si>
  <si>
    <t>P14-1189579_004_G02</t>
  </si>
  <si>
    <t>P14-1189587_068_G10</t>
  </si>
  <si>
    <t>P14-1189588_083_G11</t>
  </si>
  <si>
    <t>P14-1189589_084_G12</t>
  </si>
  <si>
    <t>P14-1189591_002_H02</t>
  </si>
  <si>
    <t>P14-1189592_017_H03</t>
  </si>
  <si>
    <t>P14-1189596_049_H07</t>
  </si>
  <si>
    <t>P14-1189598_065_H09</t>
  </si>
  <si>
    <t>P15-1189741_048_A06</t>
  </si>
  <si>
    <t>P15-1189747_096_A12</t>
  </si>
  <si>
    <t>P15-1189754_061_B07</t>
  </si>
  <si>
    <t>P15-1189755_062_B08</t>
  </si>
  <si>
    <t>P15-1189757_078_B10</t>
  </si>
  <si>
    <t>P15-1189758_093_B11</t>
  </si>
  <si>
    <t>P15-1189760_011_C01</t>
  </si>
  <si>
    <t>P15-1189761_012_C02</t>
  </si>
  <si>
    <t>P15-1189762_027_C03</t>
  </si>
  <si>
    <t>P15-1189769_076_C10</t>
  </si>
  <si>
    <t>P15-1189773_010_D02</t>
  </si>
  <si>
    <t>P15-1189779_058_D08</t>
  </si>
  <si>
    <t>P15-1189780_073_D09</t>
  </si>
  <si>
    <t>P15-1189782_089_D11</t>
  </si>
  <si>
    <t>P15-1189784_007_E01</t>
  </si>
  <si>
    <t>P15-1189785_008_E02</t>
  </si>
  <si>
    <t>P15-1189787_024_E04</t>
  </si>
  <si>
    <t>P15-1189796_005_F01</t>
  </si>
  <si>
    <t>P15-1189797_006_F02</t>
  </si>
  <si>
    <t>P15-1189802_053_F07</t>
  </si>
  <si>
    <t>P15-1189810_019_G03</t>
  </si>
  <si>
    <t>P15-1189815_052_G08</t>
  </si>
  <si>
    <t>P15-1189816_067_G09</t>
  </si>
  <si>
    <t>P15-1189824_033_H05</t>
  </si>
  <si>
    <t>P15-1189826_049_H07</t>
  </si>
  <si>
    <t>P15-1189827_050_H08</t>
  </si>
  <si>
    <t>P16-1189835_032_A04</t>
  </si>
  <si>
    <t>P16-1189836_047_A05</t>
  </si>
  <si>
    <t>P16-1189838_063_A07</t>
  </si>
  <si>
    <t>P16-1189840_079_A09</t>
  </si>
  <si>
    <t>P16-1189843_096_A12</t>
  </si>
  <si>
    <t>P16-1189845_014_B02</t>
  </si>
  <si>
    <t>P16-1189858_027_C03</t>
  </si>
  <si>
    <t>P16-1189860_043_C05</t>
  </si>
  <si>
    <t>P16-1189861_044_C06</t>
  </si>
  <si>
    <t>P16-1189864_075_C09</t>
  </si>
  <si>
    <t>P16-1189873_042_D06</t>
  </si>
  <si>
    <t>P16-1189877_074_D10</t>
  </si>
  <si>
    <t>P16-1189889_072_E10</t>
  </si>
  <si>
    <t>P16-1189893_006_F02</t>
  </si>
  <si>
    <t>P16-1189895_022_F04</t>
  </si>
  <si>
    <t>P16-1189896_037_F05</t>
  </si>
  <si>
    <t>P16-1189901_070_F10</t>
  </si>
  <si>
    <t>P16-1189909_036_G06</t>
  </si>
  <si>
    <t>P16-1189914_083_G11</t>
  </si>
  <si>
    <t>P16-1189915_084_G12</t>
  </si>
  <si>
    <t>P16-1189922_049_H07</t>
  </si>
  <si>
    <t>P17-1189929_016_A02</t>
  </si>
  <si>
    <t>P17-1189934_063_A07</t>
  </si>
  <si>
    <t>P17-1189937_080_A10</t>
  </si>
  <si>
    <t>P17-1189942_029_B03</t>
  </si>
  <si>
    <t>P17-1189943_030_B04</t>
  </si>
  <si>
    <t>P17-1189950_093_B11</t>
  </si>
  <si>
    <t>P17-1189952_011_C01</t>
  </si>
  <si>
    <t>P17-1189958_059_C07</t>
  </si>
  <si>
    <t>P17-1189960_075_C09</t>
  </si>
  <si>
    <t>P17-1189961_076_C10</t>
  </si>
  <si>
    <t>P17-1189962_091_C11</t>
  </si>
  <si>
    <t>P17-1189964_009_D01</t>
  </si>
  <si>
    <t>P17-1189966_025_D03</t>
  </si>
  <si>
    <t>P17-1189980_039_E05</t>
  </si>
  <si>
    <t>P17-1189984_071_E09</t>
  </si>
  <si>
    <t>P17-1189989_006_F02</t>
  </si>
  <si>
    <t>P17-1189992_037_F05</t>
  </si>
  <si>
    <t>P17-1189994_053_F07</t>
  </si>
  <si>
    <t>P17-1190007_052_G08</t>
  </si>
  <si>
    <t>P17-1190008_067_G09</t>
  </si>
  <si>
    <t>P17-1190010_083_G11</t>
  </si>
  <si>
    <t>P17-1190015_018_H04</t>
  </si>
  <si>
    <t>P18-1190031_064_A08</t>
  </si>
  <si>
    <t>P18-1190037_014_B02</t>
  </si>
  <si>
    <t>P18-1190038_029_B03</t>
  </si>
  <si>
    <t>P18-1190040_045_B05</t>
  </si>
  <si>
    <t>P18-1190041_046_B06</t>
  </si>
  <si>
    <t>P18-1190045_078_B10</t>
  </si>
  <si>
    <t>P18-1190050_027_C03</t>
  </si>
  <si>
    <t>P18-1190051_028_C04</t>
  </si>
  <si>
    <t>P18-1190059_092_C12</t>
  </si>
  <si>
    <t>P18-1190063_026_D04</t>
  </si>
  <si>
    <t>P18-1190071_090_D12</t>
  </si>
  <si>
    <t>P18-1190073_008_E02</t>
  </si>
  <si>
    <t>P18-1190076_039_E05</t>
  </si>
  <si>
    <t>P18-1190079_056_E08</t>
  </si>
  <si>
    <t>P18-1190081_072_E10</t>
  </si>
  <si>
    <t>P18-1190088_037_F05</t>
  </si>
  <si>
    <t>P18-1190089_038_F06</t>
  </si>
  <si>
    <t>P18-1190100_035_G05</t>
  </si>
  <si>
    <t>P18-1190105_068_G10</t>
  </si>
  <si>
    <t>P18-1190112_033_H05</t>
  </si>
  <si>
    <t>P18-1190114_049_H07</t>
  </si>
  <si>
    <t>P18-1190115_050_H08</t>
  </si>
  <si>
    <t>P19-1190121_016_A02</t>
  </si>
  <si>
    <t>P19-1190122_031_A03</t>
  </si>
  <si>
    <t>P19-1190125_048_A06</t>
  </si>
  <si>
    <t>P19-1190127_064_A08</t>
  </si>
  <si>
    <t>P19-1190132_013_B01</t>
  </si>
  <si>
    <t>P19-1190136_045_B05</t>
  </si>
  <si>
    <t>P19-1190142_093_B11</t>
  </si>
  <si>
    <t>P19-1190150_059_C07</t>
  </si>
  <si>
    <t>P19-1190158_025_D03</t>
  </si>
  <si>
    <t>P19-1190162_057_D07</t>
  </si>
  <si>
    <t>P19-1190169_008_E02</t>
  </si>
  <si>
    <t>P19-1190176_071_E09</t>
  </si>
  <si>
    <t>P19-1190178_087_E11</t>
  </si>
  <si>
    <t>P19-1190184_037_F05</t>
  </si>
  <si>
    <t>P19-1190185_038_F06</t>
  </si>
  <si>
    <t>P19-1190189_070_F10</t>
  </si>
  <si>
    <t>P19-1190191_086_F12</t>
  </si>
  <si>
    <t>P19-1190192_003_G01</t>
  </si>
  <si>
    <t>P19-1190195_020_G04</t>
  </si>
  <si>
    <t>P19-1190196_035_G05</t>
  </si>
  <si>
    <t>P19-1190197_036_G06</t>
  </si>
  <si>
    <t>P19-1190199_052_G08</t>
  </si>
  <si>
    <t>P19-1190200_067_G09</t>
  </si>
  <si>
    <t>P19-1190201_068_G10</t>
  </si>
  <si>
    <t>P19-1190205_002_H02</t>
  </si>
  <si>
    <t>P19-1190208_033_H05</t>
  </si>
  <si>
    <t>P20-1190219_032_A04</t>
  </si>
  <si>
    <t>P20-1190222_063_A07</t>
  </si>
  <si>
    <t>P20-1190224_079_A09</t>
  </si>
  <si>
    <t>P20-1190227_096_A12</t>
  </si>
  <si>
    <t>P20-1190234_061_B07</t>
  </si>
  <si>
    <t>P20-1190241_012_C02</t>
  </si>
  <si>
    <t>P20-1190242_027_C03</t>
  </si>
  <si>
    <t>P20-1190253_010_D02</t>
  </si>
  <si>
    <t>P20-1190254_025_D03</t>
  </si>
  <si>
    <t>P20-1190260_073_D09</t>
  </si>
  <si>
    <t>P20-1190269_040_E06</t>
  </si>
  <si>
    <t>P20-1190280_037_F05</t>
  </si>
  <si>
    <t>P20-1190289_004_G02</t>
  </si>
  <si>
    <t>P20-1190292_035_G05</t>
  </si>
  <si>
    <t>P20-1190293_036_G06</t>
  </si>
  <si>
    <t>P20-1190294_051_G07</t>
  </si>
  <si>
    <t>P20-1190303_018_H04</t>
  </si>
  <si>
    <t>P20-1190305_034_H06</t>
  </si>
  <si>
    <t>P20-1190306_049_H07</t>
  </si>
  <si>
    <t>P20-1190308_065_H09</t>
  </si>
  <si>
    <t>P2-1190391_064_A08</t>
  </si>
  <si>
    <t>P2-1190397_014_B02</t>
  </si>
  <si>
    <t>P2-1190398_029_B03</t>
  </si>
  <si>
    <t>P2-1190402_061_B07</t>
  </si>
  <si>
    <t>P2-1190409_012_C02</t>
  </si>
  <si>
    <t>P2-1190413_044_C06</t>
  </si>
  <si>
    <t>P2-1190415_060_C08</t>
  </si>
  <si>
    <t>P2-1190420_009_D01</t>
  </si>
  <si>
    <t>P2-1190425_042_D06</t>
  </si>
  <si>
    <t>P2-1190429_074_D10</t>
  </si>
  <si>
    <t>P2-1190430_089_D11</t>
  </si>
  <si>
    <t>P2-1190431_090_D12</t>
  </si>
  <si>
    <t>P2-1190432_007_E01</t>
  </si>
  <si>
    <t>P2-1190435_024_E04</t>
  </si>
  <si>
    <t>P2-1190441_072_E10</t>
  </si>
  <si>
    <t>P2-1190445_006_F02</t>
  </si>
  <si>
    <t>P2-1190457_004_G02</t>
  </si>
  <si>
    <t>P2-1190458_019_G03</t>
  </si>
  <si>
    <t>P2-1190459_020_G04</t>
  </si>
  <si>
    <t>P2-1190464_067_G09</t>
  </si>
  <si>
    <t>P2-1190467_084_G12</t>
  </si>
  <si>
    <t>P2-1190470_017_H03</t>
  </si>
  <si>
    <t>P2-1190471_018_H04</t>
  </si>
  <si>
    <t>P2-1190472_033_H05</t>
  </si>
  <si>
    <t>P2-1190475_050_H08</t>
  </si>
  <si>
    <t>P3-1188546_015_A01</t>
  </si>
  <si>
    <t>P3-1188548_031_A03</t>
  </si>
  <si>
    <t>P3-1188554_079_A09</t>
  </si>
  <si>
    <t>P3-1188556_095_A11</t>
  </si>
  <si>
    <t>P3-1188560_029_B03</t>
  </si>
  <si>
    <t>P3-1188561_030_B04</t>
  </si>
  <si>
    <t>P3-1188574_043_C05</t>
  </si>
  <si>
    <t>P3-1188579_076_C10</t>
  </si>
  <si>
    <t>P3-1188588_057_D07</t>
  </si>
  <si>
    <t>P3-1188589_058_D08</t>
  </si>
  <si>
    <t>P3-1188598_039_E05</t>
  </si>
  <si>
    <t>P3-1188600_055_E07</t>
  </si>
  <si>
    <t>P3-1188603_072_E10</t>
  </si>
  <si>
    <t>P3-1188606_005_F01</t>
  </si>
  <si>
    <t>P3-1188607_006_F02</t>
  </si>
  <si>
    <t>P3-1188609_022_F04</t>
  </si>
  <si>
    <t>P3-1188612_053_F07</t>
  </si>
  <si>
    <t>P3-1188615_070_F10</t>
  </si>
  <si>
    <t>P3-1188618_003_G01</t>
  </si>
  <si>
    <t>P3-1188619_004_G02</t>
  </si>
  <si>
    <t>P3-1188623_036_G06</t>
  </si>
  <si>
    <t>P3-1188626_067_G09</t>
  </si>
  <si>
    <t>P3-1188630_001_H01</t>
  </si>
  <si>
    <t>P3-1188633_018_H04</t>
  </si>
  <si>
    <t>P3-1188634_033_H05</t>
  </si>
  <si>
    <t>P3-1188638_065_H09</t>
  </si>
  <si>
    <t>P4-1188644_031_A03</t>
  </si>
  <si>
    <t>P4-1188645_032_A04</t>
  </si>
  <si>
    <t>P4-1188646_047_A05</t>
  </si>
  <si>
    <t>P4-1188653_096_A12</t>
  </si>
  <si>
    <t>P4-1188656_029_B03</t>
  </si>
  <si>
    <t>P4-1188658_045_B05</t>
  </si>
  <si>
    <t>P4-1188668_027_C03</t>
  </si>
  <si>
    <t>P4-1188676_091_C11</t>
  </si>
  <si>
    <t>P4-1188680_025_D03</t>
  </si>
  <si>
    <t>P4-1188694_039_E05</t>
  </si>
  <si>
    <t>P4-1188696_055_E07</t>
  </si>
  <si>
    <t>P4-1188700_087_E11</t>
  </si>
  <si>
    <t>P4-1188705_022_F04</t>
  </si>
  <si>
    <t>P4-1188706_037_F05</t>
  </si>
  <si>
    <t>P4-1188708_053_F07</t>
  </si>
  <si>
    <t>P4-1188717_020_G04</t>
  </si>
  <si>
    <t>P4-1188718_035_G05</t>
  </si>
  <si>
    <t>P4-1188720_051_G07</t>
  </si>
  <si>
    <t>P4-1188731_034_H06</t>
  </si>
  <si>
    <t>P4-1188732_049_H07</t>
  </si>
  <si>
    <t>P4-1188734_065_H09</t>
  </si>
  <si>
    <t>P5-1188739_016_A02</t>
  </si>
  <si>
    <t>P5-1188740_031_A03</t>
  </si>
  <si>
    <t>P5-1188748_095_A11</t>
  </si>
  <si>
    <t>P5-1188755_046_B06</t>
  </si>
  <si>
    <t>P5-1188761_094_B12</t>
  </si>
  <si>
    <t>P5-1188765_028_C04</t>
  </si>
  <si>
    <t>P5-1188772_091_C11</t>
  </si>
  <si>
    <t>P5-1188775_010_D02</t>
  </si>
  <si>
    <t>P5-1188776_025_D03</t>
  </si>
  <si>
    <t>P5-1188777_026_D04</t>
  </si>
  <si>
    <t>P5-1188778_041_D05</t>
  </si>
  <si>
    <t>P5-1188780_057_D07</t>
  </si>
  <si>
    <t>P5-1188781_058_D08</t>
  </si>
  <si>
    <t>P5-1188782_073_D09</t>
  </si>
  <si>
    <t>P5-1188783_074_D10</t>
  </si>
  <si>
    <t>P5-1188784_089_D11</t>
  </si>
  <si>
    <t>P5-1188785_090_D12</t>
  </si>
  <si>
    <t>P5-1188786_007_E01</t>
  </si>
  <si>
    <t>P5-1188789_024_E04</t>
  </si>
  <si>
    <t>P5-1188805_054_F08</t>
  </si>
  <si>
    <t>P5-1188808_085_F11</t>
  </si>
  <si>
    <t>P5-1188821_084_G12</t>
  </si>
  <si>
    <t>P5-1188824_017_H03</t>
  </si>
  <si>
    <t>P5-1188826_033_H05</t>
  </si>
  <si>
    <t>P5-1188830_065_H09</t>
  </si>
  <si>
    <t>P6-1188835_016_A02</t>
  </si>
  <si>
    <t>P6-1188837_032_A04</t>
  </si>
  <si>
    <t>P6-1188845_096_A12</t>
  </si>
  <si>
    <t>P6-1188846_013_B01</t>
  </si>
  <si>
    <t>P6-1188859_012_C02</t>
  </si>
  <si>
    <t>P6-1188869_092_C12</t>
  </si>
  <si>
    <t>P6-1188870_009_D01</t>
  </si>
  <si>
    <t>P6-1188871_010_D02</t>
  </si>
  <si>
    <t>P6-1188873_026_D04</t>
  </si>
  <si>
    <t>P6-1188874_041_D05</t>
  </si>
  <si>
    <t>P6-1188875_042_D06</t>
  </si>
  <si>
    <t>P6-1188890_071_E09</t>
  </si>
  <si>
    <t>P6-1188894_005_F01</t>
  </si>
  <si>
    <t>P6-1188895_006_F02</t>
  </si>
  <si>
    <t>P6-1188899_038_F06</t>
  </si>
  <si>
    <t>P6-1188904_085_F11</t>
  </si>
  <si>
    <t>P6-1188905_086_F12</t>
  </si>
  <si>
    <t>P6-1188910_035_G05</t>
  </si>
  <si>
    <t>P6-1188911_036_G06</t>
  </si>
  <si>
    <t>P6-1188920_017_H03</t>
  </si>
  <si>
    <t>P6-1188923_034_H06</t>
  </si>
  <si>
    <t>P6-1188926_065_H09</t>
  </si>
  <si>
    <t>P6-1188927_066_H10</t>
  </si>
  <si>
    <t>P7-1188931_016_A02</t>
  </si>
  <si>
    <t>P7-1188937_064_A08</t>
  </si>
  <si>
    <t>P7-1188956_027_C03</t>
  </si>
  <si>
    <t>P7-1188958_043_C05</t>
  </si>
  <si>
    <t>P7-1188964_091_C11</t>
  </si>
  <si>
    <t>P7-1188965_092_C12</t>
  </si>
  <si>
    <t>P7-1188974_073_D09</t>
  </si>
  <si>
    <t>P7-1188982_039_E05</t>
  </si>
  <si>
    <t>P7-1188987_072_E10</t>
  </si>
  <si>
    <t>P7-1188989_088_E12</t>
  </si>
  <si>
    <t>P7-1188990_005_F01</t>
  </si>
  <si>
    <t>P7-1189006_035_G05</t>
  </si>
  <si>
    <t>P7-1189008_051_G07</t>
  </si>
  <si>
    <t>P7-1189011_068_G10</t>
  </si>
  <si>
    <t>P7-1189012_083_G11</t>
  </si>
  <si>
    <t>P7-1189013_084_G12</t>
  </si>
  <si>
    <t>P7-1189014_001_H01</t>
  </si>
  <si>
    <t>P7-1189015_002_H02</t>
  </si>
  <si>
    <t>P8-1189028_031_A03</t>
  </si>
  <si>
    <t>P8-1189031_048_A06</t>
  </si>
  <si>
    <t>P8-1189032_063_A07</t>
  </si>
  <si>
    <t>P8-1189043_046_B06</t>
  </si>
  <si>
    <t>P8-1189048_093_B11</t>
  </si>
  <si>
    <t>P8-1189058_075_C09</t>
  </si>
  <si>
    <t>P8-1189062_009_D01</t>
  </si>
  <si>
    <t>P8-1189063_010_D02</t>
  </si>
  <si>
    <t>P8-1189064_025_D03</t>
  </si>
  <si>
    <t>P8-1189066_041_D05</t>
  </si>
  <si>
    <t>P8-1189070_073_D09</t>
  </si>
  <si>
    <t>P8-1189072_089_D11</t>
  </si>
  <si>
    <t>P8-1189074_007_E01</t>
  </si>
  <si>
    <t>P8-1189080_055_E07</t>
  </si>
  <si>
    <t>P8-1189084_087_E11</t>
  </si>
  <si>
    <t>P8-1189085_088_E12</t>
  </si>
  <si>
    <t>P8-1189087_006_F02</t>
  </si>
  <si>
    <t>P8-1189088_021_F03</t>
  </si>
  <si>
    <t>P8-1189094_069_F09</t>
  </si>
  <si>
    <t>P8-1189107_068_G10</t>
  </si>
  <si>
    <t>P8-1189109_084_G12</t>
  </si>
  <si>
    <t>P8-1189110_001_H01</t>
  </si>
  <si>
    <t>P8-1189112_017_H03</t>
  </si>
  <si>
    <t>P8-1189115_034_H06</t>
  </si>
  <si>
    <t>P8-1189119_066_H10</t>
  </si>
  <si>
    <t>P9-1188450_015_A01</t>
  </si>
  <si>
    <t>P9-1188451_016_A02</t>
  </si>
  <si>
    <t>P9-1188453_032_A04</t>
  </si>
  <si>
    <t>P9-1188455_048_A06</t>
  </si>
  <si>
    <t>P9-1188459_080_A10</t>
  </si>
  <si>
    <t>P9-1188460_095_A11</t>
  </si>
  <si>
    <t>P9-1188465_030_B04</t>
  </si>
  <si>
    <t>P9-1188470_077_B09</t>
  </si>
  <si>
    <t>P9-1188472_093_B11</t>
  </si>
  <si>
    <t>P9-1188473_094_B12</t>
  </si>
  <si>
    <t>P9-1188475_012_C02</t>
  </si>
  <si>
    <t>P9-1188476_027_C03</t>
  </si>
  <si>
    <t>P9-1188477_028_C04</t>
  </si>
  <si>
    <t>P9-1188481_060_C08</t>
  </si>
  <si>
    <t>P9-1188485_092_C12</t>
  </si>
  <si>
    <t>P9-1188486_009_D01</t>
  </si>
  <si>
    <t>P9-1188487_010_D02</t>
  </si>
  <si>
    <t>P9-1188489_026_D04</t>
  </si>
  <si>
    <t>P9-1188507_072_E10</t>
  </si>
  <si>
    <t>P9-1188511_006_F02</t>
  </si>
  <si>
    <t>P9-1188514_037_F05</t>
  </si>
  <si>
    <t>P9-1188516_053_F07</t>
  </si>
  <si>
    <t>P9-1188517_054_F08</t>
  </si>
  <si>
    <t>P9-1188521_086_F12</t>
  </si>
  <si>
    <t>P9-1188523_004_G02</t>
  </si>
  <si>
    <t>P9-1188524_019_G03</t>
  </si>
  <si>
    <t>P9-1188528_051_G07</t>
  </si>
  <si>
    <t>P9-1188529_052_G08</t>
  </si>
  <si>
    <t>P9-1188531_068_G10</t>
  </si>
  <si>
    <t>P9-1188535_002_H02</t>
  </si>
  <si>
    <t>P9-1188542_065_H09</t>
  </si>
  <si>
    <t>P10-1189122_015_A01</t>
  </si>
  <si>
    <t>P10-1189126_047_A05</t>
  </si>
  <si>
    <t>P10-1189134_013_B01</t>
  </si>
  <si>
    <t>P10-1189135_014_B02</t>
  </si>
  <si>
    <t>P10-1189136_029_B03</t>
  </si>
  <si>
    <t>P10-1189137_030_B04</t>
  </si>
  <si>
    <t>P10-1189144_093_B11</t>
  </si>
  <si>
    <t>P10-1189147_012_C02</t>
  </si>
  <si>
    <t>P10-1189148_027_C03</t>
  </si>
  <si>
    <t>P10-1189158_009_D01</t>
  </si>
  <si>
    <t>P10-1189161_026_D04</t>
  </si>
  <si>
    <t>P10-1189167_074_D10</t>
  </si>
  <si>
    <t>P10-1189168_089_D11</t>
  </si>
  <si>
    <t>P10-1189170_007_E01</t>
  </si>
  <si>
    <t>P10-1189174_039_E05</t>
  </si>
  <si>
    <t>P10-1189175_040_E06</t>
  </si>
  <si>
    <t>P10-1189177_056_E08</t>
  </si>
  <si>
    <t>P10-1189178_071_E09</t>
  </si>
  <si>
    <t>P10-1189179_072_E10</t>
  </si>
  <si>
    <t>P10-1189185_022_F04</t>
  </si>
  <si>
    <t>P10-1189189_054_F08</t>
  </si>
  <si>
    <t>P10-1189194_003_G01</t>
  </si>
  <si>
    <t>P10-1189198_035_G05</t>
  </si>
  <si>
    <t>P10-1189200_051_G07</t>
  </si>
  <si>
    <t>P10-1189208_017_H03</t>
  </si>
  <si>
    <t>P10-1189211_034_H06</t>
  </si>
  <si>
    <t>P10-1189215_066_H10</t>
  </si>
  <si>
    <t>P11-1189223_048_A06</t>
  </si>
  <si>
    <t>P11-1189227_080_A10</t>
  </si>
  <si>
    <t>P11-1189230_013_B01</t>
  </si>
  <si>
    <t>P11-1189231_014_B02</t>
  </si>
  <si>
    <t>P11-1189240_093_B11</t>
  </si>
  <si>
    <t>P11-1189241_094_B12</t>
  </si>
  <si>
    <t>P11-1189248_059_C07</t>
  </si>
  <si>
    <t>P11-1189249_060_C08</t>
  </si>
  <si>
    <t>P11-1189250_075_C09</t>
  </si>
  <si>
    <t>P11-1189251_076_C10</t>
  </si>
  <si>
    <t>P11-1189255_010_D02</t>
  </si>
  <si>
    <t>P11-1189259_042_D06</t>
  </si>
  <si>
    <t>P11-1189265_090_D12</t>
  </si>
  <si>
    <t>P11-1189268_023_E03</t>
  </si>
  <si>
    <t>P11-1189270_039_E05</t>
  </si>
  <si>
    <t>P11-1189273_056_E08</t>
  </si>
  <si>
    <t>P11-1189277_088_E12</t>
  </si>
  <si>
    <t>P11-1189278_005_F01</t>
  </si>
  <si>
    <t>P11-1189280_021_F03</t>
  </si>
  <si>
    <t>P11-1189286_069_F09</t>
  </si>
  <si>
    <t>P11-1189289_086_F12</t>
  </si>
  <si>
    <t>P11-1189292_019_G03</t>
  </si>
  <si>
    <t>P11-1189294_035_G05</t>
  </si>
  <si>
    <t>P11-1189295_036_G06</t>
  </si>
  <si>
    <t>P11-1189296_051_G07</t>
  </si>
  <si>
    <t>P11-1189297_052_G08</t>
  </si>
  <si>
    <t>P11-1189302_001_H01</t>
  </si>
  <si>
    <t>P11-1189310_065_H09</t>
  </si>
  <si>
    <t>P13-1189410_015_A01</t>
  </si>
  <si>
    <t>P13-1189415_048_A06</t>
  </si>
  <si>
    <t>P13-1189417_064_A08</t>
  </si>
  <si>
    <t>P13-1189420_095_A11</t>
  </si>
  <si>
    <t>P13-1189422_013_B01</t>
  </si>
  <si>
    <t>P13-1189425_030_B04</t>
  </si>
  <si>
    <t>P13-1189436_027_C03</t>
  </si>
  <si>
    <t>P13-1189440_059_C07</t>
  </si>
  <si>
    <t>P13-1189444_091_C11</t>
  </si>
  <si>
    <t>P13-1189449_026_D04</t>
  </si>
  <si>
    <t>P13-1189452_057_D07</t>
  </si>
  <si>
    <t>P13-1189467_072_E10</t>
  </si>
  <si>
    <t>P13-1189469_088_E12</t>
  </si>
  <si>
    <t>P13-1189471_006_F02</t>
  </si>
  <si>
    <t>P13-1189472_021_F03</t>
  </si>
  <si>
    <t>P13-1189473_022_F04</t>
  </si>
  <si>
    <t>P13-1189474_037_F05</t>
  </si>
  <si>
    <t>P13-1189476_053_F07</t>
  </si>
  <si>
    <t>P13-1189480_085_F11</t>
  </si>
  <si>
    <t>P13-1189481_086_F12</t>
  </si>
  <si>
    <t>P13-1189486_035_G05</t>
  </si>
  <si>
    <t>P13-1189487_036_G06</t>
  </si>
  <si>
    <t>P13-1189491_068_G10</t>
  </si>
  <si>
    <t>P13-1189501_050_H08</t>
  </si>
  <si>
    <t>P12-1189330_045_B05</t>
  </si>
  <si>
    <t>P12-1189337_094_B12</t>
  </si>
  <si>
    <t>P12-1189340_027_C03</t>
  </si>
  <si>
    <t>P12-1189341_028_C04</t>
  </si>
  <si>
    <t>P12-1189342_043_C05</t>
  </si>
  <si>
    <t>P12-1189343_044_C06</t>
  </si>
  <si>
    <t>P12-1189350_009_D01</t>
  </si>
  <si>
    <t>P12-1189352_025_D03</t>
  </si>
  <si>
    <t>P12-1189354_041_D05</t>
  </si>
  <si>
    <t>P12-1189356_057_D07</t>
  </si>
  <si>
    <t>P12-1189359_074_D10</t>
  </si>
  <si>
    <t>P12-1189364_023_E03</t>
  </si>
  <si>
    <t>P12-1189365_024_E04</t>
  </si>
  <si>
    <t>P12-1189374_005_F01</t>
  </si>
  <si>
    <t>P12-1189376_021_F03</t>
  </si>
  <si>
    <t>P12-1189382_069_F09</t>
  </si>
  <si>
    <t>P12-1189388_019_G03</t>
  </si>
  <si>
    <t>P12-1189389_020_G04</t>
  </si>
  <si>
    <t>P12-1189391_036_G06</t>
  </si>
  <si>
    <t>Length of nt seq</t>
  </si>
  <si>
    <t>Larger orf (nt)</t>
  </si>
  <si>
    <t>Larger pep</t>
  </si>
  <si>
    <t>Frame of larger ORF</t>
  </si>
  <si>
    <t>PGEKMNLKFLFSFVAFAIMAFSLGEVSGAKGKAKPKTGGGGGADIPDLDRR</t>
  </si>
  <si>
    <t>KMNLKFLFTFIAFAIMAFSLGEVSGAKGKAKPKSGGGGGADVPDLDRR</t>
  </si>
  <si>
    <t>RVVGVEGLIFPILIVVKNINIILICLKQIIYSKI</t>
  </si>
  <si>
    <t>RVGEFLQQNQKLEKLKQVVVEELIFPILIVVKNICL</t>
  </si>
  <si>
    <t>KILINKNQRKKMNLKFLFSFVAFAIMAFSLGEVSAAKPKSKPKAGGGGGADIPDLDRR</t>
  </si>
  <si>
    <t>LKKKMNLKFLFSFVAFAMMAFSLGEVSGAKGKAKPKTGGGGGADIPDLDRR</t>
  </si>
  <si>
    <t>NSDSKSIKKSGAVSSNKSEIRKDSKKMDKINKIKSERNALNKDVIKKVIVELNEEEIKEIININKNKASENFKETVKNWFDMVMEEETSEAVSVNESQVFIQFCCICNNGFFFGRSFRG</t>
  </si>
  <si>
    <t>RGLFLSEKFLQLNQKLEKLKQAVVEELIFPILIVVKKINTFLICL</t>
  </si>
  <si>
    <t>EALIFPILIVVKNINTFLICL</t>
  </si>
  <si>
    <t>RKKMNLKFLFCFVAFAIMAFSLGEVSGAKGKAKPKTGGGGGADIPDLDRR</t>
  </si>
  <si>
    <t>PGELKERPNLKQGVVEALISPILIVVKNINTFLICL</t>
  </si>
  <si>
    <t>TFNLKFNFLIMKFWAILLIALVVVHCVFASGKQYSECSKKGGRHQISDLCKSGSTNCNNNYCKEKCRVENPKPKCGDGKSGTEDKNTCYCN</t>
  </si>
  <si>
    <t>IFNLKFKFLIMKFWAILLIALVVVHCVFASGKKYGECTKKGGRHQISDMCKSGSTDCNTKNCEDKCRITKPTPKCGNGKAETPDKNTCYCN</t>
  </si>
  <si>
    <t>GRERGLQKDGRHQISDLCKSGPSNCNKQNCKDKCRVENPTPKCGDGTSDKNICYCN</t>
  </si>
  <si>
    <t>VICVNPVQLIVILRIAKINAELQNLPLNVAMEKLKHQTKILVIVTKSLNLNYSGLLDIQI</t>
  </si>
  <si>
    <t>GGNSAXYGRDLNLNFLIMKFWAILLIALVAVHCVFAFGKKYSDCSKKDGRHQISDLCKSGPSNCNKQNCKDKCRVENPTPKCGDGTSDKNICYCN</t>
  </si>
  <si>
    <t>RIHYFTQLSYVGLTHRNYHNRCIISKRLKKKKKREKRKIWTPRPKYLLL</t>
  </si>
  <si>
    <t>VVCVNPIQLIVILRIAKINAELQNLPLNVAMEKLKHQTKILVIVTKSLNLNYSGLLDIQI</t>
  </si>
  <si>
    <t>FREIPNQLPAPPPIANTNAELIIQSPHVEMQILVPTTKILVIVSKSYNLNSFGLQDLRKFAVIITHIAFPHYFTKLKIKTSCVIPKINMYVLSNLMKYI</t>
  </si>
  <si>
    <t>IMIKRLSYLRDNSVIIFKRTYRQNRLRPRCWIKIILKCRSFKIWSVRPLILT</t>
  </si>
  <si>
    <t>ILGNRDPTKSLQYYKEHEGGGQHPVNPGNLDMKHYRTSNRNQGGSDFVKKFQEEKQRMKDNAKQVVDEYKKKLDTMGKDRVRQIKLDDEKKEALERLKQIQDEQRSGKSGGERSRTNKRQ</t>
  </si>
  <si>
    <t>YGRAGFIKCVFLVIFVFLGFLTNGNHCQLSTVALTTGLEERVHNAGKPLSGGTGAFSPGK</t>
  </si>
  <si>
    <t>PGSTVALTTGLEERVHNAGKPLSGGTGAFSPGK</t>
  </si>
  <si>
    <t>LIKTFIMNLTGFIKCVLLVIFVFLGFLTNGNHCQLSTIGLTTGLEQRVHNAGKPSSGGTGAYSPGK</t>
  </si>
  <si>
    <t>KISKKIIIFTQIIKTNILHFFKCKRNLMIVILKLKCNIKINT</t>
  </si>
  <si>
    <t>GVWHCALRQIAGTFRIVTKCSRNTECFQIDYYKYCNIV</t>
  </si>
  <si>
    <t>KFINNNLTNILKQAKLNLYELNSNHSKLLILVLNRLRTKLHVSTYSARMNVFFTFNSIKLITQIARTSRTVTKCLRNTECFQIVYYEYCNII</t>
  </si>
  <si>
    <t>NFEVFNDPNMFCLQFILTANCWNLPYRNKMFKKY</t>
  </si>
  <si>
    <t>IAETSRTVTKCSRNIKCFQIDYYKYCNIV</t>
  </si>
  <si>
    <t>AGTYILKDFCTGNHEDCNLFCMSQCRSGGGGCGNGGSTRPDPNHCYCNPPYSG</t>
  </si>
  <si>
    <t>YGRGPKRGGGGLGRALAVGAVGAGALMLATGGGGHVIKKTESDVDTPKPKKPAEKNLQNRKQQNNKPPSNGQKMTYV</t>
  </si>
  <si>
    <t>KTSCKWNSVLRQLWHRALRQIAGTSRTVTKCSWNTECFQIDYYKYCNIV</t>
  </si>
  <si>
    <t>MLNMNNTTLRFLTHTYTHVCIYVYKFSSTILREMKSFNYNNSKNISLLLTEGSIG</t>
  </si>
  <si>
    <t>AGWGGWHRALRQIAGTSRTVTKRSRNIECFQIDYYKYCIIV</t>
  </si>
  <si>
    <t>RPGHRALRQIAGTSRTVTKCSRNTECFQIDYYKYCNIV</t>
  </si>
  <si>
    <t>PGYKRGVNTXLGSLLLKIFVLEIIKVAKYFAKVNVDLEVVLVETVVQHDQIKNTVIANNHIPDERPN</t>
  </si>
  <si>
    <t>GRGIGHYGRDLEVEVVETVVQHALIQIIVIAIHHIPDERPD</t>
  </si>
  <si>
    <t>TAGTYILKDFCTGNHEDCNLFCMSQCRSGGGGCGNGGSTRPDPNHCYCNPPYSG</t>
  </si>
  <si>
    <t>RGSEEVPIXTGKYILKDFCTGNHEDCNLFCMSQCRSGGGGCGNGGSTRPDPNHCYCNPPYSG</t>
  </si>
  <si>
    <t>GEENPSSEEVPIPPGQYILKDFCTGNHEDCNLFCMSQCRSGGGGCGNGGSTRPDPNHCYCNPPYSG</t>
  </si>
  <si>
    <t>REHLKFCVKPHQYGDQVSKMSISPKIIQIFENLFVPIFLDR</t>
  </si>
  <si>
    <t>RPGHRVLRQIAGPYRTAMKYLRKTECFKIDYYKYCNII</t>
  </si>
  <si>
    <t>RGCMASLRQIAGTSHTVTKCSRNIKCFQIDYY</t>
  </si>
  <si>
    <t>AGGKYLCVGVLLLMAIILQVQSMALDPNEENTDGNAAGRAKRYLKYHDSKRRCEDIWDCEGKCPDNFPNPVCFPRDNRRTCLCYEAHVKG</t>
  </si>
  <si>
    <t>PGYLCVGVLLLMAIILQVQSMALDPNEENTDGNAAGRAKRYLKYHDSKRRCEDIWDCEGKCPDNFPNPVCFPRDNRRTCLCYEAHVKG</t>
  </si>
  <si>
    <t>AGGQRERRKTIFSSFGEYAKFYSPKTCPNFIAQQKIAVRDLLTKSAKDYKNSLAKLKEAYKIDATTSPQNVWLAYETLNLQSKQNNAPTWWNTVNKDLKQFSEKYLWTALTSNDNLRKMSGGRMINDILNDIENIKKGEGQPGAPGGKENKLSVLTVPQAILAAFVSAFAPEGTKIENKDLDPSTLYPGQGALHVIELHQDKSDWSIKVLYRNNDQMKLKPMKLAQCGDKCSYGTFKSMLQKYNMEKEAHDKLCKTS</t>
  </si>
  <si>
    <t>PGGKENKLSALTVPQAILAAFVSAFAPEGTKIENKDLDPSTLYPGQGALHVIELHQDKSDWSIKVLYRNNDQMKLKPMKLAQCGDKCSYGTFKSMLQKYNMEKEAHDKLCKTS</t>
  </si>
  <si>
    <t>RETRRETVFSLFGEYAKFYSPRSCPNFIEQQKMAVKDLLTKGATNYKNLFAKLKKEAYKIDATKGPQNVWLAYETLNLQSKLNQAPEWFESMKNELKSFSEEYLWRALTSNENLRKMSGGRMINDILNDIDSIKEGKGQPGAPGKTGNKLSVLTVPQAILAAFVSAFAPKGTKIENQDLGPSSLYPGQGALHVIELHKDNNQWSVKVLYRNNDKMELRPMKLPSCDDKRPYETFKSTLQSYDMKKQDRDKLCKKQ</t>
  </si>
  <si>
    <t>GRGALPTCKGEGEVIKTMSRKVYETAFSITSLKRLSAGRYVSHLLDDVDHLRTKGETPDGKKMVLFGTTPPFLKSIMSAMGGDEGYHSENLLPHPEAGSMFITEVYQKVEEQTYHIRLHYSNNPSQPISDKNILKLRGCDELCEFDKFKNLMKPMYLSKDDADKECLE</t>
  </si>
  <si>
    <t>PGNKEMQNAFLKEHNEKRRLVASGEGLIEHGAKKTPPAAKMPDLKWNDALAKLAIFNVRQCEMKHDCADTMHGHTGQNLFFYGTTGNAITNKTIAKMAVEGWYSESNDTRLEDIEKLTTIYPNGKPIGHYTQLIWGNTTKVGCAVSTYKKRLENNNMMFNFTLVACNYRYGNTLEYPVYKIKNGTNSEPSRKNKPQQSNKKIKKQENSA</t>
  </si>
  <si>
    <t>AGVPSDCQNFKLVNITERMEKAFLNAHNRKRRLVAAGKGLLKDGVHTPIAAKMPNLTWNIALAKLAEYNVKQCGMKHDCAKTRHGHTGQNLFFYGTTLSPITNSTIAKMAVEGWYSESKDTRLEDIKKLTTIYPNGKPIGHYTQLIWGNTTKVGCAVSTYKKHSNGNMFNMTLVACNYRGGNMLEEAVYQIKDAKNPKSKNQTKNNKKPKQKMPK</t>
  </si>
  <si>
    <t>GIHQSYLIRTKNHKIKESKGHNQKKVLRFQDFVIKLRLVKKFSNLI</t>
  </si>
  <si>
    <t>PGTTKVGCAVSTYLKQGFNMTLVACNYRGGNMLEQPVYQIRNGTNPKTSNQNKKQPNKRIKRA</t>
  </si>
  <si>
    <t>GVGQSALXGRANPKIKLRTTKNQNKKCQNRAS</t>
  </si>
  <si>
    <t>GRGFLHGLYYSMRAIHYNKERTSKTYFYRLSDDSYSIFKNFISKSRMKLSGVSHTDDLGYLFAMSQEYNIGWYTLRIYSEIPKEAQETHKKMITLWTNFAKTGDPLKSWISEKKRPKPPYGDISEITWNPFNIKDPKYLDMANEGFNMKNFEEQQRMEPWNELHAEYHRYILDLEEKRKLKEKK</t>
  </si>
  <si>
    <t>NFAKTGDPLKSWISEKKRPKPPYGDISEITWNPFNIKDPKYLDMANEGFNMKNFEEQQRMEPWNELHAEYHRYILDLEEKRKLKEKK</t>
  </si>
  <si>
    <t>GGAQRMEPWNELHAEYHRYILDLEEKRKLKEKKINNSILHTTYLCCIDSNKLS</t>
  </si>
  <si>
    <t>AGGGAKGVTYDWYEAFMGLAARWQDLRLLKQLALNSIEQTSLNRKQKYELWRLWNKKWNRFIHDVIRYKGIFPEEKKPKKNAIPKYVKALGE</t>
  </si>
  <si>
    <t>RPDDPGFWGAKGVTYDWYEAFMGLAARWQDLRLLKQLALNSIEQTSLNRKQKYELWRLWNKKWNRFIHDVIRYKGIFPEEKKPKKNAIPKYVKALGE</t>
  </si>
  <si>
    <t>GQEKEKTKFNFHAKQKKMKRISFGCPPGARVVVGRENYWGRACIHPSGKVPHKWGEKRYEGACFLSLTGGRNRGRTRLILRRHPPPFPTVEQQKKRRPGILGSQRSHIRLVRSVYGSCSQVARPSIAQAVGIEFHRANFSKPKTKIRTVEIME</t>
  </si>
  <si>
    <t>EFGGRVVVGREKDWARVCSHKASKGCRIHKEKKNRNRTCPISNQVLGLVKDMRNHPAAAMFTDDYPIVIAPDDPGFWGAKGVTYDWYEAFMGLAARWQDLRLLKQLALNSIEQTSLNRKQKYELWRLWNKKWNRFIHDVIRYKGIFPEEKKPKKNAIPKYVKALGE</t>
  </si>
  <si>
    <t>FIKYYHFFKKKCKLIQTFQCRPSTIRRILFH</t>
  </si>
  <si>
    <t>NKVKINSKLKMKFLFVFFTLCVLYQMVVADRMVSKTCQTGGNTRSEDRVSIKSGQHILQNYCQDGRNNQEKCDMFCMKECKSRSGGCGNGGSLRPDSRHCYCEAPYSG</t>
  </si>
  <si>
    <t>YHFFKKTQVNSNILMTTVDDSQYLVSLSYNLLVLINVAIFLFFLIVD</t>
  </si>
  <si>
    <t>GAGDRHYGRGMRDAGQETEDAETEELQDLILDIAIVMHHILDKI</t>
  </si>
  <si>
    <t>NLSNKKKLELLYINKCIISVINYGFEKNLEQRNTYNTILLDQYFEIFEDLEWIHLSENLYNKQDYKTVVI</t>
  </si>
  <si>
    <t>KRQVNSNISMTTVDDSQYLVSLSYNLLVLINVAIFLFFLIVD</t>
  </si>
  <si>
    <t>VNSNISMSTVGDSQNLVSLSYILLVLINVAIFLFFSIVD</t>
  </si>
  <si>
    <t>GSTCKCNGVKVKYKLGESEDSIENIGRGIITEDQKRRAQQIIAEKKKKEEEAKKHNQGRRVVL</t>
  </si>
  <si>
    <t>PGLFAKALEGVNVKDLITNIGSGVGSGPAAAAPAAAGGAAAPAAAAKEEKKKESEPEESDDDMGFGLFN</t>
  </si>
  <si>
    <t>PGGPKAELACVYSALILVDDDVAVTGEKISTILKAAAVDVEPYWPGLFAKALEGVNVKDLITNIGSGVGSGPAAAAPAAAGGAAAPAAAAKEEKKKESEPEESDDDMGFGLFN</t>
  </si>
  <si>
    <t>AGGAVFGINKVVKGLLVLLRQIRATYKFQIFVKIMEILNVIIIAKMNVVPRKDFAVDKLQQKKICASVHIKK</t>
  </si>
  <si>
    <t>PMEVNVVFRLWQLNNWQTNCTITENHQVVVLDQQPLDKFISADLIKNFNKKNYIINIDKHIALVL</t>
  </si>
  <si>
    <t>TAGGFVKGAFLAVFVFLGFLINGSECTVSTMATQQLASQLHQNGKPSSGGTGAHSYG</t>
  </si>
  <si>
    <t>RGFCKGAFLAVFVFLGFLINGSECTVSTMATQQLANQLHHNGKPSSGGTGPTTFG</t>
  </si>
  <si>
    <t>PGGLENNTRKAFGEWTEQQLNSTYFAAMPGFLRFLKPSECPAYFKELRQQSQAIKTIASEYQDTINAINSKYPSIGTANPENVWIAYETFKRMQQQKKEGMDWLNSTIMKNLKGFSSKYVLTALTSTEKLRKLAGGLILKDLLNDMDELTKDKAQPHAPGKKDNKMNIFVVPQALLAAQMAVFTPNGTKISNQDVTASNFYPDDGSYVVIELYKNKETWKVQIRYNSDKTSGWRTVKVTGCTKNICPYDTFKNAVNSYAISEEEHVKLCRI</t>
  </si>
  <si>
    <t>GRIWKKLQLVCRYPNSKEPFLCLDLIYIHTLLTKGFRLHNSNIVEMLNSYDNHELSWALGFAYSKIMKTMPPATPVLDMREKSKKKVQCSTYKSKVKTEPILAKTEPTPASPVPTVNPDPTKPTVPK</t>
  </si>
  <si>
    <t>GPLEKFGKSYNWVCRYPNSKEPFLCLDLIYIHTLLTKGFRLHNWNIVEMLNSYDNHELSWALGFAYSKIMKTMPPAIPVLDIRKKSKRNKSECSTYELKAKTKPTPATPVPTVNSDPTKPTVPK</t>
  </si>
  <si>
    <t>LDIEIIWVALDCKILSNKNTNRNKKKKKK</t>
  </si>
  <si>
    <t>KNKAMVKVMVKLMAKVMVKVMEVVTVVVMVVMATVDMEVTIPIQNPVEVTITNLEELEVTIPMDLMMELIMDLQDLKQLPLRNKEIVAHNFANITNAYTKVFLPTCDKLCIVKA</t>
  </si>
  <si>
    <t>AGQPETVEIIITNQETMVVIIPMDLVMELMEDLQDLHPKLTLRNKEILAHNFANTTNAYTKVFLPTCDKLCIVKA</t>
  </si>
  <si>
    <t>GHPKLTLRNKEILAHNFANITNAYTKVFLPTCDKLSIVKA</t>
  </si>
  <si>
    <t>GSYKLPMGGGTLEEQLAQNAKSKSDDFGGTGETGFGK</t>
  </si>
  <si>
    <t>RGRTGETGFGNNIFLKYKNLCIFNMKSLYIGDFFPFWDLQ</t>
  </si>
  <si>
    <t>AGLAESMPKMQKIKVLILEELVNMDLENNIF</t>
  </si>
  <si>
    <t>LVAVLKRKYIFLYWVYFLILKHFEASLCENLKKQLENENQEKKSNPAIKFIGKKHPDSQTQKANLKNQLKNSYSTNKRPQLTKDFKVIKEEFEDLQEHFRQKTKKRKCKKHKGRKKHKKHGKHRKHRKHADFDPNEVIKVLEMYEKQHEHKHHDQFAE</t>
  </si>
  <si>
    <t>XVQNRNSHKQNSLGGQNGHLTKDFKVLEEDFEDLQKHFHGIPKKKRKSKKHKCGKKHRKHRKHRKHKKHHYLDVNEVMKYLKMHEKEHEHEKHDQFAE</t>
  </si>
  <si>
    <t>GRGKKLEDANPEEKSNLDNAQGIKFMPSKDGPSDTDTTSQNHIQNLLKQVQNRNSHKQNSLGGQNGHLTKDFKVLEEDFEDLQKHFHGIPKKKRKSKKHKCGKKHRKHRKHRKHKKHHYLDVNEVMKYLKMHEKEHEHEKHDQFAE</t>
  </si>
  <si>
    <t>TAGGYCRFDAKSERCWKTYKWWCWSKQLWINLFIIKKIIYFTFFNTN</t>
  </si>
  <si>
    <t>GSGNXXITAGVVELEHLVMDKFIYKQKNYIFSIFLIQTKTKTSFVSTVKKVFKYSKYFKNI</t>
  </si>
  <si>
    <t>NCYKHWIDLFILPYDFILKLLPNNVNLILKTFCEISKMLLHNKF</t>
  </si>
  <si>
    <t>NCYKHWIDLFILPYDFILKLLPNNVNSILKTFCEISKMLLHNKF</t>
  </si>
  <si>
    <t>RYVVRRPLPVKEGKKPRTKAPKIQRLITPAVLQRKRHRLALKKKRCLKRKEQAADYAKLLAQRKKESKVRRQEELKRRRSASMRDSKSSASSAPQK</t>
  </si>
  <si>
    <t>TAGGCIVDSNLSVLALVIVRKGVNEIPGLTDGNVPRRLGPKRASKIRKLFNLSKEDDVRRYVVRRPLPVKEGKKPRTKAPKIQRLITPAVLQRKRHRLTLKKKRCLKRKEQAADYAKLLAQRKKESKVRRQEELKRRRSASMRDSKSSASSAPQK</t>
  </si>
  <si>
    <t>SRRMRAKWRKKRMRRLKRKRRKMRARSK</t>
  </si>
  <si>
    <t>AGGLLKVSKDKRALKFLKRRLGTHIRAKRKREELSNILTQMRKAHAAATHTK</t>
  </si>
  <si>
    <t>MKYVDLMGDAWFNYGVFKTLKSIINTNRRKENTYFYKLSDSSYSVYKTYIITKYSDLPGVCHADDLGYLFRVYGDSRGFIKLTIPKEGMLTHQRLVKMWSNFAKTGNPLQEKANGGNALEKKKGDDPLSKVTWEKVDKGNIKYLDITEDEELKMKQFQEVEGQRFNLWDKLYEIGQEIFKNKKPDTKL</t>
  </si>
  <si>
    <t>MFSYILRCLCKKSGTEFYVMYILFYSHITVKKQLSN</t>
  </si>
  <si>
    <t>AGHPNRQATISVVPSAASLVIKALKEPPRDRKKQKNIKHNGNITFDDIVAIARQMRPRSMARELSGTIKEVLGTAQSVGCTMMAGHPMT</t>
  </si>
  <si>
    <t>IVAIARQMRPRSMARELSGTIKEVLGTAQSVGCTIDGRAPHDLIDDINDGTLECPAA</t>
  </si>
  <si>
    <t>PGERKYELGRPAANTKLGPQRIHLVRTRGGNVKHRALRLDTGNFSWGSECATRKARIIDVVYNASNNELVRTKTLVKNAIVVIDATPFRQWYESHYVLPLGRKRCTKLTPEEEAVMNKKRSKKVAKKYATRQRVAKVEQALEEQFATGRLLAAVSSRPGQCGRADGYILEGKELEFYMRKIKSKKAK</t>
  </si>
  <si>
    <t>GRGGKRKPIRKKRKYELGRPAANTKLGPQRIHLVRTRGGNVKHRALRLDTGNFSWGSECATRKARIIDVVYNASNNELVRTKTLVKNAIVVIDATPFRQWYESHYVLPLGRKRGTKLTPEEEAVMNKKRSKKVAKKYATRQRVAKVEQALEEQFATGRLLAAVSSRPGQCGRADGYILEGKELEFYMRKIKSKKAK</t>
  </si>
  <si>
    <t>PGRQRKPIRKKRKYELGRPAANTKLGPQRIHLVRTRGGDVKHRALRLDTGNFSWGSECAARKARIIDVVYNASNNELVRTKTLVKNAIVVIDATPFRQWYESHYVLPLGRKRGTKLTPEEEAVMNKKRSKKVAKKYATRQRVAKVEQALEEQFATGRLLAAVSSRPGQFGRADGYILEGKELEFYMRKIKSKKAK</t>
  </si>
  <si>
    <t>GRGGPKLRSLDFAERHGYIKGVVKDIIHDPGRGAPLAMVHFRDPYKFKTRKELFIAPEGMYTGQFVYCGKKANLQIGNVMPVGAMPEGTIVCNLEEKTGDRGRLARASGNYATVIAHNPDTKKTRVKLPSGAKKVMPSNNRAMVGIVSGGGRIDKPILKAGRAYHKYKVKRNCWPKVRGVAMNPVEHPHGGGNHQHIGKASTVKRGTSAGRKIGLIAARRTGRIRGGKTDSKKDD</t>
  </si>
  <si>
    <t>AGQFVYCGKKANLQIGNVMPVGAMPEGTIVCNLEEKTGDRGRLARASGNYATVIAHNPDTKKTRVKLPSGAKKVMPSNNRAMVGIVSGGGRIDKPILKAGRAYHKYKVKRNCWPKVRGVAMNPVEHPHGGGNHQHIGKASTVKRGTSAGRKIGLIAARRTGRIRGGKTDSKKDD</t>
  </si>
  <si>
    <t>TAGGLXGNVHSFRSEMVFQRFVETGRVALISDGPNKGKLISIVDVIDQTRVLVDGPCSGVPRQALRINQLHLTKFNIKFPYLGSTRVVRKAWTDAKVDEKWAESMWARKLAAKQARANMGDFDRFKLRKARQRRNRLRTVAFNCLRKTAARNGSLFGKGTATKGGDKPKPKKVVKK</t>
  </si>
  <si>
    <t>RGDVVVDLFFYRDPEEVEKEDLVHKEVVAKVETAVAHDTAEVWAGDEPATQLWTDDAPVAAVPAVYPAAASQDWAEQVQEEWAANPTPAAGQTTWGSSTQEWS</t>
  </si>
  <si>
    <t>PXKSSSKSKAGYNLPQPKMANTDLARLLKSEEIRKVLRAPKKTVTRRVKKLNPLTNARAMLKLNPYAAVTKRKAILATKKRLLENVLLDAKKSGTKLSDSHVAARTAKLIEKRRAALKKAKAAKPKKAKTAAKPVKK</t>
  </si>
  <si>
    <t>RRAALKKAKAAKPKKAKTAAKPVKKIKNKMSPAKLMDFIL</t>
  </si>
  <si>
    <t>PGQPLLKLNSKKLPQLRNTLRIPASLLLLLLPLQLLLLQHLLNPRKKKRKRNLSLKMMTWVSVSLIKNLFHNINILGNPYLYEYLHIQVCL</t>
  </si>
  <si>
    <t>PGGQISNGYTPVLDCHTAHIACKFAEIKEKVDRRTGKSTEDNPKAIKSGDAAIVTLVPSKPMCVESFQEFPPLGRFAVRDMRQTVAVGVIKSVNFKDASGGKVTKAAEKATKGKK</t>
  </si>
  <si>
    <t>EKVDRRTGKSTEDNPKAIKSGDAAIVTLVPSKPMCVESFQEFPPLGRFAVRDMRQTVAVGVIKSVNFKDASGGKVTKAAEKATKGKK</t>
  </si>
  <si>
    <t>SNGYTPVLDCHTAHIACKFAEIKEKVDRRTGKSTEDNPKAIKSGDAAIVTLVPSKPMCVESFQEFPPLGRFVVRDMRQTVAVGVIKSVNFKDASGGKVTKAAEKATKGKK</t>
  </si>
  <si>
    <t>GHQGCRKSHQGKEVARSTDLLTADVQHCNETLLPSQSVSKKKGLIHSFTICFLTQLYILYDYFIE</t>
  </si>
  <si>
    <t>AGDVXGYRAKQGYVIFRIRVRRGGRKRPVPKGATFGKPKSHGVNQLKPTRNLQSVAEERVGRRCGGLRVLNSYWVAQDSSYKYFEVILVDPSHNAIRRDPKANWICNAVHKHREMRGLTSAGKSSRGLGKGHRYSQTIGGSRRAAWLRRNSLQLRRKR</t>
  </si>
  <si>
    <t>PGAREMRGLTSAGKSSRGLGKGHRYSQTIGGSRRAAWLRRNSLQLRRKR</t>
  </si>
  <si>
    <t>LLKMNSKMLFVCLVATILIFGFEEVAAGKDKTTGGNGKSTGSKIAEQAKNTVKKAAGAVSDFAEGFAGA</t>
  </si>
  <si>
    <t>AGPEGKVXHSGFGKRKGTANARTPQKDLWVQRMRVLRRLLKKYREAKKIDRHLYHALYMKAKGNVFKNKRVLMEYIHKKKAEKARTKMLNDQAEARRTKVREARKRREERIATKKQELLQTYAKEDEAAATKK</t>
  </si>
  <si>
    <t>NVFVFYTCLLNIIFLYRKKKKK</t>
  </si>
  <si>
    <t>TAGGRKLGVKDPHNPLLVWYMYELYTAQKCTNVTLPPWADQNMFDTIEKCIQTFLNIAFGADELKKLSGGIYVDMMLKEFDRFINEKNTNKEKLLRLFSGHDTTVAPALAALGGSQGFTKDGKDFTVNIPSYGATIVTELHQGKDGNHFIKISYWNKGEESELIVKGCGDTSCCSLDKYKNLVKDIRIGKEELTNCKMPIGNNNFAK</t>
  </si>
  <si>
    <t>AGVCGDDIRLSCEGTILSKEDSLSSLSSCQLDLTVSLLRGKVHGSLARAGKVKGQTPKVEKQEKKKKKTGRAKRRIQYNRRFVNVVQGFGRRRGPNANA</t>
  </si>
  <si>
    <t>GCGQCKDKLRGIQPARPMERSRMCRRKKTVRRSYGGVLCHKCVKERIVRAFLIEEQKIVVKVLKAQQASVKAAKKDK</t>
  </si>
  <si>
    <t>RPGSTSGLFQCHITCYKQGNGACRNECQCTWENKILDPNSNTINNQVPGSTKHENNIKNKENKKKPKPTKPVPKPKPISGTNVVELIFSDEDRLPDPEYNSAESKEKKK</t>
  </si>
  <si>
    <t>GRVHMGEKILDPNSNTINNQVPGSTKHENNIKNKENKKKPKPTVPVPKPKPISGTNVVELIFSDEDRLPDPEYNSAESRERKK</t>
  </si>
  <si>
    <t>GGVKKKVVDPFTRKDWYDVKAPSMFATRQIGKTLVNRTQGTRIAADGLKHRVFEVSLADLQNDHDAERSYRKFRLIAEDVQGRNVLTNFHGMDLTTDKLRSMVKKWQSLVEANIDVRTTDGYLLRVFCIGFTTKDQMSQRKTCYAQHSQICAIRKKMCEIITRDVTSSDLKEVVNKLLPDSIGKDIEKACQGIYPLHDVFIRKVKVLKKPRFDLSKLLELHGDGGKGTEGVTEGAQVDRPEGYEPPVQDAV</t>
  </si>
  <si>
    <t>RDGVSPSHFHKSSGGIARKALQALESLKLVEKHPDGGRKLTVQGRRDLDRIAAQVRAKQRARKDTTGPIVL</t>
  </si>
  <si>
    <t>YVVLTTSGGIMDHEEARRKHWGGKILGFFF</t>
  </si>
  <si>
    <t>AGVGHKYGKCYSNVCLCKQQKGTWKRLKSKYVDYDKIKETITQGQQEEQEEQGVCTVRFYGRVKIHCLQNITQTLQDNFCRDDCMKLNRPGGKCDQANQRCACNYHSDFFVN</t>
  </si>
  <si>
    <t>PGGIGHYXAGELNRPGGKCDQANQRCACNYHSDFFVN</t>
  </si>
  <si>
    <t>EEQEEQGVCTVRFYGRVKIHCLQNITPTLQDNFCRDDCMKLNRPGGKCDQANQRCACNYHSDFFAN</t>
  </si>
  <si>
    <t>RPGYLRKIDVCVCGCVCVYVCVCVCVYVCMCVYVCADTNFRRRFREHGSTDLNNSKNIRFVLLRRRAD</t>
  </si>
  <si>
    <t>TAGGVCVCVCVCVCVCMYVCMCVYVCADTNFRRRFREHGSTDLNNSKNIRFVLIRRRAD</t>
  </si>
  <si>
    <t>FKKHFICIDKMKNRYNFHEGRSSGFGDIEEKVKK</t>
  </si>
  <si>
    <t>GNVLISFWRRQVQPFQRYGAKSAENGNSVFKRTERPILIIQKTFDLY</t>
  </si>
  <si>
    <t>ALDKLISEVFIKNFNKKKKQINTKLLKINTCTGKILLNLDLLKQFKNSVNCKKIIQKKMSSINK</t>
  </si>
  <si>
    <t>KSLGEYGLRNKREVWRVKYTLAKIRKAARELLTLDEKDGKRLFEGNALLRRLVRIGVLDESRMKLDYVLGLKIEDFLERRLQTQVFKLGLAKSIHHARVLIRQRHIRVRKQVVNIPSFIVRLDSQKHIDFSLKSPFGGGRPGRVKRKNLRKGSGGGAAAEEEED</t>
  </si>
  <si>
    <t>SARDTFVFASKLLIFPPSLCVWIHKKHIDFSLKSPFGGGRPGRVKRKNLRKGSGGGAAAEEEED</t>
  </si>
  <si>
    <t>GRGIGVLDESRMKLDYVLGLKIEDFLERRLQTQVFKLGLAKSIHHARVLIRQRHIRVRKQVVNIPSFIVRLDSQKHIDFSLKSPFGGGRPGRVKRKNLRKGSGGGAAAEEEED</t>
  </si>
  <si>
    <t>GGWENKKYKKAGGHEDDQHHENDQSDGHTSHVSQDMDHVEEDAHEDQNDQIGHYDDAAEEHTEEEDGDNGEYYDQDYDENDHEGYDEEHTQDNSHDFEENDKTIPFYNPK</t>
  </si>
  <si>
    <t>GRGANKKYKKAGGYGDDQHHEDDQTDGHTSLGSLDMDHVDEDGQEDQNDQIGHHDVGSEEHTEEEEDEDYDEGEGYDEGEDYDKGADYDVHIPPDDSHDYEGNDKRIPFYNPK</t>
  </si>
  <si>
    <t>GAHKVTQYKKSKERHAAQGRRRYDRKQQGFGGQTKPIFRKKAKTTKKIVLRMECSDCKFRKQIPLKRCKHFELGGDKKRKGQMIQF</t>
  </si>
  <si>
    <t>HKVTQYKKSKERHAAQGRRRYDRKQQGFGGQTKPIFRKKAKTTKKIVLRMECSDCKFRKQIPLKRCKHFELGGDKKRKGQMIQF</t>
  </si>
  <si>
    <t>AGDGKRKVMFAMTAIKGVGRRYANIVLKKADVDLNKRAGECTEEEVEKIVTIMSTPRQFKIPDWFLNRQKDIVDGRYSQLTSSNLDSKLREDLERMKKIKAHRGMRHYWGLRVRGQHTKTTGRRGRTVGVSKKK</t>
  </si>
  <si>
    <t>AGVRQMEQCIQEFLNIAFGNNQLKQLSGGIYVDMMLKEFDRFIAEKNTNKDKLLRLFSGHDTTVAPALAALVGPQGFKKDGQDFTVNIPKYGATVVTELYKGSDGKHYIKILYWNDGKESELVVKVCGNTSCCSLETYKNLVQPIRISKEEVQKCAMTQGNNF</t>
  </si>
  <si>
    <t>YGRGGSQGFTKNGQDFTVNIPKYGATVVTELYKGSDGKHYIKILYWNDGKESELVVKGCGNTSCCSLETYKNLVQPIRISKEEVQKCAMTQGNNF</t>
  </si>
  <si>
    <t>WVSTQKWPLRXGNDTRKQFLIPHNTPIKKKKK</t>
  </si>
  <si>
    <t>DRNGNQKMQLRRAVRYLKNVIEQKECIPFRRFNGGVGRCAQAKQFGTTQGRWPKKSAEFLLQLLRNAESNADYKGLDVDRLHIDHIQVNRAPCLRRRTYRAHGRINPYMSSPCHIEVCLVEKEEAVAKAPEEEPAKKKLSKKKLARQKEKMMRE</t>
  </si>
  <si>
    <t>TKMENDAGEFVDLYCPGKCSASNRIIHAKDHASIQLNIAEVDPTTGRMTDTSKMYAICGAIRRMGESDDCIGRLAKKDGIVAKNF</t>
  </si>
  <si>
    <t>GRGGRGNLRVNGRPLELVEPKVLQYKLQEPILLLGKEKFAGVDIRVRVNGGGHVAQIYAIRQAISKALVSYYQKYVDEASKKEIKDMLIQYDRTLFVADPRRCEPKKFGGPGARARYQKSYR</t>
  </si>
  <si>
    <t>PGIWLRYDSRSGTHNMYREYRDLTVGGAVTQCYRDMGARHRARAHSIQVIKVEEVKAANCRRPQVTQFHDAKIRFPLPKRVQQRNLMPKFSVRKPRTFFL</t>
  </si>
  <si>
    <t>RPGVADYMKSLEEEDEDAFKRQFSKYISLGITADNIEELYKKAHATIRADPSLKPADKMKAADVKVKRWNRAKLSLSERKNRVAQKKASWLQKLKAENEA</t>
  </si>
  <si>
    <t>AGDARMFVASYALADDSCQGPAKDLQRRVSDAICVRRETVYGNVISERQAGRKPHQQESSSSSSSSDSSSSSSSSSSSSSSSSSESSEEKTSHKKSGKKEHKSCSIKKQVQFVEKDGKLCFSIRPLAACQKHCKATETTQMEVEVYCPSGSLAELYKQKILKGANPDLSDKTPSRILKFKVPKACTAY</t>
  </si>
  <si>
    <t>TAGYGNVISERQAGRKSHQQESSSSSSSSDSSSSSSSSSSSSSSSSSESSEEETSHKKSGKKELKSCSIKKQVQCVEKDGKLCFSIRPLAACQKHCKATETTQMEVEVYCPSGSLAELYKQKILKGANPDLSDKTPSRILKFKVPKACTAY</t>
  </si>
  <si>
    <t>PGAPKQIDNPDYKGVWVHPEIDNPEYVPDTQLYKRDEICAIGLDLWQVKAGTIFDNILITDDVDYAKKIAEGVKSTQEGEKKMKDAQDEEERKAREAETKEENDTDADEDLDDNAETPEEDTLDAEHDEL</t>
  </si>
  <si>
    <t>PGEIRGEPGHPKLNNKMTHMLMNTYMILPKHQNITHSMLITMNCDL</t>
  </si>
  <si>
    <t>FLFNKILLYVSFSLNTKMTEIVIRQNKKLNYKKKKKK</t>
  </si>
  <si>
    <t>EVQIIXRTQANEVSQKVSGKTKELVNSFKSKMSVIIDNVNEKFSKMKERIQNYIKNAENKLKELFQQFSSQLRRTSERSQ</t>
  </si>
  <si>
    <t>IVMYLRSFVSGVYCLADGCFVQYEANSVQPLIACAKDQQNHLARQFSSQLI</t>
  </si>
  <si>
    <t>GITGKYGTRYGASLRKMVKKMEITQHAKYTCTFCGKDAMKRSCVGIWSCKRCKRTVAGGAWVYTTTAAASVRSAVRRLRETKEQ</t>
  </si>
  <si>
    <t>PGDEKFIRHQSDRYDKLKRNWRKPKGIDNRVRRRFKGQFLMPNIGYGSNSKTRHMLPTGFHKVLVHNTKELEILMMQNRTYCAEIAHGVSSKKRKEITERAKQLSIRVTNGNARLRSQENE</t>
  </si>
  <si>
    <t>TAGKXLQEHFREKPKKKHKSKKHKSKKHKCGKKHRKHRKHRNYHYLDDLNEIMKYLEMYEKEHEHENHDHLAE</t>
  </si>
  <si>
    <t>PGARKHRKHRNYHYLDDLNEIIKYLEMYEKEHEKTMTI</t>
  </si>
  <si>
    <t>GGWXIGHYXAGTENHDHLAE</t>
  </si>
  <si>
    <t>GRGRXCPGEACGAGVFMAAMTDRHYCGKCGYTLVFSKPEE</t>
  </si>
  <si>
    <t>GGQQRLIFAGKQLEDGRTLSGYNIQKESTLHLVLPLRGGAKKRKKKNYSTPKKIKHKKKKVKLAILKCYKVDENGKIFRMRRECPGEACGAGVFMAAMTDRHYCGKCGYTLVFSKPEE</t>
  </si>
  <si>
    <t>AGDGDICYCSRPSNLGPDWKVSKECQDPTKQGSGLTEIVPYRQQLAIPNICKLADSDSDAKNKKCKEHCKQKCRGGDDAGCDGNFCYCRPPRN</t>
  </si>
  <si>
    <t>PGALLELEMNSDLKAQLRDLHITRAREIELNNKKSIIIYVPMPKLKAFQKVQTRLVRELEKKFSGNHVVFVGERKILPKPTRKTRTKNKQKRPRSRTLTSVYDAILEDLVFPAEIVGKRIRVKLDGSQLIKVHLDKSQQTTIEHKVDTFTSVYKKLTGREVTFEFPESYL</t>
  </si>
  <si>
    <t>PGELEMNSDLKAQLRDLHITRAREIELNNKKSIIIYVPMPKLKAFQKVQSRLVRELEKKFSGNHVVFVGERKILPKPTRKTRTKNKQKRPRSRTLTSVYDAILEDLVFPAEIVGKRIRVKLDGSQLIKVHLDKSQQTTIEHKVDTFTSVYKKLTGREVTFEFPESYL</t>
  </si>
  <si>
    <t>PGEPDAFESSISQAPLELEMNSDLKAQLRDLHITRAREIELNNKKSIIIYVPMPKLKAFQKVQTRLVRELEKKFSGNHVVFVGERKILPKPTRKTRTKNKQKRPRSRTLTSVYDAILEDLVFPAEIVGKRIRVKLDGSQLIKVHLDKSQQTTIEHKVDTFTSVYKKLTGREVTFEFPESYL</t>
  </si>
  <si>
    <t>FVEYKKKIEVNRKRRSLEYEKNILRNKKKNENWMED</t>
  </si>
  <si>
    <t>IMYVAKNAVKRRPTKKKKKK</t>
  </si>
  <si>
    <t>YIYDECIRNIYVRIVLNMMKNKMNNVCG</t>
  </si>
  <si>
    <t>NSCEVQQVEYCFFNWVIWTLEYSKILYLHRESKMLKFIQYVE</t>
  </si>
  <si>
    <t>NEAKMSAHLSWMIVRNNNAFLKKKRNINKPFSSEPNNLTNLSSFRYNGFVHKKTVGVVPADKGGFTVVYKKPKCQHRPAKATVKRTMKSGPRRSLHKLRNLLNANGYRSDLTKVALRRASAVLRSQKPVPEKKKASKKME</t>
  </si>
  <si>
    <t>PGMKAMGVAPELPEDLYYLIKKAVAIRKHLERNRKDKDSKFRLILVESRIHRLARYYKTKSILAPNWKYESSTASALVA</t>
  </si>
  <si>
    <t>PGVAIRKXFGKEPQGQRQQIPFDSCRIKNSQTCPLLQNKEHLGTQLEIRIQHCICTCSLRCFNECEVYYNKM</t>
  </si>
  <si>
    <t>IKMKFNKLVTSSRSKNRKRHFTAPSHVRRALMTSPLSKELRQKYNVRSMPIRKDDEVQVVRGHFKGQQVGKVVQVYRKKFVVYIERIQREKANGNSVYVGIHPSKCVIVKLKMDRDRKKIIDRRAKGRLAALGKDKSKYTEETSGSTMEVQ</t>
  </si>
  <si>
    <t>KVVQVYRKKFVVYIERIQREKANGNSVYVGIHPSKCVIVKLKMDRDRKKIIDRRAKGRLAALGKDKGKYTEETSGSTMEVQ</t>
  </si>
  <si>
    <t>KKTKAPKGEPVALKRRPFKRHGRLYAKAIFTGYKRGLRNQHENTALLKVEGCGTKADSWFYVGKRCVFVYKAKNKTCVPGKPKKVKSKVRAIWGKVTRPHGCSGCVRAKFHRNLPAKAMGHRVRIMLFPSRI</t>
  </si>
  <si>
    <t>CRCWHWGLGIPWWIWTWQTRTSINLYKVIYNKISIKHLIDKKKKKKKKKKK</t>
  </si>
  <si>
    <t>TAGAYEKIREVMDKLRKQAQPRTDGQRPKTTIMSELLKQKISCKEVKAAKLESAVCAYDCSQHENTGINCEGNACKCPK</t>
  </si>
  <si>
    <t>PGYTSCCPLEQYKNLVRNTRIGKEELEKRNTKCTIPMQGNN</t>
  </si>
  <si>
    <t>PGWRVLSRNKMGKVKCSELRTKDKKELTKQLEELKTELTSLRVAKVTGGAASKLSKIRVVRKAIARVYIVIHQKTKENLRKFYKDKKYKPLDLRPKKTRAIRRALSKHELRLKTMKEIRKKSIFPPRKFALKA</t>
  </si>
  <si>
    <t>RGHIGLGVKCSKEVATAIRGAIILAKLSVVPVRRGYWGNKIGKPHTVPCKVTGKCGSVAVRLIPAPRGTGIVSAPVPKKLLQMAGIEDCYTSARGSTGTLGNFAKATYAAIAKTYSYLTPDLWKEMPLTKTPYQEFADFLAKTVHKPGMRTIDMN</t>
  </si>
  <si>
    <t>NNNYRKINKSINLKEYNLIIHILRSKCKMEFYNMLIYYYVNK</t>
  </si>
  <si>
    <t>GRGTSEERMQGCKIRFNGVIEIMCRSYGSPSTLDMYCNKDCKKIGLPYGKCVTGNQCECYVK</t>
  </si>
  <si>
    <t>GAGNRALRPGRVKYFRHVLQQGLQENWITIWKMCNWQPMRMLCEIIFKER</t>
  </si>
  <si>
    <t>INLIKYNLIIILYSEANVKLNFIICLFIIMPINDINALKKKKK</t>
  </si>
  <si>
    <t>GEFVIRNIVEAAAVRDITEASVYSAYVLPKLYAKLHYCVSCAIHSKVVRNRSKEDRRIRTPPVRSFPRDNQRQQNAPRK</t>
  </si>
  <si>
    <t>KELQEILVILYYNKHLFLVKKKKKK</t>
  </si>
  <si>
    <t>RGVGTVVNRERHPGSFDIVHIKDSQGHTFATRLNNVFIIGKGSKAYVSLPRGKGVKLSIAEERDKRLAAKSAH</t>
  </si>
  <si>
    <t>TATESGVDVVLNHRLCETFAFSDKKSYTLYLKDYMKKLVAKLEEKSPEQVEVFKTNMNKVMKEILSRFKEMQMFTGESMDCDGMVALMEYREIDGESVPILMFFKHGLEEEKF</t>
  </si>
  <si>
    <t>PGIGGRLNRLPAAGSGDMIVATVKKGKPELRKKVMPAVVIRQRKPFRRRDGVFIYFEDNAGVIVNNKGEMKGSAITGPVAKECADLWPRIASNASSIA</t>
  </si>
  <si>
    <t>REPKAEEPAEEMDAAEAALAGEPKSKDPFDSLPKGTFNMDDFKRFYSNEDESKSVPYFWEKFDPENYSIWFGEYKYNDELTKVFMSCNLITGMFQRLDKMRKQAFSSVCLFGEDNNSSISGVWVWRGQELAFNLSPDWQIDYETYNWVKLDPKSEETKKLVKQYFSWEGADKNGRKFNQGKVFK</t>
  </si>
  <si>
    <t>PKGTFNMDDFKRFYSNEDESKSVPYFWEKFDPENYSIWFGEYKYNDELTKVFMSCNLITGMFQRLDKMRKQAFSSVCLFGEDNNSSISGVWVWRGQELAFNLSPDWQIDYETYNWVKLDPKSEETKKLVKQYFSWEGADKNGRKFNQRKVFK</t>
  </si>
  <si>
    <t>KKLLKLLRILLKILQAHKKCFLFNICDFNSNILIHIYTHIVYQKINVINNC</t>
  </si>
  <si>
    <t>EMQSLGITALHIKLRATGGNKTKTPGPGAQSALRALARSSMKIGRIEDVTPIPSDSTRRKGGRRGRRL</t>
  </si>
  <si>
    <t>RPMGWEAQLLQALVVQVPTSTHRTCAIHLKCWLLQMLKLLSLNRQCWYKAKNHSPLPCLPQHRLMNRNRCLESDYSLLFRECTLTWPARSPVCFLRSTILNSCTCWSITKVLKPRWRKLLLYYRHIKQSKPRLRTVRLRRSKEPHDKLPAINFPWLHLFATLLAVS</t>
  </si>
  <si>
    <t>GRSPVCFLRSTILNSCTCWSITKVLKPRWRKLLLYYRHIKQSKPRLRTVRLRRSKEPHDKLPAINFPWLHLFATLLAVS</t>
  </si>
  <si>
    <t>GRGFCRGVPDAKIRIFDLGKKKAGVEDFPLCVHLVSDEYEQLSSEALEAGRICCNKYLVKNCGKDQFHIRMRLHPFHVIRINKMLSCAGADRLQTGMRGAFGKPQGTVARVHIGQPIMSVRSSDRYKAAVVEALRRAKFKFPGRQKIYVSKKWGFTKYERDVYEKLRDEGRLAPDGCNVQYRPEHGPLSAWKKVQEDLAAC</t>
  </si>
  <si>
    <t>GIQKKYLGGFLTDCREDTLKEIQSMGGVSIKSAKVYDKYQFERVGFFSVDPDTTESTLIFNRTVSLKEDSGKQ</t>
  </si>
  <si>
    <t>TDFTETPDKGYRRLTPNQAVGLRYAGFVIAVKEVKKDSTGKVYEVVCTCEKSETASKPKAFIHWVSHPVNVTVRLYEMLFKHRNPEEVPGGFLTDCREDTLKEIQAMGDASIKSAKVYDKYQFERVGFFSVDPDTTESTLIFNRTVSLKEDSGKQ</t>
  </si>
  <si>
    <t>AGQGQAYCTDTECIDEFPGAPYSAQPSNFTMMALLFAFAILMYMFQPNRNRNTDEVGLVKNSSALDQDQPPPPPPSVN</t>
  </si>
  <si>
    <t>YIHHILCFINIHEPVMHQYLVQLIIFIRIITSENLY</t>
  </si>
  <si>
    <t>QPGFGTGPVTVGGGLQYSREGKGHVGVNAQHTLGFGTDVGANAGVNLFRANNGRTSLDADTFSSKHFVGAFGTGRTNYGGAVNFRHRF</t>
  </si>
  <si>
    <t>TAGVCRKQMGTPDVRVDTRLNKQLWSKGIRNVPFRIRVRLARRRNDDEDSANKLYTLVAYVPVATFKGLQTENVDASQE</t>
  </si>
  <si>
    <t>RPGRTCFTIRALPACGKHCKPTETIQKEVEVHCPQGSVAEHYKQKILKGVNPDMSGKSVSRVLKFKVPRSCVAY</t>
  </si>
  <si>
    <t>GCRRMSFAAIVAGLGGKDNYKICGEDKPLGWPKHGAMIIGELHTESKSRDKYFKLLYWDPDEEKPQQLHLNGCKGCTWYQYWFSTSDITKDNKKCQV</t>
  </si>
  <si>
    <t>RNYKICGEDKPLGWPKHGAMIMGELYTESKSRDKYFKLLYWDPDEEKPQQLHLNRCKGCTWYQYWFSTSDITKDNKKCQV</t>
  </si>
  <si>
    <t>HLQIEGDKMPREIKEIKDFLLKARRKDAKSVKIKKNPDNVKFKVRCSRFLYTLVITDKEKAEKLKQSLPPGLQVKEVK</t>
  </si>
  <si>
    <t>VINSRLALVMKSGKYCLGYKQTLKTLRQGKPKLVIIANNTPPLRKSEIEYYAMLAKTGVHHYTGNNIELGTACGKHFRVCTLSITDPGDSDIIRTLPEAQQQ</t>
  </si>
  <si>
    <t>AGGYKQTLKTLRQGKAKLSTIANNTPPLRKSEIDYYAMLAKTGVHHYTGNNIELGTACGKYFRVCTLSITDPGDSDIIRTLPEAQQQ</t>
  </si>
  <si>
    <t>YGRGGKDDDGPVVRLFKGDEGRNDMEPIPENFEDLD</t>
  </si>
  <si>
    <t>GKKRXSGGGKAKKKKWSKGKVRDKLDNQVLFNKETYDKLYKEVPQYKLITPSVVSERLKIRGSLARRALIELREKGLIKQVVQHHAQLIYTRTTKGDDTVA</t>
  </si>
  <si>
    <t>NLSNIHLIGKKLVNPMEQFPVNSNWCSGINLEEKSSTDFHTKLYKNFPLKIFRIYK</t>
  </si>
  <si>
    <t>LYLCHKYNNNIIFVSNLLVFLFNKKKNNNRGIKNTYNMEKGIKVKRIIPFLIGDKGNGIGELKIYLNGQKAKLGNYNGS</t>
  </si>
  <si>
    <t>LRPGNILPKCEKKLXMVEIQXFSALKSKVQKNIKDAKDEDMWKLYNHFLSLKNDNKDLPSWLTYDDLLDMKEYVDTYIRTFSKTVELKQLSAGKYVKEFVDSLDKYQRRREGPPIKIFAAEEMSFAAIVAALGGDKNFKICDEEKPFGWPKNGAMIIGELHTESSTRYKFFKLLFWDPDEEKPQELHLNNCKGCDWYQYMHTTSKIREFGKNSKTCQG</t>
  </si>
  <si>
    <t>GRGTRAKSMKFIDGLMIHSGDPCNDYVDTATRHVLLRQGVLGIKVKIMLPFDPAGKQGPKKPLPDNVSVVDPKEEPLPTVPSSESKVPKPEVPSVLPAMAMA</t>
  </si>
  <si>
    <t>GRGTANVLARYASICQSQRLVPIVEPEVLPDGDHDLERAQKVTETVLAAVYKALNDHHVYLEGTLLKPNMVTAGQSCPQKPTPASVGVATVTALRRTVPASVPGITFLSGGQSEEEASVHLNAVNQVELLKPWALTFSFGRALQASVLKAWQGKNENVAKAQAELLNRAKANGLACQGLYQAGSIQSGAGGKSNFVKAHAY</t>
  </si>
  <si>
    <t>SEEEASVHLNAVNQVELLKPWALTFSFGRALQASVLKAWQGKNENVAKAQAELLNRAKANGLACQGLYQAGSIQSGAGGKSNFVKAHAY</t>
  </si>
  <si>
    <t>RPGEHNVHNIPMNQIKKLHK</t>
  </si>
  <si>
    <t>MTLLNTLPNIPQKSLRAMIALEKLERLSCNAFINIYRFLRMWPRSMLIYLLISSDHICNVIKCHRMIEFFI</t>
  </si>
  <si>
    <t>CQISTWDYRSQYNSKWKSSFVDIAATSNHMQLLDVRANIKKYPTHKRMVNRWIASHEIKVVLSR</t>
  </si>
  <si>
    <t>AGGPAVAISVRAWASSNQSRVRWFDSLYRRSPTSGSFDVKFPLGVIDHNIIRSGYRPSWT</t>
  </si>
  <si>
    <t>YIKKKKPTNRRVVNRWVASHNNTLGHKSYTKTAYKTLKKVKVLIAMETIIIKKKKIFLDFCVLLQKKKKK</t>
  </si>
  <si>
    <t>AGGGLVKWFWIKYFLSMIIILLLLLSSFIYIFLIINSELIYSKITHEKNGFYI</t>
  </si>
  <si>
    <t>KWFWIKYFLSMIIILLLLLSSFIYIFLIINSELIYSKITHEKMDFIYNDKQNLNLLLKKIFSFNIHYKIVLLN</t>
  </si>
  <si>
    <t>RPGWETVRGMVPHKTERGKQALRRLKAYEGCPAPFDRRKRLVVPKAMRVMCLKPGRKYCHVGRLSNEVGWKYQDVVRTLENKRRVKTILNIKKRNNLKKLTKKAGEAVAKRVAPYTQVINSYGYN</t>
  </si>
  <si>
    <t>KKLNKNKKLVKKLAKKYDAFLASESLIKQIPRLLGPGLNKAGKFPGLLSHQESMVQKIDEVKGTIKFQMKKVLCLSVAVGHVDMSPDELVQNVHLSINFFVSLLKKHWQNVRSLHVKSTMGPPQRLY</t>
  </si>
  <si>
    <t>RGLTRQVNSLGLLSHQESMVQKIDEVKGTIKFQMKKVLCLSVAVGHVDMSPDELVQNVHLSINFLVSLLKKHWQNVRSLHVKSTMGPPQRLY</t>
  </si>
  <si>
    <t>RGCRNMPLAKDLLHPTIAEEKRRHKLKRLVQHPNSYFMDVKCPGCYKITTVFSHAQSVVVCAGCSTILCQPTGGRARLTEGCSFRRKQH</t>
  </si>
  <si>
    <t>TRGRFELAFSQIGSSCMIGAALGGMAGTYNGLKATTLLGQTGKLRRTQMLNHIMKQGSATANTLGTIAVMYSGLGVLLSWLRGEDDEINTLGAATTTGALYKSTAGLRKCAIGGGVGFSIAALYCIWTSRHAIQDIRRQYNPL</t>
  </si>
  <si>
    <t>NLNFVHKLIELKFNYYWINQYIFYLYLD</t>
  </si>
  <si>
    <t>GRGGQNGYGFLTAIFQPLSEIKELLSKLTQMLQAKFNLQNDGESTTGSSNVTQ</t>
  </si>
  <si>
    <t>GRRERRDNFVPEVSALEHDIIEVDPETKEMLSMLDFKNISGLQLTQPQTFNARR</t>
  </si>
  <si>
    <t>SKMGKGNNMIPNGHFHKDWQRFVKTWFNQPARKIRRRQNRIKKARALFPRPAAGPLRPIVHCPTVRYHTKVRAGRGFTLEEIRGAGLNAGFARSIGIALDVRRRNKSVESLQQNIQRLKEYRSKLILFPRGGKKLHKGEATEEECKVASQLEGVVMPIKQTSVKSKARVITEDEKKFSAFTTLRKARADQRLVGIREKRVKDAAENPDDVTKVGKEGKKAKK</t>
  </si>
  <si>
    <t>SKMTKGTSSFGKRRNKTHTLCRRCGRSSYHIQKSQCAQCGYPFAKLRSYNWSIKAKRRKTTGTGRMRHLKIVRRRFRNGFREGGKPSPKQVPSTT</t>
  </si>
  <si>
    <t>PGVKPWDDETDMKEMEKVVRSIEMDGLVWGASKLVPVGYGINKLQIICVVEDDKVSIDLLTEEIQNFKDFVQSVDIAAFNKI</t>
  </si>
  <si>
    <t>PXGGPSDTIENVKAKIQDKEGIPPDQQRLIFAGKQLEDGRTLSDYNIQKESTLHLVLRLRGGMQIFVKTLTGKTITLEVEPSDTIENVKAKIQDKEGIPPDQQRLIFAGKQLEDGRTLSDYNIQKESTLHLVLRLRGGMQIFVKTLTGKTITLEVEPSDTIENVKAKIQDKEGIPPDQQRLIFAGKQLEDGRTLSDYNIQKESTLHLVLRLRGGF</t>
  </si>
  <si>
    <t>TNWWTLVSEQTRLKYKDNVEGKAPVIDIVKAGYYKLLGKGRLPQQPVIVKAKYFSKSAEDKIKAVGGACVLSA</t>
  </si>
  <si>
    <t>YRFFLSSTECVKYLGMHLDRRLTWKDHIRAKLNTIKIKTAELYWLLGRKSILSIDNKLLIYKAVIKPIWTYGIELWGCASKSKIALMQRAQSKILRQITDAPWYVSNKILHDDLHIDFINRIIQINSMKHFQKLQHH</t>
  </si>
  <si>
    <t>RPGWTTSSKLLCADELIVAAAIAVLTKPENNIRGSKFDMVVPKHGTALIVELHKSQDQHFVKVLHWNSNADEPKEIKYKSCQNGCTFENFEKMLKETITSYDDDDFDECGIPI</t>
  </si>
  <si>
    <t>PIIGDVSHIFLAFIPYNITGKTLGYTIVLALPKHPFFPLSFDPIKPHYMWKIHEYFQAQRFGGKPLKDWLTESLMLDMEESSKLFVTSLFQYAYAKKISAGAYTNGILEDFKKMKNNQNGQPPLQLLCADELIVAAAIATLTKPENNICGNKFDMVVPKHGTALIVELHKSQNQHLVKVLHWNSNADEPKAIKYKFGKDKCTLDHFEKMLKETITPYDEELDKCGIPK</t>
  </si>
  <si>
    <t>PGVQASHSSFNKFVQMYMAYSFNYEIVHILYYKNSIKTLTYF</t>
  </si>
  <si>
    <t>SLIATKKNHNNPQIYSNLNKKLL</t>
  </si>
  <si>
    <t>TSFGEKLLLAARAIADIEHRSYVFVNTSKIYGQRAELKFAALTGATPIVGRFTPGAFTNQIQAAFREPRLLVVSDPQNDHQPITEASYVNIPVIAFCNADSPLRYVDIAIPCNNKSVNSIGLMWWLLAREVLRFKGKIKRDTKWDVVVDLYFYRDPEEAEKEDQVTKEVAAPVPAKPVETDYTAGVAENWPDNGEPAVRPSWGDEPVAAPAAAPLLLPKKATGVPEGEWVTAPQPEEWAGNTNW</t>
  </si>
  <si>
    <t>HAKMVCSLYGGSDGMQGFLRCKLCNYILFVLIVIYVVRKMSIF</t>
  </si>
  <si>
    <t>NITPAPIPKEKALIIIKDVFVSAAERDIYTGDGILIKIITKEGIVEEKFELRRD</t>
  </si>
  <si>
    <t>ISDNMRILEFAEYTKKFTFCTRFIVISNGILFYVYCYLQK</t>
  </si>
  <si>
    <t>GEITKGHVYVTKHMFMDELNIDVSK</t>
  </si>
  <si>
    <t>YRICNGEKIFANYVANKDLICRFYKEHKKKKKK</t>
  </si>
  <si>
    <t>CSYFVRNSNNIVSDCIYYLYKKIKYTPP</t>
  </si>
  <si>
    <t>ECEXFRAVCVFKLRITKNKI</t>
  </si>
  <si>
    <t>VNXRRCHXHXPAWVTEQERPWSLKKKKKK</t>
  </si>
  <si>
    <t>STSQNVXCVNILVVLFKNKFLIPKKKKKK</t>
  </si>
  <si>
    <t>RNSKKDELDHGVYIYNKKKKKK</t>
  </si>
  <si>
    <t>NFYFVLLNLLFIGRNNNHYSISTTNT</t>
  </si>
  <si>
    <t>NLKKFSSEFVLIALTSTDQMRKLAGGLILKDLFNDIDELTKDHAQPHAPGGIKNKMNIFVVPQAILAAQMAVFMPEGTKLRDQPITASNFYPDDQSNVIIELYQDKNKWNVQLQYKNNKNSGWLPIKVQGCNSPMCPYDTLKKSLNKYIIDDARHKQACK</t>
  </si>
  <si>
    <t>RKKSNLIRNKVKKNMPKKKKK</t>
  </si>
  <si>
    <t>LIGIQFRNXREIYRFAKKKKKK</t>
  </si>
  <si>
    <t>NCNNITNIPNNNILPLCNNTFTIKSKKKKKK</t>
  </si>
  <si>
    <t>GEHLMLINRLVESTI</t>
  </si>
  <si>
    <t>KCENLRFNSLIGVKFNLFIIKCTKIIKFSEFN</t>
  </si>
  <si>
    <t>RGVSGHXTAGKMMEXLEWSCCQNNTIILYKKKKKK</t>
  </si>
  <si>
    <t>WKELLGFLISIQATDNLYVNLNQFYNNPW</t>
  </si>
  <si>
    <t>KLYGVMDQKKAPRREDYSHLRN</t>
  </si>
  <si>
    <t>QKWAITAGMPKMQKIKVLILEELVLKDLENNIF</t>
  </si>
  <si>
    <t>LSFSFIFAGRSSKNYSLRVLGFKHTARHIVERQRIWVIVHSSK</t>
  </si>
  <si>
    <t>FLTDNYFPITRKYFIGSKTSILGRFYDISQSIIIYVNLTHRKKKKKK</t>
  </si>
  <si>
    <t>NTLQCDKKFFKIFFIIIFSKAIDDNK</t>
  </si>
  <si>
    <t>YINAIHFLKIMYNKKKKK</t>
  </si>
  <si>
    <t>LRIQSMSSTRQSEKKKKKK</t>
  </si>
  <si>
    <t>ERTSXAFXRFXKDXFETIELNYLVYF</t>
  </si>
  <si>
    <t>IKFISLVNMWYIISLILFLISNAELRPLEDNDIYHAKDINEILRVLDPSCHNEILRHQDVTSGLFQCHITCYRQGNGACRNVCQCTWENKILDPNSNTINNQVPGSTKHEKKKKK</t>
  </si>
  <si>
    <t>GGIRPXYGRDITELILNSVLALINYNKLINTVKKKKK</t>
  </si>
  <si>
    <t>LVLIKKKKKK</t>
  </si>
  <si>
    <t>DCATGAPAWGDRVRLSKKKKKK</t>
  </si>
  <si>
    <t>KKMSPPPPGKQGFPPKRALSAGGEKKFNFPPPPLKNFPPPFFKKKKKTLFPKKGGLFSFFFFFSLFFRGFFFKTGKIFFGPKFFLIFFFFSPKNFFFFFSQKKKKK</t>
  </si>
  <si>
    <t>ATYYIRNKVISCKKKKK</t>
  </si>
  <si>
    <t>GINRRSGHXTAGITTKIKTNFFQNEQLNKCTRQ</t>
  </si>
  <si>
    <t>QLVSTQXWPFTAGENRFVIVCANKK</t>
  </si>
  <si>
    <t>GQEAPRPQTFVYIFVSYVWFEIFPISTSYEVLNTIFIK</t>
  </si>
  <si>
    <t>RMIEENIIPKKKKK</t>
  </si>
  <si>
    <t>GKCRDKLHKKIKKLKLLYISICEDLNFMDSKILIVCDRIHLRPLI</t>
  </si>
  <si>
    <t>CPLKLGRLSNISTIFDLKAISRGQSNNGYEPAERPKAKKPKDNLQPEGDFERPEQEKFKPTERPQAKKPKDNLHPEGDFERPEQEKFKPAERPKAKKPKDNLQPEGNFERPEQEKFKPAERPKAKKPKDNLQPEGYFERPEQEKFRPAERPTAKKPKDNLQPEGSFERPEQLKFVPAEVRTPIKHFDNLRPEGSFERPEPEQYTPAERRKAENHQITCN</t>
  </si>
  <si>
    <t>GTPKRPNVVRSGTNTVTKLVEQKKAQLVVIAHDVDPLELVLFMPALCRKMGVPYCIVKGKARLGALVRRKTCTCVALTNVDTGDRVGLNKLVEAVKTNYNDRHDEIRRHWGGGVLGSKSAARIAKLEKIKAREMAQKQG</t>
  </si>
  <si>
    <t>RHGGGISLKSQLFGRLGWENSLSPGG</t>
  </si>
  <si>
    <t>KSQFGGGKVCNVFKRYRRRLGSFKAESTRIGINSSWLFVMFLSHVAIQGATSCEWNLTLGTEKVAVHVAT</t>
  </si>
  <si>
    <t>ERRSNFIWSLIVIDDRSPKALVDFGHGCDAF</t>
  </si>
  <si>
    <t>NDMTRAAKKKKKK</t>
  </si>
  <si>
    <t>NTKTHSTRXGVGKTKYHLISKRKKKKK</t>
  </si>
  <si>
    <t>LVNHSNKILQKIIQDSTNEQPLLQDAKTKRVKGILLTSKLKVQNKKELDEQIE</t>
  </si>
  <si>
    <t>KKICQLMCYYXYGNKXEAQKKKKK</t>
  </si>
  <si>
    <t>AGRLNEPSRSXLGVNLNRKIGLKKKSLRLHRNVGLGFKTPREAIEGSYIDKKKKKK</t>
  </si>
  <si>
    <t>PXRIVIVLDEKDHPTFKRSGSDLILRMNIQLVEALCGFQKVVKTLDDRDLVMTCLPGEVIKHGDVKCVLNEGMPQYKNPFEEGRLIVQFLVTFPNVIPPEMVAALERCLPPRPVVEIPPGAEECMLIDMDPEQEARRRSHKNAYDEDDEGGPGANRVQCATS</t>
  </si>
  <si>
    <t>PGEEEDSDSEDSDEDDLEIEYNDRAKVSALKDMTKPIVAPKQQPVEDPADDFDIDAI</t>
  </si>
  <si>
    <t>EERSNAIKQDSQLEALSTHSHTNTAKKKKK</t>
  </si>
  <si>
    <t>FYYFYLTNIFHLIKLLVFINFLTSLRASYGNRKKKKK</t>
  </si>
  <si>
    <t>HQTRITQKLSQRIIYFIQSSSEKIIYLIKICLYTNIFCLCEKILIDQSEF</t>
  </si>
  <si>
    <t>VTTFVKMKLLIILSAFFLLACCKEKRSFKVSEFCLTGKGSTEKNIEKHDDVFETKAPDFCPDDDDDDDFPENDQKKVDNYNSMLHSECAKFCRKNCETLIGFCGHEDFKDDGYGDPNTCYCAFSSEHYELAENLKD</t>
  </si>
  <si>
    <t>YFCCKTIIKIYLLFIIARKKKKK</t>
  </si>
  <si>
    <t>QCCLTGSRFSFQILILNEIGNYNSITISFNKFVKNVSG</t>
  </si>
  <si>
    <t>VGGSRWCAQKGLGVSLPGAAIGADLGGSSKYTNINIGFLLGKKKKKK</t>
  </si>
  <si>
    <t>YSISLIKMDQGKAPVRVSPLIKFGRWSFLVVGILYGAAHQSRLAKREVGIREVEAKHKAIRDAKLAEEKKRAQEEENKYFSSL</t>
  </si>
  <si>
    <t>NGRYKIKKRTLPSSNKMRKIKKNSTDEQNEIKDMKLKKDSTDEQTEIKNKKWRRDYTDTLKLKTQNMKRTLLITKLK</t>
  </si>
  <si>
    <t>PLLPGRRNRQWKMTVTVIQRIIKNILKVLA</t>
  </si>
  <si>
    <t>FRAIKLCQISNLPCQKGHIDYLKSLALTRTAPLCLRSTRKNWCNEPNWQSRPKDTMIWLRR</t>
  </si>
  <si>
    <t>SLLKTGKISWAWWHVPVIPATGEAEAGVSLESGRRRLQ</t>
  </si>
  <si>
    <t>YTRQLLNQYNPTAYNYAPKYVPNWLIHQDLRISTIEEEISLYYTRYKARHPNVLICSSLYHQSVSKQESAMIYYKI</t>
  </si>
  <si>
    <t>TMIRWGCPQRLEGEKLFKQELVEMLLTDDES</t>
  </si>
  <si>
    <t>NFCTRSCEVDGGYCSNNICMCDGRKSAPRNQDYSHLRD</t>
  </si>
  <si>
    <t>HAGFRSWPHKLTRLLRCEPAGGLWKVGVVGMLELRSWRPTWATQPVFTKSLKLVEPGGGSLRSQLPRRLRWDDHLSPEGGGCSERRLHSSLCKGNSVSKKKKK</t>
  </si>
  <si>
    <t>QRSSGHYGRVRHPKLANYYLNIEKNKRKKKKQKLRSPPAPPRTKCLKSYLFAPQY</t>
  </si>
  <si>
    <t>DTCVAHVDRTSALSSPSTWVPMSMGGSGCSGCLRRGEPGQRGHPAAKSPRGEQ</t>
  </si>
  <si>
    <t>SREIYIPYDGSIVLLRRLDRFLYEMFYMNLVV</t>
  </si>
  <si>
    <t>SQVDIEDSDIGIVLQDYRKKKKK</t>
  </si>
  <si>
    <t>FGRKGHAVGDIPGVRFKVVKVANVSLLALYREKKERPRS</t>
  </si>
  <si>
    <t>RAARGMLPDPKNTPLVISWAIAQAVTTVAGIVSYPFDTVRRRMMMQSGRAKSEMLYKGTLHCWATIAKTEGSGAFFKGAFSNILRGTGGAFVLVLYDEIKKLL</t>
  </si>
  <si>
    <t>SFNLTGTQKGPXRKKKKK</t>
  </si>
  <si>
    <t>SDTLFDGEQPTLEEIRSWGKSFDKLMRSPSGRKAFREFLRCEYSEENILFWLACEELKKETNPEAIEEKARFIYEDYISILSPKEVSLDSRVREIVNRNMVEPTPHTFDEAQLQIYTLMHRDSYPRFINSSQFKTLAQIPDGVSASGSTAESPSN</t>
  </si>
  <si>
    <t>IKEYLNNCYSILIICFINHIVFMVLKISLFWYILFILLYTNYKIKFVKEKKK</t>
  </si>
  <si>
    <t>YYFLLSVQCNANTFLYIGIVLFHTCNMKVINGYISKKKKKK</t>
  </si>
  <si>
    <t>GPGESGHYGRVLRIYVIDMK</t>
  </si>
  <si>
    <t>GPSGIRPXGRDGDMNLTNGYSNSYMNLSLDSNRLHCEMETQTVVDNQTTMNTPIKRKLHRALRRVHTLFRSNYRINNINNSKSNT</t>
  </si>
  <si>
    <t>SXQSLMLKFCKLMEINDKTEKKKKK</t>
  </si>
  <si>
    <t>GRGIGPLRPGVLRNIRQLQNMLIKFLNENFTFAWQVT</t>
  </si>
  <si>
    <t>EMKVHLVWNHFQKIGKISIKLNVKFCVLKFNKIFHT</t>
  </si>
  <si>
    <t>GGWGIGHLRPGNHRFIPIVIERILINSFIK</t>
  </si>
  <si>
    <t>EGRRYIGINGRGHKKKKKK</t>
  </si>
  <si>
    <t>GAAESAXTAGEPTDVVLYPCLQFFNIIY</t>
  </si>
  <si>
    <t>GARAIRAXYGRELVSVNCKFRGYYKWLDNIFM</t>
  </si>
  <si>
    <t>IXFDWLVHLFKIKLXEKKKKK</t>
  </si>
  <si>
    <t>GARGIRHYGRVVIRFHSIPKYSSSSKPDSKS</t>
  </si>
  <si>
    <t>GEGKTKELFSNFQKQMSVLMQSVNEKFSKIKERAQKYFKDAETKLKELLSRFSSQLRKTSEGSHQ</t>
  </si>
  <si>
    <t>KYEIHATYFCFYVIKSDEINNITCLLLYFFLYTF</t>
  </si>
  <si>
    <t>FLGASGHLRPGRRKRLVFRITCHQASF</t>
  </si>
  <si>
    <t>GGMGIRAXXGRGDCSIILLMNKNSDAKKKKKK</t>
  </si>
  <si>
    <t>QVDSTEISNIKAEVRSTYNGCHRSITSSVRNRRYICCFGKIYRPSIDVSSHTSQEINYATSSREIDPYLLKVFIIVNILNKELCSIKKKKK</t>
  </si>
  <si>
    <t>GLAQFGITAGRPRGRGQGRGFANRGERAGGKAPFRGDGAVQGAEERPEVHLGRGRQNAPKVDDEHGFSIFGLRYIYIYNIRRCDI</t>
  </si>
  <si>
    <t>GGNRAIYGRGVQALDLMKTLTPLQQCSARIIIG</t>
  </si>
  <si>
    <t>GMGIRHYXAGENSQITN</t>
  </si>
  <si>
    <t>RGGIRAXYGREAVGINAVVSXSRPGEKKKKK</t>
  </si>
  <si>
    <t>GPAEFGITAGGIQDLLNEPNVKDPAQAEAYTIYCQNRMEYDKRVKAQARAMAAID</t>
  </si>
  <si>
    <t>GGRGNRSSTAGFVKKKKKK</t>
  </si>
  <si>
    <t>GGHGHSGXXXPGVDKYGIKLIKNINKYKXV</t>
  </si>
  <si>
    <t>RGIGHLRPGAGGTSQEINPDDRDCPLDRVHLGLYYIYMLTYM</t>
  </si>
  <si>
    <t>GPGKSGHLRPGMNKAV</t>
  </si>
  <si>
    <t>LCLRNRAFTAGAKKKKKK</t>
  </si>
  <si>
    <t>GGLVLEQDWQSNSNDWFVVYRFLYLNICVNKVIFNFLYVHIKQRIINDGNCKKKKK</t>
  </si>
  <si>
    <t>TIMFYNIIILLCNNSKIHILIHLYLCQKKKKK</t>
  </si>
  <si>
    <t>LFLYKYHSIVLNKLPSYNKKKKKK</t>
  </si>
  <si>
    <t>GAVGIGHYGRGLSEDFNTIEQNFLKISNNKKVNKN</t>
  </si>
  <si>
    <t>RPGTTSSSRIFIKILFQELVEYLGLAKLNERLKDITLQEAFAGLFPRNNPRDTRFAINFFTSIGLGGLTDDLREHLKVLSKAPPPQVPTLHHKSSSSSSDSSSSSSSSSSSSSDSDSSTSSSTSSSSASGSKREKSKKHSKSKKSKDKSKSRKHKKEREASSSAKESSKKHSKKSKKRKEYEEEGYEKEHESHAENSHDHHHHRHHHHHRSRHERTHEKE</t>
  </si>
  <si>
    <t>LSMFELIKIGPKNIIIVIICIKYIFVNIV</t>
  </si>
  <si>
    <t>AGVKEVDKWRVKMMYRNGENKKYETIKLPDCEDMCPLKKFKEILNKYKLTKKSRKNNVKQINFPIQVRYF</t>
  </si>
  <si>
    <t>INFFLIINFNNTXWVQKKKKK</t>
  </si>
  <si>
    <t>GGLGDRAITAGEVKSEKE</t>
  </si>
  <si>
    <t>DCFFCFLYIFKIFTFITMSPKKKVMCLELKREIIEKYEEHTIDMFKQNFRQIMNGQEKTINK</t>
  </si>
  <si>
    <t>GASAIGHLRPGHKKKKKK</t>
  </si>
  <si>
    <t>GRGTKKRVITMRKSLLVHTKRIALEKVNLKFIDTSSKFGHGRFQTPADKFSFMGVLKKDRVNEETTAAQPTAST</t>
  </si>
  <si>
    <t>GRGDAWTNILLLILMRILKMPDDRFAAHVSSYYNLLCEITCCDLKAELRSVLRRVFLRIGPVFSITSNTPS</t>
  </si>
  <si>
    <t>GIVKWAEMIANKKKIIXGKKKKK</t>
  </si>
  <si>
    <t>SAVKMTSRQIVNVLKKNLSSSAALRNGTHSSSNQSPQQSSQSTQSVPLQNVTGLSSQIILKREGPIGPNDSKNEYKVKEYFCYDRSSYFQAEIEMAKYRLPQPSALKSEGK</t>
  </si>
  <si>
    <t>KLLFHSEIILKNTLIFITFDLILLKFICLLRYIYIYFVIYKYNMKID</t>
  </si>
  <si>
    <t>AGWLKAFCQSEELGELLKAQEKCGRIVAAICAAPTALKAHKIGLKKRVTSYPSMKSEMVKDGCYTYVDDQKVVVDGNIITSQGPATAINFAIVLVEQISGREKAQEVSKGLLFDYCSLY</t>
  </si>
  <si>
    <t>RPGTEGASVAIEMQEYERERDRCPMHFDDGSNPWVQSENYIKVFNFGFFRSASPKLCMSLLTLVVSFLLSMKA</t>
  </si>
  <si>
    <t>GGVFANLILDEFNKKISNNNNNQHVLQLLCAQEIIVATAISALTNSKSSICDKTIDIGVVKHGTALIAELHKKNSEYYVKVFLWNPDADEPKQIKYGECSNGECTFEKFQEILKYTAITEEKLRNSVYCKS</t>
  </si>
  <si>
    <t>AGGELDRFCEALILIRKEIALIEEGKLDRQNNPLKLSPHTQRQVTMENWTRKYSREMAAFPAPFVNPETKIWPTVARIDDIYGDKNLVCTCPPMSSYT</t>
  </si>
  <si>
    <t>IKYTFVLYILYTNDIAILNNNIKLNTKKKKKK</t>
  </si>
  <si>
    <t>CLLMLIYTPALFIIYRYLYKQHLLYIMKVIIYCKVIFYIKL</t>
  </si>
  <si>
    <t>RAGPGRGETVLVTWIRARSRALAPRGSFLLRGFCAGFGRSVVLFGRHSTVSSELARTRGIRLSN</t>
  </si>
  <si>
    <t>CKFAIFYSKLCNIPGIVHYNSIMPKKKKK</t>
  </si>
  <si>
    <t>IQIGNGEDSIESIGKNVITDEHRRKAQKNIEERKKKEAEEKKKRENRRVVV</t>
  </si>
  <si>
    <t>PGNKSGEIVAYSESAIRNNAAIFEYCRTSMSALSGGTAGVLGLTSFHGFGFYLLAVLGLWAMLLWKAGSNWQKYFVCRRSLLTNGFLGGLCTYILFWTFLYGMVHVY</t>
  </si>
  <si>
    <t>ICRPVVLCGSCFLRTQKNWQCRYSRCLYEGVRLPGFRVYD</t>
  </si>
  <si>
    <t>QFIFTHGHSFGNSKNNLICVWCIDFFLFIKGFCEVQKW</t>
  </si>
  <si>
    <t>GRXNRALRPGKRLYMNCYCNIIMTNIYSQ</t>
  </si>
  <si>
    <t>YFISSIVYIFQKTVTNVNFYNVQPISKRLILRFYKEYIYLYKCIIEILHI</t>
  </si>
  <si>
    <t>SGYSEVRFRGCLEVGINCGLVAHVDRTSALSSPSTWVPRGSSGCSGCLRRGEPGQRGHPAAKSPRGEQ</t>
  </si>
  <si>
    <t>RPGVVMVVEQLWVDSNVMLIEMEVETTKDLNHHIDDADL</t>
  </si>
  <si>
    <t>NRNVSNFISKFVIGYFSNNFQILILLLNILTLFTSKKNVKKKL</t>
  </si>
  <si>
    <t>GGSIGRRYARTDEIAIPYGITIDFDTLTTDSVTLRERDSMGQVRVPLSEIADVVRDLSQSKTSWKDVEQKYPKFEAQEANKTE</t>
  </si>
  <si>
    <t>RAXYGRGVVLDCKILSNKNTNXKQNXEKKKKK</t>
  </si>
  <si>
    <t>TIPSLGIKIDATPGRLNQSNFIINRPGLYFGQCSEICGANHRFIPIVIERILINSFIK</t>
  </si>
  <si>
    <t>SFVVKCNSKFCFVLLIKINSSFKAKKKKKK</t>
  </si>
  <si>
    <t>MCDLKLQTNNFSNNSITISFGVFNTCEHDCYNIVEYFIACSMNINRTIT</t>
  </si>
  <si>
    <t>MIKVQIYSIFLWVSYQDLLCANDRLATRRLCALIFRL</t>
  </si>
  <si>
    <t>GLVRRNKKLQKKSKKKKK</t>
  </si>
  <si>
    <t>GRVLSEYGRCLSLLVKNVKIFLTIKV</t>
  </si>
  <si>
    <t>TTIDAKLFDPDDLYPEHGAMHIIELYQTIDNKWQVKILYRKKKKDCLKALRLPGCNKKGKLPPNFCALNHLKSAVNEISLEPVKHDKLCKDPAEFYK</t>
  </si>
  <si>
    <t>KKTKEKAKKKKKQTNDQKIKERKGKIKKKKGKRKKNPKRGKNLKKKGKEKKKKK</t>
  </si>
  <si>
    <t>GFQKQKLFVFVVFIIEHKSKFIIGESNGKKKKKK</t>
  </si>
  <si>
    <t>GGLGIRPLRPGHRNGIKKPKRYRHESTMGMDAKFLKNQRFSKKHNLKPAAQLKRAAERKAKAAKKKNKCIVINKFC</t>
  </si>
  <si>
    <t>GGLAKSALXXRGHLRKWNKLYXLQIKS</t>
  </si>
  <si>
    <t>GAGDSAITAGWPKNKENNGSQQEQEKQRMLETNEIPQNSNSGTTTSTTTPSSEDEKSSSSNVHENETFKNSSGAYMITYRPVTLLVRIKLFFQELWLRIVIFIRQIIRF</t>
  </si>
  <si>
    <t>GDRXIGPLRPGPFCPTVQHLMRKLFINISHKPSCSLRSTLRSGWKKKKKK</t>
  </si>
  <si>
    <t>GGLGIXALRPGRLKSFTSKIIFSLSTKLILFMLNIKTFDKFVNSFL</t>
  </si>
  <si>
    <t>KYDSSTQQVKGFCNQFPNDSIWKKSKDCDDFCEKHCDPYIHGQCYEYVMRGSTEDCYCTQRRYG</t>
  </si>
  <si>
    <t>GGWLPIKVQGCNSHMCQYETLKKSLRKYIIDDSTHKQACK</t>
  </si>
  <si>
    <t>IRRDCNCALSQAFNSLFCRQLLCYFVIHKIYLMSTGQM</t>
  </si>
  <si>
    <t>RGRYCGIKEAEVSEVSSEKAQAEVNVTSSDAKPSDENDHTLKESNGVETNGTNGLKSKIEGNGDVVESSTNGADSDKENDKEAEVNGDNVTNGSTNGVSDEAVQEVKVKKLPADSSPAPAPVEEAA</t>
  </si>
  <si>
    <t>GSDDTWLCSYVYEISFVYT</t>
  </si>
  <si>
    <t>HISLLNTVDQVLVLHTVPDLFHLNKNVCFPLIYLFGKVKKKKKK</t>
  </si>
  <si>
    <t>RGNPAXYGRARXKEKKNARKERNKRKREGGKKEKTGKEKVITKKEEEKKKKKVEKKKKK</t>
  </si>
  <si>
    <t>KMNTIKTKIINNV</t>
  </si>
  <si>
    <t>PGSFEKKEWDFTQVAVAADQTNYEDSFVLSQDDKIEYDHDLSELEILERKLRKNSKKRQKSSNTASNRKNSSSDEETIIITRKRKQSSIKNETTKPSSDLTQILDEDDVFETKSSGEKKQFKTPEKSGRVRKIFTSPDLEDLDIIENSQSPKKKNYVNNYETKTSSDEGNQSITGRRKANFNKKTVKKLCILSDTESDLE</t>
  </si>
  <si>
    <t>PFSRINQNXCKKKKKK</t>
  </si>
  <si>
    <t>GGWGIGPLRPGKSRTKSLGFSYLVRYHWLFXLKKKKKK</t>
  </si>
  <si>
    <t>FYFFIYFIISLIITINFNFLKLFYINQILSNSINYITKITLIIIFLSIGGLPPFLGFFPK</t>
  </si>
  <si>
    <t>RGRSSIVPAPGDIVTAKVMIVNQRVARCNIICIGDTTLSRSYRGILRKEDVRATEKDRVDIYKCVRPGDIILARVLPITELHCYQLTTAENELGVVASMSPAGVPMVPVSWTEVQCPNTLIKQPRKVARIIPESLAVTTDLKS</t>
  </si>
  <si>
    <t>IQFSLVAIVVFLWKYHDNFILISSVSNCVLHRSFF</t>
  </si>
  <si>
    <t>YFKAQVPINDILKMFVRFVGILYKICDNVLDIKLKVTQMYVAIYMYLLYLCK</t>
  </si>
  <si>
    <t>GEKRGEKNNKKKEEKIKQKLKRKHINGKNEIKY</t>
  </si>
  <si>
    <t>MEPPWALVNETISGLMNSTTGA</t>
  </si>
  <si>
    <t>DRIFCTINNVIIHVEIIEVYK</t>
  </si>
  <si>
    <t>YLNDSIFSSSVSHIFMPLLSLKTAVMKFV</t>
  </si>
  <si>
    <t>EVAAKKGPVQTGKKQQLRGKGLKKKKVSLKFTVDCTTPVEDNIMDVQNFKKYLQERIKVNGKTNNFGNNVSLECQKNESVCHL</t>
  </si>
  <si>
    <t>RGHKLMFFILNLVQDVALVMEEVYQEVAVHNVRKNAICQKEVTAIAVEIVHVFLNNNLN</t>
  </si>
  <si>
    <t>PGSQNSSNIGHQNFSKIETEIKDKLKLASSISESFEASDEDFEKNSNRVNDSKNNKKHHSQKPNSNKRSQILDTSKNRMIQHNNESSSEEFDGSEENVKNLLSTKDSSSESFDSSTEVL</t>
  </si>
  <si>
    <t>GRGLQHEDLCEYNTFKNSLKAIRMTDENHQKLCHKSDLE</t>
  </si>
  <si>
    <t>RFYILATLPITGNPNSSKCGFVPANLDDSKVPRRFCVRLLTNVCEHSKKKKKK</t>
  </si>
  <si>
    <t>IIYNVFVLLYFFKLVCTDLYYFYNEIKSVCLKKKKKK</t>
  </si>
  <si>
    <t>AITTPDNEVTDILKVAKTNFIVAKLLADGHKRDKNPPEFDFSMHRHLPIIKLI</t>
  </si>
  <si>
    <t>QSGLESFQNPAKSLTDGQGLQKHVDTFRNSLQNSGKEFSNQIQSHTDKFSESASHLKTQANEVSGKVTGKTRELFSNFQKQMSALMQSVNEKFSKIKERAQKYFKDAETKLKELSSRFSSQLRKTSEGSHQ</t>
  </si>
  <si>
    <t>PGESGIXXPGDWVNWIRQIIYFKSIKTCVFLI</t>
  </si>
  <si>
    <t>AGGAEFYQNFIDGDRTIAEFCHQEVEPMYKESDHIHIIAICTALKSGVRVEYMDRGDGGQVIAHDFPDGIKPSVHLLYRPGHYDILYPI</t>
  </si>
  <si>
    <t>GAGGIGITAGGSKIGRGLDYFKKPKYKFGLGQNDQDYRECYETNIDIIYIKN</t>
  </si>
  <si>
    <t>GAWGHSALXGRGSLIIVNNT</t>
  </si>
  <si>
    <t>VGMEKVLGAKIADKAKDAVKKAAGAVSDFADNFAGA</t>
  </si>
  <si>
    <t>GTGGSGIXXPGTAANGAVIGKTVAQVKDHAASPKILQRTKKLQDRHEGHI</t>
  </si>
  <si>
    <t>KIATYHQEVIFSLAISENKNNYINTNNIN</t>
  </si>
  <si>
    <t>XXRGDEPPRKNICHVCNGKFLRKFTYRTNTILSVSYLFQVFKNLP</t>
  </si>
  <si>
    <t>PGPIVMVKLVCVVNQVFQQVIQKLVIVRIGDRKILNFNIKIDI</t>
  </si>
  <si>
    <t>ILTTSYILNNCKQNVIPKSNSKGGRTSDNFQIARSAFTKTINNKLYL</t>
  </si>
  <si>
    <t>AGDAADNEQWIQLEDTYALSSLNTLQEAVKTILTFLGLAPSEGSERVPEGKTTHTLLCSGMFRGGIDVLVRAKLALSDGVTMQLTVRSTHPDVADLITSAVG</t>
  </si>
  <si>
    <t>GYLDVVLVLLGITWIKNDLNKAYIVILGMISHMYCLNNIIINFYFKS</t>
  </si>
  <si>
    <t>GGTSRSHHKTMMMLKMLNKCKIFMIIKYK</t>
  </si>
  <si>
    <t>KKKGKGKKKKGNFKLKKGKKKPILKKKKKITSPKRERKRENLKKKKKK</t>
  </si>
  <si>
    <t>SLYDNNREVIHIVLDTLCISMLPIFYLYHRLVLIFRFVREQCTKVHILDSFCVCFVVSCLFELLKFVK</t>
  </si>
  <si>
    <t>LVYIVDIATKQFFQCNDAVLDNCLLIYSSNRKQLVCAFKFEAYLMFANRLL</t>
  </si>
  <si>
    <t>GRGGGFALIFLAEYARILFIRFIFCLMFLGGDYLSFFFFLKLVFLSFIFI</t>
  </si>
  <si>
    <t>KKRTEKKHPNIKYNVHHQVHHIIVYMTTSQAQNSCTRLKVILI</t>
  </si>
  <si>
    <t>ELIYVNHSHFSLICIFFKSYSILLIRLPFSLTSTVLITYNKYLYNMFARIKLL</t>
  </si>
  <si>
    <t>RGGNTMRSFNDIEEERYQLWKNLFEIGKEFKKRTKEQLEKQCLQKE</t>
  </si>
  <si>
    <t>YSEQAHIKTIALYKVVEEWVSHIVDCFCISTTSTRINDLR</t>
  </si>
  <si>
    <t>RAYSNLIYCKTLKN</t>
  </si>
  <si>
    <t>PXLDLMRRLPPQQIEKNLSDLIDLVPALCEDLLSSVDQPLKIVKDSSADKDYLLCDYNRDGDSYRSPWSNTYFPPLEGGSMPSERIRKIEIDANYAFDQYREMYFEGGVSSVYLWDLDHGFAGVILIKKAGDGSKKIKGCWDSIHVVEVLEKSRTAHYKLTSTVMLWLQTNKQGSGTMNLGGSLTRQVEQDSSFNETTNPHIANVGRMVEDMENKIRNTLNEIYFGKTKDIVNGLRSIQPLSDQKQQSALKQDLYAALQKRNAKGDN</t>
  </si>
  <si>
    <t>VNKFVAGSPSTSDSHVICNMRHMQRMFLILNSSERTHRHSR</t>
  </si>
  <si>
    <t>AGDQKVRVRISGLGPGRMSSIKGLQMGGLDIVSITDATRVSWNPPRPRKQKKL</t>
  </si>
  <si>
    <t>GAGQSGHYGRGVDLMGMAVGHLYYFIEDVFPNQPGGVKLLKTPNILKSLFDEYVEEPQYNPLPPEQRPGGFNWGEPEPRPENAAGDHGDTNNRDNQQRGNNNQ</t>
  </si>
  <si>
    <t>ATPECRQSHHRFPQSLFLNAFALIEFFKAVLRLIFCPNVAELRPFTIQDESARYWSRRLSWLSSLIGYGLIVAVPIISNQVNVQIGALANVIIMLCMTVWALYLIFRNKKEIIQQQNAFLPC</t>
  </si>
  <si>
    <t>RRLKKPLCRKMMKTYKLLCYRQHECFVYFVNENGGFEFE</t>
  </si>
  <si>
    <t>FIDIRKHGTIMLGIDNFIIYKLLKDLIFVWNHFYTIANIYICVSIYLLHVYMYIYIYTYMCIYTHKF</t>
  </si>
  <si>
    <t>GGIKIDQIEIASAMWMDLDKVMESDVVSEHNQLILQTYICNKENKLSIKHESHFVELLNKPYLLYTIDQTK</t>
  </si>
  <si>
    <t>GEKEDDLLDMAPFLKENSRLGCQIILTKDLDGIGLQMPQATRNFYVDGHKPKPH</t>
  </si>
  <si>
    <t>EINRISYISCEYIQISFIYVVILYFVVYLVAQKPHTHSFFSAILIQSYNFLFTDVLVNVRSNKN</t>
  </si>
  <si>
    <t>GRAMVGRRCYQGSPVRLQNQAAENGSKVILNLESSPTALVVKL</t>
  </si>
  <si>
    <t>AGGQEAARIIYLVHDELKDKNFELELSWVCAESNGVHERVPASVRQEAESQAKQVFIDIILLKTIDDDIFILSTEIKYRYYMKFEIF</t>
  </si>
  <si>
    <t>GRGXRPITAXGDQDKKKMVKDGKTRNRKREKMRAKKTKIMKKVYKEEKK</t>
  </si>
  <si>
    <t>SKTSNFKHSKNIYAEYSKFNNNNIYMKCAIGILPKNKYIECKKKKK</t>
  </si>
  <si>
    <t>VHLVWNHFQKIGKISIKLNVKFCVLKFNKIFHT</t>
  </si>
  <si>
    <t>LRQKIDIEMIFFFLNNSKVFSFHNIIRS</t>
  </si>
  <si>
    <t>FSMFIVILRLIINRISWYIFKYEILNKLPKYFDEYNKSLIKSKKKKKK</t>
  </si>
  <si>
    <t>KVLKLYFLLATNIIIHNFLKLSKTVTFL</t>
  </si>
  <si>
    <t>HEAKEKKVHVTLKRQPAQPRPANIVKGTDEPIRLAPIPYEFIA</t>
  </si>
  <si>
    <t>ICRLRLAHTKNNVHLFRIGIKQDPFCSCSTVLDTIDHILWICPLYERQRIFLFEKLQQRNVSFPINARFIISSNNIDLYRILIDFVNESNIRL</t>
  </si>
  <si>
    <t>RGEXGIXXPGTDVVLYPCLQFFNIIY</t>
  </si>
  <si>
    <t>RGIDLKPTVPITTCADGLSALKDALKLEASVTRKIKHVIKACENDNGANDYHLVDYLTGEFLEEQYSGQRDLAGKISTLGKMMNQQGVLGEFLFDKKLLG</t>
  </si>
  <si>
    <t>KEKKWRGKRRKGSKIRQKRSDPKGEAKKKLRSNKKKDRKSTEHKVRLCKENKKSVVKKENR</t>
  </si>
  <si>
    <t>INLIHYFSVHEKLLLFFSGQIDKKCVLITVSLFP</t>
  </si>
  <si>
    <t>PGEDDLHLIEDDSENPKYNPALDSECAKFCSQNCGTLFGICAHEDLKDEGFGDSDKCYCAYSSEHYEIVENKNE</t>
  </si>
  <si>
    <t>VKSKATKMLKMVHQNSCSFTVATQLKFQISPGIPMSHGLFVRFLKITSCRFGKWLKISTMMKNQKHQLMNWNPLRHNYFNGFIFVILVVILSLHQSTTSIYI</t>
  </si>
  <si>
    <t>SITDETNGLVYIFIKSCKFNLFMLMISNNLFDVLINYFFILTIY</t>
  </si>
  <si>
    <t>GGAGESGHYXAGRQKKKKK</t>
  </si>
  <si>
    <t>RHNHHLPLFFFKISFYLFQSYLLLYRLFKYINICTIYDLIFSSIYVTL</t>
  </si>
  <si>
    <t>DAWTLLIRLELYKPSMFLFSYVIYLNKI</t>
  </si>
  <si>
    <t>GPLRPGIKSYAKFSATPRYMTYN</t>
  </si>
  <si>
    <t>AGESGITAGGLRFVRYFLLICRMGASDCLYLSGSCCVFSIVK</t>
  </si>
  <si>
    <t>VIEVNDFINCFNLAGLCCEIIIVK</t>
  </si>
  <si>
    <t>GLGNFGITAGGTDLHVAIAGKEKREYLDHLGRNTFTQAAITITKYAFNHKKINYSVFTYGIKIMNAKKKKK</t>
  </si>
  <si>
    <t>RGNRAITAGPGPTTTGYPPFYPLTNFSAEWWIPVVVWARGKKKKK</t>
  </si>
  <si>
    <t>IIXLNNIXLEIKWLISKKKKKK</t>
  </si>
  <si>
    <t>KSTEAPKITTTTENTVKEMLIKFNDGTTQLTTNRKN</t>
  </si>
  <si>
    <t>GAGGSGHYGRGQRLKKKKKKYMIKKKKEKMIGGGPPPPIPYNVKYVLGGAPYYPHLGPSPIMGSN</t>
  </si>
  <si>
    <t>PRAEAKAIKEQIHVIIYIAELIATDPRLAMRKARELWHGLSLDEPENQARPDTLEQLLVMLARESARRLVHLVNYAGEGVSNLPRSTAAHIQVGLHRCMAFGDAILKERLAMFLAGREQEIKKAAKRTRHINNHTENNMNGVQQSYVLTI</t>
  </si>
  <si>
    <t>GGASGITAGVIDYAVKIRVKPDKKGVVTDGVKHSMNPFDEIAVEEAVRMKEKKLASEIVAVSCGPTQAQEVLRTALAMGVDRAIHVEVPPAEYETLQPIHVSKILAKIAEEEKVDFIILGKQAIDDDANQTAQMTAALLDWPQATFASKIEREGDKLKVTREIDGGLEVVECKIPTVISADLRLNEPRYATLPNIMKAKKKPLKKVAAKDLGVDLSPRIEVISVEDPPTRQGGTIVPDVDTLIAKLKEKGHI</t>
  </si>
  <si>
    <t>NFINKLLCEKINIFSCRNIQKNCNLFLSSFQCIIILFKDSLNKIY</t>
  </si>
  <si>
    <t>AVISSLQDACLSCLHDFYLLNWHSSVFVECEILNEFLVSSF</t>
  </si>
  <si>
    <t>PGCXRECFVLCCLSIVRKLVENXCVLTKKKKKK</t>
  </si>
  <si>
    <t>TXPGLLEFIVYHFNMRMNKAII</t>
  </si>
  <si>
    <t>XFAHKLIELKFNYYWGKKKKK</t>
  </si>
  <si>
    <t>KDIREIVNIYCYSSEFGIYMVYXAEKKKKK</t>
  </si>
  <si>
    <t>SLSIVCKTTVFYNVNAFFFLLVCFFFKVV</t>
  </si>
  <si>
    <t>KYQKDMADKNIVVSDCKTCNYNFCNMSSLTNPSVSALISLAMISICFQILF</t>
  </si>
  <si>
    <t>GGGESALRPGSRRDTSLNEVHPIESAIEVAAKHVTTKNLLRLRCCPPVDTPAPLLFLLCRFAWNLQINFSKRPTYQCYTGLQSNLTINHRFQLFHLFWNRSLS</t>
  </si>
  <si>
    <t>GPLXGREIVINDWRRIAIINMSFICNLYIFFVHSRLPIHFNVI</t>
  </si>
  <si>
    <t>PGQEKFPKVGYCTISVPTYPSGQIGFVVGALDKNCDLSTPNLKFTEEECDKLQLRYYSSDIHKASFTLPRFVKKELMSVL</t>
  </si>
  <si>
    <t>SWICQNDEGNCVKEEDCPNHPSGDHEHHEGDDHEHHEEKHEDHENHDEKHENHENHDENHEHHENHDENHEHHD</t>
  </si>
  <si>
    <t>RGKIWVSVSLTKEYVCLTYNEIINLNVTYA</t>
  </si>
  <si>
    <t>GGGVIVPITCRGIKKKKKK</t>
  </si>
  <si>
    <t>IFKGLCLHFFYPQIYNFVIMDFAKNQLLKYGWKEGEGLGKNNDGISSALKPSLKFDKCGIGHDPAKEFTDHWWEEGYNNAVNNINVSNSEGDVKVSAEKCLEEVKKTSRKAKYESFLKTSTLTSQGYEEQTGTKQESITKPIKHVALTDEELLKACGKRTAHKGARHGLNLTGKLARIKAQEEELLMLFKNKNKSLETNSDSLSKVSKKKKRKHKSKE</t>
  </si>
  <si>
    <t>GGLWASCHYXAGYDKKKKKK</t>
  </si>
  <si>
    <t>RAVLTPQQLKAAQESVAYGCIKYADLSHNRNLEYVFSFDRMLEDKGNTAAYILYQYTRISSIARNANVIREQIIQAAENIDVSLEHPKEWKLGKVLLKFPDVLIKITHDLFLHHLCEYMYEVATSFSEFYDNCYCIEKNKAGEIVKVNMNRLMLCELTAMTLIKCFDILGLKLVSFM</t>
  </si>
  <si>
    <t>RGRRKKKSELREQAKLELEEWYKHHEEQIKKTKSTNRSAEKQFVAETDEIEPGTEWERIAKLCDFNPKSTKTNKDVSRMRSIILQLKQSPLTAKKA</t>
  </si>
  <si>
    <t>ESXHYGRGPEKAVVCPVPNREAHRGQRLVAREDRAADQEVEACQDLEVDLFPEVFHDLEVSQVLVADQVVDLGAPDQILVVEENHQSLEKVYLVVSLAKTKNYIFYML</t>
  </si>
  <si>
    <t>RGTGFAPNGTSIDAKLFDPDDLYPEHGAMHIIELYQTIDNKWQVKILYRKKKKDCLKALRLPGCNKKGKLPPNFCALNHLKSAVNEISLEPVKHDKLCKDPAEFYK</t>
  </si>
  <si>
    <t>GDKCQCLSXVYSE</t>
  </si>
  <si>
    <t>GLGXXXITAGVGPDNKFDLAVSTVYYVWKLRII</t>
  </si>
  <si>
    <t>YNLDWHLFLFYLCYLFYRYIIFDLFNMFV</t>
  </si>
  <si>
    <t>MPIHHQTLLLPHKIALFYACLLAVKIVKISIYLPHDQFYFTYKQARMIT</t>
  </si>
  <si>
    <t>GLGNRALRPGNYLQYFLCMYGVCHNADCNYLTVKFCTS</t>
  </si>
  <si>
    <t>WLECSYFHLYFYIAKKSLLSQNMNKCIYLNRNNVLLYCFFNKKII</t>
  </si>
  <si>
    <t>FCMIQCDTIIVKSYIKILINIK</t>
  </si>
  <si>
    <t>KPLIEINSILLVKFMLYHAYASCIWSGKYDYNTRFYNLLNSHFRTSYAIKKTIISYKTCIISIIFFGFAQTLTKVTYYTKWTIKYNSLSRTVD</t>
  </si>
  <si>
    <t>YKKRNECSSVLSCTSVLYSIKCIISLKKKKKK</t>
  </si>
  <si>
    <t>GGVQKILQDYKSLQDIIAILGMDELSEEDKLTVARARKIQRFLSQPFQVAEVFTGHAGKLVPLEETIKGFTKILAGEYDHLPEVAFYMVGPIEEVVQKAEKLAKEASN</t>
  </si>
  <si>
    <t>VVVVHQLQLLLAAPLRLLKKRKKRKKRPKRKNRSPRTIWVSVSLTKEYVCLTYNEIINLNVTYT</t>
  </si>
  <si>
    <t>ICELIDQVNLIMSSMYFIILSKIKKVLAFLDY</t>
  </si>
  <si>
    <t>MQSIYIQGVPVENMNLPKAYAEQKDLSALSIMVSFFGFFNFPKEGFMFSSKGSIR</t>
  </si>
  <si>
    <t>GGLESGITAGAACECLAPCGNRAVLYLAAAVSDFYIPSDKMPTHKIQSGGGAPTISLQLVPKMLEPLVSLWVPHAFVVSFKLETDESLLISKSRESLRKYKHKLVIANILQTRKHRVVFVTKDSNYEVLLTREQILSGLEIENVIVADVVQQHYNFIL</t>
  </si>
  <si>
    <t>SCKLINFPKCYCVNILWSYLRINFLYTKKKKKK</t>
  </si>
  <si>
    <t>NNIYYCDLMKNKIFRYEQLFKYYVLLYSLNNKYTVCTK</t>
  </si>
  <si>
    <t>IIICSWIFCASMIVTISIKIVFGHTWYSIILSLVDNQYTFFFFVFYGKAKKTKFFFLNFHLYF</t>
  </si>
  <si>
    <t>GGHGKSAIYGRVYNIWVLQWYKRKLNIALKKKKKK</t>
  </si>
  <si>
    <t>GTEKRKENKDKIKXLKYNIVENIKKKKK</t>
  </si>
  <si>
    <t>GGQGNRAITGRVVKKKKKK</t>
  </si>
  <si>
    <t>GKLETLCDLYDTLSITQAVIFCNTRRKVDWLTESMHNRDFTVSALHGDMEQKERDVIMRQFRTGSSRVLITTDLLARGIDVQQVSLVINYDLPSNRENYIHRIGRGGRFGRKGVAINFVTDEDKRTLQDIEQFYNTHIDEMPMNVADLI</t>
  </si>
  <si>
    <t>GAGVFGITAGVTRSFAIFYVPRCPQVVSDIRVALFKTRNLETIY</t>
  </si>
  <si>
    <t>PGLYNGSCNYLNFYEQCVPCNFFLLYNLNFYFHYFYNCTLVIVNIMLHCSNFF</t>
  </si>
  <si>
    <t>IWNISTTVINLKSSKIVYSIRNILNIILLNFYILIYCNLSL</t>
  </si>
  <si>
    <t>GAGNXXITAGDEDKMNNVWWLKML</t>
  </si>
  <si>
    <t>NTMQPVTRPWWSPWLHSAPNRRPRRRNRTLRSLSSISTENLLILMQFLP</t>
  </si>
  <si>
    <t>GFSELCYKGTGSTSRHYEMSQDKVTVEGFCKGNKGNTECNNHCKKYCKGKNGKCGGAGHQPTPTSCYCY</t>
  </si>
  <si>
    <t>PGVEDPYIITGQILTILYFSYYLINPYIYYK</t>
  </si>
  <si>
    <t>NCFDCKSIYIGKINCIGYYLNFY</t>
  </si>
  <si>
    <t>ARKQPPGLAVNDKWCWRLFLMYYMKNKFVKC</t>
  </si>
  <si>
    <t>GRGVRDVAWAPSIGLPRSQIASCSQDRRVVIWTSDDTHSNWTPIVLNTFDDVVWNVSWSLTSNILAVSGGDNKVSLWRENNEGQWCCISEVNKGQGQISTEQRAL</t>
  </si>
  <si>
    <t>RASPSACVSASLCVSLMNK</t>
  </si>
  <si>
    <t>CRSCNVNVFFYVHENAEKFCHLLMQELFMLENKTNYYIIFPYIVFLKIKA</t>
  </si>
  <si>
    <t>EGFHKMIDVSKYHLNVKIYSFNIICCILNYA</t>
  </si>
  <si>
    <t>AGXIYGLTYYKVIYYKIRNTFFRR</t>
  </si>
  <si>
    <t>CIIKTSCEIKIIFKKKKKK</t>
  </si>
  <si>
    <t>GREYTKDKQIRNIASNLCLDAGRLKSQDFVYAAKCTDSKTQKWVFELTTL</t>
  </si>
  <si>
    <t>GGGEFGITCRDGINGQKNKENNGSQQEQEKQRMLETNEIPQNSNSGTTTSTTTPSSEDEKSSSSNVHENETFKNSSGAYMITYRPVTLLVRIKLFFQELWLRIVIFIRQIIRF</t>
  </si>
  <si>
    <t>IYTVKGFIFFYGCLYSVVEIFYFFLVMVKRSAFKNIYCLCRKYIFYLFDVFEFVSNLSG</t>
  </si>
  <si>
    <t>GRYHQGTDNLIHSKYHLL</t>
  </si>
  <si>
    <t>YCDDLFNIITIYSYYIYICTSCDDYSCFDIKIIYLKNEKIFHCTGLLWHIKICIKNIFDIINK</t>
  </si>
  <si>
    <t>GGWGIGHYXAGSDIHNIK</t>
  </si>
  <si>
    <t>GRGLKKGKIRHHWALLFCKSCLYINKKKKKK</t>
  </si>
  <si>
    <t>TTYTYIIYKYICIYFIILTLYNSGNKDLLKFTKKKKKKK</t>
  </si>
  <si>
    <t>NQVITRWNNRQFTQINNVYVTDNKNKC</t>
  </si>
  <si>
    <t>AGRTVRNAGAMSVQTQQFVKDLIASDVVVIFSKSYCPYCKMAKEVFDTLKRKYTAIELDGRDDGDSIQAVLGEITGAHTVPRVFVNGECLGGGSDVKSLYESGELETIMSKV</t>
  </si>
  <si>
    <t>PDNDAFSLQESLILPENHAFSLQKYIINQKSQAFSKKKKKK</t>
  </si>
  <si>
    <t>PGFNIVFEVVIYIYIYKLIFMYSY</t>
  </si>
  <si>
    <t>IKSKRLKLKKKKK</t>
  </si>
  <si>
    <t>KYLVGKDKGKHGIIVQIFQERNWVIVEGLNCYLKTVGKDKNFPGITIKQEAPLLVTSEVALVDPTDLKSGPVEWRYTEEGEKVRVSVRTGRIIPIPKIASETFDYKTPSAHIEQPKDTTADAASQITFQPMLKTFEMDIMDKMGIKEDRVPGKTYWY</t>
  </si>
  <si>
    <t>RALSDIKDLLSKLTQMLQTRFNLPNNGESDTDSSNLVH</t>
  </si>
  <si>
    <t>NLKNFKKIPRVFKRGLFWFFFFFWFFSPREKKAPHPPNPPPREKKKNPLGGGGTKFQKGGGFKKWEKIKKKKKK</t>
  </si>
  <si>
    <t>RPGETAGLNYINLSTIAARMVRQALKSDLKNEALKRDVSSIKFTPWKDGKAIKSETK</t>
  </si>
  <si>
    <t>LTLYTITYKLYMYLYVLHYIFQLILLQEFLKAMCITSSLFSTFCLGVSRCVH</t>
  </si>
  <si>
    <t>EPKLSENCFLSICNHLSPLKQRNSKVSILGTTLICILFLLQGAFKDIPLFYKILSLRIK</t>
  </si>
  <si>
    <t>AGGRADLGRNPLEDVSKSAALIQQSTTVKNKDIRKFLDGLYVSEKTTVVQDEI</t>
  </si>
  <si>
    <t>GNKAASNQIVQCQKMMKEQLAKEKKIYANMFDKFARRDTEVKSERGGSEA</t>
  </si>
  <si>
    <t>GVGNXXITAGGQSAVTSLYNRIICIIYYNKRFYLSKKKKK</t>
  </si>
  <si>
    <t>PGGWVIGHYXAGLKKKKKK</t>
  </si>
  <si>
    <t>GAGESAIYGRGGMLGIFCIFYLISYYYFYFICVIWMK</t>
  </si>
  <si>
    <t>GEPMFGLPAAIHDPGWDGEKQLFPFRTMAMLMSLFTLASVSFLTKWLFESGRLAPQYDYFRCVVNIPEDVERVGDPAEDGEQMHAKLYFFNLEVTPHSLLSKNAALKNTQTHTVI</t>
  </si>
  <si>
    <t>LLQRISNNIFGSGMHLPQCVSLRVTSRIMDLRLTITLCVRFRIHCACQQPFTSTAPFFLLPSWSSSPSAGLDPPHLVPASRAISPSMRSLKPLGYLSY</t>
  </si>
  <si>
    <t>GGTVYGHYGRERRSDYINIMV</t>
  </si>
  <si>
    <t>GRGTRNVILAEISFVS</t>
  </si>
  <si>
    <t>RDVTDVRLYGCSVYLYKI</t>
  </si>
  <si>
    <t>RPGHVFPLLGLLMVKHCSLAILTILSEYGRCLSLLVKNVKIFLTIKV</t>
  </si>
  <si>
    <t>YFLSQNIEIELKPCLQIHKYPYSLELLNLRPNSFDYIYHLYIITFIIYIRHFNHVKIHLIKTCIIKSYMI</t>
  </si>
  <si>
    <t>KYYIQLNFMVDDSNNLILKLEEY</t>
  </si>
  <si>
    <t>GAGESALRPGSTSGQTMPIPYGASNVAPYPTYVPPPMPQGYNPYGTLPYPQGYNYPGFPQAPPYGGYTPSMPYQQQPPQNPRQKPPGW</t>
  </si>
  <si>
    <t>AGVMPTARIGDNKYQVSWTEEINKARSGYHKVRLYDEEGYTAVRKAMRSGEDASAVRSLVTIVISHPGAFTGPWVNSELVASLAAVGVAYLAFTSKYKLLL</t>
  </si>
  <si>
    <t>TEVFYLYCGTSRDKSAVTSLYNRIICIIYYNKRFYLSKKKKKK</t>
  </si>
  <si>
    <t>IVDERYLDQEREFQMTDNW</t>
  </si>
  <si>
    <t>ILTCLLIVFIYNSTVMFYVYFIISIFCEYTSCIPYTISLCTHLSI</t>
  </si>
  <si>
    <t>RPESLEPLRAGWVPLQSMDVCRMPQVYGGNIMEGMVCAGELDEGVDACDGDSGGPLACLHEGAFTLYGITSWGQHCGHANKPGVYVKVAHYRDWIDQKIKLSMTEK</t>
  </si>
  <si>
    <t>VEQQPPKNKCTXSLINKINL</t>
  </si>
  <si>
    <t>RPGAQEATEEEELVDPQQALREKCAEEHHPKSLFEKYQTCNDRVNSRTKTEETCSDELFDYLHALDHCVTKTLWSKLK</t>
  </si>
  <si>
    <t>YGRGVDKKRTRRTQKFQRAIVGASLNDILAKRNMKPEVRKAQRDQAIRAAKEQKKSTKAAKKAAAPPKVKAPPKAKAAKVSQKAAPRVGGKR</t>
  </si>
  <si>
    <t>SFCCQINSIDADELNASDKIISLTLIDTTSENDVYITPEYVRTYIK</t>
  </si>
  <si>
    <t>RPLRPGLSKKPRCGTHILNTKHLEEFSITKFQNLSRSNMVFYGATGHKAKDVLENSKLIENKVETLQKRITENNTTKSCINELKSEINNTTLSYVTKMQSLEIIDDLIKSSNQFQYQNLKDFIDVEMKDVMDSLKANKGSFLVHNLICASLMENVKLDKVTRYCKDKPVIIFSYSNGYVKARCCVPEDCTSESFNAQKWLKISADIFKAHVGPPKGQNENFICNMKAKKILEPEWYDLLEKAVQLSNEYAKVHINK</t>
  </si>
  <si>
    <t>GGKKRYHWVLLFCKTCLYINKKIRSKKKK</t>
  </si>
  <si>
    <t>TPLSSFYLLPEVPSFVETKGGKLGEALTENVSNVENSWSQEQQKALESALTKYPKNSTQDRWEKIAKCVQGKNKEECILRYKYLVELVKKQNQPKEEENQEPVQEANKIESTDT</t>
  </si>
  <si>
    <t>GAGSSGHYGRGRAWVGKVITFRNCKID</t>
  </si>
  <si>
    <t>GRGVRKMKVAKRNNAVVNRLDKTKREGHPDFRAEREQRDREEREDKKKLLREQKERERLEQT</t>
  </si>
  <si>
    <t>FVDMFALNTNFLQIIKKKKK</t>
  </si>
  <si>
    <t>HALVAGIDRYPRKVHKRMGKAKLHKRSKIKPFIKVLNYNHLMPTRYTVDLSLEHKPTVKDLKDPMKRKKARFQTRVKFEERYKSGKNKWFFQKLRF</t>
  </si>
  <si>
    <t>PGRVNGLLCILITDRDGVPLLRVASERAPELSMRPGFLSTFGMATDQASKLGLGRNKTVICMYSNYQVIQMNKQPLVLSFVGTESCNTGHVLSLESQIEPFLEDLRFVVKDS</t>
  </si>
  <si>
    <t>TSSRLHDGQAEDLRRSSKGYETGKADGKAKIKIVNKKNYYIVKSIAGFSSVVWELKCVFSTCDCFCTYTSKI</t>
  </si>
  <si>
    <t>GGLVIRHYGRGTSAEALEWPRLLEKIESRMTPIFEMKSGSQTIQCKGKAPIVVLTVSKRAGNKKVTLVDNLELFGINLLEFSKDCQLGVATSTSINKSSDKKGDQVLIQGNQVAFIGKLLTDKYKIPKKYIRGLELAVKKK</t>
  </si>
  <si>
    <t>RPGINLYYVFFTIETTLFNLENKTTTYHIC</t>
  </si>
  <si>
    <t>SITGKIEVVISRCRKQSAVNLLLHPQCICLCLPEQNEVLCDLIDFYKKIEVVSRSWGTA</t>
  </si>
  <si>
    <t>ILKKTIQKMATQTVAKRLLPLLDRVLVQRAEAITKTKGGIVIPEKAQAKVLKGRVIAVGPGQRNQAGEHVPLGIKVGDMVLLPEYGGTKVELEENKEFHLFKESDILAKLDIDE</t>
  </si>
  <si>
    <t>FCDLSACLIYIFITRKLHIDTYRNLLVIKSFLEMHPKQTKLGFPRTWRGTQTKGVAQKKKKK</t>
  </si>
  <si>
    <t>RGAKALGKTPAQLTLRWNLQLGNIVIPKSVTKSRIAENFNIFDFELSEDDMECFSKLDENYRTVPMTGALGHKHHPFENEEF</t>
  </si>
  <si>
    <t>KYTYLSKKKTNKKKKKRRRGPLTKVKDAGSMFDTHIF</t>
  </si>
  <si>
    <t>LIKRNYILYFNNKIFKVKKKKKRKKKKKK</t>
  </si>
  <si>
    <t>CFLSVNKYLASILLNYKMYLSNKKYMLRKYWKKKKK</t>
  </si>
  <si>
    <t>GEAELQDMINEVDADGNGTIDFPEFLTMMARKMKDTDSEEEIREAFRVFDKDGNGFISAAELRHVMTNLGEKLTDEEVDEMIREADIDGDGQVNYEEFVTMMTSK</t>
  </si>
  <si>
    <t>GGHGIXALRPGNKERLRYKLLQAIQQTEGFSLV</t>
  </si>
  <si>
    <t>RGSKGFTHSYEVASIEPEKNETVVNVTVNSFRPFHGGMVIVEAHQLNNDKDFWLRVFVSGSTSSPIEELKINDCTYPCSYQKLKEKLQSSQLAVNMQDWLKACNIGSSWKK</t>
  </si>
  <si>
    <t>RGGGIGLTAGSPPLSYNFLLQIIVKYMLRANNDLKTVKPIK</t>
  </si>
  <si>
    <t>SSFFNINSQKSPFFLGGYTSCAPNSCIRNINININIIHISLPFP</t>
  </si>
  <si>
    <t>SKKIKIGFCFIFDIFFICFTSMTFNLDVISVLNYSIYYMNLLENNAIINNS</t>
  </si>
  <si>
    <t>HDNISPKKVLYELLTLNNSKFX</t>
  </si>
  <si>
    <t>INKNDLYQKKKKK</t>
  </si>
  <si>
    <t>FFYTLHMLSETLLLFISIFFFIFGFECSIVEIVLHGLMKIPFY</t>
  </si>
  <si>
    <t>ILKEKGCIVFSDRKAPGGRRQTTFDCKTFKINQLCILEILLNVTILYKMIKNKLILN</t>
  </si>
  <si>
    <t>GRGCRVCLHRRWPRNRATCRIGLMKLTFFLFHYS</t>
  </si>
  <si>
    <t>PGEKKQNIYKIK</t>
  </si>
  <si>
    <t>IKKLEISKKKKKKEKKKKK</t>
  </si>
  <si>
    <t>YDLEAYGIYCFEFSESIQNYGLKRGRKMFHFSAIYKETAWPIVAQN</t>
  </si>
  <si>
    <t>YYFNIXVESNKNLIIKKKKK</t>
  </si>
  <si>
    <t>KAIITNKKYLNVITDLTALMMQIRCLSESEQSPSELQYLKGTVDEIKSRISSANKATFRNCIEVHLRHIEEGLRSGFNN</t>
  </si>
  <si>
    <t>IPFTHMYINTYMYVHGAETAYSKKILLSLKLLTGNFTESLFYVTGYYFAIGCRSKTIKINFYKKKKK</t>
  </si>
  <si>
    <t>GRETCYSKLKYNIKINT</t>
  </si>
  <si>
    <t>GGRVYRHLRPGTIGSTWVTIVHKCIPLLAKKKKKK</t>
  </si>
  <si>
    <t>MREELGKVITPDPWKSGARNTVESGGRKVGENKAVTGSKARFSPYTTTLLTCRICRQKVHQVGSHYCQSCAYKKGICAMCGKKLLDTKNYRQSST</t>
  </si>
  <si>
    <t>AGVQRISEQVQEGTYKVLKDLCGIWQHSYREETIRNNCEKFIDHVADLYSDIIEEAESVKDVYIQELEKLMKDVTETCKLLSEPLPEECTQDLVLFEAIEILK</t>
  </si>
  <si>
    <t>GRGREGSQTLLNSLMYKMCYYRFGEVYTEGGKPPGYDRVRSAEIGNKDFELDVLEEAYTTEHWLVRIYKVKDLRNRGV</t>
  </si>
  <si>
    <t>GRVYYLSFCLWISSIFQVTLLFYLNSISSFIAETNYIILSTYIIYLINNFLISKNIFNFYITFISEGTRILL</t>
  </si>
  <si>
    <t>AGEMWKLKHLAQEITELDTGNMDYHEFLDDLEEDPVMRQNINIFRDKTIPVDVDDMDDPSVPRITLEEMLDDLDIQDVEMGE</t>
  </si>
  <si>
    <t>RAVSDCSIIWLMNKNXDA</t>
  </si>
  <si>
    <t>GRADRGLANQTSVIKGLQGGMCTVFLPAEDRSVNIECDHLEPVQPAINDYVKVIMGVHRESVGILLSSDGPDGVIRMKDQVEMLQLRFLCKMYRQ</t>
  </si>
  <si>
    <t>GRGGDRDTPVWLVTRKIIAELLPKPATLSFKHKFILIS</t>
  </si>
  <si>
    <t>YDFFLYDDAYRKNFRDEDFILLIFNLFIVIIDLFILEFEMFVF</t>
  </si>
  <si>
    <t>MYIIYCIILEHELQNSTKLYTYMEYINDSKSIMQVLYHWANILLQK</t>
  </si>
  <si>
    <t>LIDIFKFMETHYFCTYNIVTQVKNLFTNKIFFKF</t>
  </si>
  <si>
    <t>GAGYRAITAGEDRCHRMGQKRPVTIYRLISKGTIEEGMLQVAREKLNLEREVTTNTENDPQEVKNVVRLLTLALGVDSNKAANLLTPSPRKSES</t>
  </si>
  <si>
    <t>AGAGTKLYSQYCTKGSGSKNKDRNPQGEIIVKNFCTNNNKCQEHCKNECELNGGSCKNKDCHCKMPK</t>
  </si>
  <si>
    <t>AIQSCTIQTAFIGPSVRDTQSTISYNVLLTSTITCPERCKIQTFARICLPTT</t>
  </si>
  <si>
    <t>PGNHSCIKYYLFLIFINFIIF</t>
  </si>
  <si>
    <t>GRGIXALRPGGCLTQDSVRIQLVELCLILELEVEPSRESGLEGKDNVYRSKLVCCIVY</t>
  </si>
  <si>
    <t>RGMCDGSKKAPRREDYSHLRN</t>
  </si>
  <si>
    <t>GVQEQLESAKTAQTLIEDLDITNLAPRKPDWDLKRDIAKKLDKLERRTQRAIAELIRERLKSGKEDLSTIVNVAAITNDKAVDVDEE</t>
  </si>
  <si>
    <t>RVDEDDKSPKFDSVTQDSSQSLTNTFRDYLYSRSTMTNSPMVDNSFSSRPDDFQSNPDLPYLSENELTDSMLYCLNGNDPDASGSKISKQKSFSNFDFTSSDGISSAKCARKSDMSNIMETSL</t>
  </si>
  <si>
    <t>HKWMELXECPGCLNNTIILGKKKKKK</t>
  </si>
  <si>
    <t>PGRQEKPLKAAKKQDKELDDDDLAHKQKMKEQQKALQEAKAKASQKGPLVGGGIKKSGKK</t>
  </si>
  <si>
    <t>GRVICMTKQNYKIVNIVLIV</t>
  </si>
  <si>
    <t>PGESCYIFNVNVICNTLNLCILSN</t>
  </si>
  <si>
    <t>AGGSKDAFLIRFLESRLNGILM</t>
  </si>
  <si>
    <t>NQLIIGIKIIYQYVRLTYVCQNIEFKY</t>
  </si>
  <si>
    <t>RKSEERKNLKLVLLLKSNFEHPTICLEICARQQERLFFDCILAFIFCQSILYSLNLQIY</t>
  </si>
  <si>
    <t>LFLHILHFTRQTQGFGNEFANFNCIILKEVVTNYSNKTCNSD</t>
  </si>
  <si>
    <t>GDGVSALRPGSRKVKPKPLGLSEEQSVALSAFYYRGNAAKLIVGEGGNTTLGEIWKKAEEECAMVHLKDPNDPFLCMDLIYIHTLLKYGFGLKDCNRIEMILKLDNHELSWALGFAYSELVKQYNLSKNIDSENQIEKK</t>
  </si>
  <si>
    <t>GGRGIGLTAGAPYVLRIGSLLAVLSLQAFLMFTFITGQLARAREQKSAISAAFNLKGKKDSKKDKSKKDKGKREESDLPEVDQNTHKNLRSRSAAQAKAK</t>
  </si>
  <si>
    <t>WNHQQHAVFLSGAKIPMDMMNYKSIVYVCTSVLEDCCNF</t>
  </si>
  <si>
    <t>KKKKQIQYYLTLLKCFFLTMCVWVGLTGHHSDNIGTFFYLCAPHVQHIYIGNINVYHKSG</t>
  </si>
  <si>
    <t>GGWGNRAITXPGTKKKKKK</t>
  </si>
  <si>
    <t>GGWXIGITAGIFTKKGTLLTNKLYFNGKKGLY</t>
  </si>
  <si>
    <t>GGLGXSALRPGDRRCPVPMSAIFNIIYLIFNIYRLPKNNNYCFLNYSFTPKRI</t>
  </si>
  <si>
    <t>GRPGIYRRTINDNLIEFSNNTSLEHGFKLTDRNAMYHIYNKMLPKLRKLLEQQRTK</t>
  </si>
  <si>
    <t>YTKEYFSKFCEYILTNFCKINVIFQEKKKKK</t>
  </si>
  <si>
    <t>IINIYILFLKNTIYKILFYKILLLNLILIN</t>
  </si>
  <si>
    <t>GGWGIVHYXAGAENGRLNKLEGVINAYKVMMSAHRGEVPCGVTTAKPLDENQRKQLESTLRGFLKPKENLLLTLKVNPSILGGMVVSIGDRYVDMSVASKVKLYTEIISTPV</t>
  </si>
  <si>
    <t>GRGKDKDRCVPVQDYVSSWLDSGATFIGGCCRTDDEDIRSIRKSVIRWINKRELN</t>
  </si>
  <si>
    <t>NTLNFIVNYHVKLLVQYIKQNKQKKKKKKKKKKKK</t>
  </si>
  <si>
    <t>GGGMVVSIGDRYVDMSVASKVKLYTEIISTPV</t>
  </si>
  <si>
    <t>KKILINNNSTHKKKKKK</t>
  </si>
  <si>
    <t>GRGSKRALTVGVGTVMDAREVMILITGSHKAFALYKAIEEGVNHMWTVSAFQQHPHTLMICDEDATLELRVKTVKYFKALSAVHYKLIGEDFPAC</t>
  </si>
  <si>
    <t>GGAQNIIXRSPKYSYNQNCIRAWFHRSLACTRNHKVDEEGKSCCLYQGYCTLCKYVSSKGFRFASIESSETVCRAVDQKVVKR</t>
  </si>
  <si>
    <t>GGRGIGHYXAGGQMPMLKFVYXRVMNKK</t>
  </si>
  <si>
    <t>CFLSVNKYLALILLNYKMYLSNKKYMLRKY</t>
  </si>
  <si>
    <t>NGHIYQKIYIINKIIKLSLYNIIGIIDFENKIILYDIRVY</t>
  </si>
  <si>
    <t>VVCVKHHLIVMLRIVKINAELQNTTLDVVMEKLKHLIKPPVIATKLLNLFFSGFLTFKNGVMIKNLPTK</t>
  </si>
  <si>
    <t>PGVIYVLYFRITFMLFLGFIIILINTCTYKYNYNECLRICKIFEY</t>
  </si>
  <si>
    <t>KKKKQIQYYLTLLKCFFLTMCVWVVLTGHHSNNIGTFIYLCAPHVQHIYIGNINVYHKSG</t>
  </si>
  <si>
    <t>KKKKPVFKKKKKNQKKKKGKRGKNRKGKKGKKNPPIEKHGGKKGEPKKRGKKKKK</t>
  </si>
  <si>
    <t>QNVIXLDFANLYLFIKYIELKPKKKKKK</t>
  </si>
  <si>
    <t>SEEERKKKKRDITNKKQKKRKKKRRHKRKIKKRKKKRKLKEERKKKKK</t>
  </si>
  <si>
    <t>GLRRRLYGKLSLRGCQLAHLCDGQQCNRTSRTKGDDPKKKKK</t>
  </si>
  <si>
    <t>NRENEKKKVRERKKARKKQRNKEKKKKK</t>
  </si>
  <si>
    <t>DKYEQNCRIMIFIYIYLNKIQMLESLELYGPKKKKKK</t>
  </si>
  <si>
    <t>ETAEIIMIAKPNKNHHTASSYRPISLLSILSKILERLLLQRLSEDHPNDSWIPHHQFGFRKNHSTIQQCNRTVSCILEAMNRKEHSVAVFLDVSQAFDKVWHSGLLYKIKTTFPNYFNILSSYLLNRKFRIKIKDVTSSIRNIECGVPQGSVLSPVLYLLFTNDMPTDDLLTICTYADDIAIISCNSDIRTATCQLQNYLSSLEKWFLDWNIKINIEKSQHIIVFSKTSQQSTYHHEQFNNSTMQFC</t>
  </si>
  <si>
    <t>RMFAFAFAFANIRIFFDIRIRIPIRKNRCEYLANVFNKQKGNYYIVAYEMITQLIRFIYFYLIFTYLFFYSTIYFLRIKYDKQI</t>
  </si>
  <si>
    <t>RDGCCACPGVRGSKFAELCYMTDIFEGSIIRCMRRLEELLRLMIHAAKSIRNTDLEIKFSEGIQLLKRDIVFAASLYL</t>
  </si>
  <si>
    <t>GRGEEVREAFRVFDRAGNGIISAAELRHIMTNLGEKLTQEEVDEMIREADIDGDGQINYEEFVTMMMAK</t>
  </si>
  <si>
    <t>KKKKTKKKGKLKIESGRLKKSNLGKKIKKNKIDQTKNYPKSKPQKKQRINRET</t>
  </si>
  <si>
    <t>GRGKRSSDKPCDHHVQHQNQNAVGTLLLTQHFVKMRDLKMKEPFQLQLSKINLINQKMVHLVQQKLVGQYIPLMKMVQILKLTKPRKLINLRHCRILMKAVRLVEVVMMMLILLTNLVLIMILISQMMIRYLMITNNYI</t>
  </si>
  <si>
    <t>GAKVRERSVSRLRSEMENLGVDMSGTENANFTKTKSRSRSVSKPSAKRVRMDVSESRTQSRSRSVPRDEQGVKDVIMKKKLKAMAHKAISKKVKKMGLKGEADRFIGNKMPKHLFSGKRGVGSTDRR</t>
  </si>
  <si>
    <t>SKLKYNIKINT</t>
  </si>
  <si>
    <t>GRGAPENNQINPHLYPQMTPPYPDPLGLPEHNQIYPYQNPHLGYQNYLDDFQNQLPFNSYAPQFPYYQDPYTYYQNPFSFYQNPYQNDFLSQYHPRNFYNSQTTRWQKFKNFMQKPINSLKHHFNNLSDKVKNWFKLNNNDQVDKVEDKSLTLKDFANPEIVQRFLENLSQVLSNIKPMVYDRSEVVNYAKKTLDAIVDSISKYIMHKEKKKKK</t>
  </si>
  <si>
    <t>LRPGETKKYSASLTVICILCNNLLDKLFKYIFFKK</t>
  </si>
  <si>
    <t>ANLQLIETIYLIYDFIQINYYAVFEIIPYHSF</t>
  </si>
  <si>
    <t>RPGKPKGTLIDGTTFNVTNFFPDVGATIVFELHKLRRNNWRVKILYNQHTYGDFQLLTYRGCNKFKYYPGYSCNWNIIKRIMEDNYMHKGKPVDFCRSRRHQHKRFKHVEIVPKAHTTHRNY</t>
  </si>
  <si>
    <t>NYYVIFQTVFCQLSYFSTSDMESTYIEKSLQYYYTIYYLYNIY</t>
  </si>
  <si>
    <t>RGKKIHDSEIMQEDDSQWPQPDRVGRQELEIVIGDEHISFTTSKTGSLVDVNQSRDPEGLRCFYYLVQDLKCLVFSLIGLHFKIKPI</t>
  </si>
  <si>
    <t>AGGGGGFALIFLAEYARILFIRFIFCLMFLGGDHLSLFFFLKLVFLSFIFI</t>
  </si>
  <si>
    <t>RKLEMRSGRIALHPLLLAERDREYLKQIRRNRDEEARLMANVKGWEVGKLYNEPVYKTVPKDQFVQPSFTEFYIHADYAAKADRNDLQFWH</t>
  </si>
  <si>
    <t>AGGTGNFGFGIQEHIDLGIKYDPSIGIYGLDFYVVLGRPGFNVAHRRRKTGKVGFQHRLTKEDAMKWFQQKYDGIILNSKK</t>
  </si>
  <si>
    <t>RYLSKSLIRRSEKKKKK</t>
  </si>
  <si>
    <t>PGRILRFCSNFFKQIFDLWTICKFMSAIHYLLYVYNEMSLMYENEYN</t>
  </si>
  <si>
    <t>XPGETKAEMILKVVMAPITPPQSFTEQFLKLLPECHISEFHKVLDMKGLKRNEQTTLVEIFKSQAPSLIVTDDESQCSHDSPDHDTGRIRKLEKLIKKRLPN</t>
  </si>
  <si>
    <t>GGITGRQQVCPIRQLSDGQRCRVVFAWLAWQVPHLLLLDEPTNHLDMETIDALADAINDFDGGMVLVSHDFRLINQVAEEIWVCENQTCTKWQGGILKYKDHLKSKVLKQNAANQANLRK</t>
  </si>
  <si>
    <t>IRTILAYIQSVFKTQLLKYFDKINREYFLQPILCTYIFSIVYLNLVCLLLQVRTNH</t>
  </si>
  <si>
    <t>GAWESGIXXPGFATELRINFIXLTSGGKKKKKK</t>
  </si>
  <si>
    <t>GAWSSXHYGRGTNSTSFEDLD</t>
  </si>
  <si>
    <t>GPTKKKKKKKKKTRIKKKKKGEKKKGGKPFNKKKRVLRKKKTKKKKKPLPKKKKKGEKTKKKKKK</t>
  </si>
  <si>
    <t>RKQKAKKDENKKIKEKEEKKTKSKKRTNKKTRKKKKK</t>
  </si>
  <si>
    <t>LMLIPSHRYHIMKKNTLLSVKRQICGISFDLLQYPKGIVVLLFF</t>
  </si>
  <si>
    <t>PGTSAKFNPACSEQCRRNYKLCSRSSASGVNSSIVFVLLIPVIRIILDSQLIS</t>
  </si>
  <si>
    <t>SSPLKFLSSIELRRKSIRSITKINYHFKVIFRGTIKRSEIKKRLKVPFIIWKDKLFVPKMEYLCEKK</t>
  </si>
  <si>
    <t>NMSLKMFDKGYRLPDRYLISSYCLMD</t>
  </si>
  <si>
    <t>RNNFTFLKKENEKIKLNLCIEKYKIIQHNYCLIHLFDIFNNLFNRYPIFIIDLVFSINISCNNVGVTIYNFKV</t>
  </si>
  <si>
    <t>RIINAYKGKIKRKQKKTKKNKKEKERKKKKENVKNSEKVRKTSKKKKSKENSDKARKEDNKKRKKHKKKNKKSSQYKKGKKKKREKQKKTKKRERGKKKTAPPKTGKK</t>
  </si>
  <si>
    <t>RFYILATLPITGNPNSSKCGFVPANLDDSKVPRRFCVRLLTNVCEHEKKKKK</t>
  </si>
  <si>
    <t>PGSCKVSALKDMTKPIVAPKQQPVEDPADDFDIDAI</t>
  </si>
  <si>
    <t>GSRKKINGIVINKFXLNRKKKKK</t>
  </si>
  <si>
    <t>YLIIKHISNNKIFTTILKQSKLLGSYRKIYTLCYIFQFLNDVY</t>
  </si>
  <si>
    <t>AGDTGKALSGQCGFMAANMYARSIFGEDALANLSIEKPFNKPDAPVIGHIRIRAKSQGMALSMGDKINMTQKMPLQQKICAA</t>
  </si>
  <si>
    <t>IAICFQVKIALARHCCTNKMSALLD</t>
  </si>
  <si>
    <t>GASPGTPGTELLQKSKTKKNRKRKGKLPKNYDASQTPDPERWLPKHERTGFRKKRDRRTRDIIKGSQGMATGAADQYDMTKAQNLQNKNSPVPQTTPDAQGPRQQQRKVTQKKKKKGNKW</t>
  </si>
  <si>
    <t>GAGQSAITAGDDEVLVAGFGRKGHAVGDIPGVRFKVVKVANVSLLALYREKKGRPRS</t>
  </si>
  <si>
    <t>RPGHREKRSRKYFIKIYYWNDKRTCCPTQLKVEGCEDPSTGRCYLDKYQKLVKNIRIGKKKLLKCEKLAQLVLPQVLAQIEAEKAAKKQCKKDESLIEKQKITSKDE</t>
  </si>
  <si>
    <t>TVALYAFFYYLVILPYYFPNKGRFILKKKKKK</t>
  </si>
  <si>
    <t>TAGVVKVKVKLEYQYHLDHLLWKIFVMEERTVEIAFYFAWGLVEQEMVFVALVMAQDQIRNIVIVRHHIQDKIAKYILDN</t>
  </si>
  <si>
    <t>FGLRNREMDIMIIKYKLITKSIIL</t>
  </si>
  <si>
    <t>KTKMKYLTVVSLALVALFATVQSIPTGDFQLVEDELLGEPVEQLVDLDQGPYDNAGIRQKRVTCDLLSVSTPIDSLNHAACAAHCLSLRRGFRGGRCENGVCNCRKKIRIRYKKFVFI</t>
  </si>
  <si>
    <t>PGMFQKSFYWPMYIILTLLLPINAPMEYWGENFVNSFFIIGCTRYLLALHASWLINSARHVWGIKRGERYPSDSNMIFFITKSYWPSYHYMLPWDYQSGEYGTYGSGCSTAFIRVFAALGLATNLRTMDSASVKKALANSVDTGKPIEQCLEEVGSKAQQKFHPEHYLDAVKRF</t>
  </si>
  <si>
    <t>PGGHRHVVFGSVVEGMDVVKKLESYGSQSGKTNKKIVINDCGELPS</t>
  </si>
  <si>
    <t>RPGEYQEAPRPQTFVYIFVSYVWFEIFPISTSYEVLNTIFIK</t>
  </si>
  <si>
    <t>RKLLHLMMMMTLMSAEFQYRFIYVFINTYLYYIKIKLLHSYCNDKKKKK</t>
  </si>
  <si>
    <t>RPGDFDRQSPTPSEPPPPPRRVGSCGAGSGMVGMGSSGLSSADIPPPLSPMLLDGPYGLDVKYQWRILI</t>
  </si>
  <si>
    <t>LKEFYLLDLLYEFHLTKGKNKKDKENTLGPPSHYIYRMSPICQADVNAITRLDFELSLSICAHFRNYLLKPALFFNVEIVRHCVKS</t>
  </si>
  <si>
    <t>AGGDLCKTARTPILRLHIGIYILSKYTVLTKSSNILKKI</t>
  </si>
  <si>
    <t>LCILYYVNYTQFSTITFIERRLSHRFFTQIKRVLSLLNINKSQVCR</t>
  </si>
  <si>
    <t>PGXEEIDDLYRYRLGIQKWNKTNYWSIASTSPRTIQAALVLGAGLENKPYKINRIWSEKSKESTQFSAMKQYLRFYNKDQCPAYLENVFSERRQFKEVDEDFMKAVSIFEKELSKKKLDVYKRPQDVWLTYESMFNVFYSYKKKYPHKLKYWKKVRKEFKEFSQQLMWTSLIGSNRLRKLASGPITYDVINDMDKLTNNKPQPNAPGKDKNKLSVLTAPQGVFAALVTGFAPNGTTINGKEFSASDLYPEHGAMHVIELYKEGENSWKVKILYRNKKHDCLKIVKVPDCKHEDLCEYNTF</t>
  </si>
  <si>
    <t>YLIVLFHIXFSKKNQNIKNNRKKKKK</t>
  </si>
  <si>
    <t>IFRWCLVIELDLQGTKCSTLKLNFISIFYIIEFCAKILLNIYDFYLILILSCFVGLNI</t>
  </si>
  <si>
    <t>GHLLMELPLLIMQKKQFLSAIILYQLHLHAVNCVQHLKRCGVCVNSNYQT</t>
  </si>
  <si>
    <t>PGDDIAIISCNSDIRTATCQLQNYLSSLEKWFLDWNIKINIEKSQHIIVSLKHHNSPPIIMNNSIIPLCNSVKYLGMHIDSKLTWRTHIEYKKKQIQLKIKDFYWLFGRKSEISLDNKVFLYKTIIVPIWTYGIELWGCSCKSNINIIQRCQNKILRILTNAPWYISNFCLHKDLKISTVNEMIKIRSSSFNNKLIQHTNPTIQAIQRPIRRLSKKWPSDLPNS</t>
  </si>
  <si>
    <t>GAWESALRPGVSQAKYFSKSAEDKIKSSGWCLRAPRSPIYKI</t>
  </si>
  <si>
    <t>GGAMVIRPFTAGYPKKKKKK</t>
  </si>
  <si>
    <t>GGRGNRAITAGTDNLIHSKYHLL</t>
  </si>
  <si>
    <t>GRGNRLTAGGSSSGSVDFSGKIGHLFQVINANLGPEIVQSTNAIYQFEVTGSEKSTWHLNLKEGAGSVGRGPPTKQKADAVLTMDTDNFLKMFGGQLKPAVAYMMGKLKISGDLQKAMKLEKLMAKLKSKL</t>
  </si>
  <si>
    <t>KVWACEASLACTTCRVYVSDKHRDSLPEPLEKEDDLLDMAPFLKENSRLGCQIILTKDLDGIELQMPQATRNFYVDGHKPKPH</t>
  </si>
  <si>
    <t>AGGSVDGNSQLIIKGRFQQKQIENVLRRYIKEYVTCHTCRSPDTILQKDSRLFFLQCESCGSRCSVASIKSGFQAVTGKRAAIRAKTA</t>
  </si>
  <si>
    <t>MCLQIDMLCKCMYLQTDILCNVMKNKCYERTLLKKKKKK</t>
  </si>
  <si>
    <t>NXGFEIFFTLYSCCHDNFLFKIFLIQRKFFTTYSEVFAEFSVEFRNLMTHIWYRNVENK</t>
  </si>
  <si>
    <t>KKKREKKKRKGKTRKIRKKRQGVNKRSKKKKT</t>
  </si>
  <si>
    <t>LKEALTNFRQIIYFVLCKIFVINLSKKKKK</t>
  </si>
  <si>
    <t>GRGGRIREAFRVFDKDGNGFISAAELRHVMTNLGEKLTDEEVDEMIREADIDGDGQVNYEEFVTMMTSK</t>
  </si>
  <si>
    <t>GAGNRHYGRGTRRNALKDLVKVIQQESYTYRDPITEFIEHLYVNFDFEGARQKLHECQTVLYNDFFLIACLSEFVENARLMIFETFCRIHNCISIGMLAEKLNMNPEEAECWIVNLIRNARLDAKIDSKLGHVVMGGQPLSPYQQLIEKIDSLAVRSEALAGLVDRKHKAKNQDIRWGTQEF</t>
  </si>
  <si>
    <t>GAGESXHYGRGLDPATTCKTGLDTTTRCKKRTGLDVITGCKKMDEWTIPGVELLSCHNYKI</t>
  </si>
  <si>
    <t>PGVLEQLTGQQPVFSKLVIPSDLSVSVVMKKIAVHCTVRGAKAEEILERGLKVREYELRRDNFSGTGNFGFGIQEHIDLGIKYDPSIGIYGLDFYVVLGRPGFNVAHRRRKTGKVGFQHRLTKEDAMKWFQQKYDGIILNSKK</t>
  </si>
  <si>
    <t>PGAAGDHMHDLWHGTLPGEFVSMGVLSDGSYNVPRDIIFSFPVTIENKQCKIVQGLPIDEFSKSMLNTTAKELLEEKQEALAVCSL</t>
  </si>
  <si>
    <t>ITAGGGTTMYPGIADRMQKEITALAPSTMKIKIIAPPERKYSVWIGGSILASLSTFQQMWISKQEYDESGPSIVHRKCF</t>
  </si>
  <si>
    <t>GGWXNRHYGRGSCKKLDVLLCDENSECCILTPGDGNYHEIEPVNGSAAFLDILSPPYDAFIEEFGQRDCTYYKEESEIKPNLVQLTQIRQPAWFWCDTAQYSGPLLSLTEENTISQ</t>
  </si>
  <si>
    <t>GREWGXKNNEKEKVRGKDKVRPES</t>
  </si>
  <si>
    <t>AGAGEDPDRAPVAEEVLNAYGYNRGFMTANGQPDCPRSARYILKDYVNGKLLYCYAPPNMKQDEYHIFPERKAKVNLDRVLPPREQRAIKIGKMTSADLDKQFFIKNTQAAHIKGKLPVNPKLIQQNDGGNSSSMGSKDSLITIVEKPWKLHNKHANKKKKEKLRRVYSHLDQH</t>
  </si>
  <si>
    <t>RAATREAEARESLEPGRRGCSQPSWCHCTPAWVIE</t>
  </si>
  <si>
    <t>YYVKVMVVYIHIYSSLFYMALLLNISLYIFFGLNSYYKCNISKNFQSYLLINIIQEQC</t>
  </si>
  <si>
    <t>GRXEIDKHGKPNENTPKEWLTGYVDYSIKKEPGDEQEASQSATNGSEEPTKKRKLSSGDASGSGEAMDVSTSEKKKKKKKKRDEDPPTEPAAEEAAAEEEATEAPVEKKKKKKKDEKPKEESD</t>
  </si>
  <si>
    <t>IYLLSCSPLIKYARNSYHYYFIAESIWYIHLL</t>
  </si>
  <si>
    <t>AGRPKEIRKNKIDQVEKNKILIH</t>
  </si>
  <si>
    <t>GGLGNXXITAGMSVARYCKMMPDIIEHATGIEKRELQAIAAGNEDPFDMKVIKRNAGTQQEPNLIPSAFESRIVGCICEEDATAVKWMWLHQNSPRRCECGHWFKLVQKHLFNNVMHGLVFILRMMK</t>
  </si>
  <si>
    <t>PGSIIKKIKIIN</t>
  </si>
  <si>
    <t>RGPRGKKFGNEEITDEMFYPDIGATHILELYKEVDKWRVKMMYRNGENKKYETIKLPDCEDMCPLKKFKEILNKYKLTKKEQKKQCKTD</t>
  </si>
  <si>
    <t>AGGRRKSKRKPPAKRKAIQPLDVQFNCPFCNHEKSCEVTMDKGRNTARITCRVCLEDFQTTTNFLSEPVDVYNDWVDACESAN</t>
  </si>
  <si>
    <t>GPGYRHYGRVQEHNKDFFKFTTLTKKFLINIYTYYL</t>
  </si>
  <si>
    <t>TFYVVCLYSISFCSTVNLTAFFFSALQFRIPRKILFWSLLIDAISIYLFIKLIN</t>
  </si>
  <si>
    <t>GRGDRAITAGEHRNDGISLRHIFKRKQNTLISYLSLFINQIN</t>
  </si>
  <si>
    <t>RVGGTVIHNWRFQNLVYYVLMTKKKLLHVIIMYEIRGIFECNGFTCRVPRSILGASKS</t>
  </si>
  <si>
    <t>FQVKMAFRGQSCSGNTPLGSKEVLRWYRFEIQKGSRICISIQQKNVKALTSCNHD</t>
  </si>
  <si>
    <t>PIIEFLFLLYCLKNCYLNKVYCLHLYEGNICNISINQ</t>
  </si>
  <si>
    <t>PGGIGPXYGRGRHKWTSKYINGLYYX</t>
  </si>
  <si>
    <t>GRVVPLHTLKYIATLQHAVRDSPIQQKPLMALISTRAGHGGGKPTTKVIEEITDIYSFIAKSLGLTYHGETL</t>
  </si>
  <si>
    <t>GQQKKINGIVINKFXLNLKKKKK</t>
  </si>
  <si>
    <t>RGRDSESFVNDLGTWRGVVLGRAVTTLRSVETQPLAWGFVMLA</t>
  </si>
  <si>
    <t>SKEKPKNRLTRERNTEELKKEKAHFCGGTIKLKTQKRGLSQQARQRELITSEYDSGLAPLKKKEFLYVK</t>
  </si>
  <si>
    <t>KYFKLSRTHKHGYFLVRKCI</t>
  </si>
  <si>
    <t>GRGRKAIVTQNFDDGTSEKQYGHALVAGIDRYPRKVHKRMGKAKLHKRSKIKPFIKVLNYNHLMPTRYTVDLSLEHKPTVKDLKDPMKRKKARFQTRVKFEERYKSGKNKWFFQKLRF</t>
  </si>
  <si>
    <t>GRXNAWFNYGVFETLHKIVDSNKRKQKTYFYKLSDDSYSVYKKYVLTKYKDFPGVCHSDDLGYLFKMFESTGIISASIPSKAQLTHRRMVKMWSNFAKTGDPLPKEENKDKSQDSDLKELNWNPVNKTNIQYLDIAKEETTMRSFNDIEEERYQLWKNLFEIGKEFKKRTKEQLEKQCLQKE</t>
  </si>
  <si>
    <t>APGGKERKKEHIKGDNGGGHGNKKK</t>
  </si>
  <si>
    <t>LAIMSHNQYGGYPGSYPQSQSSVPPEIQQWFNAVDRDRSGKITAKELQSALVNGKGQNFSDNACQLMIGMFDLDKTGTIDIYEFEKLYAYINQWLTVFKTYDRDHSGHIEKEELSQALTQMGFRFSDQFITFLVNKSDVQNHKE</t>
  </si>
  <si>
    <t>GEYSITSSLKHSIYKKY</t>
  </si>
  <si>
    <t>MTLNPFHLQLEKXLGDFKRTHHDNWETHKLKFTDEQLTVLGELVVPPSYYV</t>
  </si>
  <si>
    <t>SSFNRSLGHDDVI</t>
  </si>
  <si>
    <t>GIWTECQRCQGSLHEEVICTNRDCPIFYMRKKIQIELDTQVKRVERFGLPSW</t>
  </si>
  <si>
    <t>NICVFIFIKICLTNKLKKFGQTIFGQNFDYYDNLEILFSNYNSLISK</t>
  </si>
  <si>
    <t>AGDKWYKYINYVNIILYVAVLLLEAKKKKKK</t>
  </si>
  <si>
    <t>RIIIRRHFLTIYFFIHNNIKYMTAPKKKTNKNNNSNRLISHRDFNNRYFNNNNNLYDFIKFNHPEWKGLNFMLMQF</t>
  </si>
  <si>
    <t>TAGTVYTLITSSYVAQGGDGYSVLLESTVNKTNMGILDTRALADYFEKTNNITEKFLQGLPPNIIIAKEYVAKT</t>
  </si>
  <si>
    <t>SMKENMFLRPVENQIKKMTRLIIPFILILDFLEFFDSFILTYVLILFNYYYKVHIQTYLTVKPY</t>
  </si>
  <si>
    <t>GPGASGITCRVYKPRTLHFVFLEHKY</t>
  </si>
  <si>
    <t>GGFWAGTGEDAAEGASYYKSLRNG</t>
  </si>
  <si>
    <t>SSTNSNQLLLLLNLLQISTTINRTENDHNPDNPHNPTSTIRY</t>
  </si>
  <si>
    <t>GAEKRDKKEGKKAIRRKKLGKSEKEEKDEKPEIKKGRKNERQEKN</t>
  </si>
  <si>
    <t>GLTGRARNKVSTAVLFGILTFLYDGVCFMFRLQYFCNK</t>
  </si>
  <si>
    <t>RGFXKGASDDEKEMARYVASRVGGGVIEVIEEGSETQEFWELLGGKSSYNTEIDPPGAPIIDPRLFHCRILSNGRLRVEEVDDYDQSDLDGDDVMILDAGDEIYIWIGSRTTEEEKERSIAMAKKYLKTDPTERTQENTCLVTVHQGSEPKNFKTLFEDWNNNLWDSQPSFEEIKQEIYEANHLLE</t>
  </si>
  <si>
    <t>FVYVFCLHLMVAHVFIQLLLKVSFKIQVNILLNFIIF</t>
  </si>
  <si>
    <t>GGWGIGITAGRKLKINLYPQGPYVHNSPDLHPIKAQHLWKIYEYYEALVSFIAKYLELLNKLF</t>
  </si>
  <si>
    <t>SAITAGGVDLDQLLDMPNEQLMELMHARARRRFARGLKRKPMALVKKLRKAKKDAPPNEKPEIVKTHLRNMIIVPEMVGSIVGVYNGKTFNQVEIKPEMIGHYLGEFSVTYKPVKHGRPGIGATHSSRFIPLK</t>
  </si>
  <si>
    <t>NKLSSIKMNFKFIFFFTTFLVLMFFSLTNAKCSNSNSKRPTIDGKEGDGPTVRLFKGNEGTFDMEQIPENYEDLD</t>
  </si>
  <si>
    <t>PGTGGDVAQLIYRRTLDFK</t>
  </si>
  <si>
    <t>DGQEGRNDMEPIPTSFEDLD</t>
  </si>
  <si>
    <t>KSKKRSIKSQKKNRKKKKKKKKIKKGKKKIKKLGKKKKLKRESKKKGKGKKKKKK</t>
  </si>
  <si>
    <t>GESGHYPAGEYATYEETTVYTLITSSYVAQGGDGYSVLLESTVNKTNMGILDTRALADYFEKTNNITEKFLKGLPPNIIIAKEYVAKT</t>
  </si>
  <si>
    <t>Best match to NR protein database</t>
  </si>
  <si>
    <t>E value</t>
  </si>
  <si>
    <t>Match</t>
  </si>
  <si>
    <t>Score</t>
  </si>
  <si>
    <t>Extent of match</t>
  </si>
  <si>
    <t>Length of best match</t>
  </si>
  <si>
    <t>% identity</t>
  </si>
  <si>
    <t>% Coverage</t>
  </si>
  <si>
    <t>Mismatches</t>
  </si>
  <si>
    <t>Gaps</t>
  </si>
  <si>
    <t>First residue of match</t>
  </si>
  <si>
    <t>First residue of sequence</t>
  </si>
  <si>
    <t>Number of segments</t>
  </si>
  <si>
    <t>Frame</t>
  </si>
  <si>
    <t>Frame shift?</t>
  </si>
  <si>
    <t>Stop codon %</t>
  </si>
  <si>
    <t>Orientation</t>
  </si>
  <si>
    <t xml:space="preserve">Species of best match </t>
  </si>
  <si>
    <t>Best match to SWISSP protein database</t>
  </si>
  <si>
    <t>Best match to CDD database</t>
  </si>
  <si>
    <t xml:space="preserve">All CDD domains </t>
  </si>
  <si>
    <t>Best match to GO database</t>
  </si>
  <si>
    <t>GO function</t>
  </si>
  <si>
    <t>Function</t>
  </si>
  <si>
    <t>Definition</t>
  </si>
  <si>
    <t>Synonym</t>
  </si>
  <si>
    <t>EC number</t>
  </si>
  <si>
    <t>KEGG</t>
  </si>
  <si>
    <t>GO component</t>
  </si>
  <si>
    <t>Component</t>
  </si>
  <si>
    <t>GO process</t>
  </si>
  <si>
    <t>Process</t>
  </si>
  <si>
    <t>Best match to KOG database</t>
  </si>
  <si>
    <t>General class</t>
  </si>
  <si>
    <t>Best match to PFAM database</t>
  </si>
  <si>
    <t xml:space="preserve">E value </t>
  </si>
  <si>
    <t>Best match to SMART database</t>
  </si>
  <si>
    <t>Best match to TE-CLASS database</t>
  </si>
  <si>
    <t>Best match to MIT-PLA database</t>
  </si>
  <si>
    <t>Best match to RRNA database</t>
  </si>
  <si>
    <t>REV</t>
  </si>
  <si>
    <t>Bacillus pumilus SAFR-032</t>
  </si>
  <si>
    <t>sp|A1DC51|PAN1_NEOFI</t>
  </si>
  <si>
    <t>Neosartorya fischeri (strain ATCC 1020 / DSM 3700 / FGSC A1164 / NRRL 181)</t>
  </si>
  <si>
    <t>NKAIN 0.081| PHA03367 | PRK15244 | PRK07411 | AA_permease | COG2510 | RR_TM4-6 | PRK12324 | yebU | PRK07033 |</t>
  </si>
  <si>
    <t>Signal transduction mechanisms, Cytoskeleton</t>
  </si>
  <si>
    <t>Aspergillus clavatus NRRL 1</t>
  </si>
  <si>
    <t>sp|A2QIL2|PRP28_ASPNC</t>
  </si>
  <si>
    <t>Aspergillus niger (strain CBS 513.88 / FGSC A1513)</t>
  </si>
  <si>
    <t>PRK15398 | ALDH_EutE | integ_TIGR01906 | DUF2189 | AA_permease | RR_TM4-6 | s48_45 | PRK07411 | CAP_N | Corona_M |</t>
  </si>
  <si>
    <t>FOR</t>
  </si>
  <si>
    <t>Nautilia profundicola AmH</t>
  </si>
  <si>
    <t>sp|Q95107|WASL_BOVIN</t>
  </si>
  <si>
    <t>Bos taurus</t>
  </si>
  <si>
    <t>COG3368 | 7TM_GPCR_Srt | PRK12324 | Ycf1 | PRK13899 | M14_ASPA | CAP_N | ND5 | cyclo_dehy_ocin | GT_GPT_euk |</t>
  </si>
  <si>
    <t>Inorganic ion transport and metabolism</t>
  </si>
  <si>
    <t>Plasmodium chabaudi chabaudi</t>
  </si>
  <si>
    <t>sp|Q4KLL4|TM9S4_RAT</t>
  </si>
  <si>
    <t>Rattus norvegicus</t>
  </si>
  <si>
    <t>EMP70 | Ycf1 | C2_PLC_like | RfbB | HyaC | CAP_N | COG5273 | 7tm_2 | PRK13292 | PRK07845 |</t>
  </si>
  <si>
    <t>Intracellular trafficking, secretion, and vesicular transport</t>
  </si>
  <si>
    <t>Pseudonocardia sp. P1</t>
  </si>
  <si>
    <t>sp|Q68DA7|FMN1_HUMAN</t>
  </si>
  <si>
    <t>Y</t>
  </si>
  <si>
    <t>Homo sapiens</t>
  </si>
  <si>
    <t>PHA03367 | AA_permease | DUF1042 | PTZ00265 | ND2 | rarD | RR_TM4-6 | PRK15244 | CLPTM1 | ND5 |</t>
  </si>
  <si>
    <t>Transcription</t>
  </si>
  <si>
    <t>Candidatus Protochlamydia amoebophila UWE25</t>
  </si>
  <si>
    <t>sp|Q9UTH0|NU132_SCHPO</t>
  </si>
  <si>
    <t>Schizosaccharomyces pombe (strain 972 / ATCC 24843)</t>
  </si>
  <si>
    <t>fliP | DUF790 | ND5 | TRAM_LAG1_CLN8 | dnaE | AA_permease | yebU | ND3 | PRK07411 | PRK07033 |</t>
  </si>
  <si>
    <t>Secondary metabolites biosynthesis, transport and catabolism, Lipid transport and metabolism</t>
  </si>
  <si>
    <t>Arabidopsis lyrata subsp. lyrata</t>
  </si>
  <si>
    <t>sp|P15605|YM04_PARTE</t>
  </si>
  <si>
    <t>Paramecium tetraurelia</t>
  </si>
  <si>
    <t>ND5 4e-006| ND4 2e-005| DUF2074 2e-005| ABC2_membrane_4 5e-005| ND2 9e-005| 7TM-7TMR_HD 1e-004| 7TM_GPCR_Srz 2e-004| Oxidored_q5_N 2e-004| Srg 2e-004| COX3 3e-004|</t>
  </si>
  <si>
    <t>Inorganic ion transport and metabolism, Signal transduction mechanisms</t>
  </si>
  <si>
    <t>Oryctolagus cuniculus</t>
  </si>
  <si>
    <t>sp|A2APV2|FMNL2_MOUSE</t>
  </si>
  <si>
    <t>Mus musculus</t>
  </si>
  <si>
    <t>COG1284 0.047| PRK13298 0.069| STKc_MEKK4 | GDPD_memb_like | COG1584 | UgpE | PRK10973 | Pectate_lyase_3 | PTZ00440 | DUF1908 |</t>
  </si>
  <si>
    <t>Translation, ribosomal structure and biogenesis</t>
  </si>
  <si>
    <t>sp|Q05973|SCN1_LOLBL</t>
  </si>
  <si>
    <t>Loligo bleekeri</t>
  </si>
  <si>
    <t>Ycf1 | PRK12324 | COG4984 | PLN02246 | Spore_permease | SusD | Tho2 | ND5 | ABC_perm_GldF |</t>
  </si>
  <si>
    <t>Function unknown</t>
  </si>
  <si>
    <t>Harpegnathos saltator</t>
  </si>
  <si>
    <t>sp|Q9LYZ9|PP362_ARATH</t>
  </si>
  <si>
    <t>Arabidopsis thaliana</t>
  </si>
  <si>
    <t>PRK12324 | PRK15244 | NKAIN | Pox_ser-thr_kin | ND4 | UDPGlcNAc_PPase | RR_TM4-6 | PHA03367 | PRK07411 | pntA |</t>
  </si>
  <si>
    <t>NKAIN 0.080| PRK12324 | CAP_N | COG1284 | M11L | COG4984 | Drf_FH1 | PRP8 | PTZ00440 | Tho2 |</t>
  </si>
  <si>
    <t>Xenopsylla cheopis</t>
  </si>
  <si>
    <t>sp|Q03376|BAR3_CHITE</t>
  </si>
  <si>
    <t>Chironomus tentans</t>
  </si>
  <si>
    <t>ND2 0.009| DUF2206 0.020| PRK06588 | TT_ORF1 | Plasmodium_Vir | TM_ABC_iron-siderophores_like | DltB | PIG-U | EI24 | Sugar_tr |</t>
  </si>
  <si>
    <t>General function prediction only</t>
  </si>
  <si>
    <t>ND2 0.009| DUF2206 0.021| PRK06588 | TT_ORF1 | TM_ABC_iron-siderophores_like | DltB | Plasmodium_Vir | PIG-U | EI24 | Sugar_tr |</t>
  </si>
  <si>
    <t>sp|Q8IID4|DYHC2_PLAF7</t>
  </si>
  <si>
    <t>Plasmodium falciparum (isolate 3D7)</t>
  </si>
  <si>
    <t>Aa_trans | b_cpa1 | 7TMR-DISM_7TM | ND4 | PFEMP | Na_Ca_ex | DUF3468 | Per1 | Staph_a_para_1 | ND5 |</t>
  </si>
  <si>
    <t>Signal transduction mechanisms, Extracellular structures</t>
  </si>
  <si>
    <t>sp|Q94424|CTF1_CTEFE</t>
  </si>
  <si>
    <t>Ctenocephalides felis</t>
  </si>
  <si>
    <t>DUF3023 0.018| UCR_UQCRX_QCR9 | spore_II_GA | ycf1 | PRANC | NtpI | SLR1-BP | Pex24p | ND1 | PRK15033 |</t>
  </si>
  <si>
    <t>Secondary metabolites biosynthesis, transport and catabolism</t>
  </si>
  <si>
    <t>sp|Q6UXB1|IGFL3_HUMAN</t>
  </si>
  <si>
    <t>b_cpa1 | PFEMP | ND4 | PHA03269 | CRD_SMO | PRK07219 | VWC | ChrA | ND4 | HSP90 |</t>
  </si>
  <si>
    <t>Extracellular structures, Defense mechanisms</t>
  </si>
  <si>
    <t>sp|Q04833|LRP_CAEEL</t>
  </si>
  <si>
    <t>Caenorhabditis elegans</t>
  </si>
  <si>
    <t>PRK05771 0.009| EI24 0.015| spore_II_GA 0.020| DUF3023 0.031| GpcrRhopsn4 0.042| NtpI 0.055| 2A0309 0.073| Abi 0.086| GT_MraY 0.091| PMT1 |</t>
  </si>
  <si>
    <t>Naegleria gruberi</t>
  </si>
  <si>
    <t>sp|O31978|YOMG_BACSU</t>
  </si>
  <si>
    <t>Bacillus subtilis</t>
  </si>
  <si>
    <t>DUF2206 0.022| DUF1993 | COG4781 | SspB | polC | PigN | COG3812 | PRK11092 | NDH_I_N | COG5542 |</t>
  </si>
  <si>
    <t>ND4 | PFEMP | ND4 | PHA03269 | b_cpa1 | Staph_a_para_1 | ycf1 | ND5 | PTZ00440 | Sre |</t>
  </si>
  <si>
    <t>Plasmodium falciparum 3D7</t>
  </si>
  <si>
    <t>sp|Q09459|YQ38_CAEEL</t>
  </si>
  <si>
    <t>2A0118 | ND4 | PHA03042 | DUF2972 | Dpy19 | PycA | PTR2 | GH64-like | ND6 | DUF1996 |</t>
  </si>
  <si>
    <t>Intracellular trafficking, secretion, and vesicular transport, Signal transduction mechanisms</t>
  </si>
  <si>
    <t>Thermobia domestica</t>
  </si>
  <si>
    <t>sp|Q9BBP4|CCSA_LOTJA</t>
  </si>
  <si>
    <t>Lotus japonicus</t>
  </si>
  <si>
    <t>ND5 0.002| ND2 0.003| PHA02709 0.054| PHA03031 | DUF70 | ND2 | ND4L | ccsA | COG4781 | Pox_VERT_large |</t>
  </si>
  <si>
    <t>Cell cycle control, cell division, chromosome partitioning</t>
  </si>
  <si>
    <t>Pediculus humanus corporis</t>
  </si>
  <si>
    <t>sp|P13816|GARP_PLAFF</t>
  </si>
  <si>
    <t>Plasmodium falciparum (isolate FC27 / Papua New Guinea)</t>
  </si>
  <si>
    <t>ND4 2e-005| ND6 1e-004| ND2 6e-004| 7TMR-DISM_7TM 9e-004| ND5 0.002| ND5 0.002| COX3 0.009| ND2 0.012| 7TM_GPCR_Srz 0.012| Mod_r 0.022|</t>
  </si>
  <si>
    <t>Trypanosoma brucei gambiense DAL972</t>
  </si>
  <si>
    <t>sp|Q9R031|XPR1_MUSMC</t>
  </si>
  <si>
    <t>Mus musculus castaneus</t>
  </si>
  <si>
    <t>ND6 0.071| ND6 0.092| ND2 | ND1 | ND5 | ATP6 | 2a58 | ND4L | mraY | Trehalose_recp |</t>
  </si>
  <si>
    <t>Schistosoma japonicum</t>
  </si>
  <si>
    <t>ND6 0.093| ND1 | ND2 | ND4L | mraY | Trehalose_recp | ND5 | LFG_like | ATP6 | ND5 |</t>
  </si>
  <si>
    <t>Lipid transport and metabolism</t>
  </si>
  <si>
    <t>sp|Q7T9D9|VGP_EBOSU</t>
  </si>
  <si>
    <t>Sudan ebolavirus (strain Uganda-00)</t>
  </si>
  <si>
    <t>ND2 0.078| 7TM_GPCR_Srbc 0.092| PRK12682 | ND4L | mevalon_kin | PRK11013 | ND5 | Cas1_I-II-III | ND6 | S2P-M50_like_1 |</t>
  </si>
  <si>
    <t>Loa loa</t>
  </si>
  <si>
    <t>sp|Q8NGG1|OR8J2_HUMAN</t>
  </si>
  <si>
    <t>PHA03087 0.016| ND6 0.029| DUF1461 0.043| Frag1 | TrkH | Srg | COG4478 | Obg | Vezatin | COG2194 |</t>
  </si>
  <si>
    <t>Lipid transport and metabolism, General function prediction only</t>
  </si>
  <si>
    <t>Culex quinquefasciatus</t>
  </si>
  <si>
    <t>sp|Q68XR3|GCP_RICTY</t>
  </si>
  <si>
    <t>Rickettsia typhi (strain ATCC VR-144 / Wilmington)</t>
  </si>
  <si>
    <t>PHA03031 | 7TM_GPCR_Srw | CLPTM1 | PRK06591 | tRNA-synt_2d | V3 | PRK13298 | PHA03026 | YtxC | rpl23 |</t>
  </si>
  <si>
    <t>Solenopsis invicta</t>
  </si>
  <si>
    <t>sp|A1CNV1|DML1_ASPCL</t>
  </si>
  <si>
    <t>Aspergillus clavatus (strain ATCC 1007 / CBS 513.65 / DSM 816 / NCTC 3887 / NRRL 1)</t>
  </si>
  <si>
    <t>DUF3522 | 7TM_GPCR_Srz | RT_pepA17 | DUF1461 | AgrB | DUF3021 | PIA_icaD | apcF | DUF3452 | COG4267 |</t>
  </si>
  <si>
    <t>sp|P29150|POL1_TORVR</t>
  </si>
  <si>
    <t>Tomato ringspot virus (isolate raspberry)</t>
  </si>
  <si>
    <t>Corona_S2 | PHA03031 | Herpes_UL51 | 7TM_GPCR_Srw | PHA03007 | PRK14766 | livcs | PRK11560 | Branch_AA_trans | Borrelia_orfA |</t>
  </si>
  <si>
    <t>Signal transduction mechanisms</t>
  </si>
  <si>
    <t>Brachyspira intermedia PWS/A</t>
  </si>
  <si>
    <t>sp|P58145|ROAA_ASTLO</t>
  </si>
  <si>
    <t>Astasia longa</t>
  </si>
  <si>
    <t>Herpes_UL51 | 7TM_GPCR_Srw | COG3936 | Cir_Bir_Yir | COG5273 | rpoB | PHA02963 | COG3202 | PHA03031 | ND4 |</t>
  </si>
  <si>
    <t>EGF_2 | ND2 | PRANC | AgrB | Furin-like | EGF_CA | ND4 | Peptidase_M27 | Metallothio_PEC | Adenylation_DNA_ligase_III |</t>
  </si>
  <si>
    <t>Oryza sativa Japonica Group</t>
  </si>
  <si>
    <t>sp|Q9XIB6|PLRX2_ARATH</t>
  </si>
  <si>
    <t>FAP 0.010| PRK07804 0.036| PRK05641 0.040| pntA 0.051| PHA03291 0.060| 7TM_GPCR_Str 0.071| PRK12323 0.089| PLN02983 0.090| PHA03307 0.093| Drf_FH1 |</t>
  </si>
  <si>
    <t>Leptotrichia buccalis C-1013-b</t>
  </si>
  <si>
    <t>sp|P21421|RPOB_PLAFA</t>
  </si>
  <si>
    <t>Plasmodium falciparum</t>
  </si>
  <si>
    <t>7TM_GPCR_Srz 0.070| PLN00164 0.090| ECM27 0.096| AgrB | rpoB | GPI2 | DUF3671 | ndhF | PHA03031 | 7TM_GPCR_Sru |</t>
  </si>
  <si>
    <t>Energy production and conversion</t>
  </si>
  <si>
    <t>Tetrahymena thermophila SB210</t>
  </si>
  <si>
    <t>sp|Q9ZZW2|Q0144_YEAST</t>
  </si>
  <si>
    <t>Saccharomyces cerevisiae (strain ATCC 204508 / S288c)</t>
  </si>
  <si>
    <t>PHA03100 | Acyl_transf_3 | PLN00164 | Cornichon | ND5 | DUF1361 | ND5 | TIGR03766 | ND4 | VAR1 |</t>
  </si>
  <si>
    <t>sp|A6H6E2|MMRN2_MOUSE</t>
  </si>
  <si>
    <t>7TM_GPCR_Srw | 7TM_GPCR_Srd | COG5542 | PLN02356 | SrtA | NosY | DUF1430 | MpPF26 | TRP | ND5 |</t>
  </si>
  <si>
    <t>Signal transduction mechanisms, Lipid transport and metabolism</t>
  </si>
  <si>
    <t>Plasmodium reichenowi</t>
  </si>
  <si>
    <t>PHA03031 0.056| DUF3021 | PHA01366 | ND6 | PRANC | Lung_7-TM_R | PHA03028 | PHA02798 | ND5 | 7TM_GPCR_Srz |</t>
  </si>
  <si>
    <t>sp|P10040|CRB_DROME</t>
  </si>
  <si>
    <t>Drosophila melanogaster</t>
  </si>
  <si>
    <t>PRK05904 0.083| PRK14203 | PRK13298 | livcs | Grp1_Fun34_YaaH | Branch_AA_trans | PHA03031 | EGF_2 | Furin-like | POLBc |</t>
  </si>
  <si>
    <t>sp|Q0GNC1|INF2_MOUSE</t>
  </si>
  <si>
    <t>EGF_2 | TAS2R | ND6 | PI31_Prot_C | GET2 | PHA03247 | ND2 | ND4 | ND6 | PRP8 |</t>
  </si>
  <si>
    <t>sp|Q98937|FOXD1_CHICK</t>
  </si>
  <si>
    <t>Gallus gallus</t>
  </si>
  <si>
    <t>EGF_2 | Peptidase_M27 | AgrB | Pox_polyA_pol | 3a01204 | PRANC | Furin-like | TcdA_TcdB | EGF_CA | ND2 |</t>
  </si>
  <si>
    <t>EGF_2 | ND2 | TcdA_TcdB | grpIintron_endo | Ptr | PRANC | Furin-like | DUF106 | EGF_CA | AgrB |</t>
  </si>
  <si>
    <t>EGF_2 | AgrB | PRANC | Furin-like | EGF_CA | ND2 | ND4 | Metallothio_PEC | Frizzled | Adenylation_DNA_ligase_III |</t>
  </si>
  <si>
    <t>Bartonella bacilliformis KC583</t>
  </si>
  <si>
    <t>sp|P47694|Y456_MYCGE</t>
  </si>
  <si>
    <t>Mycoplasma genitalium (strain ATCC 33530 / G-37 / NCTC 10195)</t>
  </si>
  <si>
    <t>PRANC | PHA03135 | Plasmodium_Vir | PLN00164 | met_A_Alw26 | 7TM_GPCR_Srz | PRK00996 | 3a0501s007 | PRK13541 | TAS2R |</t>
  </si>
  <si>
    <t>RNA processing and modification</t>
  </si>
  <si>
    <t>sp|Q8I3Z1|MLRR1_PLAF7</t>
  </si>
  <si>
    <t>7TM_GPCR_Srz 0.005| PRK09609 0.006| PIA_icaD 0.014| DUF3021 0.041| ubiA | AgrB | bcsA | ABC2_membrane_3 | GT_MraY | Cation_ATPase_C |</t>
  </si>
  <si>
    <t>Saccoglossus kowalevskii</t>
  </si>
  <si>
    <t>sp|P49892|AA1R_CHICK</t>
  </si>
  <si>
    <t>PHA03031 | PLN02356 | SRPBCC_6 | PLN02642 | Herpes_UL51 |</t>
  </si>
  <si>
    <t>Carbohydrate transport and metabolism</t>
  </si>
  <si>
    <t>Ciona intestinalis</t>
  </si>
  <si>
    <t>sp|Q28D84|EZH2_XENTR</t>
  </si>
  <si>
    <t>Xenopus tropicalis</t>
  </si>
  <si>
    <t>PqiA | PRK05906 | TM_ABC_iron-siderophores_like | CbiQ | CyoC | PRK05434 | Pex24p | COG3610 | Rfe | Baculo_VP1054 |</t>
  </si>
  <si>
    <t>sp|Q55179|MVIN_SYNY3</t>
  </si>
  <si>
    <t>Synechocystis sp. (strain ATCC 27184 / PCC 6803 / N-1)</t>
  </si>
  <si>
    <t>ND5 | PqiA | PRK05906 | TM_ABC_iron-siderophores_like | 2A0118 | CyoC | PRK05434 | COG3610 | Rfe | Baculo_VP1054 |</t>
  </si>
  <si>
    <t>sp|B1H1P9|PPAL_XENLA</t>
  </si>
  <si>
    <t>Xenopus laevis</t>
  </si>
  <si>
    <t>His_Phos_2 1e-005| EMP70 0.027| 7TM_GPCR_Srz 0.036| DER1 0.076| HP_HAP_like 0.085| ND2 | DltB | Anoctamin | COPI_assoc | TEL1 |</t>
  </si>
  <si>
    <t>Drosophila melanogaster - acid phosphatase activity</t>
  </si>
  <si>
    <t>acid phosphatase activity</t>
  </si>
  <si>
    <t>Catalysis of the reaction: an orthophosphoric monoester + H2O = an alcohol + phosphate, with an acid pH optimum.  [EC:3.1.3.2]</t>
  </si>
  <si>
    <t>acid monophosphatase activity  EXACT [EC:3.1.3.2]</t>
  </si>
  <si>
    <t>cellular_component</t>
  </si>
  <si>
    <t>The part of a cell or its extracellular environment in which a gene product is located. A gene product may be located in one or more parts of a cell and its location may be as specific as a particular macromolecular complex, that is, a stable, persistent association of macromolecules that function together.  [GOC:go_curators]</t>
  </si>
  <si>
    <t>cellular component  EXACT []</t>
  </si>
  <si>
    <t>sp|P20646|PPAP_RAT</t>
  </si>
  <si>
    <t>DltB | ND4 | Anoctamin | 7TM_GPCR_Srx | DUF2522 | Pox_ser-thr_kin | CDP_GD_SDR_e | yjeF_nterm | Glyco_transf_52 | adjacent_YSIRK |</t>
  </si>
  <si>
    <t>HP_HAP_like 0.031| ND6 | 7TM_GPCR_Srz | PTZ00440 | DUF2522 | PHA03410 | RuBisCO_large_III | I-BAR_IMD | FCH_F-BAR | Spore_permease |</t>
  </si>
  <si>
    <t>zgc:113200 - Danio rerio - acid phosphatase activity - cellular_component</t>
  </si>
  <si>
    <t>sp|Q8BP40|PPA6_MOUSE</t>
  </si>
  <si>
    <t>PRK11107 | 235kDa-fam | M20_dipept_like_DUG2_type | ALAD_PBGS_aspartate_rich | RFC1 | NB-ARC | PRK06334 | ND3 | EF_TS | Cyt_b561_ACYB-1_like |</t>
  </si>
  <si>
    <t>sp|A9YME1|VA5_MICHY</t>
  </si>
  <si>
    <t>Microctonus hyperodae</t>
  </si>
  <si>
    <t>SCP_euk 8e-033| SCP 3e-029| SCP_HrTT-1 6e-017| CAP 3e-016| SCP_GLIPR-1_like 2e-015| SCP_CRISP 7e-014| SCP 3e-013| SCP_GAPR-1_like 3e-012| SCP_PR-1_like 1e-011| SCP_PRY1_like 1e-010|</t>
  </si>
  <si>
    <t>Drosophila melanogaster - biological_process - molecular_function - extracellular region</t>
  </si>
  <si>
    <t>molecular_function</t>
  </si>
  <si>
    <t>Elemental activities, such as catalysis or binding, describing the actions of a gene product at the molecular level. A given gene product may exhibit one or more molecular functions.  [GOC:go_curators]</t>
  </si>
  <si>
    <t>molecular function  EXACT []</t>
  </si>
  <si>
    <t>extracellular region</t>
  </si>
  <si>
    <t>The space external to the outermost structure of a cell. For cells without external protective or external encapsulating structures this refers to space outside of the plasma membrane. This term covers the host cell environment outside an intracellular parasite.  [GOC:go_curators]</t>
  </si>
  <si>
    <t>extracellular  EXACT []</t>
  </si>
  <si>
    <t>biological_process</t>
  </si>
  <si>
    <t>Any process specifically pertinent to the functioning of integrated living units: cells, tissues, organs, and organisms. A process is a collection of molecular events with a defined beginning and end.  [GOC:go_curators, GOC:isa_complete]</t>
  </si>
  <si>
    <t>biological process  EXACT []</t>
  </si>
  <si>
    <t>sp|P35779|VA3_SOLRI</t>
  </si>
  <si>
    <t>Solenopsis richteri</t>
  </si>
  <si>
    <t>SCP_euk 3e-032| SCP 2e-028| SCP_GLIPR-1_like 2e-017| SCP_HrTT-1 1e-016| CAP 6e-016| SCP 1e-013| SCP_CRISP 1e-013| SCP_GAPR-1_like 1e-013| SCP_PR-1_like 2e-013| SCP_PRY1_like 7e-012|</t>
  </si>
  <si>
    <t>Polysphondylium pallidum PN500</t>
  </si>
  <si>
    <t>sp|B4P3A0|LPHN_DROYA</t>
  </si>
  <si>
    <t>Drosophila yakuba</t>
  </si>
  <si>
    <t>ND2 0.004| NMN_trans_PnuC | 7tm_3 | Oxidored_q3 | lspA | T_den_put_tspse | ND5 | GldN | PHA02991 | ND6 |</t>
  </si>
  <si>
    <t>sp|C0ITL3|VA5_PACCH</t>
  </si>
  <si>
    <t>Pachycondyla chinensis</t>
  </si>
  <si>
    <t>SCP_euk 5e-004| CD47 0.007| PHA03372 0.012| SCP 0.052| menA_cyano-plnt 0.061| PHA03042 0.092| ND5 | DAD | DUF1084 | COG4241 |</t>
  </si>
  <si>
    <t>sp|A8Y9F1|MATK_LOLPR</t>
  </si>
  <si>
    <t>Lolium perenne</t>
  </si>
  <si>
    <t>ND5 0.031| ND2 0.034| DUF846 0.051| ND4 | TIGR03766 | STKc_CDK8_like | 7TM_GPCR_Srab | PRK02504 | DUF443 | DUF3822 |</t>
  </si>
  <si>
    <t>sp|Q62888|NLGN2_RAT</t>
  </si>
  <si>
    <t>COesterase 4e-013| Esterase_lipase 7e-008| UPF0564 0.003| PnbA 0.010| COG5617 | POLBc | DUF2031 | KdsB | PLN02900 | C2A_PI3K_class_II |</t>
  </si>
  <si>
    <t>Drosophila melanogaster - carboxylesterase activity - metabolic process</t>
  </si>
  <si>
    <t>regulation of synaptic transmission</t>
  </si>
  <si>
    <t>Any process that modulates the frequency or rate of synaptic transmission, the process of communication from a neuron to a target (neuron, muscle, or secretory cell) across a synapse.  [GOC:ai]</t>
  </si>
  <si>
    <t>Tribolium castaneum</t>
  </si>
  <si>
    <t>UPF0564 0.001| COG5617 | DUF2031 | Esterase_lipase | COesterase | Poty_coat | Innexin | PRK11111 | ATP6 | PRK08249 |</t>
  </si>
  <si>
    <t>Metaseiulus occidentalis</t>
  </si>
  <si>
    <t>sp|P32226|VC06_SWPVK</t>
  </si>
  <si>
    <t>Swinepox virus (strain Kasza)</t>
  </si>
  <si>
    <t>DUF3671 | 7tm_7 | TRAM_LAG1_CLN8 | PHA02972 | PTZ00359 | PHA02962 | Ninjurin | BUD31 | gph | Terminase_3 |</t>
  </si>
  <si>
    <t>Monodelphis domestica</t>
  </si>
  <si>
    <t>sp|Q9NZK5|CECR1_HUMAN</t>
  </si>
  <si>
    <t>adm_rel 7e-016| ADGF 9e-014| ND2 0.023| DUF3796 0.024| ND5 0.086| COG3202 0.091| GT_WecA_like | cas_TM1794_Cmr2 | DUF3021 | SecY |</t>
  </si>
  <si>
    <t>cDNA FLJ58672, highly similar to Cat eye syndrome critical region protein 1 - Homo sapiens - extracellular space - purine ribonucleoside monophosphate biosynthetic process - deaminase activity</t>
  </si>
  <si>
    <t>deaminase activity</t>
  </si>
  <si>
    <t>Catalysis of the removal of an amino group from a substrate, producing ammonia (NH3).  [GOC:jl]</t>
  </si>
  <si>
    <t>extracellular space</t>
  </si>
  <si>
    <t>That part of a multicellular organism outside the cells proper, usually taken to be outside the plasma membranes, and occupied by fluid.  [ISBN:0198547684]</t>
  </si>
  <si>
    <t>intercellular space  RELATED []</t>
  </si>
  <si>
    <t>purine ribonucleoside monophosphate biosynthetic process</t>
  </si>
  <si>
    <t>The chemical reactions and pathways resulting in the formation of purine ribonucleoside monophosphate, a compound consisting of a purine base linked to a ribose sugar esterified with phosphate on the sugar.  [GOC:go_curators, ISBN:0198506732]</t>
  </si>
  <si>
    <t>purine ribonucleoside monophosphate anabolism  EXACT []</t>
  </si>
  <si>
    <t>Nucleotide transport and metabolism</t>
  </si>
  <si>
    <t>Nasonia vitripennis</t>
  </si>
  <si>
    <t>adm_rel 1e-020| ADGF 1e-018| A_deaminase 0.001| DUF3796 0.004| ND5 0.055| ND5 0.092| COG3202 | ND2 | GT_WecA_like | cas_TM1794_Cmr2 |</t>
  </si>
  <si>
    <t>adm_rel 3e-020| ADGF 4e-018| A_deaminase 0.003| ND2 0.063| DUF3796 0.067| glgA 0.097| ND5 | COG3202 | ND2 | GT_WecA_like |</t>
  </si>
  <si>
    <t>Acromyrmex echinatior</t>
  </si>
  <si>
    <t>sp|P58780|CECR1_PIG</t>
  </si>
  <si>
    <t>Sus scrofa</t>
  </si>
  <si>
    <t>adm_rel 1e-037| ADGF 3e-035| A_deaminase 5e-015| ADA_AMPD 1e-009| PRK09358 1e-007| ADA 8e-007| Add 4e-006| aden_deam 3e-005| PTZ00124 0.001| DUF3796 0.011|</t>
  </si>
  <si>
    <t>Adenosine deaminase-related growth factor A - Drosophila melanogaster - adenosine deaminase activity - growth factor activity - extracellular space - cell proliferation - purine ribonucleoside monophosphate biosynthetic process - hemocyte differentiation</t>
  </si>
  <si>
    <t>adenosine deaminase activity</t>
  </si>
  <si>
    <t>Catalysis of the reaction: adenosine + H2O = inosine + NH3.  [EC:3.5.4.4]</t>
  </si>
  <si>
    <t>adenosine aminohydrolase activity  EXACT [EC:3.5.4.4]</t>
  </si>
  <si>
    <t>cell proliferation</t>
  </si>
  <si>
    <t>The multiplication or reproduction of cells, resulting in the expansion of a cell population.  [GOC:mah, GOC:mb]</t>
  </si>
  <si>
    <t>sp|Q6FMA9|SMP3_CANGA</t>
  </si>
  <si>
    <t>Candida glabrata (strain ATCC 2001 / CBS 138 / JCM 3761 / NBRC 0622 / NRRL Y-65)</t>
  </si>
  <si>
    <t>7TM_GPCR_Sru | PRK12291 | ND5 | 6_pyr_pter_rel | ATP8 | PHA00547 | STE2 | ND1 | DUF262 | COG1709 |</t>
  </si>
  <si>
    <t>7TM_GPCR_Srx | YfhO | PHA00547 | PRK12291 | STKc_PDK1 | PRK11346 | ND4 | Brr6_like_C_C | STE2 | 6_pyr_pter_rel |</t>
  </si>
  <si>
    <t>ND4 | Spc97_Spc98 | ND2 | PI3K_rbd | DUF2873 | ssDNA-exonuc_C | PurB | EGF_2 | Adenylsuccinate_lyase_2 | ND5 |</t>
  </si>
  <si>
    <t>sp|O97239|DOP1_PLAF7</t>
  </si>
  <si>
    <t>ND1 | PHA03142 | Toluene_X | Rhabdo_glycop | GpcrRhopsn4 | PRK10319 | COG4178 | Polysacc_synt | Trehalose_recp | 7TM-7TMR_HD |</t>
  </si>
  <si>
    <t>EGF_2 0.036| DUF3824 0.044| NMDAR2_C | EGF | EGF_CA | EGF | ND4 | PLN02436 | PRK12291 | EGF_3 |</t>
  </si>
  <si>
    <t>sp|Q25802|RPOC2_PLAFA</t>
  </si>
  <si>
    <t>ND2 2e-004| 7TM_GPCR_Srz 0.001| ND5 0.009| sam_11 0.020| Cir_Bir_Yir 0.032| ND5 0.040| PHA03042 0.052| 7TM_GPCR_Srbc 0.090| 7TM_GPCR_Str | DUF2972 |</t>
  </si>
  <si>
    <t>sp|Q8I5I1|YL135_PLAF7</t>
  </si>
  <si>
    <t>ND1 | PRK12758 | 7TM_GPCR_Srz | ND5 | PRK10319 | ND4 | ND6 | 7TM_GPCR_Srh | Borrelia_orfA | PRK07132 |</t>
  </si>
  <si>
    <t>ND1 0.076| PHA03142 | YfhO | 7TM_GPCR_Srbc | ESP1 | ATP-synt_S1 | PHA02989 | 7TM_GPCR_Srz | 7TM-7TMR_HD | PHA02967 |</t>
  </si>
  <si>
    <t>EGF_2 | PHA03142 | spore_III_AE | ND1 | PHA03101 | PRK13298 | 7TM_GPCR_Srbc | Nup84_Nup100 | Apyrase | Spore_III_AE |</t>
  </si>
  <si>
    <t>sp|P15577|NU2M_PARTE</t>
  </si>
  <si>
    <t>ND4 7e-005| COG4781 0.001| ND5 0.001| TIGR03766 0.003| ND5 0.007| ATP6 0.007| ND2 0.007| 7TM_GPCR_Srx 0.008| ATP_synt_6_or_A 0.010| 7tm_1 0.012|</t>
  </si>
  <si>
    <t>sp|P08570|RLA1_DROME</t>
  </si>
  <si>
    <t>Ribosomal_P1 7e-036| Ribosomal_60s 2e-029| RPP1A 9e-022| Ribosomal_P2 8e-021| Ribosomal_P1_P2_L12p 1e-020| PTZ00373 4e-013| L21P_arch 9e-013| PLN00138 1e-012| rpl12p 1e-012| Ribosomal_L12p 4e-011|</t>
  </si>
  <si>
    <t>Ribosomal protein LP1 - Drosophila melanogaster - structural constituent of ribosome - translation - cytosolic large ribosomal subunit - translational elongation - lipid particle</t>
  </si>
  <si>
    <t>structural constituent of ribosome</t>
  </si>
  <si>
    <t>The action of a molecule that contributes to the structural integrity of the ribosome.  [GOC:mah]</t>
  </si>
  <si>
    <t>ribosomal protein  BROAD []</t>
  </si>
  <si>
    <t>cytosolic large ribosomal subunit</t>
  </si>
  <si>
    <t>The large subunit of a ribosome located in the cytosol.  [GOC:mtg_sensu]</t>
  </si>
  <si>
    <t>50S ribosomal subunit  NARROW []</t>
  </si>
  <si>
    <t>translation</t>
  </si>
  <si>
    <t>The cellular metabolic process in which a protein is formed, using the sequence of a mature mRNA molecule to specify the sequence of amino acids in a polypeptide chain. Translation is mediated by the ribosome, and begins with the formation of a ternary complex between aminoacylated initiator methionine tRNA, GTP, and initiation factor 2, which subsequently associates with the small subunit of the ribosome and an mRNA. Translation ends with the release of a polypeptide chain from the ribosome.  [GOC:go_curators]</t>
  </si>
  <si>
    <t>protein anabolism  EXACT []</t>
  </si>
  <si>
    <t>Ribosomal_P1 3e-046| Ribosomal_60s 1e-030| Ribosomal_P1_P2_L12p 3e-025| RPP1A 2e-024| Ribosomal_P2 2e-020| L21P_arch 4e-014| rpl12p 6e-014| PTZ00373 5e-013| PLN00138 1e-012| Ribosomal_L12p 2e-012|</t>
  </si>
  <si>
    <t>sp|Q1I179|SCX2_TITDI</t>
  </si>
  <si>
    <t>Tityus discrepans</t>
  </si>
  <si>
    <t>ND5 8e-004| ELO 0.001| 7TM_GPCR_Srz 0.001| ND4 0.002| Oxidored_q1 0.004| ABC2_membrane_4 0.005| ND4 0.005| ND2 0.006| NosY 0.008| PSN 0.011|</t>
  </si>
  <si>
    <t>Mycoplasma pulmonis</t>
  </si>
  <si>
    <t>sp|P61243|YCF2_PHYPA</t>
  </si>
  <si>
    <t>Physcomitrella patens subsp. patens</t>
  </si>
  <si>
    <t>COG4906 0.045| Calc_CGRP_IAPP 0.062| DUF2215 0.072| ND5 0.097| ND5 0.100| 7TM_GPCR_Srz | ND4 | Med16 | ND4 | 7tm_7 |</t>
  </si>
  <si>
    <t>Sminthurus viridis</t>
  </si>
  <si>
    <t>ND5 0.002| 7TM_GPCR_Srz 0.003| AgrB 0.055| ND3 0.062| PRK02975 0.071| ND2 0.079| 7TM_GPCR_Srbc 0.090| ND2 0.090| ND4 0.096| WzyE |</t>
  </si>
  <si>
    <t>Cell wall/membrane/envelope biogenesis, Posttranslational modification, protein turnover, chaperones</t>
  </si>
  <si>
    <t>Ornithodoros parkeri</t>
  </si>
  <si>
    <t>7TM_GPCR_Srz 0.020| 7tm_7 0.024| EXS 0.038| ND5 0.050| ELO | Calc_CGRP_IAPP | ATP6 | ND4 | DUF443 | PspC |</t>
  </si>
  <si>
    <t>sp|Q3KQG9|PPAT_XENLA</t>
  </si>
  <si>
    <t>His_Phos_2 3e-004| gatA | COG1086 | PTZ00297 | PHA02980 | GldM_N | GPI2 | flgI | DUF621 | bacteriocin_ABC |</t>
  </si>
  <si>
    <t>sp|E1C1L6|ENTP5_CHICK</t>
  </si>
  <si>
    <t>ND1 0.006| GDA1_CD39 0.011| Lycopene_cycl 0.027| ND5 0.066| COG5371 0.081| ATPase-Plipid | ELO | DUF3187 | TFA2 | ND5 |</t>
  </si>
  <si>
    <t>NTPase - Drosophila melanogaster - guanosine-diphosphatase activity - nucleoside-diphosphatase activity - nucleoside-triphosphatase activity - cytoplasm - uridine-diphosphatase activity</t>
  </si>
  <si>
    <t>guanosine-diphosphatase activity</t>
  </si>
  <si>
    <t>Catalysis of the reaction: GDP + H2O = GMP + phosphate.  [EC:3.6.1.42, PMID:2989286]</t>
  </si>
  <si>
    <t>GDP phosphohydrolase activity  EXACT [EC:3.6.1.42]</t>
  </si>
  <si>
    <t>endoplasmic reticulum</t>
  </si>
  <si>
    <t>The irregular network of unit membranes, visible only by electron microscopy, that occurs in the cytoplasm of many eukaryotic cells. The membranes form a complex meshwork of tubular channels, which are often expanded into slitlike cavities called cisternae. The ER takes two forms, rough (or granular), with ribosomes adhering to the outer surface, and smooth (with no ribosomes attached).  [ISBN:0198506732]</t>
  </si>
  <si>
    <t>ER  EXACT []</t>
  </si>
  <si>
    <t>glycolysis</t>
  </si>
  <si>
    <t>The chemical reactions and pathways resulting in the breakdown of a monosaccharide (generally glucose) into pyruvate, with the concomitant production of a small amount of ATP. Glycolysis begins with phosphorylation of a monosaccharide (generally glucose) on the sixth carbon by a hexokinase, and ends with the production of pyruvate. Pyruvate may be converted to ethanol, lactate, or other small molecules, or fed into the TCA cycle.  [GOC:bf, ISBN:0716720094, Wikipedia:Glycolysis]</t>
  </si>
  <si>
    <t>anaerobic glycolysis  RELATED []</t>
  </si>
  <si>
    <t>GDA1_CD39 0.030| ND5 0.033| Frag1 0.034| ND4 0.089| DltB | PRK12291 | ATPase-Plipid | COG4267 | COG5371 | ATS3 |</t>
  </si>
  <si>
    <t>cytoplasm</t>
  </si>
  <si>
    <t>All of the contents of a cell excluding the plasma membrane and nucleus, but including other subcellular structures.  [ISBN:0198547684]</t>
  </si>
  <si>
    <t>TIGR03766 | PHA02798 | lef-9 | secF | ND6 | DUF1574 |</t>
  </si>
  <si>
    <t>Carbohydrate transport and metabolism, Amino acid transport and metabolism</t>
  </si>
  <si>
    <t>Drosophila grimshawi</t>
  </si>
  <si>
    <t>sp|Q25055|HOL3_HOLDI</t>
  </si>
  <si>
    <t>Holotrichia diomphalia</t>
  </si>
  <si>
    <t>Dehydrin 4e-009| GRP 5e-009| PRP 2e-007| PRK09565 9e-007| PRK06958 2e-006| PTZ00146 1e-005| PRK10737 1e-005| Drf_FH1 1e-005| ureE 2e-005| III 2e-005|</t>
  </si>
  <si>
    <t>Putative uncharacterized protein - Candida albicans SC5314 - molecular_function - cellular_component - biological_process</t>
  </si>
  <si>
    <t>sp|Q54V86|ABCCD_DICDI</t>
  </si>
  <si>
    <t>Dictyostelium discoideum</t>
  </si>
  <si>
    <t>PLN02446 | PRP | 3a01205 | ABC2_membrane | DUF1667 | TM_PBP1_branched-chain-AA_like | Cas_Cas02710 | Het-C | galactose_mutarotase_like | fliP |</t>
  </si>
  <si>
    <t>Lymphocytic choriomeningitis virus (strain WE)</t>
  </si>
  <si>
    <t>sp|P09991|GLYC_LYCVA</t>
  </si>
  <si>
    <t>Lymphocytic choriomeningitis virus (strain Armstrong)</t>
  </si>
  <si>
    <t>Nodulin_late | Csx1_III-U | TIGR02710 | PM0188 | DNMT1-RFD | Tmp39 | I-BAR_IMD | COG2194 |</t>
  </si>
  <si>
    <t>sp|Q90XY5|IPRI_TAKRU</t>
  </si>
  <si>
    <t>Takifugu rubripes</t>
  </si>
  <si>
    <t>VKG_Carbox | Telomerase_RBD | DUF2243 | COX3 | DUF3688 | rpsB | COX3 | COX3 | COX3 | Telomerase_RBD |</t>
  </si>
  <si>
    <t>Cell motility, Lipid transport and metabolism</t>
  </si>
  <si>
    <t>Plasmodium knowlesi strain H</t>
  </si>
  <si>
    <t>sp|Q8D2P9|PGK_WIGBR</t>
  </si>
  <si>
    <t>Wigglesworthia glossinidia brevipalpis</t>
  </si>
  <si>
    <t>Ndc80_HEC | PRK05340 | ND5 | rpsB | ATP6 | GepA | BRO1_HD-PTP_like | Gemini_AL1_M | PBP1_Pheromone_receptor | DnaA_N |</t>
  </si>
  <si>
    <t>Trypanosoma congolense IL3000</t>
  </si>
  <si>
    <t>sp|P47344|Y098_MYCGE</t>
  </si>
  <si>
    <t>PRK14788 0.009| 7TM_GPCR_Srz 0.059| DUF3688 | VAR1 | 7TM_GPCR_Srw | PRK13298 | DltB | DER1 | PTZ00349 | PRK07143 |</t>
  </si>
  <si>
    <t>Mycobacterium tuberculosis 210</t>
  </si>
  <si>
    <t>sp|P97868|RBBP6_MOUSE</t>
  </si>
  <si>
    <t>ND4 6e-012| ND5 3e-010| ND2 8e-009| ND4 2e-008| ND4L 3e-007| COX3 4e-007| ND2 1e-006| ND2 6e-006| Glyco_transf_22 7e-006| ND6 1e-005|</t>
  </si>
  <si>
    <t>pre-mRNA splicing factor RNA helicase, putative - Plasmodium falciparum - regulation of cell cycle - RNA splicing - ATP-dependent RNA helicase activity - spliceosomal complex</t>
  </si>
  <si>
    <t>ATP-dependent RNA helicase activity</t>
  </si>
  <si>
    <t>Catalysis of the reaction: ATP + H2O = ADP + phosphate; this reaction drives the unwinding of an RNA helix.  [EC:3.6.1.3, GOC:jl]</t>
  </si>
  <si>
    <t>spliceosomal complex</t>
  </si>
  <si>
    <t>Any of a series of ribonucleoprotein complexes that contain RNA and small nuclear ribonucleoproteins (snRNPs), and are formed sequentially during the splicing of a messenger RNA primary transcript to excise an intron.  [GOC:mah, ISBN:0198547684, PMID:19239890]</t>
  </si>
  <si>
    <t>spliceosome complex  EXACT []</t>
  </si>
  <si>
    <t>regulation of cell cycle</t>
  </si>
  <si>
    <t>Any process that modulates the rate or extent of progression through the cell cycle.  [GOC:ai, GOC:dph, GOC:tb]</t>
  </si>
  <si>
    <t>cell cycle control  EXACT []</t>
  </si>
  <si>
    <t>Methylomicrobium album BG8</t>
  </si>
  <si>
    <t>sp|Q7Z6E9|RBBP6_HUMAN</t>
  </si>
  <si>
    <t>ND2 5e-010| ND2 7e-008| ND5 1e-007| ND4 7e-007| ND4L 1e-006| ND4L 2e-006| ND4 3e-006| ND5 9e-006| ND6 1e-005| ND6 2e-005|</t>
  </si>
  <si>
    <t>Uncharacterized protein - Sus scrofa - ubiquitin ligase complex - nucleic acid binding - ubiquitin-protein ligase activity - nucleus - zinc ion binding - protein ubiquitination involved in ubiquitin-dependent protein catabolic process - metal ion binding</t>
  </si>
  <si>
    <t>nucleic acid binding</t>
  </si>
  <si>
    <t>Interacting selectively and non-covalently with any nucleic acid.  [GOC:jl]</t>
  </si>
  <si>
    <t>ubiquitin ligase complex</t>
  </si>
  <si>
    <t>A protein complex that includes a ubiquitin-protein ligase and other proteins that may confer substrate specificity on the complex.  [PMID:9529603]</t>
  </si>
  <si>
    <t>protein ubiquitination involved in ubiquitin-dependent protein catabolic process</t>
  </si>
  <si>
    <t>The process in which a ubiquitin group, or multiple groups, are covalently attached to the target protein, thereby initiating the degradation of that protein.  [GOC:go_curators]</t>
  </si>
  <si>
    <t>myofibrillar protein ubiquitination during ubiquitin-dependent protein breakdown  NARROW []</t>
  </si>
  <si>
    <t>ND5 2e-010| ND2 1e-009| ND2 1e-007| ND4 2e-006| ND4L 3e-006| ND4 4e-006| ND4L 7e-006| ND5 3e-005| ND6 3e-005| Borrelia_orfA 3e-005|</t>
  </si>
  <si>
    <t>Cyanophora paradoxa</t>
  </si>
  <si>
    <t>sp|Q6PP79|MATK_VIGSU</t>
  </si>
  <si>
    <t>Vigna subterranea</t>
  </si>
  <si>
    <t>ND5 0.012| PHA03042 0.076| DUF70 | TIGR03766 | PRK14398 | ND2 | LpxB | spore_yabQ | NAPRTase_put | DUF1430 |</t>
  </si>
  <si>
    <t>Rickettsia conorii str. Malish 7</t>
  </si>
  <si>
    <t>sp|Q9TKS4|MATK_PHACN</t>
  </si>
  <si>
    <t>Phaseolus coccineus</t>
  </si>
  <si>
    <t>RabA_like 0.062| ND4 0.079| ND5 | sortase_srtB | COG5644 | ycf1 | HlyIII | Plasmodium_Vir | 7TM_GPCR_Srt | rps2 |</t>
  </si>
  <si>
    <t>sp|B4MLE8|CUE_DROWI</t>
  </si>
  <si>
    <t>Drosophila willistoni</t>
  </si>
  <si>
    <t>EGF_2 0.033| PRK10319 | EGF_CA | NnrS | MopB_Res-Cmplx1_Nad11-M | PTZ00010 | ND1 | secF | EGF | ATP-synt_F |</t>
  </si>
  <si>
    <t>EGF_2 0.086| PRK10319 | 19 | DUF1371 | MopB_Res-Cmplx1_Nad11-M | PTZ00010 | ND1 | PRK13825 | cas_TM1795_cmr1 | Nrap |</t>
  </si>
  <si>
    <t>Carabus granulatus</t>
  </si>
  <si>
    <t>sp|Q95V32|RS6_SPOFR</t>
  </si>
  <si>
    <t>Spodoptera frugiperda</t>
  </si>
  <si>
    <t>PTZ00028 3e-015| DUF2992 0.013| PRK00247 0.014| Nop53 0.021| Ribosomal_L30_N 0.024| DUF2011 0.035| Cgr1 0.071| NHLM_micro_HlyD 0.075| F-BAR_Rgd1 0.086| DUF1682 0.095|</t>
  </si>
  <si>
    <t>Ribosomal protein S6 - Drosophila melanogaster - translation - structural constituent of ribosome - cytosolic small ribosomal subunit - ribosome - immune response - lipid particle - mitotic spindle elongation - mitotic spindle organization</t>
  </si>
  <si>
    <t>cytosolic small ribosomal subunit</t>
  </si>
  <si>
    <t>The small subunit of a ribosome located in the cytosol.  [GOC:mtg_sensu]</t>
  </si>
  <si>
    <t>30S ribosomal subunit  NARROW []</t>
  </si>
  <si>
    <t>Bombyx mori</t>
  </si>
  <si>
    <t>PTZ00028 1e-044| Ribosomal_S6e 2e-006| DUF2992 0.001| Ribosomal_L30_N 0.016| PRK00106 0.023| PRK00247 0.027| Cgr1 0.051| PTZ00121 0.057| NHLM_micro_HlyD 0.061| DUF2011 |</t>
  </si>
  <si>
    <t>Aspergillus oryzae RIB40</t>
  </si>
  <si>
    <t>sp|Q7KF89|RL41_SPOFR</t>
  </si>
  <si>
    <t>Ribosomal_L41 1e-008| PRK05340 0.066| TT_ORF1 | DUF1713 | Cgr1 | DUF1168 | Circo_capsid | 3a01204 | CoxE | Protamine_P1 |</t>
  </si>
  <si>
    <t>Ribosomal protein L41 - Drosophila melanogaster - translation - structural constituent of ribosome - cytosolic large ribosomal subunit - ribosome</t>
  </si>
  <si>
    <t>sp|P49630|RL36_DROME</t>
  </si>
  <si>
    <t>Ribosomal_L36e 3e-020| PTZ00196 1e-013| RPL36A 7e-006| ELO 0.036| Topo-VIb_trans | PRK04184 | PRK11021 | PHA03065 | PIR | M3B_PepF_1 |</t>
  </si>
  <si>
    <t>Ribosomal protein L36 - Drosophila melanogaster - structural constituent of ribosome - cytosolic large ribosomal subunit - translation - ribosome - lipid particle</t>
  </si>
  <si>
    <t>sp|P16854|EST1_CULPI</t>
  </si>
  <si>
    <t>Culex pipiens</t>
  </si>
  <si>
    <t>COesterase 3e-013| Esterase_lipase 3e-007| PnbA 0.016| ND2 0.065| BMS1 | ND1 | COG4902 | ND5 | Cir_Bir_Yir | TIGR00374 |</t>
  </si>
  <si>
    <t>carboxylesterase activity</t>
  </si>
  <si>
    <t>Catalysis of the reaction: a carboxylic ester + H2O = an alcohol + a carboxylic anion.  [EC:3.1.1.1]</t>
  </si>
  <si>
    <t>Ali-esterase activity  RELATED [EC:3.1.1.1]</t>
  </si>
  <si>
    <t>Oreochromis niloticus</t>
  </si>
  <si>
    <t>sp|O72902|I6_FOWPN</t>
  </si>
  <si>
    <t>Fowlpox virus (strain NVSL)</t>
  </si>
  <si>
    <t>DUF70 0.014| RasGAP_CLA2_BUD2 | Spore_permease | ND5 | Peptidase_M14-like_7 | TRIC | 7TM_GPCR_Srd | Cir_Bir_Yir | PRK09609 | Oxidored_q1 |</t>
  </si>
  <si>
    <t>Nomascus leucogenys</t>
  </si>
  <si>
    <t>sp|P23358|RL12_RAT</t>
  </si>
  <si>
    <t>PTZ00105 6e-038| PLN03072 5e-037| Ribosomal_L11 3e-023| RL11 4e-021| RplK 2e-015| Ribosomal_L11 6e-010| rpl11p 7e-009| rpl11 0.009| PRK00702 0.019| L11_bact 0.028|</t>
  </si>
  <si>
    <t>Ribosomal protein L12 - Drosophila melanogaster - translation - cytosolic large ribosomal subunit - structural constituent of ribosome - lipid particle - mitotic spindle elongation</t>
  </si>
  <si>
    <t>PTZ00105 2e-019| PLN03072 8e-018| Ribosomal_L11 1e-009| RL11 1e-008| rpl11p 4e-008| RplK 1e-006| Ribosomal_L11 9e-005| PLN02464 | PIF | rpl11 |</t>
  </si>
  <si>
    <t>60S ribosomal protein L12 - Rattus norvegicus - ribosome - translation</t>
  </si>
  <si>
    <t>RNA binding</t>
  </si>
  <si>
    <t>Interacting selectively and non-covalently with an RNA molecule or a portion thereof.  [GOC:mah]</t>
  </si>
  <si>
    <t>nucleus</t>
  </si>
  <si>
    <t>A membrane-bounded organelle of eukaryotic cells in which chromosomes are housed and replicated. In most cells, the nucleus contains all of the cell's chromosomes except the organellar chromosomes, and is the site of RNA synthesis and processing. In some species, or in specialized cell types, RNA metabolism or DNA replication may be absent.  [GOC:go_curators]</t>
  </si>
  <si>
    <t>cell nucleus  EXACT []</t>
  </si>
  <si>
    <t>sp|Q8WQI5|RS8_SPOFR</t>
  </si>
  <si>
    <t>PTZ00148 2e-088| Ribosomal_S8e 7e-042| S8e 5e-025| RPS8A 3e-022| PRK04049 2e-018| arcsn_tRNA_tgt | COG5409 | hemH | HC2 | POLBc_epsilon |</t>
  </si>
  <si>
    <t>ribosomal protein S8a - Danio rerio - structural constituent of ribosome - ribosome - translation - intracellular - translational elongation - cytosolic small ribosomal subunit - maturation of SSU-rRNA from tricistronic rRNA transcript (SSU-rRNA, 5.8S rRNA, LSU-rRNA) - ribonucleoprotein complex - regulation of cell cycle - embryo development</t>
  </si>
  <si>
    <t>ribosome</t>
  </si>
  <si>
    <t>An intracellular organelle, about 200 A in diameter, consisting of RNA and protein. It is the site of protein biosynthesis resulting from translation of messenger RNA (mRNA). It consists of two subunits, one large and one small, each containing only protein and RNA. Both the ribosome and its subunits are characterized by their sedimentation coefficients, expressed in Svedberg units (symbol: S). Hence, the prokaryotic ribosome (70S) comprises a large (50S) subunit and a small (30S) subunit, while the eukaryotic ribosome (80S) comprises a large (60S) subunit and a small (40S) subunit. Two sites on the ribosomal large subunit are involved in translation, namely the aminoacyl site (A site) and peptidyl site (P site). Ribosomes from prokaryotes, eukaryotes, mitochondria, and chloroplasts have characteristically distinct ribosomal proteins.  [ISBN:0198506732]</t>
  </si>
  <si>
    <t>ribosomal RNA  RELATED []</t>
  </si>
  <si>
    <t>PTZ00148 1e-093| Ribosomal_S8e 4e-047| S8e 2e-029| RPS8A 8e-027| PRK04049 1e-023| COG5409 | POLBc_epsilon | hemH | PRK08295 | HC2 |</t>
  </si>
  <si>
    <t>PTZ00148 1e-089| Ribosomal_S8e 1e-043| S8e 2e-027| RPS8A 3e-025| PRK04049 9e-021| GT1_LPS_heptosyltransferase | COG5409 | POLBc_epsilon | hemH | PRK08295 |</t>
  </si>
  <si>
    <t>sp|Q95V39|RL8_SPOFR</t>
  </si>
  <si>
    <t>PTZ00180 e-133| rpl2p 2e-088| RplB 1e-076| Ribosomal_L2_C 3e-047| rplB_bact 1e-034| rplB 5e-033| rpl2 1e-032| PTZ00031 3e-026| Ribosomal_L2 4e-015| NAPRTase_put |</t>
  </si>
  <si>
    <t>Ribosomal protein L8 - Drosophila melanogaster - translation - structural constituent of ribosome - cytosolic large ribosomal subunit - mitotic spindle elongation - mitotic spindle organization</t>
  </si>
  <si>
    <t>PTZ00180 2e-095| rpl2p 6e-071| RplB 4e-058| Ribosomal_L2_C 4e-047| rplB 3e-027| rpl2 1e-025| rplB_bact 1e-025| PTZ00031 6e-020| ND4 | PHA02758 |</t>
  </si>
  <si>
    <t>sp|P55841|RL14_DROME</t>
  </si>
  <si>
    <t>Ribosomal_L14e 2e-030| PTZ00065 4e-028| RPL14A 2e-015| PRK04333 6e-006| CcmF 0.058| nrfE 0.094| STE2 | DUF3799 | KOW | PRK14902 |</t>
  </si>
  <si>
    <t>Ribosomal protein L14 - Drosophila melanogaster - translation - cytosolic large ribosomal subunit - structural constituent of ribosome - cytosolic ribosome - ribosome - negative regulation of neuron apoptosis - lipid particle - mitotic spindle elongation - mitotic spindle organization</t>
  </si>
  <si>
    <t>sp|Q5UAP4|RSSA_BOMMO</t>
  </si>
  <si>
    <t>PTZ00254 9e-006| Keratin_B2 8e-004| PAT1 0.002| PRK11855 0.027| rne 0.041| Herpes_gp2 0.041| PRK09782 0.063| fecB 0.087| PRK05714 0.097| PRK11892 |</t>
  </si>
  <si>
    <t>ribosomal protein SA - Danio rerio - structural constituent of ribosome - intracellular - ribosome - translation - small ribosomal subunit - plasma membrane - cytoplasm - nucleus - cytosolic small ribosomal subunit - 90S preribosome - endonucleolytic cleavage to generate mature 3'-end of SSU-rRNA from (SSU-rRNA, 5.8S rRNA, LSU-rRNA) - endonucleolytic cleavage in ITS1 to separate SSU-rRNA from 5.8S rRNA and LSU-rRNA from tricistronic rRNA transcript (SSU-rRNA, 5.8S rRNA, LSU-rRNA) - ribosomal small subunit assembly - rRNA export from nucleus - ribonucleoprotein complex - membrane - receptor activity</t>
  </si>
  <si>
    <t>intracellular</t>
  </si>
  <si>
    <t>The living contents of a cell; the matter contained within (but not including) the plasma membrane, usually taken to exclude large vacuoles and masses of secretory or ingested material. In eukaryotes it includes the nucleus and cytoplasm.  [ISBN:0198506732]</t>
  </si>
  <si>
    <t>internal to cell  EXACT []</t>
  </si>
  <si>
    <t>Biphyllus lunatus</t>
  </si>
  <si>
    <t>sp|P09180|RL4_DROME</t>
  </si>
  <si>
    <t>PLN00185 5e-024| PTZ00428 9e-023| SRP-alpha_N 0.006| PRK13808 0.009| Hc1 0.010| tolA 0.017| PTZ00121 0.017| PRK05901 0.022| PRK04950 0.027| alaS 0.049|</t>
  </si>
  <si>
    <t>Ribosomal protein L4 - Drosophila melanogaster - structural constituent of ribosome - cytosolic large ribosomal subunit - translation - lipid particle</t>
  </si>
  <si>
    <t>Cricetulus griseus</t>
  </si>
  <si>
    <t>sp|Q75C22|H1_ASHGO</t>
  </si>
  <si>
    <t>Ashbya gossypii (strain ATCC 10895 / CBS 109.51 / FGSC 9923 / NRRL Y-1056)</t>
  </si>
  <si>
    <t>PRK13808 0.044| EIIC-GAT 0.047| PRK07561 0.053| Hc1 0.058| HC2 | PRK11192 | DUF1222 | tolA | ABC2_membrane_3 | STOP |</t>
  </si>
  <si>
    <t>Chromatin structure and dynamics</t>
  </si>
  <si>
    <t>sp|P19889|RLA0_DROME</t>
  </si>
  <si>
    <t>Ribosomal_60s 6e-020| PTZ00135 1e-014| Ribosomal_P2 9e-014| Ribosomal_P1 5e-013| PTZ00373 3e-010| PLN00138 6e-010| Ribosomal_P1_P2_L12p 2e-009| RPP1A 2e-009| rpl12p 2e-008| L21P_arch 4e-008|</t>
  </si>
  <si>
    <t>Ribosomal protein LP0 - Drosophila melanogaster - structural constituent of ribosome - translation - cytosolic large ribosomal subunit - cytoplasm - DNA-(apurinic or apyrimidinic site) lyase activity - nucleus - DNA repair - ribosome - translational elongation - ribosome biogenesis - lipid particle</t>
  </si>
  <si>
    <t>Ochlerotatus triseriatus</t>
  </si>
  <si>
    <t>sp|P29520|EF1A_BOMMO</t>
  </si>
  <si>
    <t>PTZ00141 1e-053| EF1_alpha_III 5e-044| PLN00043 4e-042| EF-1_alpha 5e-039| PRK12317 2e-038| TEF1 1e-031| GTP_EFTU_D3 3e-029| Translation_factor_III 1e-022| eRF3c_III 9e-019| HBS1_C 2e-013|</t>
  </si>
  <si>
    <t>Elongation factor 1alpha48D - Drosophila melanogaster - determination of adult lifespan - cytosol - translational elongation - translation elongation factor activity - eukaryotic translation elongation factor 1 complex - cytoplasm - GTPase activity - translation - GTP binding - lipid particle - microtubule associated complex</t>
  </si>
  <si>
    <t>translation elongation factor activity</t>
  </si>
  <si>
    <t>Functions in chain elongation during polypeptide synthesis at the ribosome.  [ISBN:0198506732]</t>
  </si>
  <si>
    <t>cytosol</t>
  </si>
  <si>
    <t>The part of the cytoplasm that does not contain organelles but which does contain other particulate matter, such as protein complexes.  [GOC:hgd, GOC:jl]</t>
  </si>
  <si>
    <t>determination of adult lifespan</t>
  </si>
  <si>
    <t>The control of viability and duration in the adult phase of the life-cycle.  [GOC:ems]</t>
  </si>
  <si>
    <t>PTZ00141 1e-035| PLN00043 2e-028| EF1_alpha_III 4e-028| PRK12317 1e-025| EF-1_alpha 2e-025| TEF1 2e-020| GTP_EFTU_D3 1e-017| Translation_factor_III 3e-013| eRF3c_III 3e-013| HBS1_C 2e-009|</t>
  </si>
  <si>
    <t>PTZ00141 5e-051| EF1_alpha_III 1e-041| PLN00043 8e-040| PRK12317 8e-037| EF-1_alpha 9e-037| TEF1 2e-030| GTP_EFTU_D3 9e-029| Translation_factor_III 6e-022| eRF3c_III 3e-018| HBS1_C 7e-014|</t>
  </si>
  <si>
    <t>Bactrocera dorsalis</t>
  </si>
  <si>
    <t>sp|P08736|EF1A1_DROME</t>
  </si>
  <si>
    <t>PLN00043 7e-014| PTZ00141 2e-013| EF1_alpha_III 5e-008| PRK12317 5e-008| EF-1_alpha 2e-007| GTP_EFTU_D3 3e-007| TEF1 4e-006| Translation_factor_III 0.002| ND4 0.031| ND4 0.044|</t>
  </si>
  <si>
    <t>Euphydryas aurinia</t>
  </si>
  <si>
    <t>sp|P52818|RL15_ANOGA</t>
  </si>
  <si>
    <t>Anopheles gambiae</t>
  </si>
  <si>
    <t>Ribosomal_L15e 2e-083| PTZ00026 4e-082| RPL15A 7e-053| PRK04243 2e-050| Ribonuc_red_sm | AAI_SS | FlhE | DEP_PLEK2 | PRK09723 | PRK10835 |</t>
  </si>
  <si>
    <t>Ribosomal protein L15 - Drosophila melanogaster - translation - cytosolic large ribosomal subunit - structural constituent of ribosome - ribosome</t>
  </si>
  <si>
    <t>Sphaerius sp. APV-2005</t>
  </si>
  <si>
    <t>PTZ00026 1e-014| Ribosomal_L15e 3e-011| RPL15A 3e-006| PRK04243 0.008| Ribonuc_red_sm | DEP_PLEK2 | PRK00911 | WI12 | CydC | RAMP |</t>
  </si>
  <si>
    <t>ribosomal protein L15 - Danio rerio - structural constituent of ribosome - intracellular - ribosome - translation - ribonucleoprotein complex</t>
  </si>
  <si>
    <t>Perkinsus marinus ATCC 50983</t>
  </si>
  <si>
    <t>sp|Q9SZ11|GLPQ2_ARATH</t>
  </si>
  <si>
    <t>DUF1182 | Fungal_trans | DUF2079 | PigN | ND2 | ND4 | 7TM_GPCR_Srz | PRANC | ATP6 | 2A0310 |</t>
  </si>
  <si>
    <t>sp|P36241|RL19_DROME</t>
  </si>
  <si>
    <t>PTZ00097 9e-048| Ribosomal_L19e_E 9e-046| Ribosomal_L19e 2e-038| Ribosomal_L19e 4e-034| PTZ00436 1e-031| RPL19A 2e-024| rpl19e 8e-021| Ribosomal_L19e_A 4e-017| 7TMR-DISM_7TM 0.003| PTZ00121 0.005|</t>
  </si>
  <si>
    <t>Ribosomal protein L19 - Drosophila melanogaster - cytosolic large ribosomal subunit - structural constituent of ribosome - translation - ribosome - mitotic spindle elongation</t>
  </si>
  <si>
    <t>sp|Q1XDQ3|YCXB_PORYE</t>
  </si>
  <si>
    <t>Porphyra yezoensis</t>
  </si>
  <si>
    <t>COG4285 | Plasmodium_Vir | PTZ00168 | PrdX_deacylase | ND5 | 7TM_GPCR_Srbc | PRK15136 | Spy1 | PHA00149 | PHA02758 |</t>
  </si>
  <si>
    <t>Posttranslational modification, protein turnover, chaperones, General function prediction only</t>
  </si>
  <si>
    <t>Camponotus floridanus</t>
  </si>
  <si>
    <t>sp|Q5BLY5|ACPH1_APIME</t>
  </si>
  <si>
    <t>Apis mellifera</t>
  </si>
  <si>
    <t>His_Phos_2 6e-016| HP_HAP_like 2e-010| ND6 0.007| ND2 0.010| DUF1461 0.011| ND5 0.011| HP 0.013| ND4 0.021| 7TM_GPCR_Srz 0.036| ABC2_membrane_4 |</t>
  </si>
  <si>
    <t>Uncharacterized protein - Gallus gallus - acid phosphatase activity</t>
  </si>
  <si>
    <t>sp|P62864|RS30_RAT</t>
  </si>
  <si>
    <t>Ribosomal_S30 2e-027| PTZ00467 3e-013| PRK09336 2e-008| COG4919 6e-006| Fubi 0.019| ND5 | DUF2011 | PRK14767 | PRK09903 | ND4 |</t>
  </si>
  <si>
    <t>Ribosomal protein S30 - Drosophila melanogaster - structural constituent of ribosome - cytosolic small ribosomal subunit - translation - lipid particle - mitotic spindle elongation - mitotic spindle organization</t>
  </si>
  <si>
    <t>Translation, ribosomal structure and biogenesis, Posttranslational modification, protein turnover, chaperones</t>
  </si>
  <si>
    <t>sp|Q9NB34|RL34_AEDTR</t>
  </si>
  <si>
    <t>Aedes triseriatus</t>
  </si>
  <si>
    <t>PTZ00074 2e-025| Ribosomal_L34e 3e-020| RPL34A 1e-013| PLN03166 5e-009| rpl34e 2e-006| ND5 0.094| ND3 | ND5 | ND2 | PRK12369 |</t>
  </si>
  <si>
    <t>Ribosomal protein L34b - Drosophila melanogaster - cytosolic large ribosomal subunit - structural constituent of ribosome - translation</t>
  </si>
  <si>
    <t>Dictyostelium purpureum</t>
  </si>
  <si>
    <t>sp|P18161|PYK2_DICDI</t>
  </si>
  <si>
    <t>ND5 8e-004| ND5 0.010| MBOAT 0.011| ND2 0.012| ND5 0.013| DUF1230 0.013| ND2 0.014| Srg 0.015| ATP6 0.019| PHA03054 0.020|</t>
  </si>
  <si>
    <t>MBOAT 0.001| ND5 0.002| ND5 0.011| Rer1 0.015| 7TM_GPCR_Srz 0.019| ATP6 0.028| Srg 0.034| 2A0309 0.064| TrbC 0.079| Acyl_transf_3 0.083|</t>
  </si>
  <si>
    <t>Periplaneta americana</t>
  </si>
  <si>
    <t>sp|Q5G5C4|RS3A_PERAM</t>
  </si>
  <si>
    <t>Ribosomal_S3Ae 1e-089| RPS1A 3e-059| PRK04057 3e-038| YCG1 | Spore-coat_CotZ | Chlam_OMP3 | BCAS2 | PRK14586 | LPLAT_ACT14924-like | PTZ00243 |</t>
  </si>
  <si>
    <t>Ribosomal protein S3A - Drosophila melanogaster - structural constituent of ribosome - cytosolic small ribosomal subunit - translation - cytosolic ribosome - oogenesis - lipid particle - mitotic spindle elongation - mitotic spindle organization</t>
  </si>
  <si>
    <t>Georissus sp. APV-2005</t>
  </si>
  <si>
    <t>sp|P39018|RS19A_DROME</t>
  </si>
  <si>
    <t>Ribosomal_S19e 2e-023| RPS19A 1e-012| PRK09333 3e-012| PTZ00095 5e-008| HTH_DTXR 5e-004| TroR 0.025| PRK14299 | phage_rep_org_N | Desulfoferrod_N | PRK05092 |</t>
  </si>
  <si>
    <t>Ribosomal protein S19a - Drosophila melanogaster - translation - cytosolic small ribosomal subunit - structural constituent of ribosome - ribosome - lipid particle</t>
  </si>
  <si>
    <t>Rhodnius prolixus</t>
  </si>
  <si>
    <t>sp|Q7KR04|RS15B_DROME</t>
  </si>
  <si>
    <t>PTZ00158 5e-013| PLN00146 2e-011| Ribosomal_S8 6e-007| RpsH 4e-005| rps8p 2e-004| rps8 0.002| rpsH 0.060| PLDc_C_DEXD_like | PHA03398 | DUF705 |</t>
  </si>
  <si>
    <t>Ribosomal protein S15Ab - Drosophila melanogaster - structural constituent of ribosome - cytosolic small ribosomal subunit - translation - lipid particle - mitotic spindle elongation - mitotic spindle organization</t>
  </si>
  <si>
    <t>Catenibacterium mitsuokai DSM 15897</t>
  </si>
  <si>
    <t>sp|Q7Z7M0|MEGF8_HUMAN</t>
  </si>
  <si>
    <t>Glyco_transf_22 0.006| Herpes_LMP2 0.026| Nodulin-like 0.032| Gamma-thionin 0.048| Carla_C4 0.054| 7TM_GPCR_Srz 0.060| Knot1 0.064| Knot1 0.072| Lung_7-TM_R 0.073| cyt_nit_nrfE |</t>
  </si>
  <si>
    <t>Cell wall/membrane/envelope biogenesis, Intracellular trafficking, secretion, and vesicular transport</t>
  </si>
  <si>
    <t>Veillonella sp. 3_1_44</t>
  </si>
  <si>
    <t>sp|Q8YRV2|CRCB_NOSS1</t>
  </si>
  <si>
    <t>Nostoc sp. (strain PCC 7120 / UTEX 2576)</t>
  </si>
  <si>
    <t>DUF2031 | CYTB | TctB | 7TM_GPCR_Srw | ND2 | PYST-B | PHA00454 | s48_45 | ND4L | COG4906 |</t>
  </si>
  <si>
    <t>Thielavia terrestris NRRL 8126</t>
  </si>
  <si>
    <t>sp|O75095|MEGF6_HUMAN</t>
  </si>
  <si>
    <t>Gamma-thionin 0.044| Knot1 0.059| Knot1 0.067| ND5 | ATP_synt_6_or_A | PHA02246 | TctB | DUF1189 | ND2 | PRK15337 |</t>
  </si>
  <si>
    <t>Salpingoeca sp. ATCC 50818</t>
  </si>
  <si>
    <t>sp|Q69566|U88_HHV6U</t>
  </si>
  <si>
    <t>Human herpesvirus 6A (strain Uganda-1102)</t>
  </si>
  <si>
    <t>PRK10019 0.002| Papilloma_E5 0.016| Atrophin-1 0.046| LicC 0.070| ureE 0.076| Herpes_BMRF2 0.090| SelP_N | PLN03241 | LSR | ND6 |</t>
  </si>
  <si>
    <t>integrin, beta-like 1 - Danio rerio - cell adhesion - integrin complex - receptor activity - cell-matrix adhesion - binding - integrin-mediated signaling pathway</t>
  </si>
  <si>
    <t>receptor activity</t>
  </si>
  <si>
    <t>Combining with an extracellular or intracellular messenger to initiate a change in cell activity.  [GOC:ceb, ISBN:0198506732]</t>
  </si>
  <si>
    <t>receptor guanylate cyclase activity  NARROW []</t>
  </si>
  <si>
    <t>integrin complex</t>
  </si>
  <si>
    <t>A protein complex that is composed of one alpha subunit and one beta subunit, both of which are members of the integrin superfamily of cell adhesion receptors; the complex spans the plasma membrane and binds to extracellular matrix ligands, cell-surface ligands, and soluble ligands.  [PMID:17543136]</t>
  </si>
  <si>
    <t>laminin receptor protein  RELATED []</t>
  </si>
  <si>
    <t>cell adhesion</t>
  </si>
  <si>
    <t>The attachment of a cell, either to another cell or to an underlying substrate such as the extracellular matrix, via cell adhesion molecules.  [GOC:hb, GOC:pf]</t>
  </si>
  <si>
    <t>cell adhesion molecule activity  RELATED []</t>
  </si>
  <si>
    <t>sp|Q4PBP6|NST1_USTMA</t>
  </si>
  <si>
    <t>Ustilago maydis (strain 521 / FGSC 9021)</t>
  </si>
  <si>
    <t>Papilloma_E5 0.024| LicC 0.062| PRK10019 | Atrophin-1 | Herpes_BMRF2 | SMR | SecY | TEA | Patched | prc |</t>
  </si>
  <si>
    <t>Staphylococcus carnosus subsp. carnosus TM300</t>
  </si>
  <si>
    <t>sp|P14183|LICC_HAEIN</t>
  </si>
  <si>
    <t>Haemophilus influenzae (strain ATCC 51907 / DSM 11121 / KW20 / Rd)</t>
  </si>
  <si>
    <t>LicC 0.009| PRK10098 | DEFSN | ND5 | ND1 | EXS | Gemini_AL3 | ftsH | Dopey_N | 7TM_GPCR_Sri |</t>
  </si>
  <si>
    <t>Coenzyme transport and metabolism</t>
  </si>
  <si>
    <t>Oncorhynchus masou</t>
  </si>
  <si>
    <t>sp|Q6ZWR6|SYNE1_MOUSE</t>
  </si>
  <si>
    <t>SMR | PTZ00089 | spore_CotS | PRK14290 | 2A0105 | OLF | ND5 | LacY_symp | gntK_FGGY | PRK13246 |</t>
  </si>
  <si>
    <t>Posttranslational modification, protein turnover, chaperones</t>
  </si>
  <si>
    <t>sp|Q8K9X4|Y160_BUCAP</t>
  </si>
  <si>
    <t>Buchnera aphidicola subsp. Schizaphis graminum</t>
  </si>
  <si>
    <t>ND3 0.009| ND5 0.012| ND2 0.047| bact_immun_7tm 0.058| ND4 0.090| ND4 | PTZ00440 | ND2 | ubiA | 7TM_GPCR_Srz |</t>
  </si>
  <si>
    <t>sp|P55935|RS9_DROME</t>
  </si>
  <si>
    <t>PTZ00155 5e-086| PLN00189 3e-082| rpsD_arch 5e-062| rps4p 3e-040| RpsD 3e-026| Ribosomal_S4 5e-019| S4 5e-011| rpsD 3e-010| rps4 6e-010| rpsD_bact 3e-009|</t>
  </si>
  <si>
    <t>Ribosomal protein S9 - Drosophila melanogaster - cytosolic small ribosomal subunit - translation - structural constituent of ribosome - ribosome - rRNA binding - mitotic spindle organization - mitotic spindle elongation</t>
  </si>
  <si>
    <t>Lineus viridis</t>
  </si>
  <si>
    <t>sp|Q20228|RS9_CAEEL</t>
  </si>
  <si>
    <t>PTZ00155 1e-016| PLN00189 1e-015| rpsD_arch 8e-012| RpsD 3e-006| S4 6e-006| rpsD 2e-004| rps4 3e-004| S4 5e-004| S4 8e-004| rpsD_bact 0.002|</t>
  </si>
  <si>
    <t>Caenorhabditis elegans - intracellular - rRNA binding - RNA binding - structural constituent of ribosome - translation - small ribosomal subunit - reproduction - positive regulation of growth rate - embryo development ending in birth or egg hatching - determination of adult lifespan - body morphogenesis - growth - nematode larval development - developmental process</t>
  </si>
  <si>
    <t>rRNA binding</t>
  </si>
  <si>
    <t>Interacting selectively and non-covalently with ribosomal RNA.  [GOC:jl]</t>
  </si>
  <si>
    <t>PLN00189 8e-054| PTZ00155 1e-053| rpsD_arch 5e-039| rps4p 6e-023| RpsD 4e-020| S4 3e-011| rpsD 2e-010| rps4 3e-010| rpsD_bact 2e-009| S4 1e-007|</t>
  </si>
  <si>
    <t>Bombus terrestris</t>
  </si>
  <si>
    <t>sp|Q54FZ8|Y8923_DICDI</t>
  </si>
  <si>
    <t>ND4 3e-009| ND6 4e-008| 7TM_GPCR_Srz 3e-007| ND4 4e-007| ND6 7e-007| ND4L 7e-007| ND5 9e-007| ABC2_membrane_4 1e-006| MFS 2e-006| Oxidored_q3 2e-006|</t>
  </si>
  <si>
    <t>P-loop containing nucleoside triphospahte hydrolase, putative - Plasmodium falciparum 3D7 - apicoplast</t>
  </si>
  <si>
    <t>catalytic activity</t>
  </si>
  <si>
    <t>Catalysis of a biochemical reaction at physiological temperatures. In biologically catalyzed reactions, the reactants are known as substrates, and the catalysts are naturally occurring macromolecular substances known as enzymes. Enzymes possess specific binding sites for substrates, and are usually composed wholly or largely of protein, but RNA that has catalytic activity (ribozyme) is often also regarded as enzymatic.  [ISBN:0198506732]</t>
  </si>
  <si>
    <t>enzyme activity  EXACT [GOC:dph, GOC:tb]</t>
  </si>
  <si>
    <t>endomembrane system</t>
  </si>
  <si>
    <t>A collection of membranous structures involved in transport within the cell. The main components of the endomembrane system are endoplasmic reticulum, Golgi bodies, vesicles, cell membrane and nuclear envelope. Members of the endomembrane system pass materials through each other or though the use of vesicles.  [GOC:lh]</t>
  </si>
  <si>
    <t>carbohydrate metabolic process</t>
  </si>
  <si>
    <t>The chemical reactions and pathways involving carbohydrates, any of a group of organic compounds based of the general formula Cx(H2O)y. Includes the formation of carbohydrate derivatives by the addition of a carbohydrate residue to another molecule.  [GOC:mah, ISBN:0198506732]</t>
  </si>
  <si>
    <t>carbohydrate metabolism  EXACT []</t>
  </si>
  <si>
    <t>Nematostella vectensis</t>
  </si>
  <si>
    <t>ND2 1e-007| ND5 5e-007| ABC2_membrane_4 6e-007| ND4 7e-007| ND2 2e-006| ND6 2e-006| 7TM_GPCR_Srz 4e-006| ABC2_membrane_3 6e-006| DUF70 5e-005| ND4 8e-005|</t>
  </si>
  <si>
    <t>unknown - Dictyostelium discoideum - molecular_function - cellular_component - biological_process</t>
  </si>
  <si>
    <t>sp|Q9NB33|RL44_AEDTR</t>
  </si>
  <si>
    <t>Ribosomal_L44 2e-036| PTZ00157 4e-032| RPL42A 5e-023| rpl44e 8e-015| ND5 | PGM1 | GT_2_like_c | DUF3586 | sbcc | Ycf1 |</t>
  </si>
  <si>
    <t>Ribosomal protein L36A - Drosophila melanogaster - cytosolic large ribosomal subunit - structural constituent of ribosome - translation - mitotic spindle organization - mitotic spindle elongation</t>
  </si>
  <si>
    <t>Ribosomal_L44 2e-036| PTZ00157 4e-032| RPL42A 5e-023| rpl44e 8e-015| ND5 | DUF3586 | GT_2_like_c | sbcc | Ycf1 | rpoB |</t>
  </si>
  <si>
    <t>sp|Q962R1|RS18_SPOFR</t>
  </si>
  <si>
    <t>PTZ00134 1e-073| rps13p 9e-048| arch_S13P 9e-044| Ribosomal_S13 5e-038| RpsM 5e-033| rpsM 6e-014| bact_S13 1e-013| rps13 1e-010| PRK04184 0.009| PLN02907 |</t>
  </si>
  <si>
    <t>Ribosomal protein S18 - Drosophila melanogaster - translation - structural constituent of ribosome - cytosolic small ribosomal subunit - translational initiation - ribosome - RNA binding - lipid particle - mitotic spindle organization - mitotic spindle elongation</t>
  </si>
  <si>
    <t>Bombus impatiens</t>
  </si>
  <si>
    <t>His_Phos_2 1e-014| HP_HAP_like 2e-009| ND4 0.002| ND4 0.008| ND5 0.014| Sre 0.040| TIGR03766 0.041| HP 0.085| ND5 | Staph_a_para_1 |</t>
  </si>
  <si>
    <t>Trichoplax adhaerens</t>
  </si>
  <si>
    <t>ND4 8e-006| His_Phos_2 3e-004| PHA03042 0.011| AgrB 0.034| 7tm_7 0.038| ND2 0.043| ND4 0.053| 7TMR-DISM_7TM 0.055| TrkG 0.056| ND1 0.062|</t>
  </si>
  <si>
    <t>Collinsella stercoris DSM 13279</t>
  </si>
  <si>
    <t>sp|Q8TDM6|DLG5_HUMAN</t>
  </si>
  <si>
    <t>MPN_eIF3f | PRK08639 |</t>
  </si>
  <si>
    <t>Signal transduction mechanisms, Cell cycle control, cell division, chromosome partitioning, Transcription</t>
  </si>
  <si>
    <t>Heliconius melpomene cythera</t>
  </si>
  <si>
    <t>sp|Q5UAS2|RL17_BOMMO</t>
  </si>
  <si>
    <t>PTZ00178 2e-067| L22_arch 4e-049| rpl22p 3e-031| Ribosomal_L22 3e-022| Ribosomal_L22 3e-022| RplV 6e-019| rplV 3e-009| PRK12279 5e-009| rplV_bact 2e-005| rpl22 4e-005|</t>
  </si>
  <si>
    <t>Ribosomal protein L17 - Drosophila melanogaster - structural constituent of ribosome - cytosolic large ribosomal subunit - translation - mitotic spindle organization - mitotic spindle elongation</t>
  </si>
  <si>
    <t>sp|Q4GXP2|RS21_BIPLU</t>
  </si>
  <si>
    <t>Ribosomal_S21e 6e-041| DUF996 | hsdR | 2A0114 | DUF2480 | ung | GlcNAc_2-epim | hisH | GH20_HexA_HexB-like | P5CS |</t>
  </si>
  <si>
    <t>40S ribosomal protein S21 - Drosophila yakuba - ribosome - regulation of cell proliferation - ribosome binding</t>
  </si>
  <si>
    <t>ribosome binding</t>
  </si>
  <si>
    <t>Interacting selectively and non-covalently with any part of a ribosome.  [GOC:go_curators]</t>
  </si>
  <si>
    <t>ribosome receptor activity  NARROW []</t>
  </si>
  <si>
    <t>regulation of cell proliferation</t>
  </si>
  <si>
    <t>Any process that modulates the frequency, rate or extent of cell proliferation.  [GOC:jl]</t>
  </si>
  <si>
    <t>sp|Q9W237|RS16_DROME</t>
  </si>
  <si>
    <t>PTZ00086 2e-064| PLN00210 3e-061| rps9p 7e-041| Ribosomal_S9 4e-036| arch_S9P 1e-034| RpsI 9e-030| rpsI 7e-016| rps9 4e-007| RimK | Nckap1 |</t>
  </si>
  <si>
    <t>Ribosomal protein S16 - Drosophila melanogaster - translation - cytosolic small ribosomal subunit - structural constituent of ribosome - lipid particle - mitotic spindle elongation - mitotic spindle organization</t>
  </si>
  <si>
    <t>Triatoma infestans</t>
  </si>
  <si>
    <t>sp|Q02543|RL18A_HUMAN</t>
  </si>
  <si>
    <t>Ribosomal_L18ae 4e-017| RPL20A 2e-015| aceF | PTZ00454 | CemA | STKc_Pho85 | pdxA | cemA | PRK02507 | Crust_neurohorm |</t>
  </si>
  <si>
    <t>Uncharacterized protein - Sus scrofa - structural constituent of ribosome - ribosome - translation</t>
  </si>
  <si>
    <t>Amblyomma maculatum</t>
  </si>
  <si>
    <t>sp|O76190|RL5_BOMMO</t>
  </si>
  <si>
    <t>PTZ00069 2e-027| PTZ00121 0.044| rpl18p 0.062| 2A0309 | PRK14013 | scpA | 43 | RpoC | PRK09177 | PRK12472 |</t>
  </si>
  <si>
    <t>Ribosomal protein L5 - Drosophila melanogaster - cytosolic large ribosomal subunit - structural constituent of ribosome - translation - 5S rRNA binding - protein binding</t>
  </si>
  <si>
    <t>Toxorhynchites amboinensis</t>
  </si>
  <si>
    <t>sp|Q16927|VIT1_AEDAE</t>
  </si>
  <si>
    <t>Aedes aegypti</t>
  </si>
  <si>
    <t>DUF755 2e-006| AF-4 4e-006| PHA03308 3e-005| PTZ00112 5e-005| RAP1 2e-004| PHA03307 3e-004| Secretin_N_2 3e-004| Period_C 5e-004| SSP160 5e-004| PHA03247 8e-004|</t>
  </si>
  <si>
    <t>Vitellogenin-2 - Solenopsis invicta - molecular_function - extracellular region - biological_process</t>
  </si>
  <si>
    <t>DUF755 1e-006| AF-4 6e-006| PHA03247 3e-005| PTZ00112 5e-005| PHA03308 6e-005| Period_C 1e-004| DUF3633 2e-004| DUF1183 2e-004| PHA03307 2e-004| Secretin_N_2 2e-004|</t>
  </si>
  <si>
    <t>sp|P29413|CALR_DROME</t>
  </si>
  <si>
    <t>Calreticulin 5e-024| COG4499 0.003| 7TM_GPCR_Srw 0.003| PRK02224 0.005| RP1-2 0.005| Rtt106 0.005| CDC27 0.006| CYTB 0.006| Merozoite_SPAM 0.007| PRK09609 0.007|</t>
  </si>
  <si>
    <t>Calreticulin - Drosophila melanogaster - calcium ion binding - endoplasmic reticulum lumen - central nervous system development - peripheral nervous system development - olfactory behavior - unfolded protein binding - protein folding - extracellular space - lipid particle - locomotion involved in locomotory behavior - startle response - brain morphogenesis - fusome - neurogenesis</t>
  </si>
  <si>
    <t>calcium ion binding</t>
  </si>
  <si>
    <t>Interacting selectively and non-covalently with calcium ions (Ca2+).  [GOC:ai]</t>
  </si>
  <si>
    <t>calcium ion storage activity  RELATED []</t>
  </si>
  <si>
    <t>endoplasmic reticulum lumen</t>
  </si>
  <si>
    <t>The volume enclosed by the membranes of the endoplasmic reticulum.  [ISBN:0198547684]</t>
  </si>
  <si>
    <t>cisternal lumen  EXACT []</t>
  </si>
  <si>
    <t>central nervous system development</t>
  </si>
  <si>
    <t>The process whose specific outcome is the progression of the central nervous system over time, from its formation to the mature structure. The central nervous system is the core nervous system that serves an integrating and coordinating function. In vertebrates it consists of the brain, spinal cord and spinal nerves. In those invertebrates with a central nervous system it typically consists of a brain, cerebral ganglia and a nerve cord.  [GOC:bf, GOC:jid, ISBN:0582227089]</t>
  </si>
  <si>
    <t>CNS development  EXACT []</t>
  </si>
  <si>
    <t>Schistosoma mansoni</t>
  </si>
  <si>
    <t>sp|Q8D339|ARNT_WIGBR</t>
  </si>
  <si>
    <t>SpecificRecomb 0.072| ND6 | alpha_CARP_receptor_like | PHA03014 | Ribosomal_S3_N | GH43_62_32_68 | ND6 | LIM2_LMO1_LMO3 | PRK10635 | rps3 |</t>
  </si>
  <si>
    <t>ND6 | Spore_permease | 7tm_2 | LIM2_LMO1_LMO3 | Ribosomal_S3_N | rps3 | Transposase_21 | GCS2 | fliD | ND4 |</t>
  </si>
  <si>
    <t>Signal transduction mechanisms, Chromatin structure and dynamics, Replication, recombination and repair, Cell cycle control, cell division, chromosome partitioning</t>
  </si>
  <si>
    <t>sp|Q9JLT0|MYH10_RAT</t>
  </si>
  <si>
    <t>Ded_cyto 0.011| vATP-synt_E 0.018| ATP_synt_b 0.020| mutS2 0.030| Mitofilin 0.054| G_alpha 0.066| P_fal_TIGR01639 0.069| proS_fam_I 0.086| PHA03087 | Regulator_TrmB |</t>
  </si>
  <si>
    <t>sp|Q12918|KLRB1_HUMAN</t>
  </si>
  <si>
    <t>KTR1 | PLDc_yTdp1_1 | Sedlin_N | PRK07370 | SH2_HSH2_like | UPF0259 | PTZ00172 | PRK15198 | CPW_WPC | PLN02340 |</t>
  </si>
  <si>
    <t>Artemia franciscana</t>
  </si>
  <si>
    <t>sp|Q9VMU4|RL37A_DROME</t>
  </si>
  <si>
    <t>Ribosomal_L37ae 1e-041| PTZ00255 1e-041| L37a 9e-028| RPL43A 7e-025| rpl37ae 4e-023| PRK14207 | PRK11788 | Ribosomal_L44 | PRK04023 | DUF3375 |</t>
  </si>
  <si>
    <t>Ribosomal protein L37A - Drosophila melanogaster - translation - structural constituent of ribosome - cytosolic large ribosomal subunit - mitotic spindle organization - mitotic spindle elongation</t>
  </si>
  <si>
    <t>sp|Q962T1|RL32_SPOFR</t>
  </si>
  <si>
    <t>PTZ00159 7e-060| Ribosomal_L32e 5e-057| Ribosomal_L32_L32e 4e-053| RPL32 7e-037| rpl32e 8e-029| PRK12766 4e-012| PRK04031 | 7TM_GPCR_Srx | DUF3651 | PRK11387 |</t>
  </si>
  <si>
    <t>Ribosomal protein L32 - Drosophila melanogaster - translation - structural constituent of ribosome - cytosolic large ribosomal subunit - ribosome - mitotic spindle organization - mitotic spindle elongation</t>
  </si>
  <si>
    <t>Eimeria tenella</t>
  </si>
  <si>
    <t>sp|Q8ILR9|YPF17_PLAF7</t>
  </si>
  <si>
    <t>ND5 2e-009| ND2 2e-009| ND5 4e-008| ND4 1e-007| ND2 1e-007| ND4 5e-007| ATP6 5e-006| ND4L 1e-005| ND4L 2e-005| ND6 2e-005|</t>
  </si>
  <si>
    <t>Plasmodium berghei</t>
  </si>
  <si>
    <t>sp|Q6FNV1|NOP14_CANGA</t>
  </si>
  <si>
    <t>ND2 1e-005| ND5 5e-005| ATP6 0.006| COX2 0.007| ND4 0.009| 7TM_GPCR_Sru 0.016| ND4 0.035| ND2 0.037| Sre 0.045| ND6 0.053|</t>
  </si>
  <si>
    <t>sp|P15357|RS27A_DROME</t>
  </si>
  <si>
    <t>Ribosomal_S27 2e-012| RPS31 3e-007| PRK00432 4e-005| DUF817 | nudC | Stig1 | PsaA_PsaB | COG3739 | Prim-Pol | DZR |</t>
  </si>
  <si>
    <t>Uncharacterized protein - Gallus gallus - structural constituent of ribosome - intracellular - ribosome - translation</t>
  </si>
  <si>
    <t>Ribosomal_S27 4e-021| Ubiquitin 2e-016| ubiquitin 2e-011| RPS31 4e-011| UBQ 8e-011| UBL 1e-009| Nedd8 2e-009| PRK00432 6e-008| PTZ00044 2e-007| Scythe_N 2e-006|</t>
  </si>
  <si>
    <t>Ubiquitin-40S ribosomal protein S27a - Gallus gallus - activation of innate immune response - toll-like receptor signaling pathway - MyD88-dependent toll-like receptor signaling pathway - structural constituent of ribosome - intracellular - nucleus - cytoplasm - cytosol - translation - activation of NF-kappaB-inducing kinase activity - endosome membrane - cytosolic small ribosomal subunit - toll-like receptor 2 signaling pathway - toll-like receptor 3 signaling pathway - toll-like receptor 4 signaling pathway - toll-like receptor 5 signaling pathway - toll-like receptor 7 signaling pathway - activation of MAPK activity involved in innate immune response - toll-like receptor 15 signaling pathway - toll-like receptor 21 signaling pathway - metal ion binding</t>
  </si>
  <si>
    <t>activation of innate immune response</t>
  </si>
  <si>
    <t>Any process that initiates an innate immune response. Innate immune responses are defense responses mediated by germline encoded components that directly recognize components of potential pathogens. Examples of this process include activation of the hypersensitive response of Arabidopsis thaliana and activation of any NOD or TLR signaling pathway in vertebrate species.  [GO_REF:0000022, GOC:add, GOC:mtg_15nov05, GOC:mtg_sensu, ISBN:0781735149, PMID:15199967, PMID:16177805]</t>
  </si>
  <si>
    <t>ND5 3e-004| speE 0.005| 7TM_GPCR_Srz 0.015| DUF3430 0.053| ND6 0.078| DUF1211 | PSS | COG3548 | Trp_Tyr_perm | TRP |</t>
  </si>
  <si>
    <t>sp|P48155|RS7_MANSE</t>
  </si>
  <si>
    <t>Manduca sexta</t>
  </si>
  <si>
    <t>Ribosomal_S7e 1e-087| PTZ00389 1e-060| GldM_C 0.066| dnaE | 7 | COG5296 | Borrelia_orfX | PRK09681 | PRK14192 | IleS |</t>
  </si>
  <si>
    <t>40S ribosomal protein S7 - Anopheles gambiae - rRNA processing - cytosolic small ribosomal subunit - 90S preribosome - small-subunit processome - ribosomal small subunit biogenesis</t>
  </si>
  <si>
    <t>Ribosomal_S7e 3e-086| PTZ00389 7e-060| GldM_C 0.064| dnaE | COG5296 | MIG-14_Wnt-bd | Galactosyl_T | WavE | pgsA | PRK09681 |</t>
  </si>
  <si>
    <t>sp|Q962S0|RS7_SPOFR</t>
  </si>
  <si>
    <t>Ribosomal_S7e 2e-091| PTZ00389 5e-062| GldM_C 0.074| dnaE | ADPrib_exo_Tox | PRK06330 | COG5296 | 7 | PRK13629 | PRK09681 |</t>
  </si>
  <si>
    <t>Helicobacter pylori F16</t>
  </si>
  <si>
    <t>ND2 6e-007| ND4 2e-005| ND2 3e-005| SecY 3e-005| ND6 4e-005| ND5 6e-005| ND4L 9e-005| ND5 2e-004| ND4 2e-004| YfhO 2e-004|</t>
  </si>
  <si>
    <t>Guibemantis depressiceps</t>
  </si>
  <si>
    <t>sp|P20679|NU5M_PODAN</t>
  </si>
  <si>
    <t>Podospora anserina (strain S / ATCC MYA-4624 / DSM 980 / FGSC 10383)</t>
  </si>
  <si>
    <t>7TM_GPCR_Sru 0.007| Rer1 0.015| COX2 0.093| ND2 | 7TM_GPCR_Srx | ND6 | PRK11588 | DUF825 | ATP-synt_8 | Arv1 |</t>
  </si>
  <si>
    <t>Drosophila mojavensis</t>
  </si>
  <si>
    <t>sp|Q8K999|Y450_BUCAP</t>
  </si>
  <si>
    <t>ND2 8e-006| ND6 8e-006| ATP6 2e-005| ND2 4e-005| ND6 6e-005| 7TM_GPCR_Sru 8e-005| ND5 9e-005| ND6 2e-004| DER1 2e-004| SecY 2e-004|</t>
  </si>
  <si>
    <t>Theileria parva</t>
  </si>
  <si>
    <t>sp|P15564|YMN4_PODAN</t>
  </si>
  <si>
    <t>CLAG 0.079| DUF443 | DUF300 | moaC | ND1 | PRK05846 | OPT_sfam | DUF3747 | 6 | SBF |</t>
  </si>
  <si>
    <t>sp|Q962T2|RL28_SPOFR</t>
  </si>
  <si>
    <t>Ribosomal_L28e 3e-036| PTZ00197 2e-008| PRK15375 0.038| Corona_S1 | rpoC2 | DUF3550 | AsnB | 2A73 | PRK01194 | DUF1207 |</t>
  </si>
  <si>
    <t>Ribosomal protein L28 - Drosophila melanogaster - translation - cytosolic large ribosomal subunit - structural constituent of ribosome - mitotic spindle organization - mitotic spindle elongation - neurogenesis</t>
  </si>
  <si>
    <t>sp|Q962R6|RS13_SPOFR</t>
  </si>
  <si>
    <t>PTZ00072 8e-042| rps15p 1e-025| Ribosomal_S15p_S13e 5e-020| Ribosomal_S15 2e-018| RpsO 5e-016| S15_NS1_EPRS_RNA-bind 2e-011| S15_bact | LMBR1 | PRK13771 | PTZ00119 |</t>
  </si>
  <si>
    <t>ribosomal protein S13 - Danio rerio - intracellular - translation - structural constituent of ribosome - ribosome</t>
  </si>
  <si>
    <t>PTZ00072 6e-025| rps15p 1e-012| Ribosomal_S15p_S13e 3e-012| Ribosomal_S15 3e-010| RpsO 1e-009| S15_NS1_EPRS_RNA-bind 5e-006| muHD | FTR | PRK13841 | PRK02114 |</t>
  </si>
  <si>
    <t>Ribosomal protein S13 - Drosophila melanogaster - structural constituent of ribosome - cytosolic small ribosomal subunit - translation - ribosome - lipid particle - mitotic spindle elongation - mitotic spindle organization</t>
  </si>
  <si>
    <t>sp|Q95WA0|RL26_LITLI</t>
  </si>
  <si>
    <t>Littorina littorea</t>
  </si>
  <si>
    <t>PTZ00194 2e-060| rplX_A_E 4e-044| rpl24p 9e-035| RplX 3e-011| KOW 7e-006| rplX 1e-004| rplX_bact 3e-004| KOW 0.001| rplX 0.013| rpl24 0.085|</t>
  </si>
  <si>
    <t>Ribosomal protein L26 - Drosophila melanogaster - cytosolic large ribosomal subunit - structural constituent of ribosome - translation - mitotic spindle elongation - mitotic spindle organization</t>
  </si>
  <si>
    <t>Timarcha balearica</t>
  </si>
  <si>
    <t>PTZ00194 4e-025| rplX_A_E 3e-015| rpl24p 9e-012| RplX 0.017| ModC | modB_ABC | RPL15A | PLN02447 | ND6 | DUF1736 |</t>
  </si>
  <si>
    <t>sp|Q5R8K6|RL35A_PONAB</t>
  </si>
  <si>
    <t>Pongo abelii</t>
  </si>
  <si>
    <t>Ribosomal_L35Ae 1e-048| PTZ00041 4e-043| COG2451 2e-024| PRK04337 6e-013| rad25 | D_ala_D_alaTIGR | PRK05402 | DUF3382 | ccoN | Carla_C4 |</t>
  </si>
  <si>
    <t>Ribosomal protein L35A - Drosophila melanogaster - cytosolic large ribosomal subunit - translation - structural constituent of ribosome</t>
  </si>
  <si>
    <t>sp|Q962R9|RS10_SPOFR</t>
  </si>
  <si>
    <t>Tymo_45kd_70kd | PRK05641 | PHA03247 | PRK15017 | BAF1_ABF1 | Glycoprotein_B | PLN02638 | SelP_N | PHA03207 | PTZ00303 |</t>
  </si>
  <si>
    <t>sp|B4LV24|AFF4_DROVI</t>
  </si>
  <si>
    <t>Drosophila virilis</t>
  </si>
  <si>
    <t>ND5 0.002| 2A0114euk | TIGR03766 | ND6 | COG0670 | ND2 | Peptidase_M27 | ND4L | ND6 | Phage_HK97_TLTM |</t>
  </si>
  <si>
    <t>Ichthyophthirius multifiliis</t>
  </si>
  <si>
    <t>sp|Q9ZZW1|Q0182_YEAST</t>
  </si>
  <si>
    <t>7TM_GPCR_Srz 3e-004| ND5 0.001| DUF1980 0.006| ND5 0.007| ND6 0.007| ND2 0.010| 7tm_7 0.030| 7TMR-DISM_7TM 0.044| PTZ00342 0.052| ND2 0.077|</t>
  </si>
  <si>
    <t>sp|Q69CJ9|RL35_OPHHA</t>
  </si>
  <si>
    <t>Ophiophagus hannah</t>
  </si>
  <si>
    <t>Ribosomal_L29 7e-015| Ribosomal_L29_HIP 4e-013| L29 2e-012| PRK14549 5e-012| RpmC 7e-012| PRK00306 2e-010| rpmC 5e-008| XpaC 0.002| PTZ00069 0.021| PRK03918 0.041|</t>
  </si>
  <si>
    <t>Ribosomal protein L35 - Drosophila melanogaster - translation - structural constituent of ribosome - cytosolic large ribosomal subunit - lipid particle - mitotic spindle elongation - mitotic spindle organization</t>
  </si>
  <si>
    <t>sp|P31009|RS2_DROME</t>
  </si>
  <si>
    <t>PTZ00070 6e-081| rpsE_arch 3e-058| rps5p 2e-040| RpsE 5e-032| Ribosomal_S5_C 1e-021| rpsE 3e-012| rpsE_bact 3e-012| Ribosomal_S5 7e-010| rps5 0.002| PdxA 0.057|</t>
  </si>
  <si>
    <t>Ribosomal protein S2 - Drosophila melanogaster - translation - cytosolic small ribosomal subunit - structural constituent of ribosome - ribosome - RNA binding - lipid particle</t>
  </si>
  <si>
    <t>sp|O46028|KA101_CENNO</t>
  </si>
  <si>
    <t>Centruroides noxius</t>
  </si>
  <si>
    <t>Knot1 0.001| Knot1 0.002| Toxin_3 0.006| ND5 0.007| ND2 0.012| CYTB 0.065| Anoctamin | DUF3586 | DUF70 | PAP2_like_3 |</t>
  </si>
  <si>
    <t>sp|Q2V4J5|DEF43_ARATH</t>
  </si>
  <si>
    <t>Knot1 0.001| Knot1 0.002| ND5 0.006| Toxin_3 0.006| Anoctamin 0.006| ND5 0.036| DUF3586 0.065| DUF443 0.068| ND6 0.074| 7TM_GPCR_Srbc |</t>
  </si>
  <si>
    <t>ATP_synt_6_or_A 8e-004| Knot1 0.001| Knot1 0.002| Toxin_3 0.006| PalH 0.053| 7TM_GPCR_Srz 0.086| 2A0309 | Anoctamin | ND4L | DUF3586 |</t>
  </si>
  <si>
    <t>sp|Q89AY7|Y081_BUCBP</t>
  </si>
  <si>
    <t>Buchnera aphidicola subsp. Baizongia pistaciae (strain Bp)</t>
  </si>
  <si>
    <t>Anoctamin 0.010| ND5 0.076| 7TM_GPCR_Srz 0.093| ND6 | ND4 | ERD2 | Staph_a_para_1 | PHA02862 | Methylase_S | ND4L |</t>
  </si>
  <si>
    <t>Anopheles gambiae str. PEST</t>
  </si>
  <si>
    <t>sp|Q9GT45|RS26_ANOGA</t>
  </si>
  <si>
    <t>Ribosomal_S26e 2e-034| PTZ00172 1e-029| PLN00186 6e-028| RPS26B 6e-020| PRK09335 4e-004| Vps16_N | ubiA | Rho | rho_factor | Nodulin-21_like_3 |</t>
  </si>
  <si>
    <t>Ribosomal protein S26 - Drosophila melanogaster - cytosolic small ribosomal subunit - translation - structural constituent of ribosome - ribosome</t>
  </si>
  <si>
    <t>sp|Q057X9|SYI_BUCCC</t>
  </si>
  <si>
    <t>Buchnera aphidicola subsp. Cinara cedri</t>
  </si>
  <si>
    <t>DUF3741 |</t>
  </si>
  <si>
    <t>sp|Q4GXU6|RS4_CARGR</t>
  </si>
  <si>
    <t>PLN00036 4e-026| PTZ00118 2e-025| PTZ00223 2e-016| RPS4A 6e-009| PRK04313 7e-004| ND2 | Peptidase_M64 | GlgP | GldG | PLN02312 |</t>
  </si>
  <si>
    <t>Ribosomal protein S4 - Drosophila melanogaster - cytosolic small ribosomal subunit - structural constituent of ribosome - translation - ribosome - RNA binding - lipid particle - mitotic spindle elongation - mitotic spindle organization</t>
  </si>
  <si>
    <t>sp|Q75VN3|TCTP_BOMMO</t>
  </si>
  <si>
    <t>TCTP 2e-035| PTZ00151 6e-023| AAK_AK-Hom3 0.021| ND6 0.041| ND4L 0.044| 16 0.079| DNA_Packaging | COX3 | ND2 | ND4 |</t>
  </si>
  <si>
    <t>Translationally-controlled tumor protein homolog - Drosophila pseudoobscura pseudoobscura - calcium ion binding - cytoplasm - tubulin complex</t>
  </si>
  <si>
    <t>guanyl-nucleotide exchange factor activity</t>
  </si>
  <si>
    <t>Stimulates the exchange of guanyl nucleotides associated with a GTPase. Under normal cellular physiological conditions, the concentration of GTP is higher than that of GDP, favoring the replacement of GDP by GTP in association with the GTPase.  [GOC:kd, GOC:mah]</t>
  </si>
  <si>
    <t>GDP-dissociation stimulator activity  EXACT []</t>
  </si>
  <si>
    <t>positive regulation of cell size</t>
  </si>
  <si>
    <t>Any process that increases cell size.  [GOC:go_curators]</t>
  </si>
  <si>
    <t>activation of cell size  NARROW []</t>
  </si>
  <si>
    <t>Cell cycle control, cell division, chromosome partitioning, Cytoskeleton</t>
  </si>
  <si>
    <t>sp|P48159|RL23_DROME</t>
  </si>
  <si>
    <t>PTZ00054 1e-055| rpl14p 1e-040| rpl14p_arch 4e-039| RplN 6e-032| Ribosomal_L14 2e-031| rplN 3e-019| rpl14 2e-017| rplN_bact 4e-016| SSM4 | PRK06525 |</t>
  </si>
  <si>
    <t>Ribosomal protein L23 - Drosophila melanogaster - cytosolic large ribosomal subunit - translation - structural constituent of ribosome - ribosome - mitotic spindle organization - mitotic spindle elongation - protein binding - neurogenesis</t>
  </si>
  <si>
    <t>sp|Q9NJH0|EF1G_DROME</t>
  </si>
  <si>
    <t>EF1G 1e-053| ICL | Trep_dent_lipo | flgD | PRK08188 | PRK10445 | Cas10_III | SERPIN | Mpp10 | PRK13870 |</t>
  </si>
  <si>
    <t>Ef1gamma - Drosophila melanogaster - eukaryotic translation elongation factor 1 complex - translational elongation - translation elongation factor activity - cytosol - salivary gland cell autophagic cell death - autophagic cell death - lipid particle - microtubule associated complex - cytoplasm - nucleus</t>
  </si>
  <si>
    <t>eukaryotic translation elongation factor 1 complex</t>
  </si>
  <si>
    <t>A multisubunit nucleotide exchange complex that binds GTP and aminoacyl-tRNAs, and catalyzes their codon-dependent placement at the A-site of the ribosome. In humans, the complex is composed of four subunits, alpha, beta, delta and gamma.  [GOC:jl, PMID:10216950]</t>
  </si>
  <si>
    <t>translational elongation</t>
  </si>
  <si>
    <t>The successive addition of amino acid residues to a nascent polypeptide chain during protein biosynthesis.  [GOC:ems]</t>
  </si>
  <si>
    <t>protein synthesis elongation  BROAD []</t>
  </si>
  <si>
    <t>EF1G 5e-050| cemA | ICL | Trep_dent_lipo | PRK08188 | DUF1032 | PRK13870 | Dicty_spore_N | trkD | Oxidored_q5_N |</t>
  </si>
  <si>
    <t>Buchnera aphidicola str. Ua (Uroleucon ambrosiae)</t>
  </si>
  <si>
    <t>cas_Csn2 0.001| PRK05815 0.057| 7tm_7 | PRK03598 | Phasin_2 | ND4 | TLC | COG3202 | exosortase_1 | AtpB |</t>
  </si>
  <si>
    <t>Amino acid transport and metabolism</t>
  </si>
  <si>
    <t>sp|P14130|RS14_DROME</t>
  </si>
  <si>
    <t>PTZ00129 1e-032| rps11p 2e-031| arch_S11P 2e-022| Ribosomal_S11 3e-015| RpsK 6e-015| PRK05309 4e-007| bact_S11 4e-006| rps11 1e-004| Elf1 | PHA03247 |</t>
  </si>
  <si>
    <t>40S ribosomal protein S14a - Anopheles gambiae - molecular_function - cellular_component - biological_process</t>
  </si>
  <si>
    <t>sp|Q13310|PABP4_HUMAN</t>
  </si>
  <si>
    <t>PABP 3e-032| PABP-1234 3e-031| PolyA 4e-024| PRK10992 0.039| DUF1347 | Med15 | PAT1 | PTKc_TrkB | type_III_yopR | COG2846 |</t>
  </si>
  <si>
    <t>poly(A) binding protein, cytoplasmic 4 - Rattus norvegicus - cytoplasm - poly(A) RNA binding - poly(U) RNA binding - ribonucleoprotein complex - poly(C) RNA binding</t>
  </si>
  <si>
    <t>nucleotide binding</t>
  </si>
  <si>
    <t>Interacting selectively and non-covalently with a nucleotide, any compound consisting of a nucleoside that is esterified with (ortho)phosphate or an oligophosphate at any hydroxyl group on the ribose or deoxyribose.  [GOC:mah, ISBN:0198547684]</t>
  </si>
  <si>
    <t>RNA processing</t>
  </si>
  <si>
    <t>Any process involved in the conversion of one or more primary RNA transcripts into one or more mature RNA molecules.  [GOC:mah]</t>
  </si>
  <si>
    <t>RNA processing and modification, Translation, ribosomal structure and biogenesis</t>
  </si>
  <si>
    <t>sp|Q98SP8|EPABA_XENLA</t>
  </si>
  <si>
    <t>PABP 7e-015| PolyA 3e-013| PABP-1234 5e-012| DUF1347 0.038| PRK10359 | WaaY | gamma_C_targ | PRK04950 | SOG2 | PRK05035 |</t>
  </si>
  <si>
    <t>poly(A) binding protein, cytoplasmic 4 (inducible form) - Danio rerio - nucleic acid binding - RNA binding - nucleotide binding</t>
  </si>
  <si>
    <t>protein binding</t>
  </si>
  <si>
    <t>Interacting selectively and non-covalently with any protein or protein complex (a complex of two or more proteins that may include other nonprotein molecules).  [GOC:go_curators]</t>
  </si>
  <si>
    <t>alpha-2 macroglobulin receptor-associated protein activity  RELATED []</t>
  </si>
  <si>
    <t>chordate embryonic development</t>
  </si>
  <si>
    <t>The process whose specific outcome is the progression of the embryo over time, from zygote formation through a stage including a notochord and neural tube until birth or egg hatching.  [GOC:mtg_sensu]</t>
  </si>
  <si>
    <t>sp|O96647|RL10_BOMMA</t>
  </si>
  <si>
    <t>Bombyx mandarina</t>
  </si>
  <si>
    <t>PTZ00173 e-105| L10e 1e-057| rpl10e 4e-045| Ribosomal_L16_L10e 2e-033| RplP 1e-027| Ribosomal_L16 1e-025| DoH | rplP_bact | 7TM_GPCR_Srz | 7TM_GPCR_Srv |</t>
  </si>
  <si>
    <t>Ribosomal protein L10 - Drosophila melanogaster - translation - cytosolic large ribosomal subunit - structural constituent of ribosome - ribosome - lipid particle - mitotic spindle organization - mitotic spindle elongation - cytoplasm - neuronal cell body</t>
  </si>
  <si>
    <t>sp|Q9Y105|SYQ_DROME</t>
  </si>
  <si>
    <t>PRK05347 5e-014| PLN02859 4e-013| PTZ00437 6e-009| PRK14703 4e-008| glnS 3e-007| tRNA-synt_1c_C 2e-005| PLN03233 | DCase | MPP_YHR202W_N | gltX |</t>
  </si>
  <si>
    <t>Glutaminyl-tRNA synthetase - Drosophila melanogaster - glutamine-tRNA ligase activity - glutaminyl-tRNA aminoacylation - ATP binding - cytoplasm - microtubule associated complex</t>
  </si>
  <si>
    <t>glutamine-tRNA ligase activity</t>
  </si>
  <si>
    <t>Catalysis of the reaction: ATP + L-glutamine + tRNA(Gln) = AMP + diphosphate + L-glutaminyl-tRNA(Gln).  [EC:6.1.1.18]</t>
  </si>
  <si>
    <t>GlnRS  RELATED [EC:6.1.1.18]</t>
  </si>
  <si>
    <t>glutaminyl-tRNA aminoacylation</t>
  </si>
  <si>
    <t>The process of coupling glutamine to glutaminyl-tRNA, catalyzed by glutaminyl-tRNA synthetase. In tRNA aminoacylation, the amino acid is first activated by linkage to AMP and then transferred to either the 2'- or the 3'-hydroxyl group of the 3'- adenosine residue of the tRNA.  [GOC:mcc, ISBN:0716730510]</t>
  </si>
  <si>
    <t>PRK05347 9e-042| PRK14703 5e-033| PLN02859 2e-028| glnS 1e-026| tRNA-synt_1c_C 1e-025| PTZ00437 6e-017| PLN02907 5e-005| PLN03233 0.003| gltX 0.004| PLN00106 |</t>
  </si>
  <si>
    <t>sp|Q2KIK3|CD034_BOVIN</t>
  </si>
  <si>
    <t>DUF2615 2e-014| ND5 0.030| ND5 0.054| DUF3430 | ND2 | ND3 | 7TM_GPCR_Srz | PLN02915 | PLN02436 | STKc_MASTL |</t>
  </si>
  <si>
    <t>Uncharacterized protein C4orf34 homolog - Bos taurus - membrane - integral to membrane</t>
  </si>
  <si>
    <t>membrane</t>
  </si>
  <si>
    <t>Double layer of lipid molecules that encloses all cells, and, in eukaryotes, many organelles; may be a single or double lipid bilayer; also includes associated proteins.  [GOC:mah, ISBN:0815316194]</t>
  </si>
  <si>
    <t>Lactobacillus reuteri 100-23</t>
  </si>
  <si>
    <t>sp|Q9AV71|CESA7_ORYSJ</t>
  </si>
  <si>
    <t>Oryza sativa subsp. japonica</t>
  </si>
  <si>
    <t>PLN02915 | PLN02436 | Cellulose_synt | PLN02638 | PLN02713 | PLN02189 | PHA03000 | PLN02416 | Plasmid_parti | ND4 |</t>
  </si>
  <si>
    <t>Harmonia axyridis</t>
  </si>
  <si>
    <t>sp|Q9V751|ATTB_DROME</t>
  </si>
  <si>
    <t>Attacin_C 1e-014| Glyco_transf_22 0.003| UPF0118 0.006| ABC2_membrane_3 0.010| TIGR03766 0.010| Rbn 0.022| Ribonuclease_BN 0.024| ND2 0.027| 7tm_7 0.040| MFS 0.045|</t>
  </si>
  <si>
    <t>sp|Q7KF90|RL31_SPOFR</t>
  </si>
  <si>
    <t>Ribosomal_L31e 5e-021| Ribosomal_L31e 2e-016| PTZ00193 3e-012| RPL31A 2e-007| PRK01192 2e-005| Mon1 0.088| PRK05341 | PRK14720 | HgmA | EPT1 |</t>
  </si>
  <si>
    <t>Anopheles culicifacies</t>
  </si>
  <si>
    <t>sp|Q9U8M0|VIT1_PERAM</t>
  </si>
  <si>
    <t>CT 0.058| PRK03761 | PKD_channel | PHA03074 | ND3 | ND2 | PRK12437 | EMA | PRK10429 | 7TM_GPCR_Srw |</t>
  </si>
  <si>
    <t>sp|Q09451|PHO11_CAEEL</t>
  </si>
  <si>
    <t>PYST-A | ruvA | PRK03868 | Cir_Bir_Yir | ND5 | DUF1751 | PRK06588 | Lipoprotein_X | PRK06523 | Cation_ATPase_C |</t>
  </si>
  <si>
    <t>PRK03868 | Cir_Bir_Yir | ruvA | PRK06588 | Lipoprotein_X | PRK06523 | PRK09064 | ATP6 | PRK05912 | PTZ00227 |</t>
  </si>
  <si>
    <t>Dipetalogaster maximus</t>
  </si>
  <si>
    <t>sp|Q6F450|RL38_PLUXY</t>
  </si>
  <si>
    <t>Plutella xylostella</t>
  </si>
  <si>
    <t>Ribosomal_L38e 4e-034| PTZ00181 9e-020| LAGLIDADG_1 0.006| PHA03170 0.012| COX3 0.041| ND4L 0.043| lysS_arch 0.066| phageshock_pspC 0.075| PRK06390 | PRK09200 |</t>
  </si>
  <si>
    <t>ribosomal protein L38 - Danio rerio - intracellular - ribosome - structural constituent of ribosome - translation - ribonucleoprotein complex - embryo development</t>
  </si>
  <si>
    <t>Argopecten irradians</t>
  </si>
  <si>
    <t>sp|P58375|RL30_SPOFR</t>
  </si>
  <si>
    <t>PTZ00106 5e-053| RPL30 8e-035| Ribosomal_L7Ae 2e-025| PRK01018 6e-024| RPL8A 2e-008| rpl7ae 0.002| PRK07283 0.002| PRK07714 0.004| PRK13602 0.006| Ebp2 0.071|</t>
  </si>
  <si>
    <t>ribosomal protein L30 - Rattus norvegicus - structural constituent of ribosome - intracellular - cytoplasm - ribosome - translation - cytosolic large ribosomal subunit</t>
  </si>
  <si>
    <t>PTZ00106 5e-041| RPL30 1e-026| PRK01018 1e-018| Ribosomal_L7Ae 2e-018| RPL8A 2e-005| Ebp2 0.007| PRK07283 0.061| PRK10763 | PRK12558 | rpl7ae |</t>
  </si>
  <si>
    <t>Zymomonas mobilis subsp. mobilis ATCC 10988</t>
  </si>
  <si>
    <t>sp|Q85BG0|NU4C_ANTFO</t>
  </si>
  <si>
    <t>Anthoceros formosae</t>
  </si>
  <si>
    <t>ATP6 | PRK08377 | PHA02748 | HECTc | ND5 | PRK07115 | Chordopox_A15 | Ion_trans | Srg | ND2 |</t>
  </si>
  <si>
    <t>sp|Q962Q5|RS25_SPOFR</t>
  </si>
  <si>
    <t>Ribosomal_S25 9e-048| COG4901 6e-020| PRK09334 7e-008| TFA1 0.043| DUF505 0.046| GlpR | COG2865 | COG1542 | cas_TM1794_Cmr2 | HTH_DTXR |</t>
  </si>
  <si>
    <t>Ribosomal protein S25 - Drosophila melanogaster - cytosolic small ribosomal subunit - structural constituent of ribosome - translation - ribosome</t>
  </si>
  <si>
    <t>Leishmania tarentolae</t>
  </si>
  <si>
    <t>sp|Q54R14|Y3443_DICDI</t>
  </si>
  <si>
    <t>7TM_GPCR_Srh 0.006| PHA03042 0.010| 7TM_GPCR_Srz 0.033| ND4 0.045| ND2 0.066| ATP6 0.088| ND4 0.094| ND5 | PIG-U | ND6 |</t>
  </si>
  <si>
    <t>sp|Q4KLT3|TRM44_XENLA</t>
  </si>
  <si>
    <t>ND5 4e-004| 2A0309 0.003| Sre 0.009| SunT 0.051| UPF0118 0.051| 7TM_GPCR_Srz 0.058| DUF1461 0.064| 7TM_GPCR_Sru 0.074| ND5 | ND2 |</t>
  </si>
  <si>
    <t>Srg 0.009| ND4 0.040| S2P-M50_like_2 | Ion_trans | PSS | DUF619 | PLN02600 | DUF2194 | ND1 | PRK04375 |</t>
  </si>
  <si>
    <t>sp|Q90YS2|RS3_ICTPU</t>
  </si>
  <si>
    <t>Ictalurus punctatus</t>
  </si>
  <si>
    <t>PTZ00084 2e-031| rpsC_E_A 3e-017| rps3p 9e-012| RpsC 2e-010| Ribosomal_S3_C 1e-007| PLN02677 0.015| MAP65_ASE1 0.074| PRK14950 | VirB10 | GlnA |</t>
  </si>
  <si>
    <t>Ribosomal protein S3 - Drosophila melanogaster - nuclear matrix - DNA-(apurinic or apyrimidinic site) lyase activity - nucleus - DNA repair - oxidized purine base lesion DNA N-glycosylase activity - cytosolic small ribosomal subunit - structural constituent of ribosome - translation - cytoplasm - ribosome - RNA binding - negative regulation of neuron apoptosis - lipid particle - microtubule associated complex - mitosis - response to DNA damage stimulus</t>
  </si>
  <si>
    <t>DNA-(apurinic or apyrimidinic site) lyase activity</t>
  </si>
  <si>
    <t>Catalysis of the cleavage of the C-O-P bond 3' to the apurinic or apyrimidinic site in DNA by a beta-elimination reaction, leaving a 3'-terminal unsaturated sugar and a product with a terminal 5'-phosphate.  [EC:4.2.99.18]</t>
  </si>
  <si>
    <t>AP endonuclease class I activity  NARROW [EC:4.2.99.18]</t>
  </si>
  <si>
    <t>nuclear matrix</t>
  </si>
  <si>
    <t>The dense fibrillar network lying on the inner side of the nuclear membrane.  [ISBN:0582227089]</t>
  </si>
  <si>
    <t>nucleoskeleton   EXACT []</t>
  </si>
  <si>
    <t>DNA repair</t>
  </si>
  <si>
    <t>The process of restoring DNA after damage. Genomes are subject to damage by chemical and physical agents in the environment (e.g. UV and ionizing radiations, chemical mutagens, fungal and bacterial toxins, etc.) and by free radicals or alkylating agents endogenously generated in metabolism. DNA is also damaged because of errors during its replication. A variety of different DNA repair pathways have been reported that include direct reversal, base excision repair, nucleotide excision repair, photoreactivation, bypass, double-strand break repair pathway, and mismatch repair pathway.  [PMID:11563486]</t>
  </si>
  <si>
    <t>sp|P07764|ALF_DROME</t>
  </si>
  <si>
    <t>Glycolytic e-103| FBP_aldolase_I_a 7e-098| PTZ00019 3e-084| PLN02455 2e-079| FBP_aldolase_I 3e-059| PLN02425 1e-052| COG3588 1e-050| PLN02227 2e-045| FBP_aldolase_I_bact | EII-GUT |</t>
  </si>
  <si>
    <t>Aldolase - Drosophila melanogaster - glycolysis - fructose-bisphosphate aldolase activity - mesoderm development - Z disc - M band - mitotic cell cycle G2/M transition DNA damage checkpoint</t>
  </si>
  <si>
    <t>fructose-bisphosphate aldolase activity</t>
  </si>
  <si>
    <t>Catalysis of the reaction: D-fructose 1,6-bisphosphate = glycerone phosphate + D-glyceraldehyde-3-phosphate.  [EC:4.1.2.13]</t>
  </si>
  <si>
    <t>1,6-diphosphofructose aldolase activity  EXACT [EC:4.1.2.13]</t>
  </si>
  <si>
    <t>Z disc</t>
  </si>
  <si>
    <t>Platelike region of a muscle sarcomere to which the plus ends of actin filaments are attached.  [GOC:mtg_muscle, ISBN:0815316194]</t>
  </si>
  <si>
    <t>Z band  EXACT []</t>
  </si>
  <si>
    <t>Glycolytic 4e-045| FBP_aldolase_I_a 1e-041| PTZ00019 6e-037| PLN02455 3e-036| PLN02425 9e-025| COG3588 3e-023| FBP_aldolase_I 1e-022| PLN02227 5e-021| DUF3418 | TAF6 |</t>
  </si>
  <si>
    <t>Anopheles darlingi</t>
  </si>
  <si>
    <t>sp|P38658|ERP60_SCHMA</t>
  </si>
  <si>
    <t>ER_PDI_fam 1e-004| ksgA | Git3 | SEC63 | TFIIE | PLN03232 | RhoGAP_ARAP | flagell_flgL | SAM_7_link_chp | MelB |</t>
  </si>
  <si>
    <t>ERp60 - Drosophila melanogaster - protein disulfide isomerase activity - protein folding - glycerol ether metabolic process - endoplasmic reticulum - cell redox homeostasis - electron carrier activity - protein disulfide oxidoreductase activity - lipid particle - microtubule associated complex</t>
  </si>
  <si>
    <t>protein disulfide isomerase activity</t>
  </si>
  <si>
    <t>Catalysis of the rearrangement of both intrachain and interchain disulfide bonds in proteins.  [EC:5.3.4.1]</t>
  </si>
  <si>
    <t>protein cysteine-thiol oxidation  RELATED []</t>
  </si>
  <si>
    <t>protein folding</t>
  </si>
  <si>
    <t>The process of assisting in the covalent and noncovalent assembly of single chain polypeptides or multisubunit complexes into the correct tertiary structure.  [GOC:go_curators, GOC:rb]</t>
  </si>
  <si>
    <t>alpha-tubulin folding  NARROW [GOC:mah]</t>
  </si>
  <si>
    <t>Spirochaeta sp. Buddy</t>
  </si>
  <si>
    <t>sp|O83202|Y172_TREPA</t>
  </si>
  <si>
    <t>Treponema pallidum (strain Nichols)</t>
  </si>
  <si>
    <t>entE | SRPBCC_7 | trp_oprn_chp | PIKKc_DNA-PK | asnB | Mn_catalase_like | Pat_TGL4-5_like | PRK07804 | NTNH_C | m04gp34like |</t>
  </si>
  <si>
    <t>Replication, recombination and repair</t>
  </si>
  <si>
    <t>Ornithorhynchus anatinus</t>
  </si>
  <si>
    <t>sp|Q09550|YQU3_CAEEL</t>
  </si>
  <si>
    <t>SRPBCC_7 | PHA02695 | DAGAT | VPS28 | ND5 | PRK15132 | MopB_CT_4 | PRK11126 | PRK10334 | PRK04443 |</t>
  </si>
  <si>
    <t>Oikopleura dioica</t>
  </si>
  <si>
    <t>sp|Q44775|FTSW_BORBU</t>
  </si>
  <si>
    <t>Borrelia burgdorferi</t>
  </si>
  <si>
    <t>SRPBCC_7 | Spore_permease | SunT | YfhO | racA | rpoC2 | COG5578 | NDH_I_N | CYTB | EPV_E5 |</t>
  </si>
  <si>
    <t>Toxoplasma gondii</t>
  </si>
  <si>
    <t>sp|Q9MTD5|RR2_TOXGO</t>
  </si>
  <si>
    <t>ND2 0.002| ND4 0.021| ND4L 0.030| COX3 0.040| ND4L 0.064| ATP-synt_8 0.069| EI24 0.071| ND6 | Oxidored_q1 | PRK14956 |</t>
  </si>
  <si>
    <t>Lachnospiraceae bacterium 1_1_57FAA</t>
  </si>
  <si>
    <t>sp|Q57898|Y456_METJA</t>
  </si>
  <si>
    <t>Methanocaldococcus jannaschii (strain ATCC 43067 / DSM 2661 / JAL-1 / JCM 10045 / NBRC 100440)</t>
  </si>
  <si>
    <t>ND2 8e-005| ND4 0.007| ND6 0.008| DUF70 0.009| ND4 0.015| ATP6 0.022| GP41 0.027| ND5 0.032| ND5 0.058| EI24 0.070|</t>
  </si>
  <si>
    <t>sp|Q962U0|RL13A_SPOFR</t>
  </si>
  <si>
    <t>PTZ00068 3e-040| L13_A_E 5e-021| rpl13p 3e-011| Ribosomal_L13 5e-008| RplM 4e-005| Ribosomal_L13 8e-005| rplM_bact | PRK13944 | rpl13 | rplM |</t>
  </si>
  <si>
    <t>Ribosomal protein L13A - Drosophila melanogaster - cytosolic large ribosomal subunit - translation - structural constituent of ribosome - Notch signaling pathway - chaeta morphogenesis</t>
  </si>
  <si>
    <t>Brugia malayi</t>
  </si>
  <si>
    <t>sp|Q9N4I4|RL10A_CAEEL</t>
  </si>
  <si>
    <t>PTZ00029 1e-063| PTZ00225 5e-046| Ribosomal_L1 3e-038| Ribosomal_L1 2e-035| RplA 3e-022| rpl1P 3e-020| rplA 0.003| rplA_bact 0.016| 7TMR-DISM_7TM 0.023| ND4 0.042|</t>
  </si>
  <si>
    <t>similar to ribosomal protein L10a - Rattus norvegicus - RNA binding - structural constituent of ribosome - intracellular - translation - large ribosomal subunit</t>
  </si>
  <si>
    <t>sp|Q963B6|RL10A_SPOFR</t>
  </si>
  <si>
    <t>PTZ00029 2e-035| PTZ00225 5e-026| Ribosomal_L1 1e-022| Ribosomal_L1 4e-021| RplA 3e-015| rpl1P 6e-010| rplA 0.001| rplA_bact 0.007| PRK05933 | PRK05846 |</t>
  </si>
  <si>
    <t>Ribosomal protein L10Ab - Drosophila melanogaster - structural constituent of ribosome - translation - cytosolic large ribosomal subunit - RNA binding - lipid particle - mitotic spindle organization - mitotic spindle elongation</t>
  </si>
  <si>
    <t>sp|P47904|RS27_XENLA</t>
  </si>
  <si>
    <t>PTZ00083 4e-043| PLN00209 5e-041| Ribosomal_S27e 5e-025| RPS27A 2e-018| rps27e 1e-011| IBR | ZP | sphingomy | Zn_Tnp_IS1 | PLN00060 |</t>
  </si>
  <si>
    <t>zgc:73262 - Danio rerio - structural constituent of ribosome - ribosome - translation - intracellular - ribonucleoprotein complex - metal ion binding</t>
  </si>
  <si>
    <t>sp|Q9WTQ8|TIM23_MOUSE</t>
  </si>
  <si>
    <t>3a0801s02tim23 2e-027| Tim17 7e-023| TIM22 4e-008| PTZ00236 0.009| 7TM_GPCR_Srh | PRK15432 | 7TM_GPCR_Srz | murF | GHITM | murD |</t>
  </si>
  <si>
    <t>Mitochondrial import inner membrane translocase subunit Tim23 - Homo sapiens - protein binding - mitochondrion - mitochondrial inner membrane - mitochondrial inner membrane presequence translocase complex - mitochondrial intermembrane space - protein targeting to mitochondrion - intracellular protein transport - P-P-bond-hydrolysis-driven protein transmembrane transporter activity - membrane - integral to membrane - integral to mitochondrial inner membrane</t>
  </si>
  <si>
    <t>mitochondrion</t>
  </si>
  <si>
    <t>A semiautonomous, self replicating organelle that occurs in varying numbers, shapes, and sizes in the cytoplasm of virtually all eukaryotic cells. It is notably the site of tissue respiration.  [ISBN:0198506732]</t>
  </si>
  <si>
    <t>mitochondria  EXACT []</t>
  </si>
  <si>
    <t>protein targeting to mitochondrion</t>
  </si>
  <si>
    <t>The process of directing proteins towards and into the mitochondrion, usually mediated by mitochondrial proteins that recognize signals contained within the imported protein.  [GOC:mcc, ISBN:0716731363]</t>
  </si>
  <si>
    <t>mitochondrial protein import  RELATED []</t>
  </si>
  <si>
    <t>sp|Q9J593|RP147_FOWPN</t>
  </si>
  <si>
    <t>ND4 0.071| p47 | Baculo_p47 | Vps35 | PLN02523 | PLP_SbnA_fam | 2a38euk | CLAG | DUF2972 | ubiA_proteo |</t>
  </si>
  <si>
    <t>Nosema ceranae BRL01</t>
  </si>
  <si>
    <t>sp|Q820S5|SYS_NITEU</t>
  </si>
  <si>
    <t>Nitrosomonas europaea</t>
  </si>
  <si>
    <t>CYTB | CYTB | Pox_MCEL | WcaK | Dynamin_M | CYTB | SRP-alpha_N | PHA03031 | dass | CYTB |</t>
  </si>
  <si>
    <t>sp|Q962R2|RS17_SPOFR</t>
  </si>
  <si>
    <t>Ribosomal_S17e 1e-013| PTZ00154 5e-009| DUF1858 | PRK11092 | PLN02966 | PHA02246 | guanyl_kin | PRK10666 | gmk | rim_protein |</t>
  </si>
  <si>
    <t>Ribosomal protein S17 - Drosophila melanogaster - structural constituent of ribosome - translation - cytosolic small ribosomal subunit - ribosome - lipid particle</t>
  </si>
  <si>
    <t>sp|Q962U1|RL13_SPOFR</t>
  </si>
  <si>
    <t>Ribosomal_L13e 4e-085| PTZ00352 2e-074| PTZ00192 4e-061| RPL13 4e-032| PRK12277 1e-007| PRK03918 0.029| ND2 | ND6 | PRK08296 | COG3368 |</t>
  </si>
  <si>
    <t>Ribosomal protein L13 - Drosophila melanogaster - structural constituent of ribosome - cytosolic large ribosomal subunit - translation - ribosome - lipid particle - mitotic spindle organization - mitotic spindle elongation</t>
  </si>
  <si>
    <t>sp|Q962S7|RL37_SPOFR</t>
  </si>
  <si>
    <t>PTZ00073 6e-046| Ribosomal_L37e 2e-028| RPL37A 3e-023| rpl37e 4e-019| ND5 0.011| PRK01766 0.051| 7TM_GPCR_Srz | 7TM_GPCR_Srd | p47 | Pex2_Pex12 |</t>
  </si>
  <si>
    <t>Ribosomal protein L37a - Drosophila melanogaster - translation - structural constituent of ribosome - cytosolic large ribosomal subunit - ribosome</t>
  </si>
  <si>
    <t>Glossina morsitans morsitans</t>
  </si>
  <si>
    <t>sp|P29522|EF1B2_BOMMO</t>
  </si>
  <si>
    <t>EF1_GNE 4e-032| EF1B 3e-030| EF1_GNE 1e-028| EFB1 1e-017| cas_csf3 0.012| Csf3_U 0.012| DUF268 0.053| ef1B 0.095| aEF-1_beta | DUF576 |</t>
  </si>
  <si>
    <t>Elongation factor 1 beta - Drosophila melanogaster - cytosol - translation release factor activity - translation elongation factor activity - eukaryotic translation elongation factor 1 complex - translational elongation - guanyl-nucleotide exchange factor activity - lipid particle</t>
  </si>
  <si>
    <t>translation release factor activity</t>
  </si>
  <si>
    <t>Involved in catalyzing the release of a nascent polypeptide chain from a ribosome.  [ISBN:0198547684]</t>
  </si>
  <si>
    <t>Amphimedon queenslandica</t>
  </si>
  <si>
    <t>sp|P0CG68|UBC_PIG</t>
  </si>
  <si>
    <t>Ubiquitin 6e-044| ubiquitin 2e-029| UBQ 6e-029| Nedd8 3e-026| UBL 9e-026| PTZ00044 2e-022| Rad60-SLD 1e-018| AN1_N 7e-017| RAD23_N 8e-017| Scythe_N 7e-015|</t>
  </si>
  <si>
    <t>Polyubiquitin-C - Sus scrofa - nucleus - cytoplasm</t>
  </si>
  <si>
    <t>ubiquitin-protein ligase activity</t>
  </si>
  <si>
    <t>Catalysis of the reaction: ATP + ubiquitin + protein lysine = AMP + diphosphate + protein N-ubiquityllysine.  [EC:6.3.2.19, PMID:9635407]</t>
  </si>
  <si>
    <t>anaphase-promoting complex activity  NARROW [GOC:dph, GOC:tairtb]</t>
  </si>
  <si>
    <t>cell cycle checkpoint</t>
  </si>
  <si>
    <t>A cell cycle regulatory process that controls cell cycle progression by monitoring the timing and integrity of specific cell cycle events. A cell cycle checkpoint encompasses detection of an event or biological quality, signal transduction, and effector processes that delay or stop cell cycle progression in response to a defect.  [GOC:curators, ISBN:0815316194]</t>
  </si>
  <si>
    <t>Chrysomela tremula</t>
  </si>
  <si>
    <t>sp|P47830|RL27A_XENLA</t>
  </si>
  <si>
    <t>PTZ00160 2e-030| Ribosomal_L18e 8e-014| rpl15p 4e-011| rplO 7e-006| RplO 7e-006| PRK04005 9e-006| rplO_bact 0.003| RPL18A 0.005| ND5 | DUF300 |</t>
  </si>
  <si>
    <t>zgc:77235 - Danio rerio - intracellular - ribosome - structural constituent of ribosome - translation - ribonucleoprotein complex</t>
  </si>
  <si>
    <t>sp|Q9NBX4|RTXE_DROME</t>
  </si>
  <si>
    <t>ND4 0.020| UPF0118 | ND5 | 7TM_GPCR_Sra | BCAT_beta_family | DUF249 | Peptidase_U4 | PRK05912 | Lact_bio_phlase | PRK13354 |</t>
  </si>
  <si>
    <t>CHKov1 - Drosophila melanogaster - RNA binding - RNA-dependent DNA replication - RNA-directed DNA polymerase activity</t>
  </si>
  <si>
    <t>RNA-dependent DNA replication</t>
  </si>
  <si>
    <t>A DNA replication process that uses RNA as a template for RNA-dependent DNA polymerases (e.g. reverse transcriptase) that synthesize the new strands.  [GOC:mah, ISBN:0198506732]</t>
  </si>
  <si>
    <t>Jockey_Ele1_ORF2</t>
  </si>
  <si>
    <t>Srg 5e-004| ND2 0.001| odv-e66 0.020| rpoA | hsdR | ND4L | PIG-U | Glucan_synthase | CbiQ_TIGR | DUF3387 |</t>
  </si>
  <si>
    <t>sp|Q8CE08|PPAP_MOUSE</t>
  </si>
  <si>
    <t>PRK15294 | Mem_trans | AOX | PTZ00487 | COG2346 | PRK13551 | PRK11660 | FimP | PLN02206 | conj_TIGR03747 |</t>
  </si>
  <si>
    <t>sp|Q9USL3|SYIM_SCHPO</t>
  </si>
  <si>
    <t>Pox_A6 | UPF0079 | rseB | PRK12645 | PLN02272 | PHA02813 | PTZ00101 | RHIM | Ribonuc_red_lgC | COG4984 |</t>
  </si>
  <si>
    <t>ND4 | PRK15097 | PLN03232 | PLN03130 | DUF1029 |</t>
  </si>
  <si>
    <t>Extracellular structures</t>
  </si>
  <si>
    <t>Maconellicoccus hirsutus</t>
  </si>
  <si>
    <t>sp|A2I3Z2|RSSA_MACHI</t>
  </si>
  <si>
    <t>PTZ00254 1e-080| Sa_S2_E_A 2e-061| rps2P 3e-039| RPS2 8e-039| Ribosomal_S2 7e-038| RpsB 2e-027| rpsB_bact 4e-008| rpsB 3e-007| PLN02217 0.026| arnT 0.040|</t>
  </si>
  <si>
    <t>zgc:110181 - Danio rerio - structural constituent of ribosome - ribosome - translation - intracellular - small ribosomal subunit - ribonucleoprotein complex - cytoplasm</t>
  </si>
  <si>
    <t>Debaryomyces hansenii</t>
  </si>
  <si>
    <t>sp|Q68XX6|Y028_RICTY</t>
  </si>
  <si>
    <t>rexB_recomb | PRK12516 | Sre | 14 | T4_neck-protein | PTZ00387 | AgrB | PRK12540 | NS3_envE | AgrB |</t>
  </si>
  <si>
    <t>Helicoverpa armigera</t>
  </si>
  <si>
    <t>sp|Q9IB83|PSB1B_CARAU</t>
  </si>
  <si>
    <t>Carassius auratus</t>
  </si>
  <si>
    <t>proteasome_beta_type_1 1e-015| proteasome_beta 2e-005| arc_protsome_B 2e-004| proteasome_beta_archeal 0.001| PRE1 0.005| proteasome_protease_HslV | 7tm_6 | Proteasome | COG2035 | proteasome_beta_type_3 |</t>
  </si>
  <si>
    <t>Proteasome subunit beta type - Gallus gallus - threonine-type endopeptidase activity - nucleus - cytoplasm - proteasome core complex - plasma membrane - peptidase activity - cell junction - proteolysis involved in cellular protein catabolic process</t>
  </si>
  <si>
    <t>threonine-type endopeptidase activity</t>
  </si>
  <si>
    <t>Catalysis of the hydrolysis of internal peptide bonds in a polypeptide chain by a mechanism in which the hydroxyl group of a threonine residue at the active center acts as a nucleophile.  [GOC:mah, http://merops.sanger.ac.uk/about/glossary.htm#CATTYPE, http://merops.sanger.ac.uk/about/glossary.htm#ENDOPEPTIDASE]</t>
  </si>
  <si>
    <t>26S protease  RELATED [EC:3.4.25]</t>
  </si>
  <si>
    <t>proteolysis involved in cellular protein catabolic process</t>
  </si>
  <si>
    <t>The hydrolysis of a peptide bond or bonds within a protein as part of the chemical reactions and pathways resulting in the breakdown of a protein by individual cells.  [GOC:ai, GOC:dph, GOC:tb]</t>
  </si>
  <si>
    <t>peptidolysis during cellular protein catabolic process  RELATED []</t>
  </si>
  <si>
    <t>EXS | Ham1p_like | Cir_Bir_Yir | mtnX | yir-bir-cir_Pla | DUF1129 | ClpA | PRK14823 | PLN03151 | PDCD9 |</t>
  </si>
  <si>
    <t>PBP2_CbbR_RubisCO_like |</t>
  </si>
  <si>
    <t>sp|Q8BX35|TNR27_MOUSE</t>
  </si>
  <si>
    <t>Herpes_ori_bp | Fun_ATP-synt_8 | CULLIN | PTZ00478 |</t>
  </si>
  <si>
    <t>sp|Q54LH5|INT4_DICDI</t>
  </si>
  <si>
    <t>COX2 | LEF-9 | XK-related | SH2_N-SH2_Zap70_Syk_like | lef-9 | DUF3877 | PRK13481 | RgpF | PLN02490 | DUF1505 |</t>
  </si>
  <si>
    <t>sp|Q330D6|NU2M_MIMCR</t>
  </si>
  <si>
    <t>Mimon crenulatum</t>
  </si>
  <si>
    <t>7TM_GPCR_Str | ND2 | ND4 | WGR | 7TMR-DISM_7TM | SVM_signal |</t>
  </si>
  <si>
    <t>sp|P15309|PPAP_HUMAN</t>
  </si>
  <si>
    <t>Srg | COG4984 | COX3 | His_Phos_2 | FtsX | PIG-U | cas_TM1807_csm5 | Ppk | 7TM_GPCR_Srz | GT_GPT_euk |</t>
  </si>
  <si>
    <t>ND2 | ND4 |</t>
  </si>
  <si>
    <t>sp|Q6DFJ8|LNP_XENLA</t>
  </si>
  <si>
    <t>rpoB | PLN00027 | VAR1 | ND5 | PTZ00340 | secY | DUF1751 | ND5 | GT_GPT_euk | ND4L |</t>
  </si>
  <si>
    <t>Auxin_BP |</t>
  </si>
  <si>
    <t>Candida tropicalis MYA-3404</t>
  </si>
  <si>
    <t>sp|Q8ID94|YPF12_PLAF7</t>
  </si>
  <si>
    <t>SecY | PHA02740 | SecY | XtmB | ND4 | ND4 | ND4 | PRK04125 | COX3 | secY |</t>
  </si>
  <si>
    <t>Sorghum bicolor</t>
  </si>
  <si>
    <t>sp|Q13SH4|OXAA_BURXL</t>
  </si>
  <si>
    <t>Burkholderia xenovorans (strain LB400)</t>
  </si>
  <si>
    <t>sp|B9L1H7|PYRG_THERP</t>
  </si>
  <si>
    <t>Thermomicrobium roseum (strain ATCC 27502 / DSM 5159 / P-2)</t>
  </si>
  <si>
    <t>M14_AGBL5_like | GT_2_like_d | Med5 | LCD1 |</t>
  </si>
  <si>
    <t>sp|P0C262|YCF1B_PIPCE</t>
  </si>
  <si>
    <t>Piper cenocladum</t>
  </si>
  <si>
    <t>GPDPase_memb | ADA | PQ-loop | Srg | Beach | TIGR03766 | aden_deam | Serpentine_r_xa | PRK09358 | DUF975 |</t>
  </si>
  <si>
    <t>Penicillium chrysogenum Wisconsin 54-1255</t>
  </si>
  <si>
    <t>sp|P07527|WEE1_SCHPO</t>
  </si>
  <si>
    <t>Vps52 | DUF3684 | PRK10762 | DUF3688 | PHA03207 | 2A0309 | PI-PLCc_eta | YfhO | grxA | PTZ00258 |</t>
  </si>
  <si>
    <t>Intracellular trafficking, secretion, and vesicular transport, Cytoskeleton</t>
  </si>
  <si>
    <t>sp|A0M4U5|DDL_GRAFK</t>
  </si>
  <si>
    <t>Gramella forsetii (strain KT0803)</t>
  </si>
  <si>
    <t>urea_carbox | PRK05632 | COX2 | PA_hNAALADL2_like | 7TM_GPCR_Str | PHA03257 | COX3 | Ferric_reduct | YycI |</t>
  </si>
  <si>
    <t>sp|Q196Z1|VF198_IIV3</t>
  </si>
  <si>
    <t>Invertebrate iridescent virus 3</t>
  </si>
  <si>
    <t>DER1 | lef-8 | LEF-8 | PRK06591 | RNA_pol_Rpb2_3 | GT2_SpsF | Arena_nucleocap | CDC50 |</t>
  </si>
  <si>
    <t>Defense mechanisms</t>
  </si>
  <si>
    <t>sp|Q4FNK3|ARLY_PELUB</t>
  </si>
  <si>
    <t>Pelagibacter ubique (strain HTCC1062)</t>
  </si>
  <si>
    <t>PRK09573 | PAZ | CsoR-like_DUF156_2 | ND2 | DUF3550 | ND4L | ND4 | Sm_multidrug_ex | Tubulin | 7TM_GPCR_Srv |</t>
  </si>
  <si>
    <t>sp|P53171|GEP7_YEAST</t>
  </si>
  <si>
    <t>secF 0.086| Bac_Ubq_Cox | BCCT | Polysacc_synt | PLN02718 | FGGY_FK | PurB | ND4 | PGM3 | SecF |</t>
  </si>
  <si>
    <t>SpoVR | DUF2104 | PTZ00278 | PRK11767 |</t>
  </si>
  <si>
    <t>sp|Q5FUA1|SYFA_GLUOX</t>
  </si>
  <si>
    <t>Gluconobacter oxydans</t>
  </si>
  <si>
    <t>potG | PLN03137 | PRK10177 |</t>
  </si>
  <si>
    <t>Beutenbergia cavernae DSM 12333</t>
  </si>
  <si>
    <t>sp|C5FUK3|ADMB_ARTOC</t>
  </si>
  <si>
    <t>Arthroderma otae (strain ATCC MYA-4605 / CBS 113480)</t>
  </si>
  <si>
    <t>Extensin_2 0.007| PI31_Prot_C | PHA03247 | Drf_FH1 | PTZ00146 | DUF3106 | M20_Acy1_YkuR_like | SMN | UPF0066 | COG2081 |</t>
  </si>
  <si>
    <t>sp|Q65RA1|DJLA_MANSM</t>
  </si>
  <si>
    <t>Mannheimia succiniciproducens (strain MBEL55E)</t>
  </si>
  <si>
    <t>Lin-8 | PTZ00055 | 7TM_GPCR_Srd | ND3 | GH20_DspB_LnbB-like | PHA03010 | ELF | Bac_export_2 | ND4 | sulfatase_rSAM |</t>
  </si>
  <si>
    <t>delta_tubulin |</t>
  </si>
  <si>
    <t>sp|P47991|RL6_CAEEL</t>
  </si>
  <si>
    <t>Ribosomal_L6e 7e-009| P | PRK12663 | Phage-tail_2 | M3A_TOP | PRK11056 | DUF2422 | M3B_PepF_1 | fadR_gamma | DUF1422 |</t>
  </si>
  <si>
    <t>sp|B2X1Z3|RPOC1_OEDCA</t>
  </si>
  <si>
    <t>Oedogonium cardiacum</t>
  </si>
  <si>
    <t>PRK15103 | Tubulin | DUF2705 | HycA_repressor | IgaA | FBP | DUF1157 | PTZ00468 | Hydrolase_3 | DUF632 |</t>
  </si>
  <si>
    <t>sp|Q86VQ3|TXND2_HUMAN</t>
  </si>
  <si>
    <t>MIP-T3 5e-009| Mycoplas_LppA 7e-005| ComEC 2e-004| PTZ00449 5e-004| PHA00666 6e-004| PHA03247 7e-004| PRK10263 0.002| Caldesmon 0.003| 7TMR-DISM_7TM 0.007| TonB 0.008|</t>
  </si>
  <si>
    <t>Uncharacterized protein - Sus scrofa - nucleotide binding - nucleic acid binding</t>
  </si>
  <si>
    <t>thioredoxin-disulfide reductase activity</t>
  </si>
  <si>
    <t>Catalysis of the reaction: NADP(+) + thioredoxin = H(+) + NADPH + thioredoxin disulfide.  [EC:1.8.1.9, RHEA:20348]</t>
  </si>
  <si>
    <t>NADP--thioredoxin reductase activity  EXACT [EC:1.8.1.9]</t>
  </si>
  <si>
    <t>outer dense fiber</t>
  </si>
  <si>
    <t>Structure or material found in the flagella of mammalian sperm that surrounds each of the nine microtubule doublets, giving a 9 + 9 + 2 arrangement rather than the 9 + 2 pattern usually seen. These dense fibers are stiff and noncontractile.  [ISBN:0824072820]</t>
  </si>
  <si>
    <t>outer dense fibre  EXACT []</t>
  </si>
  <si>
    <t>protein thiol-disulfide exchange</t>
  </si>
  <si>
    <t>Oxidation of two organic sulfhydryl groups (thiols) by a disulfide compound to form a disulfide bond, according to the reaction RS-SR + R'SH = R'S-SR + RSH.  [GOC:jsg, GOC:mah]</t>
  </si>
  <si>
    <t>disulphide bond biosynthesis  EXACT []</t>
  </si>
  <si>
    <t>sp|P46223|RL7A_DROME</t>
  </si>
  <si>
    <t>PTZ00365 1e-042| PTZ00222 1e-029| Ribosomal_L7Ae 2e-022| RPL8A 4e-016| rpl7ae 2e-014| rpl7ae 8e-014| PRK07714 0.029| COG1811 0.060| PRK13602 0.065| CelA |</t>
  </si>
  <si>
    <t>Ribosomal protein L7A - Drosophila melanogaster - cytosolic large ribosomal subunit - translation - structural constituent of ribosome - ribosome - ribosome biogenesis - mitotic spindle organization - mitotic spindle elongation</t>
  </si>
  <si>
    <t>sp|Q8NDZ0|BEND2_HUMAN</t>
  </si>
  <si>
    <t>PHA02701 | Amelin | Cas_Cmr3 | Cmr3_III-B | bacter_Hen1 | PI3Kc | PRK15310 | PRK13838 | PHA03351 | glcD |</t>
  </si>
  <si>
    <t>Uncharacterized protein - Homo sapiens - calcium ion binding</t>
  </si>
  <si>
    <t>protein phosphorylation</t>
  </si>
  <si>
    <t>The process of introducing a phosphate group on to a protein.  [GOC:hb]</t>
  </si>
  <si>
    <t>protein amino acid phosphorylation  EXACT [GOC:bf]</t>
  </si>
  <si>
    <t>sp|P14546|COX3_LEITA</t>
  </si>
  <si>
    <t>PIG-U 7e-009| ND4 7e-006| ND6 1e-005| ND5 1e-005| CbiQ 2e-005| 7TM_GPCR_Srz 4e-005| NolL 4e-005| ND5 5e-005| ND5 9e-005| YfhO 1e-004|</t>
  </si>
  <si>
    <t>Caldicellulosiruptor owensensis OL</t>
  </si>
  <si>
    <t>sp|Q924C6|LOXL4_MOUSE</t>
  </si>
  <si>
    <t>Tubulin | PX_SNX4 | DUF3684 | PRK09225 | Glyco_hydro_88 | Thr-synth_2 | CBM_25 | PRK15488 | PRK15098 | PRK13940 |</t>
  </si>
  <si>
    <t>sp|Q8R1R3|STAR7_MOUSE</t>
  </si>
  <si>
    <t>PRK11263 |</t>
  </si>
  <si>
    <t>ND5 | PRK10561 |</t>
  </si>
  <si>
    <t>Methanosphaera stadtmanae DSM 3091</t>
  </si>
  <si>
    <t>sp|Q54RP7|Y0652_DICDI</t>
  </si>
  <si>
    <t>ATP6 5e-005| ND5 6e-005| ND2 1e-004| ND2 5e-004| ND5 7e-004| YfhO 0.001| ND4 0.009| PMT1 0.010| PulO 0.010| ND2 0.012|</t>
  </si>
  <si>
    <t>metN |</t>
  </si>
  <si>
    <t>sp|P52812|RS11_ANOGA</t>
  </si>
  <si>
    <t>PTZ00241 3e-010| PLN03059 | PRK11465 | PLN03120 | Ig6_hNeurofascin_like | Ig6_L1-CAM_like | gamma_tubulin | DUF523 | CYTB | Drc1-Sld2 |</t>
  </si>
  <si>
    <t>40S ribosomal protein S11 - Drosophila pseudoobscura pseudoobscura - molecular_function - cellular_component - biological_process</t>
  </si>
  <si>
    <t>sp|P63036|DNJA1_RAT</t>
  </si>
  <si>
    <t>PTZ00037 6e-036| DnaJ_C 6e-015| DnaJ 5e-010| DnaJ_bact 2e-008| PRK14291 5e-007| PRK14284 3e-005| PRK14292 4e-005| PRK14278 9e-005| PRK14277 4e-004| PRK14301 8e-004|</t>
  </si>
  <si>
    <t>DnaJ-like-2 - Drosophila melanogaster - unfolded protein binding - ATP binding - response to heat - protein folding - heat shock protein binding - neurogenesis</t>
  </si>
  <si>
    <t>ATP binding</t>
  </si>
  <si>
    <t>Interacting selectively and non-covalently with ATP, adenosine 5'-triphosphate, a universally important coenzyme and enzyme regulator.  [ISBN:0198506732]</t>
  </si>
  <si>
    <t>soluble fraction</t>
  </si>
  <si>
    <t>That fraction of cells, prepared by disruptive biochemical methods, that is soluble in water.  [GOC:ma]</t>
  </si>
  <si>
    <t>soluble  BROAD []</t>
  </si>
  <si>
    <t>Acyrthosiphon pisum</t>
  </si>
  <si>
    <t>sp|Q54MB1|Y4579_DICDI</t>
  </si>
  <si>
    <t>Tom22 0.001| TFIIF_alpha 0.021| DUF3069 | DNA_pol_phi | 3a0801s05tom22 | Spt5_N | Nucleoplasmin | SPT2 | PTZ00248 | PRK05776 |</t>
  </si>
  <si>
    <t>sp|A1RMV0|APAH_SHESW</t>
  </si>
  <si>
    <t>Shewanella sp. (strain W3-18-1)</t>
  </si>
  <si>
    <t>sp|P09975|YCF2_MARPO</t>
  </si>
  <si>
    <t>Marchantia polymorpha</t>
  </si>
  <si>
    <t>ND2 | ND2 | ND5 | PHA02688 | p47 | lef-8 | pntA | STKc_MAK_like |</t>
  </si>
  <si>
    <t>Cryptomonas paramecium</t>
  </si>
  <si>
    <t>MSV199 | ND5 | ND5 | ND4L | ND4 | PRK07165 | P21_Cbot | ND1 | COG5542 | COX3 |</t>
  </si>
  <si>
    <t>Danio rerio</t>
  </si>
  <si>
    <t>sp|Q8MP30|Y7791_DICDI</t>
  </si>
  <si>
    <t>7TM_GPCR_Srz 1e-004| ND6 0.003| ND2 0.003| ND5 0.004| 7TM_GPCR_Srd 0.004| 7TM_GPCR_Sru 0.004| ND4 0.011| ND5 0.013| 7TM_GPCR_Srbc 0.014| Srg 0.016|</t>
  </si>
  <si>
    <t>RNA processing and modification, General function prediction only</t>
  </si>
  <si>
    <t>Aster yellows witches'-broom phytoplasma AYWB</t>
  </si>
  <si>
    <t>sp|P46572|SRG3_CAEEL</t>
  </si>
  <si>
    <t>ubiA | UPF0220 | ND2 | ND2 | 7TM-7TMR_HD | ND2 | PRK12324 | ND2 | PHA02792 | 7TM_GPCR_Srv |</t>
  </si>
  <si>
    <t>Simkania negevensis Z</t>
  </si>
  <si>
    <t>sp|P12227|RPOC2_PEA</t>
  </si>
  <si>
    <t>Pisum sativum</t>
  </si>
  <si>
    <t>PLN02672 | PRK13534 | PIA_icaD | ND5 | PTZ00166 | COX3 | ND3 | CYTB |</t>
  </si>
  <si>
    <t>sp|Q3AZB7|IF2_SYNS9</t>
  </si>
  <si>
    <t>Synechococcus sp. (strain CC9902)</t>
  </si>
  <si>
    <t>mycothiol_MshC | PRK12418 | DUF2600 | ACE1-Sec16-like | Fungal_lectin | PRK15055 | COG3795 | CobZ_N-term | ligB | DUF849 |</t>
  </si>
  <si>
    <t>sp|P29419|ATP5I_RAT</t>
  </si>
  <si>
    <t>ATP-synt_E 8e-021| ND4L 0.006| PTZ00121 0.006| Herpes_UL31 0.012| Oxidored_q2 0.016| ND1 0.017| ND6 0.032| ND5 0.063| ND4 0.084| ND4L |</t>
  </si>
  <si>
    <t>Drosophila melanogaster - hydrogen-exporting ATPase activity, phosphorylative mechanism - mitochondrial proton-transporting ATP synthase complex, coupling factor F(o) - proton transport - ATP synthesis coupled proton transport - lipid particle</t>
  </si>
  <si>
    <t>hydrogen-exporting ATPase activity, phosphorylative mechanism</t>
  </si>
  <si>
    <t>Catalysis of the transfer of a solute or solutes from one side of a membrane to the other according to the reaction: ATP + H2O + H+(in) = ADP + phosphate + H+(out); by a phosphorylative mechanism.  [EC:3.6.3.6]</t>
  </si>
  <si>
    <t>ATP phosphohydrolase (H+-exporting)  EXACT [EC:3.6.3.6]</t>
  </si>
  <si>
    <t>mitochondrial proton-transporting ATP synthase complex, coupling factor F(o)</t>
  </si>
  <si>
    <t>All non-F1 subunits of the mitochondrial hydrogen-transporting ATP synthase, including integral and peripheral mitochondrial inner membrane proteins.  [GOC:mtg_sensu, PMID:10838056]</t>
  </si>
  <si>
    <t>proton transport</t>
  </si>
  <si>
    <t>The directed movement of protons (hydrogen ions) into, out of or within a cell, or between cells, by means of some agent such as a transporter or pore.  [GOC:jl]</t>
  </si>
  <si>
    <t>hydrogen ion transport  EXACT []</t>
  </si>
  <si>
    <t>sp|Q869E1|DNLI1_DICDI</t>
  </si>
  <si>
    <t>ND2 4e-012| ND2 5e-011| ND4 1e-010| ND5 3e-010| 7TM_GPCR_Srz 2e-009| ATP6 5e-009| ND4 1e-008| ND5 1e-008| ND6 2e-008| ND4 3e-008|</t>
  </si>
  <si>
    <t>Caenorhabditis elegans - embryo development ending in birth or egg hatching - mitosis</t>
  </si>
  <si>
    <t>sp|P17644|ACH2_DROME</t>
  </si>
  <si>
    <t>7TM_GPCR_Srx | UgpA | PRK05690 | p450 | K_tetra | ycf1 | PHA02690 | 8TM_EpsH | Spore_III_AE |</t>
  </si>
  <si>
    <t>sp|P29310|1433Z_DROME</t>
  </si>
  <si>
    <t>14-3-3 4e-013| BMH1 1e-006| 14_3_3 6e-006| PHA03398 | ndhA | DUF705 | PRK10673 | TIGR03032 | PRK15316 | PRK10964 |</t>
  </si>
  <si>
    <t>14-3-3zeta - Drosophila melanogaster - Ras protein signal transduction - activation of tryptophan 5-monooxygenase activity - protein kinase C inhibitor activity - tryptophan hydroxylase activator activity - protein binding - compound eye photoreceptor cell differentiation - cell proliferation - olfactory learning - chromosome segregation - mitotic cell cycle, embryonic - nucleus - learning or memory - oocyte microtubule cytoskeleton polarization - germline ring canal - germarium-derived oocyte fate determination - protein domain specific binding - protein stabilization - protein folding - microtubule associated complex - protein homodimerization activity - protein heterodimerization activity</t>
  </si>
  <si>
    <t>protein kinase C inhibitor activity</t>
  </si>
  <si>
    <t>Stops, prevents or reduces the activity of protein kinase C, an enzyme which phosphorylates a protein.  [GOC:ai]</t>
  </si>
  <si>
    <t>diacylglycerol-activated phospholipid-dependent PKC inhibitor activity  EXACT []</t>
  </si>
  <si>
    <t>Ras protein signal transduction</t>
  </si>
  <si>
    <t>A series of molecular signals within the cell that are mediated by a member of the Ras superfamily of proteins switching to a GTP-bound active state.  [GOC:bf]</t>
  </si>
  <si>
    <t>Ras mediated signal transduction  EXACT []</t>
  </si>
  <si>
    <t>sp|Q6UX73|CP089_HUMAN</t>
  </si>
  <si>
    <t>Glyco_hydro_97 | PRK15426 | PLN00134 | TAF9 | 23dbph12diox | ACAD_FadE2 | PTZ00217 | PBP2_LTTR_like_2 | Plasmepsin_5 | PRK01862 |</t>
  </si>
  <si>
    <t>Uncharacterized protein - Homo sapiens - chromatin - DNA binding - nucleus - regulation of transcription, DNA-dependent</t>
  </si>
  <si>
    <t>DNA binding</t>
  </si>
  <si>
    <t>Any molecular function by which a gene product interacts selectively with DNA (deoxyribonucleic acid).  [GOC:dph, GOC:jl, GOC:tb]</t>
  </si>
  <si>
    <t>microtubule/chromatin interaction  RELATED []</t>
  </si>
  <si>
    <t>chromatin</t>
  </si>
  <si>
    <t>The ordered and organized complex of DNA, protein, and sometimes RNA, that forms the chromosome.  [GOC:elh, PMID:20404130]</t>
  </si>
  <si>
    <t>chromosome scaffold  RELATED []</t>
  </si>
  <si>
    <t>regulation of transcription, DNA-dependent</t>
  </si>
  <si>
    <t>Any process that modulates the frequency, rate or extent of cellular DNA-dependent transcription.  [GOC:go_curators, GOC:txnOH]</t>
  </si>
  <si>
    <t>regulation of cellular transcription, DNA-dependent  EXACT []</t>
  </si>
  <si>
    <t>Cell cycle control, cell division, chromosome partitioning, Posttranslational modification, protein turnover, chaperones</t>
  </si>
  <si>
    <t>GST_C_Zeta | PBP2_MdcR | PRK15374 | 7tm_7 | PBP2_Lpqw | maiA | PHA03027 | NrdF | PLN02872 | Nup84_Nup100 |</t>
  </si>
  <si>
    <t>RNA processing and modification, Signal transduction mechanisms</t>
  </si>
  <si>
    <t>sp|Q6DBT3|TXD17_DANRE</t>
  </si>
  <si>
    <t>DUF953 1e-004| TRP14_like 0.002| PRK01318 | 7TM_GPCR_Srd | ND2 | PRK04181 | COG4758 | PS_II_psb28 | Peroxin-22 | NHLM_micro_ABC1 |</t>
  </si>
  <si>
    <t>sp|P50938|Y612_RICPR</t>
  </si>
  <si>
    <t>Rickettsia prowazekii (strain Madrid E)</t>
  </si>
  <si>
    <t>7TM_GPCR_Srz | PLA2c | EB | Crinivirus_P26 | GldE | PHA03042 | Tfb4 | ND4 | DUF687 | Mis6 |</t>
  </si>
  <si>
    <t>sp|Q6B4Z3|UTY_PANTR</t>
  </si>
  <si>
    <t>Pan troglodytes</t>
  </si>
  <si>
    <t>Fib_succ_major | PRK05629 | TIGR00043 | EntE | DUF849 | PRK14959 | Herpes_TK | ERbeta_N | Cas10_III | ebgA |</t>
  </si>
  <si>
    <t>Uncharacterized protein - Homo sapiens - binding</t>
  </si>
  <si>
    <t>protein serine/threonine phosphatase activity</t>
  </si>
  <si>
    <t>Catalysis of the reaction: protein serine phosphate + H2O = protein serine + phosphate, and protein threonine phosphate + H2O = protein threonine + phosphate.  [GOC:bf]</t>
  </si>
  <si>
    <t>3-hydroxy 3-methylglutaryl coenzymeA reductase phosphatase  NARROW [EC:3.1.3.16]</t>
  </si>
  <si>
    <t>protein dephosphorylation</t>
  </si>
  <si>
    <t>The process of removing one or more phosphoric residues from a protein.  [GOC:hb]</t>
  </si>
  <si>
    <t>protein amino acid dephosphorylation  EXACT [GOC:bf]</t>
  </si>
  <si>
    <t>Signal transduction mechanisms, Intracellular trafficking, secretion, and vesicular transport</t>
  </si>
  <si>
    <t>Atta colombica</t>
  </si>
  <si>
    <t>sp|Q7YN81|RR4_EIMTE</t>
  </si>
  <si>
    <t>ND6 4e-004| ND5 0.004| ND4 0.009| 7TM_GPCR_Srz 0.028| COX2_TM 0.042| ND6 0.046| ND5 0.075| ND4 0.079| ND2 0.082| ABC2_membrane_4 |</t>
  </si>
  <si>
    <t>Drosophila pseudoobscura pseudoobscura</t>
  </si>
  <si>
    <t>sp|B6HL48|MDM10_PENCW</t>
  </si>
  <si>
    <t>Penicillium chrysogenum (strain ATCC 28089 / DSM 1075 / Wisconsin 54-1255)</t>
  </si>
  <si>
    <t>PLN02951 | PRK15071 | PLN02276 | DUF3285 | PLN02942 | Collagen | PRK14293 | DR_C-13_KR_SDR_c_like | PRK05708 | flgH |</t>
  </si>
  <si>
    <t>sp|P35190|CLG1_YEAST</t>
  </si>
  <si>
    <t>Baculo_helicase | tRNA_U5-meth_tr | trmA_only | PTZ00419 | STKc_AGC | PHA02690 | Cir_Bir_Yir | PBEF_like | PRK05031 | RNase_Z |</t>
  </si>
  <si>
    <t>sp|Q10I26|RH34_ORYSJ</t>
  </si>
  <si>
    <t>flgK | Ceramidase | PTZ00424 |</t>
  </si>
  <si>
    <t>sp|Q962Q7|RS23_SPOFR</t>
  </si>
  <si>
    <t>PTZ00067 1e-018| Ribosomal_S23 7e-015| rps12P 5e-012| S23_S12_E_A 9e-010| RpsL 2e-007| Ribosomal_S12 3e-006| Ribosomal_S12_like 0.001| RteC | PLN03120 | PRK09928 |</t>
  </si>
  <si>
    <t>Ribosomal protein S23 - Drosophila melanogaster - translation - structural constituent of ribosome - cytosolic small ribosomal subunit</t>
  </si>
  <si>
    <t>Dendrolimus punctatus</t>
  </si>
  <si>
    <t>sp|Q7PQV7|ADT2_ANOGA</t>
  </si>
  <si>
    <t>PTZ00169 2e-040| Mito_carr 7e-016| Tymo_45kd_70kd | Minor_tail_Z | TDT | SCFA_trans | PBP2_CrgA_like_9 | PRK09921 | CDP_TE_SDR_e | DEC-1_N |</t>
  </si>
  <si>
    <t>stress-sensitive B - Drosophila melanogaster - flight behavior - response to mechanical stimulus - ATP:ADP antiporter activity - mitochondrial inner membrane - transmembrane transporter activity - mitochondrial envelope - integral to membrane - ATP transport - ADP transport - binding - regulation of action potential - synaptic growth at neuromuscular junction - synaptic vesicle transport - synaptic transmission - determination of adult lifespan - muscle cell homeostasis - neuron homeostasis - locomotion - lipid particle</t>
  </si>
  <si>
    <t>ATP:ADP antiporter activity</t>
  </si>
  <si>
    <t>Catalysis of the reaction: ATP(out) + ADP(in) = ATP(in) + ADP(out).  [TC:2.A.29.1.1]</t>
  </si>
  <si>
    <t>adenine nucleotide translocase  EXACT []</t>
  </si>
  <si>
    <t>mitochondrial inner membrane</t>
  </si>
  <si>
    <t>The inner, i.e. lumen-facing, lipid bilayer of the mitochondrial envelope. It is highly folded to form cristae.  [GOC:ai]</t>
  </si>
  <si>
    <t>inner mitochondrial membrane  EXACT []</t>
  </si>
  <si>
    <t>flight behavior</t>
  </si>
  <si>
    <t>The response to external or internal stimuli that results in the locomotory process of flight. Flight is the self-propelled movement of an organism through the air.  [GOC:jid, ISBN:0198606907]</t>
  </si>
  <si>
    <t>flight behaviour  EXACT []</t>
  </si>
  <si>
    <t>sp|O76081|RGS20_HUMAN</t>
  </si>
  <si>
    <t>RGS_RZ-like 1e-070| RGS_RGS20 2e-064| RGS_RGS19 3e-056| RGS_RGS17 1e-052| RGS 2e-038| RGS 4e-036| RGS_RGS4 1e-035| RGS_R7-like 2e-034| RGS_RGS3 8e-034| RGS_RGS18 6e-032|</t>
  </si>
  <si>
    <t>Drosophila melanogaster - regulation of G-protein coupled receptor protein signaling pathway - GTPase activator activity - signal transducer activity</t>
  </si>
  <si>
    <t>signal transducer activity</t>
  </si>
  <si>
    <t>Conveys a signal across a cell to trigger a change in cell function or state. A signal is a physical entity or change in state that is used to transfer information in order to trigger a response.  [GOC:go_curators]</t>
  </si>
  <si>
    <t>hematopoietin/interferon-class (D200-domain) cytokine receptor signal transducer activity  NARROW []</t>
  </si>
  <si>
    <t>regulation of G-protein coupled receptor protein signaling pathway</t>
  </si>
  <si>
    <t>Any process that modulates the frequency, rate or extent of G-protein coupled receptor protein signaling pathway activity.  [GOC:go_curators]</t>
  </si>
  <si>
    <t>regulation of G protein coupled receptor protein signaling pathway  EXACT []</t>
  </si>
  <si>
    <t>Streptococcus suis R61</t>
  </si>
  <si>
    <t>sp|P12647|VGLG_SIGMA</t>
  </si>
  <si>
    <t>Sigma virus</t>
  </si>
  <si>
    <t>ND6 0.039| ND4L 0.079| ND2 0.085| ND4 | 7TMR-DISM_7TM | ND1 | ND4 | ND2 | ATP6 | acc_sec_Y2 |</t>
  </si>
  <si>
    <t>sp|P12798|KPBB_RABIT</t>
  </si>
  <si>
    <t>BOP1NT | Lung_7-TM_R | BOP1NT | oat | Bunya_RdRp | pflA | Sld5 | ND4 | LTA_dltB | EMP70 |</t>
  </si>
  <si>
    <t>PHA02735 | PHA02563 | DNA_pol_B_2 |</t>
  </si>
  <si>
    <t>Naumovozyma dairenensis CBS 421</t>
  </si>
  <si>
    <t>sp|Q8T2H7|Y9182_DICDI</t>
  </si>
  <si>
    <t>bact_immun_7tm 0.037| COG4652 0.070| DRP | Spore_permease | PRK09077 | PHA_synth_III_E | PRK07164 | 2A0309 | ND6 | DUF2679 |</t>
  </si>
  <si>
    <t>Wiseana iridescent virus</t>
  </si>
  <si>
    <t>sp|Q18695|LMBD2_CAEEL</t>
  </si>
  <si>
    <t>UDP_AE_SDR_e | Strumpellin |</t>
  </si>
  <si>
    <t>Caenorhabditis remanei</t>
  </si>
  <si>
    <t>sp|A5CCT4|SYL_ORITB</t>
  </si>
  <si>
    <t>Orientia tsutsugamushi (strain Boryong)</t>
  </si>
  <si>
    <t>Dynamin_N | PRK06835 | ND6 | Borealin | Peptidase_C5 | PLN02480 |</t>
  </si>
  <si>
    <t>Hemiselmis andersenii</t>
  </si>
  <si>
    <t>sp|Q32618|YCX1_MARPO</t>
  </si>
  <si>
    <t>DUF1600 | ND4 | 7TM_GPCR_Srd | PRK15349 | 7TM_GPCR_Srv | tolB | DCP2 | MIG-14_Wnt-bd | POLBc | ND2 |</t>
  </si>
  <si>
    <t>sp|P29872|COX2_CTEFE</t>
  </si>
  <si>
    <t>COX2 8e-005| COX2 0.011| COX2 0.022| COX2 | COX2 | COX2 | COX2 | COX2 | COX2 | COX2 |</t>
  </si>
  <si>
    <t>sp|Q4WUE5|ATG3_ASPFU</t>
  </si>
  <si>
    <t>Neosartorya fumigata (strain ATCC MYA-4609 / Af293 / CBS 101355 / FGSC A1100)</t>
  </si>
  <si>
    <t>PRK10173 | frsA | PLEC | Frizzled |</t>
  </si>
  <si>
    <t>sp|A7TJY3|SEY1_VANPO</t>
  </si>
  <si>
    <t>Vanderwaltozyma polyspora (strain ATCC 22028 / DSM 70294)</t>
  </si>
  <si>
    <t>PLN02899 | cadB | PRK13898 |</t>
  </si>
  <si>
    <t>sp|P52549|VU47_HHV6Z</t>
  </si>
  <si>
    <t>Human herpesvirus 6B (strain Z29)</t>
  </si>
  <si>
    <t>DUF1763 | PRK10899 | Herpes_U47 | ALDH_SSADH2_GabD2 |</t>
  </si>
  <si>
    <t>Brachyspira pilosicoli 95/1000</t>
  </si>
  <si>
    <t>sp|P34367|YLJ2_CAEEL</t>
  </si>
  <si>
    <t>PRK14783 0.081| ND5 0.094| Clusterin | LMP | COG1561 | VID27 | CLb | OmpH | ATP8 | PRK03918 |</t>
  </si>
  <si>
    <t>Anaerococcus tetradius ATCC 35098</t>
  </si>
  <si>
    <t>sp|P35381|ATPA_DROME</t>
  </si>
  <si>
    <t>PRK07143 0.018| B56 | PHA03016 | PHA03072 | Pox_LP_H2 | Ribosomal_S26e | PLN00186 | 7TM_GPCR_Srw | Pox_int_trans | PRK11337 |</t>
  </si>
  <si>
    <t>sp|A6NMZ5|O4C45_HUMAN</t>
  </si>
  <si>
    <t>DUF986 | GP41 | PRK02913 | mglC | DUF2679 | PRK07505 | Endonuc-PvuII | SYS1 | 7TM_GPCR_Srt | ubiB |</t>
  </si>
  <si>
    <t>sp|Q8R1S0|COQ6_MOUSE</t>
  </si>
  <si>
    <t>Ubi-OHases 2e-014| COQ6 4e-014| PRK07333 2e-007| PRK08850 4e-006| PRK09126 8e-006| PRK07608 1e-005| UbiH 1e-004| UbiH 2e-004| PRK06617 3e-004| PRK05714 6e-004|</t>
  </si>
  <si>
    <t>Uncharacterized protein - Bos taurus - mitochondrion - ubiquinone biosynthetic process - oxidoreductase activity, acting on paired donors, with incorporation or reduction of molecular oxygen, NADH or NADPH as one donor, and incorporation of one atom of oxygen - flavin adenine dinucleotide binding</t>
  </si>
  <si>
    <t>oxidoreductase activity, acting on paired donors, with incorporation or reduction of molecular oxygen, NADH or NADPH as one donor, and incorporation of one atom of oxygen</t>
  </si>
  <si>
    <t>Catalysis of an oxidation-reduction (redox) reaction in which hydrogen or electrons are transferred from NADH or NADPH and one other donor, and one atom of oxygen is incorporated into one donor.  [GOC:mah]</t>
  </si>
  <si>
    <t>ubiquinone biosynthetic process</t>
  </si>
  <si>
    <t>The chemical reactions and pathways resulting in the formation of ubiquinone, a lipid-soluble electron-transporting coenzyme.  [GOC:mah]</t>
  </si>
  <si>
    <t>coenzyme Q biosynthesis  EXACT []</t>
  </si>
  <si>
    <t>Coenzyme transport and metabolism, Energy production and conversion</t>
  </si>
  <si>
    <t>sp|P27476|NSR1_YEAST</t>
  </si>
  <si>
    <t>PRK11634 | DEC-1_N | PHA03378 | PRK10590 | DUF390 | PLDc_PSS_G_neg_1 | Neisseria_TspB | ND5 | PHA03247 | PHA03301 |</t>
  </si>
  <si>
    <t>sp|O59742|TIF31_SCHPO</t>
  </si>
  <si>
    <t>CLN3 0.045| PLN02717 0.098| ND4 | ClC_3_like | Succinoglycan_BP_ExoA | ND4 | Hus1 | CAMSAP_CKK | Pox_int_trans | ATP6 |</t>
  </si>
  <si>
    <t>sp|Q6RSH7|VHLL_HUMAN</t>
  </si>
  <si>
    <t>PRK05122 | livcs |</t>
  </si>
  <si>
    <t>PRK14083 | PRK14897 | Virul_Fac |</t>
  </si>
  <si>
    <t>Cell wall/membrane/envelope biogenesis, Extracellular structures</t>
  </si>
  <si>
    <t>sp|Q28CQ4|UBC9_XENTR</t>
  </si>
  <si>
    <t>UQ_con 5e-009| UBCc 3e-008| COG5078 3e-007| UBCc 3e-005| 2A0309 0.076| ATPase-Plipid 0.094| TagG | COX3 | ND4 | ATP6 |</t>
  </si>
  <si>
    <t>lesswright - Drosophila melanogaster - SUMO ligase activity - heat shock protein binding - nucleus - protein sumoylation - protein modification process - protein import into nucleus - protein binding - zygotic specification of dorsal/ventral axis - female meiosis - female meiosis chromosome segregation - hemocyte proliferation - negative regulation of hemocyte proliferation - negative regulation of lamellocyte differentiation - humoral immune response - negative regulation of Toll signaling pathway - dorsal closure - cellular response to transforming growth factor beta stimulus - condensed chromosome outer kinetochore - condensed nuclear chromosome, centromeric region - mitotic cell cycle G2/M transition DNA damage checkpoint</t>
  </si>
  <si>
    <t>SUMO ligase activity</t>
  </si>
  <si>
    <t>Catalysis of ATP-dependent isopeptide bond formation between the carboxy-terminal glycine residues of the small ubiquitin-related modifier SUMO and a substrate lysine residue, leading to the formation of predominately monosumoylated proteins with modified function.  [GOC:rn, PMID:11031248, PMID:11265250]</t>
  </si>
  <si>
    <t>SMT3 conjugating enzyme  EXACT []</t>
  </si>
  <si>
    <t>protein sumoylation</t>
  </si>
  <si>
    <t>The process in which a SUMO protein (small ubiquitin-related modifier) is conjugated to a target protein via an isopeptide bond between the carboxyl terminus of SUMO with an epsilon-amino group of a lysine residue of the target protein.  [GOC:jl, PMID:11265250]</t>
  </si>
  <si>
    <t>protein sumolation  EXACT []</t>
  </si>
  <si>
    <t>sp|Q9RGZ5|MRPA_BACPE</t>
  </si>
  <si>
    <t>Bacillus pseudofirmus (strain OF4)</t>
  </si>
  <si>
    <t>PRK12645 | 2a6301s01 | Frag1 | fbiC | PerM | DUF1229 | DUF1443 | PRK12647 | PRK11165 |</t>
  </si>
  <si>
    <t>Poa semilatent virus</t>
  </si>
  <si>
    <t>sp|Q7Z333|SETX_HUMAN</t>
  </si>
  <si>
    <t>Viral_Beta_CD | thyX | PLN02445 | Poty_PP | PRK04168 | infB | GT_GPT_euk | PRK10483 | Ppk | PRK14058 |</t>
  </si>
  <si>
    <t>Cell cycle control, cell division, chromosome partitioning, Transcription, Replication, recombination and repair</t>
  </si>
  <si>
    <t>Strongylocentrotus purpuratus</t>
  </si>
  <si>
    <t>sp|Q54YY1|SCAI_DICDI</t>
  </si>
  <si>
    <t>PHA02985 | LMBR1 | DUF1235 | DUF3233 | CYTB | PRANC | 7TM_GPCR_Srx | ND5 |</t>
  </si>
  <si>
    <t>sp|A1JSP6|USPB_YERE8</t>
  </si>
  <si>
    <t>Yersinia enterocolitica serotype O:8 / biotype 1B (strain 8081)</t>
  </si>
  <si>
    <t>PHA03027 | PRK04960 | UvrD-helicase | IKI3 | 7TM_GPCR_Srz | Cas1_II | DUF444 | UspB | M13 | cas1_NMENI |</t>
  </si>
  <si>
    <t>sp|Q6CT08|ATG9_KLULA</t>
  </si>
  <si>
    <t>Kluyveromyces lactis (strain ATCC 8585 / CBS 2359 / DSM 70799 / NBRC 1267 / NRRL Y-1140 / WM37)</t>
  </si>
  <si>
    <t>Baculo_p47 0.100| p47 | ND2 | PRK06366 | DUF1439 | GT1_Glycogen_synthase_DULL1_like | NolL | Ycf1 | PRK02506 | PRK09102 |</t>
  </si>
  <si>
    <t>sp|Q43093|SSG2_PEA</t>
  </si>
  <si>
    <t>RR_TM4-6 | DUF443 | bact_immun_7tm | PLN02298 | Chordopox_A20R | DUF1681 |</t>
  </si>
  <si>
    <t>sp|Q5ZKA3|CWC22_CHICK</t>
  </si>
  <si>
    <t>RNA_polI_A34 3e-009| AF-4 5e-008| ND4 1e-007| HPC2 3e-007| ROM1 3e-007| ND2 6e-007| CDC27 9e-007| PTZ00112 9e-007| PRK08581 1e-006| ND5 1e-006|</t>
  </si>
  <si>
    <t>Uncharacterized protein - Gallus gallus - binding - RNA metabolic process</t>
  </si>
  <si>
    <t>mRNA processing</t>
  </si>
  <si>
    <t>Any process involved in the conversion of a primary mRNA transcript into one or more mature mRNA(s) prior to translation into polypeptide.  [GOC:mah]</t>
  </si>
  <si>
    <t>mRNA maturation  RELATED []</t>
  </si>
  <si>
    <t>sp|Q1DXR6|PLPL_COCIM</t>
  </si>
  <si>
    <t>Coccidioides immitis (strain RS)</t>
  </si>
  <si>
    <t>VAR1 | PRK13436 | udk | PHA01366 | opgC | PHA03016 | PTZ00362 | lanti_perm_MutG | ND2 | ND5 |</t>
  </si>
  <si>
    <t>sp|Q91ZC6|MRGA6_MOUSE</t>
  </si>
  <si>
    <t>AgrB 3e-004| ND5 0.009| TIGR03766 0.009| Oxidored_q5_N 0.010| ND6 0.020| ND6 0.024| ATPase-IIIA_H 0.028| ATP6 0.032| 7TMR-DISM_7TM 0.033| ND4 0.034|</t>
  </si>
  <si>
    <t>sp|P53152|MMS2_YEAST</t>
  </si>
  <si>
    <t>ATP6 |</t>
  </si>
  <si>
    <t>PRK05054 | PRK10173 |</t>
  </si>
  <si>
    <t>Prochlorococcus marinus str. MIT 9312</t>
  </si>
  <si>
    <t>sp|P76134|YDEM_ECOLI</t>
  </si>
  <si>
    <t>Escherichia coli (strain K12)</t>
  </si>
  <si>
    <t>ND6 0.016| ND4L 0.043| ND5 0.071| Tex | Bromo_TFIID | 2A0309 | 7TM_GPCR_Str | Pex24p | ND4 | 7TM_GPCR_Srt |</t>
  </si>
  <si>
    <t>sp|O16797|RL3_DROME</t>
  </si>
  <si>
    <t>PTZ00103 2e-024| PABP-1234 0.033| PHA03002 0.057| PRK03982 | Csx10 | ND4 | ND4 | ND4 | rSAM_paired_2 | tRNA-synt_2 |</t>
  </si>
  <si>
    <t>Ribosomal protein L3 - Drosophila melanogaster - cytosolic large ribosomal subunit - structural constituent of ribosome - translation - cytosolic ribosome - mitotic spindle elongation - mitotic spindle organization</t>
  </si>
  <si>
    <t>Papilio xuthus</t>
  </si>
  <si>
    <t>sp|Q9Y6D6|BIG1_HUMAN</t>
  </si>
  <si>
    <t>7TM_GPCR_Srz 0.031| PHA03042 0.084| actino_HemFlav | DUF3278 | ATP6 | ND2 | PHA02716 | 7tm_6 | DUF2206 | Srg |</t>
  </si>
  <si>
    <t>sec71 - Drosophila melanogaster - intra-Golgi vesicle-mediated transport - Golgi apparatus - ARF guanyl-nucleotide exchange factor activity - ER to Golgi vesicle-mediated transport - regulation of ARF protein signal transduction - binding</t>
  </si>
  <si>
    <t>ARF guanyl-nucleotide exchange factor activity</t>
  </si>
  <si>
    <t>Stimulates the exchange of guanyl nucleotides associated with the GTPase ARF. Under normal cellular physiological conditions, the concentration of GTP is higher than that of GDP, favoring the replacement of GDP by GTP in association with the GTPase.  [GOC:mah]</t>
  </si>
  <si>
    <t>Golgi apparatus</t>
  </si>
  <si>
    <t>A compound membranous cytoplasmic organelle of eukaryotic cells, consisting of flattened, ribosome-free vesicles arranged in a more or less regular stack. The Golgi apparatus differs from the endoplasmic reticulum in often having slightly thicker membranes, appearing in sections as a characteristic shallow semicircle so that the convex side (cis or entry face) abuts the endoplasmic reticulum, secretory vesicles emerging from the concave side (trans or exit face). In vertebrate cells there is usually one such organelle, while in invertebrates and plants, where they are known usually as dictyosomes, there may be several scattered in the cytoplasm. The Golgi apparatus processes proteins produced on the ribosomes of the rough endoplasmic reticulum; such processing includes modification of the core oligosaccharides of glycoproteins, and the sorting and packaging of proteins for transport to a variety of cellular locations. Three different regions of the Golgi are now recognized both in terms of structure and function: cis, in the vicinity of the cis face, trans, in the vicinity of the trans face, and medial, lying between the cis and trans regions.  [ISBN:0198506732]</t>
  </si>
  <si>
    <t>Golgi  BROAD []</t>
  </si>
  <si>
    <t>intra-Golgi vesicle-mediated transport</t>
  </si>
  <si>
    <t>The directed movement of substances within the Golgi, mediated by small transport vesicles. These either fuse with the cis-Golgi or with each other to form the membrane stacks known as the cis-Golgi reticulum (network).  [ISBN:0716731363]</t>
  </si>
  <si>
    <t>intra-Golgi transport  EXACT []</t>
  </si>
  <si>
    <t>sp|A7M9B2|YCF1_CUSRE</t>
  </si>
  <si>
    <t>Cuscuta reflexa</t>
  </si>
  <si>
    <t>ALK1 0.077| Telomerase_RBD | HCV_NS4b | Filo_glycop | PTZ00264 | PGM1 | Telomerase_RBD | DRAT | TatC | epsilon_tubulin |</t>
  </si>
  <si>
    <t>PRK13414 0.008| PHA03042 0.057| ND5 | GpcrRhopsn4 | 7TM_GPCR_Srt | ND6 | yajC | DUF673 | DUF1430 | ND6 |</t>
  </si>
  <si>
    <t>sp|Q99497|PARK7_HUMAN</t>
  </si>
  <si>
    <t>not_thiJ 8e-033| GATase1_DJ-1 4e-026| DJ-1_PfpI 1e-018| PRK11574 1e-015| ThiJ 2e-010| GATase1_PfpI_like 6e-010| PfpI 1e-009| GATase1_PfpI_2 4e-009| GATase1_PfpI_3 2e-008| GATase1_PfpI_1 3e-007|</t>
  </si>
  <si>
    <t>dj-1beta - Drosophila melanogaster - response to oxidative stress - adult locomotory behavior</t>
  </si>
  <si>
    <t>mRNA binding</t>
  </si>
  <si>
    <t>Interacting selectively and non-covalently with messenger RNA (mRNA), an intermediate molecule between DNA and protein. mRNA includes UTR and coding sequences, but does not contain introns.  [GOC:kmv, SO:0000234]</t>
  </si>
  <si>
    <t>mitochondrion organization</t>
  </si>
  <si>
    <t>A process that is carried out at the cellular level which results in the assembly, arrangement of constituent parts, or disassembly of a mitochondrion; includes mitochondrial morphogenesis and distribution, and replication of the mitochondrial genome as well as synthesis of new mitochondrial components.  [GOC:dph, GOC:jl, GOC:mah, GOC:sgd_curators, PMID:9786946]</t>
  </si>
  <si>
    <t>mitochondria organization  EXACT [GOC:mah]</t>
  </si>
  <si>
    <t>General function prediction only, Defense mechanisms</t>
  </si>
  <si>
    <t>sp|Q8BRH3|RHG19_MOUSE</t>
  </si>
  <si>
    <t>7TM_GPCR_Srb | ND6 | VKG_Carbox | intg_mem_TP0381 | ileS | ND2 | ND4 | GT1_amsK_like | PHA02962 | COPI_assoc |</t>
  </si>
  <si>
    <t>sp|A1QZH6|RPOC_BORT9</t>
  </si>
  <si>
    <t>Borrelia turicatae (strain 91E135)</t>
  </si>
  <si>
    <t>PRK07668 0.011| ND6 0.018| GpcrRhopsn4 0.028| ND4 0.030| Plasmodium_Vir 0.066| Acyl_transf_3 0.081| 7TM_GPCR_Sra 0.082| COX3 0.083| ND5 | ND5 |</t>
  </si>
  <si>
    <t>sp|P15505|GCSP_CHICK</t>
  </si>
  <si>
    <t>PRK05367 5e-043| PLN02414 2e-035| gcvP 1e-026| PRK12566 1e-021| GcvP 3e-012| DUF72 | PRK10604 | PHA00547 | Baculo_helicase | PRK04366 |</t>
  </si>
  <si>
    <t>Glycine dehydrogenase [decarboxylating], mitochondrial - Gallus gallus - glycine dehydrogenase (decarboxylating) activity - mitochondrion - cellular amino acid metabolic process - glycine metabolic process - oxidoreductase activity - lyase activity - pyridoxal phosphate binding</t>
  </si>
  <si>
    <t>glycine dehydrogenase (decarboxylating) activity</t>
  </si>
  <si>
    <t>Catalysis of the reaction: glycine + lipoylprotein = S-aminomethyldihydrolipoylprotein + CO2.  [EC:1.4.4.2]</t>
  </si>
  <si>
    <t>glycine cleavage system P-protein activity  NARROW [EC:1.4.4.2]</t>
  </si>
  <si>
    <t>cellular amino acid metabolic process</t>
  </si>
  <si>
    <t>The chemical reactions and pathways involving amino acids, carboxylic acids containing one or more amino groups, as carried out by individual cells.  [CHEBI:33709, GOC:curators, ISBN:0198506732]</t>
  </si>
  <si>
    <t>amino acid and derivative metabolism  EXACT [GOC:curators]</t>
  </si>
  <si>
    <t>COG3202 | CRD_TK_ROR_like | DUF221 | PHA03111 | Brr6_like_C_C | spore_ylbJ |</t>
  </si>
  <si>
    <t>Callithrix jacchus</t>
  </si>
  <si>
    <t>sp|P76507|YFDI_ECOLI</t>
  </si>
  <si>
    <t>Cornichon 0.086| PTPLA | PHA03031 | trp | ND4 | ComEC | Herpes_BMRF2 | 7TM_GPCR_Srz | PRK14766 | spore_V_B |</t>
  </si>
  <si>
    <t>sp|Q6A7M5|IF2_PROAC</t>
  </si>
  <si>
    <t>Propionibacterium acnes (strain KPA171202 / DSM 16379)</t>
  </si>
  <si>
    <t>PRK09169 0.001| PHA03249 0.003| PHA03247 0.003| PHA03307 0.004| PTZ00449 0.009| PRK07764 0.018| APC_basic 0.018| PRK14965 0.034| PHA03378 0.035| PRK12495 0.036|</t>
  </si>
  <si>
    <t>rRNA promoter binding protein - Rattus norvegicus - double-stranded DNA binding - sequence-specific DNA binding transcription factor activity - transcription factor binding - cell proliferation - rRNA transcription</t>
  </si>
  <si>
    <t>double-stranded DNA binding</t>
  </si>
  <si>
    <t>Interacting selectively and non-covalently with double-stranded DNA.  [GOC:elh]</t>
  </si>
  <si>
    <t>dsDNA binding  EXACT [GOC:elh]</t>
  </si>
  <si>
    <t>sp|P74657|MURG_SYNY3</t>
  </si>
  <si>
    <t>TDT_like_3 | ATM1 | PIG-U | PRK14396 | PRK14797 | DUF3271 | exosort_Gpos | PTKc_Axl_like | CelF | PRK09814 |</t>
  </si>
  <si>
    <t>sp|P04540|NU5M_TRYBB</t>
  </si>
  <si>
    <t>Trypanosoma brucei brucei</t>
  </si>
  <si>
    <t>ER_lumen_recept 2e-005| DUF1361 3e-005| ND5 7e-005| ND4 9e-005| ND4 2e-004| ND5 3e-004| YfhO 4e-004| ND4 0.001| ND6 0.001| ABC2_membrane 0.001|</t>
  </si>
  <si>
    <t>sp|Q9CQW0|TMM93_MOUSE</t>
  </si>
  <si>
    <t>Rab5ip 3e-023| PRK05677 0.035| ASC 0.061| PRK14195 0.071| PRK09609 0.083| CrcB 0.084| lnt | DUF2244 | RhaT | DUF418 |</t>
  </si>
  <si>
    <t>transmembrane protein 93 - Rattus norvegicus - integral to membrane</t>
  </si>
  <si>
    <t>sp|O00187|MASP2_HUMAN</t>
  </si>
  <si>
    <t>Tryp_SPc 5e-008| Tryp_SPc 3e-007| Trypsin 1e-005| COG5640 4e-004| Peptidase_S6 0.002| MPP_PP2A_PP4_PP6 | RT_like_1 | PRK10987 | PRK15358 | Herpes_UL73 |</t>
  </si>
  <si>
    <t>Drosophila melanogaster - serine-type endopeptidase activity - proteolysis - phagocytosis, engulfment</t>
  </si>
  <si>
    <t>serine-type endopeptidase activity</t>
  </si>
  <si>
    <t>Catalysis of the hydrolysis of internal, alpha-peptide bonds in a polypeptide chain by a catalytic mechanism that involves a catalytic triad consisting of a serine nucleophile that is activated by a proton relay involving an acidic residue (e.g. aspartate or glutamate) and a basic residue (usually histidine).  [GOC:mah, http://merops.sanger.ac.uk/about/glossary.htm#CATTYPE, ISBN:0716720094]</t>
  </si>
  <si>
    <t>blood coagulation factor activity  RELATED []</t>
  </si>
  <si>
    <t>proteolysis</t>
  </si>
  <si>
    <t>The hydrolysis of proteins into smaller polypeptides and/or amino acids by cleavage of their peptide bonds.  [GOC:bf, GOC:mah]</t>
  </si>
  <si>
    <t>ATP-dependent proteolysis  NARROW [GOC:mah]</t>
  </si>
  <si>
    <t>Caenorhabditis brenneri</t>
  </si>
  <si>
    <t>sp|P44067|Y874_HAEIN</t>
  </si>
  <si>
    <t>DUF1700 | ND4 | ND4 | efflux_EmrB | ThrS | GLF | ORC2 | TatC | FbpA | PLN02810 |</t>
  </si>
  <si>
    <t>sp|Q8WW34|TM239_HUMAN</t>
  </si>
  <si>
    <t>DUF2222 |</t>
  </si>
  <si>
    <t>Francisella cf. novicida Fx1</t>
  </si>
  <si>
    <t>sp|Q54ZP5|WDR48_DICDI</t>
  </si>
  <si>
    <t>ND5 | PTZ00342 | N1221 | PHA03100 | PRANC | Peptidase_C57 | TRP | PLN03016 | tatC | PLN02213 |</t>
  </si>
  <si>
    <t>sp|P12110|CO6A2_HUMAN</t>
  </si>
  <si>
    <t>Collagen 0.045| PLN02951 | PRK15071 | HemL | rumA | PRK07235 | PRK11509 | PRK12389 | PRK12747 | DUF3375 |</t>
  </si>
  <si>
    <t>Fusobacterium sp. 21_1A</t>
  </si>
  <si>
    <t>sp|Q27294|CAZ_DROME</t>
  </si>
  <si>
    <t>PRK14613 | DUF647 | TT_ORF1 | PBP1_FucR_like | ND2 | PRK14791 | ycf46 | Peptidase_C1B | CYTB | PRK06207 |</t>
  </si>
  <si>
    <t>Clostridium difficile NAP07</t>
  </si>
  <si>
    <t>sp|Q7TU96|HISZ_PROMP</t>
  </si>
  <si>
    <t>Prochlorococcus marinus subsp. pastoris (strain CCMP1986 / MED4)</t>
  </si>
  <si>
    <t>YfhO 0.050| DER1 | DUF3402 | PHA02980 | ND4L | ATP6 | ND5 | DUF2206 | PRK14229 | ND2 |</t>
  </si>
  <si>
    <t>sp|Q04451|SYG_BOMMO</t>
  </si>
  <si>
    <t>PLN02734 4e-026| PRK04173 8e-023| GlyRS_anticodon 1e-022| GRS1 3e-021| glyS_dimeric 6e-018| HGTP_anticodon 2e-012| PRK14894 2e-011| HGTP_anticodon 2e-005| C2C_KIAA1228 0.046| Pol_gamma_b_Cterm 0.059|</t>
  </si>
  <si>
    <t>Glycyl-tRNA synthetase - Bombyx mori - glycine-tRNA ligase activity - diadenosine tetraphosphate biosynthetic process - protein dimerization activity</t>
  </si>
  <si>
    <t>glycine-tRNA ligase activity</t>
  </si>
  <si>
    <t>Catalysis of the reaction: ATP + glycine + tRNA(Gly) = AMP + diphosphate + glycyl-tRNA(Gly).  [EC:6.1.1.14]</t>
  </si>
  <si>
    <t>glycine:tRNAGly ligase (AMP-forming) activity  EXACT [EC:6.1.1.14]</t>
  </si>
  <si>
    <t>glycyl-tRNA aminoacylation</t>
  </si>
  <si>
    <t>The process of coupling glycine to glycyl-tRNA, catalyzed by glycyl-tRNA synthetase. In tRNA aminoacylation, the amino acid is first activated by linkage to AMP and then transferred to either the 2'- or the 3'-hydroxyl group of the 3'-adenosine residue of the tRNA.  [GOC:mcc, ISBN:0716730510]</t>
  </si>
  <si>
    <t>COX2 1e-079| COX2 3e-062| COX2 8e-062| COX2 6e-060| COX2 2e-059| COX2 5e-057| COX2 2e-056| COX2 2e-056| COX2 3e-056| COX2 1e-055|</t>
  </si>
  <si>
    <t>mitochondrial Cytochrome c oxidase subunit II - Drosophila melanogaster - cytochrome-c oxidase activity - mitochondrial respiratory chain complex IV - mitochondrion - mitochondrial inner membrane - mitochondrial electron transport, cytochrome c to oxygen - integral to membrane - electron carrier activity - copper ion binding - respiratory electron transport chain - heme binding</t>
  </si>
  <si>
    <t>cytochrome-c oxidase activity</t>
  </si>
  <si>
    <t>Catalysis of the reaction: 4 ferrocytochrome c + O2 + 4 H+ = 4 ferricytochrome c + 2 H2O.  [EC:1.9.3.1]</t>
  </si>
  <si>
    <t>aa3-type cytochrome c oxidase  NARROW [EC:1.9.3.1]</t>
  </si>
  <si>
    <t>mitochondrial respiratory chain complex IV</t>
  </si>
  <si>
    <t>A protein complex located in the mitochondrial inner membrane that forms part of the mitochondrial respiratory chain. Contains the 13 polypeptide subunits of cytochrome c oxidase, including cytochrome a and cytochrome a3. Catalyzes the oxidation of reduced cytochrome c by dioxygen (O2).  [GOC:mtg_sensu, ISBN:0198547684]</t>
  </si>
  <si>
    <t>mitochondrial electron transport, cytochrome c to oxygen</t>
  </si>
  <si>
    <t>The transfer of electrons from cytochrome c to oxygen that occurs during oxidative phosphorylation, mediated by the multisubunit enzyme known as complex IV.  [ISBN:0716731363]</t>
  </si>
  <si>
    <t>complex IV (reduction of O2)  RELATED []</t>
  </si>
  <si>
    <t>Impatiens noli-tangere</t>
  </si>
  <si>
    <t>sp|O51272|FTSK_BORBU</t>
  </si>
  <si>
    <t>7TM_GPCR_Srz | ND5 | PHA03023 | ND6 | MatK_N | ND2 | Tubulin | ND2 | ND5 | Pox_VERT_large |</t>
  </si>
  <si>
    <t>Ajellomyces capsulatus H88</t>
  </si>
  <si>
    <t>sp|B6EGT2|SYGA_ALISL</t>
  </si>
  <si>
    <t>Aliivibrio salmonicida (strain LFI1238)</t>
  </si>
  <si>
    <t>ABC2_membrane_4 | Phospholip_A2_2 | COG4095 | TIGR03607 | PRK10198 | M20_ACY1L2_like | M20_Acy1L2 | DUF240 | CbiQ | nrdF |</t>
  </si>
  <si>
    <t>Vibrio scophthalmi LMG 19158</t>
  </si>
  <si>
    <t>sp|P78966|MAM1_SCHPO</t>
  </si>
  <si>
    <t>PLN02318 | Cas8a1_I-A | cyaA | PLN02837 | PRK13578 | CBS_pair_ABC_OpuCA_assoc | PRiA4_ORF3 | KBP_C | PRK05260 | PRK14589 |</t>
  </si>
  <si>
    <t>ND5 0.002| DUF3447 | PHA02985 | DUF990 | Mis6 | rSAM_link_UDG | ND2 | Cyto_ox_2 | LAGLIDADG_2 | syfB |</t>
  </si>
  <si>
    <t>DIE2_ALG10 | DUF1157 | DUF879 | Ins_P5_2-kin | ND2 | COG4069 | His_Phos_2 | 7TM_GPCR_Srw | APH | ND1 |</t>
  </si>
  <si>
    <t>sp|A5E4P1|PXR1_LODEL</t>
  </si>
  <si>
    <t>Lodderomyces elongisporus (strain ATCC 11503 / CBS 2605 / JCM 1781 / NBRC 1676 / NRRL YB-4239)</t>
  </si>
  <si>
    <t>ND5 2e-008| ND4 5e-008| ATP6 8e-008| ND2 2e-007| ND4 2e-007| ND4 5e-007| ND1 2e-006| ND2 3e-006| ND5 3e-006| ND6 3e-006|</t>
  </si>
  <si>
    <t>Uncharacterized protein - Rattus norvegicus - nucleosome assembly</t>
  </si>
  <si>
    <t>box C/D snoRNP complex</t>
  </si>
  <si>
    <t>A ribonucleoprotein complex containing small nucleolar RNA of the box C/D type that can carry out ribose-2'-O-methylation of target RNAs.  [ISBN:0879695897, PMID:17284456]</t>
  </si>
  <si>
    <t>box C/D snoRNP ribose 2'-O methylase complex  EXACT [PMID:17284456]</t>
  </si>
  <si>
    <t>endonucleolytic cleavage to generate mature 5'-end of SSU-rRNA from (SSU-rRNA, 5.8S rRNA, LSU-rRNA)</t>
  </si>
  <si>
    <t>Endonucleolytic cleavage between the 5'-External Transcribed Spacer (5'-ETS) and the 5' end of the SSU-rRNA of a tricistronic rRNA transcript that contains the Small Subunit (SSU) rRNA, the 5.8S rRNA, and the Large Subunit (LSU) rRNA in that order from 5' to 3' along the primary transcript, to produce the mature end of the SSU-rRNA.  [GOC:curators, PMID:10690410]</t>
  </si>
  <si>
    <t>endonucleolytic cleavage at A1  NARROW []</t>
  </si>
  <si>
    <t>PHA03010 | PHA02998 | PepC | rpo30_N |</t>
  </si>
  <si>
    <t>Signal transduction mechanisms, General function prediction only</t>
  </si>
  <si>
    <t>sp|Q24154|RL29_DROME</t>
  </si>
  <si>
    <t>Ribosomal_L29e 9e-010| PTZ00190 0.003| PRK11778 | PRK07377 | Peptidase_S49_N | PLN02610 | CreD | PRK11642 | Srg | IpaC_SipC |</t>
  </si>
  <si>
    <t>Ribosomal protein L29 - Drosophila melanogaster - structural constituent of ribosome - translation - cytosolic large ribosomal subunit - ribosome - chromatin binding</t>
  </si>
  <si>
    <t>sp|Q6F598|RGYR_PYRKO</t>
  </si>
  <si>
    <t>Pyrococcus kodakaraensis (strain ATCC BAA-918 / JCM 12380 / KOD1)</t>
  </si>
  <si>
    <t>DUF2626 | GT_GPT_euk | Chs3p | 7TM_GPCR_Srt |</t>
  </si>
  <si>
    <t>Dictyostelium discoideum AX4</t>
  </si>
  <si>
    <t>sp|Q869R9|MYBJ_DICDI</t>
  </si>
  <si>
    <t>PRK08581 | Dicty_REP | SNF | ATP8 | TatD_DNAse | ND3 | Peptidase_A17 | PHA02732 | PLN02510 | PLN03029 |</t>
  </si>
  <si>
    <t>Micromonospora sp. ATCC 39149</t>
  </si>
  <si>
    <t>sp|Q91WA6|SHRPN_MOUSE</t>
  </si>
  <si>
    <t>PLN03192 | PRI2 | PRK09112 | COG3152 |</t>
  </si>
  <si>
    <t>Clostridium kluyveri NBRC 12016</t>
  </si>
  <si>
    <t>sp|Q5UQ69|YL504_MIMIV</t>
  </si>
  <si>
    <t>Acanthamoeba polyphaga mimivirus</t>
  </si>
  <si>
    <t>PRK14538 | reco | PRK07133 | ND5 | PRK00723 | ABC_NatA_like | ND5 | COX2 | 2A0127 | UPF0259 |</t>
  </si>
  <si>
    <t>sp|Q66J05|SPTSB_XENLA</t>
  </si>
  <si>
    <t>PRK12313 0.077| ND6 | 7TM_GPCR_Srh | CyoD | TDT | ND2 | spore_V_B | PRK05402 | ND2 | 7TM_GPCR_Srz |</t>
  </si>
  <si>
    <t>sp|Q6NTL4|GRP1_XENLA</t>
  </si>
  <si>
    <t>Peptidase_S49_N | PRK11778 | ATP6 | PLN02761 | 7tm_1 | uvsW | Nucleoside_tran | prolactin_like | GT_GPT_euk | Glu_syn_central |</t>
  </si>
  <si>
    <t>Cytoskeleton</t>
  </si>
  <si>
    <t>Anolis carolinensis</t>
  </si>
  <si>
    <t>sp|O13957|YEHG_SCHPO</t>
  </si>
  <si>
    <t>matK | DUF1398 | CheR | CemA | cemA | PRK02201 | PBP1_GGBP | COX2 | mam_aldehyde_ox | DUF3643 |</t>
  </si>
  <si>
    <t>Penicillium marneffei ATCC 18224</t>
  </si>
  <si>
    <t>sp|B0WQG0|ENOPH_CULQU</t>
  </si>
  <si>
    <t>7TM_GPCR_Srbc 5e-004| 7TM_GPCR_Srh 0.009| ABC2_membrane 0.015| Oxidored_q1 0.058| DBP | ND5 | ND5 | AA_permease | ND2 | PLN03086 |</t>
  </si>
  <si>
    <t>Entamoeba histolytica HM-1:IMSS</t>
  </si>
  <si>
    <t>M3B_PepF_4 | PHA03033 | Pfg27 | DUF2529 | BAH_plant_2 |</t>
  </si>
  <si>
    <t>sp|P20342|RS15_XENLA</t>
  </si>
  <si>
    <t>PTZ00096 5e-016| rpsS_arch 9e-015| rps19p 3e-012| RpsS 7e-006| Ribosomal_S19 | EngA1 | GTPase_EngA | PRK00093 | Peptidase_A6 | Rep_3 |</t>
  </si>
  <si>
    <t>ribosomal protein S15 - Danio rerio - RNA binding - structural constituent of ribosome - translation - small ribosomal subunit - ribosome - ribonucleoprotein complex - embryo development</t>
  </si>
  <si>
    <t>small ribosomal subunit</t>
  </si>
  <si>
    <t>The smaller of the two subunits of a ribosome.  [GOC:mah]</t>
  </si>
  <si>
    <t>ribosomal small subunit  EXACT []</t>
  </si>
  <si>
    <t>Trichoderma reesei QM6a</t>
  </si>
  <si>
    <t>sp|Q8STA9|Y5G8_ENCCU</t>
  </si>
  <si>
    <t>Encephalitozoon cuniculi (strain GB-M1)</t>
  </si>
  <si>
    <t>DUF2011 2e-005| PRK14552 5e-005| RNA_polI_A34 2e-004| SURF6 2e-004| DUF2992 2e-004| ND1 2e-004| rRNA_processing 2e-004| DUF1682 5e-004| Nop25 6e-004| DUF947 0.001|</t>
  </si>
  <si>
    <t>pyruvate carboxylase, like - Danio rerio - ligase activity - catalytic activity - ATP binding - metabolic process - metal ion binding - biotin carboxylase activity</t>
  </si>
  <si>
    <t>vesicle-mediated transport</t>
  </si>
  <si>
    <t>A cellular transport process in which transported substances are moved in membrane-bounded vesicles; transported substances are enclosed in the vesicle lumen or located in the vesicle membrane. The process begins with a step that directs a substance to the forming vesicle, and includes vesicle budding and coating. Vesicles are then targeted to, and fuse with, an acceptor membrane.  [GOC:ai, GOC:mah, ISBN:08789310662000]</t>
  </si>
  <si>
    <t>nonselective vesicle transport  NARROW []</t>
  </si>
  <si>
    <t>sp|Q9FJ16|APRR4_ARATH</t>
  </si>
  <si>
    <t>PHA02845 | ND4 | LTA_dltB | panF | Reticulon | Pex24p | Papilloma_E5 | ND4 | AgrB |</t>
  </si>
  <si>
    <t>sp|Q9U7E0|ATRX_CAEEL</t>
  </si>
  <si>
    <t>7TM_GPCR_Srz 0.001| PRK08581 0.001| ND5 0.002| TIGR03766 0.006| ND5 0.006| rad1 0.016| Merozoite_SPAM 0.019| PLN03083 0.020| Ion_trans 0.041| SCAMP 0.058|</t>
  </si>
  <si>
    <t>Putative uncharacterized protein - Caenorhabditis elegans - protein binding</t>
  </si>
  <si>
    <t>chromatin binding</t>
  </si>
  <si>
    <t>Interacting selectively and non-covalently with chromatin, the network of fibers of DNA, protein, and sometimes RNA, that make up the chromosomes of the eukaryotic nucleus during interphase.  [GOC:jl, ISBN:0198506732, PMID:20404130]</t>
  </si>
  <si>
    <t>lamin/chromatin binding  BROAD []</t>
  </si>
  <si>
    <t>chromatin assembly or disassembly</t>
  </si>
  <si>
    <t>The formation or destruction of chromatin structures.  [GOC:mah]</t>
  </si>
  <si>
    <t>chromatin assembly/disassembly  EXACT []</t>
  </si>
  <si>
    <t>sp|A1B3Z0|LEXA_PARDP</t>
  </si>
  <si>
    <t>Paracoccus denitrificans (strain Pd 1222)</t>
  </si>
  <si>
    <t>PLN03112 | PRK06628 |</t>
  </si>
  <si>
    <t>Phalera flavescens</t>
  </si>
  <si>
    <t>sp|Q33636|NU2M_ANOAL</t>
  </si>
  <si>
    <t>Anopheles albimanus</t>
  </si>
  <si>
    <t>ND2 3e-045| ND2 5e-028| ND2 1e-024| ND2 8e-023| ND2 2e-021| ND2 4e-017| NDH_I_N 1e-015| ND2 3e-015| ND2 1e-013| ND2 5e-013|</t>
  </si>
  <si>
    <t>mitochondrial NADH-ubiquinone oxidoreductase chain 2 - Drosophila melanogaster - mitochondrial respiratory chain complex I - NADH dehydrogenase (ubiquinone) activity - mitochondrion - integral to membrane - mitochondrial inner membrane - mitochondrial electron transport, NADH to ubiquinone</t>
  </si>
  <si>
    <t>NADH dehydrogenase (ubiquinone) activity</t>
  </si>
  <si>
    <t>Catalysis of the reaction: NADH + H+ + ubiquinone = NAD+ + ubiquinol.  [EC:1.6.5.3]</t>
  </si>
  <si>
    <t>coenzyme Q reductase activity  EXACT [EC:1.6.5.3]</t>
  </si>
  <si>
    <t>mitochondrial respiratory chain complex I</t>
  </si>
  <si>
    <t>A protein complex located in the mitochondrial inner membrane that forms part of the mitochondrial respiratory chain. It contains about 25 different polypeptide subunits, including NADH dehydrogenase (ubiquinone), flavin mononucleotide and several different iron-sulfur clusters containing non-heme iron. The iron undergoes oxidation-reduction between Fe(II) and Fe(III), and catalyzes proton translocation linked to the oxidation of NADH by ubiquinone.  [GOC:mtg_sensu, ISBN:0198547684]</t>
  </si>
  <si>
    <t>mitochondrial electron transport, NADH to ubiquinone</t>
  </si>
  <si>
    <t>The transfer of electrons from NADH to ubiquinone that occurs during oxidative phosphorylation, mediated by the multisubunit enzyme known as complex I.  [ISBN:0716731363]</t>
  </si>
  <si>
    <t>complex I (NADH to ubiquinone)  RELATED []</t>
  </si>
  <si>
    <t>sp|Q9DAA6|EXOS1_MOUSE</t>
  </si>
  <si>
    <t>S1_CSL4 4e-032| EXOSC1 4e-028| COG1096 1e-013| S1_Rrp4_like 3e-012| PRK09521 4e-011| S1_Rrp4 0.001| PRK14498 0.063| RRP4 | ND5 | rpoB |</t>
  </si>
  <si>
    <t>Csl4 - Drosophila melanogaster - nuclear exosome (RNase complex) - mRNA processing - cytoplasmic exosome (RNase complex) - 3'-5'-exoribonuclease activity - transcriptionally active chromatin - cytoplasm</t>
  </si>
  <si>
    <t>3'-5'-exoribonuclease activity</t>
  </si>
  <si>
    <t>Catalysis of the sequential cleavage of mononucleotides from a free 3' terminus of an RNA molecule.  [GOC:mah, ISBN:0198547684]</t>
  </si>
  <si>
    <t>3'-5' exoribonuclease activity  EXACT []</t>
  </si>
  <si>
    <t>nuclear exosome (RNase complex)</t>
  </si>
  <si>
    <t>Complex of 3'-5' exoribonucleases found in the nucleus.  [PMID:10465791]</t>
  </si>
  <si>
    <t>eukaryotic exosome multienzyme ribonuclease complex  EXACT []</t>
  </si>
  <si>
    <t>Paramecium caudatum</t>
  </si>
  <si>
    <t>sp|P05489|COX1_PARTE</t>
  </si>
  <si>
    <t>ND6 0.021| ND5 0.076| ND4 | KdpB | ND4 | ELO | UNC-50 | PRK06076 | ND1 | Peptidase_A8 |</t>
  </si>
  <si>
    <t>Dictyostelium fasciculatum</t>
  </si>
  <si>
    <t>sp|Q8R4Y8|RTTN_MOUSE</t>
  </si>
  <si>
    <t>PHA02972 | PHA02970 | DUF3671 | xerS | TLP-20 | PUB | COX7C | MIG-14_Wnt-bd | LEF-4 | FH |</t>
  </si>
  <si>
    <t>ND5 1e-009| TatC 8e-008| ND4 1e-007| ND6 2e-007| ND5 2e-007| ND4 5e-007| ND3 6e-007| ND2 7e-007| ND4L 9e-007| ATP6 1e-006|</t>
  </si>
  <si>
    <t>nucleosome assembly</t>
  </si>
  <si>
    <t>The aggregation, arrangement and bonding together of a nucleosome, the beadlike structural units of eukaryotic chromatin composed of histones and DNA.  [GOC:mah]</t>
  </si>
  <si>
    <t>histone chaperone  RELATED [GOC:vw]</t>
  </si>
  <si>
    <t>sp|Q8D2F5|TILS_WIGBR</t>
  </si>
  <si>
    <t>fliG | TagG | ND5 | Tmpp129 | PDEase_II | PHA02994 | Pox_Rap94 | FI | CTI | menC_lowGC/arch |</t>
  </si>
  <si>
    <t>Plasmodium yoelii yoelii</t>
  </si>
  <si>
    <t>sp|Q54RQ8|LVSE_DICDI</t>
  </si>
  <si>
    <t>ND2 | ND2 | PP_kinase | PRK05443 | ND6 | poly_P_kin | COX3 | DUF3430 | Gpi1 | COG4346 |</t>
  </si>
  <si>
    <t>Exiguobacterium sp. AT1b</t>
  </si>
  <si>
    <t>sp|P52376|HEPA_HHV7J</t>
  </si>
  <si>
    <t>Human herpesvirus 7 (strain JI)</t>
  </si>
  <si>
    <t>NADH5_C | ND4 | DUF2405 | thrS | PRK05588 | PRK05402 | DUF1453 | TcpE | ND3 | ND5 |</t>
  </si>
  <si>
    <t>sp|Q6P5R6|RL22L_HUMAN</t>
  </si>
  <si>
    <t>Ribosomal_L22e 2e-028| PTZ00198 9e-022| REX1_like 0.016| TSPN 0.040| PRK08320 0.065| cyclohexanol_reductase_SDR_c | MatK_N | PRK15119 | D_amino_aminoT | ilvE_I |</t>
  </si>
  <si>
    <t>ribosomal protein L22-like 1 - Danio rerio - ribosome - structural constituent of ribosome - translation - intracellular</t>
  </si>
  <si>
    <t>sp|Q9SL74|DEF78_ARATH</t>
  </si>
  <si>
    <t>Furin-like 0.003| Tetraspannin 0.028| 7TM_GPCR_Srj 0.085| Yeast_MT | ATP6 | Metallothionein | Metallothio | PLN02481 | VESA1_N | TIGR03766 |</t>
  </si>
  <si>
    <t>sp|Q54VB4|HBX9_DICDI</t>
  </si>
  <si>
    <t>7TM_GPCR_Srz 8e-005| PTZ00262 0.005| PRK08581 0.010| Slx4 0.016| ND5 0.019| ND4 0.022| COG5236 0.043| 235kDa-fam 0.045| rad4 0.053| ND2 0.066|</t>
  </si>
  <si>
    <t>Dictyostelium discoideum - DNA binding - transposase activity - transposition, DNA-mediated</t>
  </si>
  <si>
    <t>sequence-specific DNA binding transcription factor activity</t>
  </si>
  <si>
    <t>Interacting selectively and non-covalently with a specific DNA sequence in order to modulate transcription. The transcription factor may or may not also interact selectively with a protein or macromolecular complex.  [GOC:curators, GOC:txnOH]</t>
  </si>
  <si>
    <t>transcription factor activity  BROAD []</t>
  </si>
  <si>
    <t>sp|Q9ZCQ1|AMPG2_RICPR</t>
  </si>
  <si>
    <t>ND5 | Plasmodium_Vir | PRK11893 | ND5 | DUF1887 | Cyto_heme_lyase | DUF1280 | lipo_lipase | BPI1 | NSs |</t>
  </si>
  <si>
    <t>Posttranslational modification, protein turnover, chaperones, Intracellular trafficking, secretion, and vesicular transport, Signal transduction mechanisms</t>
  </si>
  <si>
    <t>Tuber melanosporum</t>
  </si>
  <si>
    <t>sp|Q67724|RDRP_HASV</t>
  </si>
  <si>
    <t>Helicoverpa armigera stunt virus</t>
  </si>
  <si>
    <t>Urb2 | DUF559 | DUF2126 | PRK13894 | Endonuclease_DUF559 | COG2852 | NAF | UDG_fam4 | seco_metab_LLM | DUF3634 |</t>
  </si>
  <si>
    <t>sp|P24499|ATP6_TRYBB</t>
  </si>
  <si>
    <t>ND1 | PHA02845 | ND4L | ND2 | ND2 | COG5273 | ND4L | spore_II_GA | PRA1 | TrkH |</t>
  </si>
  <si>
    <t>sp|Q6PHQ8|NAA35_MOUSE</t>
  </si>
  <si>
    <t>NDH_I_M | PRK05846 | NuoM | Elf1 | Utp11 | PRK13570 | PRK00811 | DUF3604 | hisS | PRK07205 |</t>
  </si>
  <si>
    <t>Uncharacterized protein - Sus scrofa - nucleus - cytoplasm - plasma membrane - smooth muscle cell proliferation</t>
  </si>
  <si>
    <t>Enterococcus faecium E980</t>
  </si>
  <si>
    <t>Apolipoprotein 0.009| LMP 0.021| FH2 0.022| Dynamitin 0.062| phaP_Bmeg 0.099| PRK03918 | SF-assemblin | COG3883 | COG5280 | IFT57 |</t>
  </si>
  <si>
    <t>Beggiatoa sp. PS</t>
  </si>
  <si>
    <t>sp|P16733|GM_HCMVA</t>
  </si>
  <si>
    <t>Human cytomegalovirus (strain AD169)</t>
  </si>
  <si>
    <t>PRK09219 | Plasmodium_Vir | ROM1 | IgV_H | recU | ndhF | Glyco_hydro_52 | Telomerase_RBD | Vps52 | PDDEXK_2 |</t>
  </si>
  <si>
    <t>sp|Q9VL00|OTUBL_DROME</t>
  </si>
  <si>
    <t>Peptidase_C65 4e-035| DUF1744 | PGM_like1 | eIF2_gamma | Bromo_SNF2 | aroA | 7tm_1 | Gti1_Pac2 | OTU | Radical_SAM |</t>
  </si>
  <si>
    <t>Drosophila melanogaster - cellular_component - omega peptidase activity - protein metabolic process</t>
  </si>
  <si>
    <t>omega peptidase activity</t>
  </si>
  <si>
    <t>Catalysis of the removal of terminal peptide residues that are substituted, cyclized or linked by isopeptide bonds (peptide linkages other than those of alpha-carboxyl to alpha-amino groups).  [EC:3.4.19.-]</t>
  </si>
  <si>
    <t>peptidase activity, acting on peptides containing modified amino acids  RELATED []</t>
  </si>
  <si>
    <t>protein metabolic process</t>
  </si>
  <si>
    <t>The chemical reactions and pathways involving a specific protein, rather than of proteins in general. Includes protein modification.  [GOC:ma]</t>
  </si>
  <si>
    <t>protein metabolic process and modification  EXACT []</t>
  </si>
  <si>
    <t>sp|Q8VDV8|MITD1_MOUSE</t>
  </si>
  <si>
    <t>MIT_C 2e-011| PRK00145 0.061| ubiA | PRK06588 | 7TM_GPCR_Srx | ND2 | DUF3165 | PHA03087 | PHA02985 | PHA03252 |</t>
  </si>
  <si>
    <t>MIT, microtubule interacting and transport, domain containing 1 - Danio rerio - cellular_component - molecular_function - biological_process</t>
  </si>
  <si>
    <t>sp|Q29485|PLMN_ERIEU</t>
  </si>
  <si>
    <t>Erinaceus europaeus</t>
  </si>
  <si>
    <t>PHA02798 | PRK04841 |</t>
  </si>
  <si>
    <t>Borrelia duttonii Ly</t>
  </si>
  <si>
    <t>sp|Q09WW9|CCSA_MORIN</t>
  </si>
  <si>
    <t>Morus indica</t>
  </si>
  <si>
    <t>Srg | BBC | 7TM_GPCR_Srz | Serinc | p47 | TIGR03766 | ND6 | Med7 | purH | cemA |</t>
  </si>
  <si>
    <t>sp|B0BZH9|PUR9_ACAM1</t>
  </si>
  <si>
    <t>Acaryochloris marina (strain MBIC 11017)</t>
  </si>
  <si>
    <t>PHA03042 0.006| 7TM_GPCR_Srz 0.008| PSN 0.036| COG3274 0.049| ND6 0.054| ND5 | PC_cytidylyltransferase | MpPF26 | DUF1600 | Bunya_G2 |</t>
  </si>
  <si>
    <t>Escherichia coli O111:H-</t>
  </si>
  <si>
    <t>sp|P15585|CYB_PARTE</t>
  </si>
  <si>
    <t>PAE | DUF1361 | PRK12367 | Pat_TGL4-5_like | ATP6 | TAF10 | CTI | Tmpp129 | PP_kinase | P21_Cbot |</t>
  </si>
  <si>
    <t>sp|Q55CV9|Y9880_DICDI</t>
  </si>
  <si>
    <t>PRK14786 | Bunya_G2 | GT2_BcE_like | DUF1235 | DUF1390 | AgrB | Pox_Rap94 |</t>
  </si>
  <si>
    <t>sp|Q8R0T2|ZN768_MOUSE</t>
  </si>
  <si>
    <t>PRK09609 0.012| ND4 | 7TM_GPCR_Srt | ycf1 | YibE_F | PHA02984 | P5-ATPase | sbcB | DUF178 | PLN00066 |</t>
  </si>
  <si>
    <t>sp|Q6FVC6|CCM1_CANGA</t>
  </si>
  <si>
    <t>YfhO 0.027| glmM | Spore_permease | PHA03234 | Candida_ALS | Carn_acyltransf | PHA02968 | ND2 | PRK09573 | YidC |</t>
  </si>
  <si>
    <t>Arthrobotrys oligospora ATCC 24927</t>
  </si>
  <si>
    <t>sp|Q9ZD66|Y478_RICPR</t>
  </si>
  <si>
    <t>PRK02868 | FHIPEP | PLN02959 | flhA | COG4267 | DUF1182 | FlhA | IgV_TCR_delta | EAL | ND6 |</t>
  </si>
  <si>
    <t>sp|Q29AE5|COPG_DROPS</t>
  </si>
  <si>
    <t>Gamma-COP 4e-028| PRK09699 0.080| Csc2_I-D | cas_Csc2 | TIGR03766 | PHA03098 | B2-adapt-app_C | ATP6 | rpl4 | PLN02946 |</t>
  </si>
  <si>
    <t>gamma-coatomer protein - Drosophila melanogaster - retrograde vesicle-mediated transport, Golgi to ER - COPI vesicle coat - binding - intracellular protein transport - structural molecule activity - cytokinesis - phagocytosis, engulfment - open tracheal system development - lumen formation, open tracheal system - Golgi apparatus - branch fusion, open tracheal system - protein secretion - chitin-based embryonic cuticle biosynthetic process - regulation of lipid storage - cis-Golgi network - extracellular matrix organization - regulation of tube diameter, open tracheal system - endoplasmic reticulum - larval salivary gland morphogenesis</t>
  </si>
  <si>
    <t>binding</t>
  </si>
  <si>
    <t>The selective, non-covalent, often stoichiometric, interaction of a molecule with one or more specific sites on another molecule.  [GOC:ceb, GOC:mah, ISBN:0198506732]</t>
  </si>
  <si>
    <t>ligand  NARROW []</t>
  </si>
  <si>
    <t>COPI vesicle coat</t>
  </si>
  <si>
    <t>One of two multimeric complexes that forms a membrane vesicle coat. The mammalian COPI subunits are called alpha-, beta-, beta'-, gamma-, delta-, epsilon- and zeta-COP. Vesicles with COPI coats are found associated with Golgi membranes at steady state.  [GOC:mah, PMID:11252894]</t>
  </si>
  <si>
    <t>coatomer  EXACT []</t>
  </si>
  <si>
    <t>retrograde vesicle-mediated transport, Golgi to ER</t>
  </si>
  <si>
    <t>The directed movement of substances from the Golgi back to the endoplasmic reticulum, mediated by vesicles bearing specific protein coats such as COPI or COG.  [ISBN:0716731363, PMID:16510524]</t>
  </si>
  <si>
    <t>cis-Golgi to rough endoplasmic reticulum transport  EXACT []</t>
  </si>
  <si>
    <t>sp|Q2TCH3|ACLY_SHEEP</t>
  </si>
  <si>
    <t>Ovis aries</t>
  </si>
  <si>
    <t>PLN02522 1e-014| CCL_ACL-C 2e-010| GltA 0.026| Med27 | chp_LLNDYxLRE | PRK04968 | PHA02983 | holin_BlyA | Holin_BlyA | L-Ser-dehyd |</t>
  </si>
  <si>
    <t>ATP citrate lyase - Drosophila melanogaster - citrate metabolic process - ATP citrate synthase activity - cytoplasm - acetyl-CoA biosynthetic process - ATP binding - succinate-CoA ligase (ADP-forming) activity - cellular carbohydrate metabolic process - lipid particle</t>
  </si>
  <si>
    <t>ATP citrate synthase activity</t>
  </si>
  <si>
    <t>Catalysis of the reaction: acetyl-CoA + ADP + H(+) + oxaloacetate + phosphate = ATP + citrate + CoA.  [EC:2.3.3.8, RHEA:21163]</t>
  </si>
  <si>
    <t>acetyl-CoA:oxaloacetate acetyltransferase (isomerizing; ADP- phosphorylating) activity  EXACT [EC:2.3.3.8]</t>
  </si>
  <si>
    <t>citrate metabolic process</t>
  </si>
  <si>
    <t>The chemical reactions and pathways involving citrate, 2-hydroxy-1,2,3-propanetricarboyxlate. Citrate is widely distributed in nature and is an important intermediate in the TCA cycle and the glyoxylate cycle.  [ISBN:0198506732]</t>
  </si>
  <si>
    <t>citrate metabolism  EXACT []</t>
  </si>
  <si>
    <t>sp|Q2U0Q9|EIF3C_ASPOR</t>
  </si>
  <si>
    <t>Aspergillus oryzae (strain ATCC 42149 / RIB 40)</t>
  </si>
  <si>
    <t>PHA02855 | ND2 | PRK11098 | PRK15119 | ND5 | PRK14767 | NAD-GH | Trehalose_recp |</t>
  </si>
  <si>
    <t>Gemmata obscuriglobus UQM 2246</t>
  </si>
  <si>
    <t>sp|Q54IN6|Y8028_DICDI</t>
  </si>
  <si>
    <t>ND5 4e-005| ND2 4e-005| ND4 2e-004| ND6 5e-004| ND5 0.001| ATP6 0.002| Oxidored_q4 0.002| ND2 0.003| TatC 0.006| ND6 0.007|</t>
  </si>
  <si>
    <t>Moraxella catarrhalis O35E</t>
  </si>
  <si>
    <t>sp|Q6V3W0|THR_DROPS</t>
  </si>
  <si>
    <t>MPP_PP1_PPKL | PHA02764 | PA2c | Anticodon_Ia_Ile_ABEc | PRK09257 | rps3 | Ctr | Dsl1_C | XK-related | DUF45 |</t>
  </si>
  <si>
    <t>sp|Q54EG5|Y3950_DICDI</t>
  </si>
  <si>
    <t>PHA03042 | kgd | Frag1 | 7TM_GPCR_Sra | PRESAC | PHA03012 | PHA02878 | rpoB | ATP8 | ATP6 |</t>
  </si>
  <si>
    <t>Hypoderma bovis</t>
  </si>
  <si>
    <t>sp|P34846|NU1M_ANOGA</t>
  </si>
  <si>
    <t>ND1 4e-041| ND1 6e-029| NADHdh 7e-028| ND1 7e-027| ND1 7e-026| ND1 3e-021| ND1 4e-020| ND1 2e-019| PRK06076 3e-018| ND1 4e-018|</t>
  </si>
  <si>
    <t>mitochondrial NADH-ubiquinone oxidoreductase chain 1 - Drosophila melanogaster - NADH dehydrogenase (ubiquinone) activity - mitochondrial respiratory chain complex I - mitochondrion - oxidation-reduction process - membrane</t>
  </si>
  <si>
    <t>oxidation-reduction process</t>
  </si>
  <si>
    <t>A metabolic process that results in the removal or addition of one or more electrons to or from a substance, with or without the concomitant removal or addition of a proton or protons.  [GOC:dhl, GOC:ecd, GOC:jh2, GOC:jid, GOC:mlg, GOC:rph]</t>
  </si>
  <si>
    <t>oxidation reduction  EXACT [GOC:curators]</t>
  </si>
  <si>
    <t>Saccharomyces cerevisiae JAY291</t>
  </si>
  <si>
    <t>sp|P47048|YJE9_YEAST</t>
  </si>
  <si>
    <t>ND2 | ae | 7TM_GPCR_Srx | ND4L | COX3 | RNRR2 | ND4 | zf-AD | yidC_oxa1_cterm | EXS |</t>
  </si>
  <si>
    <t>Desulfosporosinus sp. OT</t>
  </si>
  <si>
    <t>GT_GPT_euk 0.010| 7TM_GPCR_Srz 0.012| ND2 0.028| Sre | Srg | ND6 | 7TM_GPCR_Srd | 7TM_GPCR_Sru | EcsB | COX2 |</t>
  </si>
  <si>
    <t>Trichomonas vaginalis G3</t>
  </si>
  <si>
    <t>sp|A8F4Z0|DXR_THELT</t>
  </si>
  <si>
    <t>Thermotoga lettingae (strain ATCC BAA-301 / DSM 14385 / TMO)</t>
  </si>
  <si>
    <t>ND5 0.004| ATP6 0.006| ND2 0.082| COX2 0.092| TagG | PHA03074 | Dymeclin | Telomerase_RBD | ND4 | ND4 |</t>
  </si>
  <si>
    <t>Cell cycle control, cell division, chromosome partitioning, Signal transduction mechanisms</t>
  </si>
  <si>
    <t>sp|Q16HW7|GNPI_AEDAE</t>
  </si>
  <si>
    <t>nagB 0.002| nagB 0.029| PTZ00285 | GlcN6P_deaminase | UPF0172 | MRP_assoc_pro | PTZ00228 | MPP_PP2A_PP4_PP6 | TDT_Mae1_like | DUF221 |</t>
  </si>
  <si>
    <t>Glucosamine-6-phosphate isomerase - Aedes aegypti - glucosamine-6-phosphate deaminase activity - cytoplasm - glucosamine catabolic process - generation of precursor metabolites and energy</t>
  </si>
  <si>
    <t>glucosamine-6-phosphate deaminase activity</t>
  </si>
  <si>
    <t>Catalysis of the reaction: D-glucosamine 6-phosphate + H(2)O = beta-D-fructose 6-phosphate + NH(4)(+).  [EC:3.5.99.6, RHEA:12175]</t>
  </si>
  <si>
    <t>2-amino-2-deoxy-D-glucose-6-phosphate aminohydrolase (ketol isomerizing)  EXACT [EC:3.5.99.6]</t>
  </si>
  <si>
    <t>glucosamine catabolic process</t>
  </si>
  <si>
    <t>The chemical reactions and pathways resulting in the breakdown of glucosamine (2-amino-2-deoxyglucopyranose), an aminodeoxysugar that occurs in combined form in chitin.  [GOC:jl, ISBN:0198506732]</t>
  </si>
  <si>
    <t>chitosamine catabolic process  EXACT []</t>
  </si>
  <si>
    <t>Baculo_helicase | PRK12451 |</t>
  </si>
  <si>
    <t>sp|P48603|CAPZB_DROME</t>
  </si>
  <si>
    <t>F_actin_cap_B e-121| Reelin_subrepeat_2 0.088| Lysophospholipase_L1_like | glnD | PRK05660 | PDE1 | cas_csx11 | PHA03189 | CFTR_protein | CobW |</t>
  </si>
  <si>
    <t>capping protein beta - Drosophila melanogaster - barbed-end actin filament capping - F-actin capping protein complex - actin binding - regulation of actin filament length - actin filament organization - cytoplasm - actin cytoskeleton organization - regulation of lamellipodium assembly - wing disc development - border follicle cell migration - cytoplasmic transport, nurse cell to oocyte - negative regulation of filopodium assembly</t>
  </si>
  <si>
    <t>actin binding</t>
  </si>
  <si>
    <t>Interacting selectively and non-covalently with monomeric or multimeric forms of actin, including actin filaments.  [GOC:clt]</t>
  </si>
  <si>
    <t>membrane associated actin binding  NARROW []</t>
  </si>
  <si>
    <t>F-actin capping protein complex</t>
  </si>
  <si>
    <t>A heterodimer consisting of alpha and beta subunits that binds to and caps the barbed ends of actin filaments, thereby regulating the polymerization of actin monomers but not severing actin filaments.  [GOC:go_curators, ISBN:0198599560]</t>
  </si>
  <si>
    <t>barbed-end actin filament capping</t>
  </si>
  <si>
    <t>The binding of a protein or protein complex to the barbed (or plus) end of an actin filament, thus preventing the addition, exchange or removal of further actin subunits.  [ISBN:071673706X]</t>
  </si>
  <si>
    <t>barbed-end actin capping activity  EXACT []</t>
  </si>
  <si>
    <t>Populus trichocarpa</t>
  </si>
  <si>
    <t>sp|A8KBE0|OXR1_XENTR</t>
  </si>
  <si>
    <t>ATP_synt_6_or_A | Lipoprotein_X | ND4L | benz_CoA_lig | ND5 | ND3 | DUF3550 | ND2 | EamA | prpE |</t>
  </si>
  <si>
    <t>sp|P82911|RT11_BOVIN</t>
  </si>
  <si>
    <t>PRK05309 4e-008| bact_S11 5e-008| RpsK 5e-007| Ribosomal_S11 1e-006| rps11 1e-004| DUF2515 0.059| 2H-phosphodiest | PRK06200 | export_SdpB | CyoC |</t>
  </si>
  <si>
    <t>mitochondrial ribosomal protein S11 - Drosophila melanogaster - translation - structural constituent of ribosome - mitochondrial small ribosomal subunit</t>
  </si>
  <si>
    <t>mitochondrial small ribosomal subunit</t>
  </si>
  <si>
    <t>The smaller of the two subunits of a mitochondrial ribosome.  [GOC:mcc]</t>
  </si>
  <si>
    <t>28S ribosomal subunit, mitochondrial  NARROW []</t>
  </si>
  <si>
    <t>sp|Q5RC74|DERL2_PONAB</t>
  </si>
  <si>
    <t>DER1 2e-009| BPD_transp_1 | CYTB | ND1 | Tetraspannin | PHA03087 | 7TM_GPCR_Srz | Gag_spuma | ND4L | DUF3403 |</t>
  </si>
  <si>
    <t>Derlin-2 - Pongo abelii - positive regulation of cell proliferation - integral to endoplasmic reticulum membrane - positive regulation of cell growth - ER-associated protein catabolic process - endoplasmic reticulum unfolded protein response - retrograde protein transport, ER to cytosol</t>
  </si>
  <si>
    <t>response to unfolded protein</t>
  </si>
  <si>
    <t>Any process that results in a change in state or activity of a cell or an organism (in terms of movement, secretion, enzyme production, gene expression, etc.) as a result of an unfolded protein stimulus.  [GOC:jl]</t>
  </si>
  <si>
    <t>heat shock protein activity  RELATED []</t>
  </si>
  <si>
    <t>Escherichia albertii TW07627</t>
  </si>
  <si>
    <t>sp|Q32EZ9|6PGL_SHIDS</t>
  </si>
  <si>
    <t>Shigella dysenteriae serotype 1 (strain Sd197)</t>
  </si>
  <si>
    <t>PRK11028 1e-086| PRK11465 9e-060| COG2706 3e-056| Lactonase 2e-049| SGL 0.001| COG3391 0.003| dnaA 0.049| SGT1 | COG3386 | COG3759 |</t>
  </si>
  <si>
    <t>6-phosphogluconolactonase - Escherichia coli str. K-12 substr. MG1655 - cytoplasm - carbohydrate metabolic process - glucose metabolic process - 6-phosphogluconolactonase activity</t>
  </si>
  <si>
    <t>6-phosphogluconolactonase activity</t>
  </si>
  <si>
    <t>Catalysis of the reaction: 6-O-phosphono-D-glucono-1,5-lactone + H(2)O = 6-phospho-D-gluconate + H(+).  [EC:3.1.1.31, RHEA:12559]</t>
  </si>
  <si>
    <t>6-PGL  RELATED [EC:3.1.1.31]</t>
  </si>
  <si>
    <t>sp|Q9QB97|ETF1_YMTV5</t>
  </si>
  <si>
    <t>Yaba monkey tumor virus (strain VR587)</t>
  </si>
  <si>
    <t>TT_ORF1 0.093| PTZ00132 | RSS_P20 | Pox_VERT_large | PHA02986 | BI-1 | STKc_PCTAIRE3 | DUF2851 | BI-1-like | RNase_HI_RT_Bel |</t>
  </si>
  <si>
    <t>sp|Q9EQ45|V1R46_MOUSE</t>
  </si>
  <si>
    <t>Sre 0.077| Papilloma_E5 0.089| Srg | spore_V_B | TRAM_LAG1_CLN8 | ELO | PHA03051 | 7TM_GPCR_Sri | 61 | PHA03042 |</t>
  </si>
  <si>
    <t>sp|P52470|UL79_HHV7J</t>
  </si>
  <si>
    <t>Nudix_Hydrolase_12 0.080| CLAG | TcdA_TcdB_pore | 7TM_GPCR_Srz | ABC2_membrane_3 | DUF1751 | Sre | TIGR03766 | spore_V_B | Srg |</t>
  </si>
  <si>
    <t>sp|P37193|ADXH_DROME</t>
  </si>
  <si>
    <t>PLN02593 1e-020| PTZ00490 3e-007| fdx_isc 0.001| Fdx 0.002| lgt | pcnB | PRK00943 | Ac-peptdase-euk | PRK12646 | HTS |</t>
  </si>
  <si>
    <t>Ferredoxin - Drosophila melanogaster - electron carrier activity - 2 iron, 2 sulfur cluster binding</t>
  </si>
  <si>
    <t>iron-sulfur cluster binding</t>
  </si>
  <si>
    <t>Interacting selectively and non-covalently with an iron-sulfur cluster, a combination of iron and sulfur atoms.  [GOC:ai]</t>
  </si>
  <si>
    <t>Fe/S binding  EXACT []</t>
  </si>
  <si>
    <t>mitochondrial matrix</t>
  </si>
  <si>
    <t>The gel-like material, with considerable fine structure, that lies in the matrix space, or lumen, of a mitochondrion. It contains the enzymes of the tricarboxylic acid cycle and, in some organisms, the enzymes concerned with fatty acid oxidation.  [GOC:as, ISBN:0198506732]</t>
  </si>
  <si>
    <t>mitochondrial lumen  EXACT []</t>
  </si>
  <si>
    <t>electron transport chain</t>
  </si>
  <si>
    <t>A process in which a series of electron carriers operate together to transfer electrons from donors to any of several different terminal electron acceptors to generate a transmembrane electrochemical gradient.  [GOC:mtg_electron_transport]</t>
  </si>
  <si>
    <t>sp|B4PUZ3|TMEDA_DROYA</t>
  </si>
  <si>
    <t>EMP24_GP25L 3e-012| 7TM_GPCR_Srh | COG5085 | ND5 | DUF221 | Baculo_p48 | Staph_a_para_1 | 7TM_GPCR_Sru | MglC | DUF3169 |</t>
  </si>
  <si>
    <t>Transmembrane emp24 domain-containing protein bai - Drosophila yakuba - dorsal/ventral pattern formation</t>
  </si>
  <si>
    <t>Golgi stack</t>
  </si>
  <si>
    <t>The set of thin, flattened membrane-bounded compartments, called cisternae, that form the central portion of the Golgi complex. The stack usually comprises cis, medial, and trans cisternae; the cis- and trans-Golgi networks are not considered part of the stack.  [GOC:mah, ISBN:0815316194]</t>
  </si>
  <si>
    <t>dictyosome  NARROW []</t>
  </si>
  <si>
    <t>sp|Q9H1K1|ISCU_HUMAN</t>
  </si>
  <si>
    <t>PRK11325 2e-004| iscU 0.003| NifU_clost | NifU_N | Innexin | Flavokinase | PRK07132 | PLDc_Tdp1_1 | Pox_Rap94 | PRK14502 |</t>
  </si>
  <si>
    <t>sp|Q58DU5|PSA3_BOVIN</t>
  </si>
  <si>
    <t>proteasome_alpha_type_3 7e-009| 7TM_GPCR_Srz 6e-004| ND5 0.005| DER1 0.061| PHA03034 | MopB_Res-Cmplx1_Nad11-M | YfhO | DUF2661 | ND2 | Bap31 |</t>
  </si>
  <si>
    <t>Proteasome subunit alpha type-3 - Bos taurus - threonine-type endopeptidase activity - nucleus - cytoplasm - ubiquitin-dependent protein catabolic process - peptidase activity - proteasome core complex, alpha-subunit complex - proteolysis involved in cellular protein catabolic process</t>
  </si>
  <si>
    <t>ubiquitin-dependent protein catabolic process</t>
  </si>
  <si>
    <t>The chemical reactions and pathways resulting in the breakdown of a protein or peptide by hydrolysis of its peptide bonds, initiated by the covalent attachment of a ubiquitin group, or multiple ubiquitin groups, to the protein.  [GOC:go_curators]</t>
  </si>
  <si>
    <t>ubiquitin-dependent protein breakdown  EXACT []</t>
  </si>
  <si>
    <t>sp|Q8IBP1|YPF16_PLAF7</t>
  </si>
  <si>
    <t>7TM_GPCR_Srz 5e-004| ND4 5e-004| ND4 0.001| ATP6 0.003| ND5 0.005| ND6 0.006| ND5 0.007| ND1 0.007| ATP6 0.009| ATP6 0.010|</t>
  </si>
  <si>
    <t>sp|P55131|RTX32_ACTPL</t>
  </si>
  <si>
    <t>Actinobacillus pleuropneumoniae</t>
  </si>
  <si>
    <t>Plasmodium_Vir 0.028| CLAG | DHOD_e_trans_like2 | PHA02998 | ND1 | ND1 | PHA02716 | rpo30_N | ND5 | 18 |</t>
  </si>
  <si>
    <t>Tamarix androssowii</t>
  </si>
  <si>
    <t>PRK08255 | MIG-14_Wnt-bd | DHC_N1 | ND4 | 7TM_GPCR_Srd | PRK15349 | 7TM_GPCR_Srv | 7TMR-DISM_7TM | tolB | DCP2 |</t>
  </si>
  <si>
    <t>Rickettsia bellii OSU 85-389</t>
  </si>
  <si>
    <t>sp|Q1RHV1|FENR_RICBR</t>
  </si>
  <si>
    <t>Rickettsia bellii (strain RML369-C)</t>
  </si>
  <si>
    <t>XisH | MiaB-like-C | ABC1 |</t>
  </si>
  <si>
    <t>sp|A2ARZ3|FSIP2_MOUSE</t>
  </si>
  <si>
    <t>PRK14791 0.018| SHP | ATP6 | PRK10296 | Anoctamin | LAGLIDADG_1 | PYST-A | DUF1157 | PBP2_Ylib_like | s48_45 |</t>
  </si>
  <si>
    <t>Plasmodium vivax</t>
  </si>
  <si>
    <t>sp|Q05FY9|MNME_CARRP</t>
  </si>
  <si>
    <t>Carsonella ruddii (strain PV)</t>
  </si>
  <si>
    <t>ND2 | PRK14630 | ND4 | RE_CfrBI | ND5 | PRK15086 | PBP1_GPC6A_like | EutH | BAR_ACAP2 | TIR |</t>
  </si>
  <si>
    <t>sp|P49667|RL21_PYUST</t>
  </si>
  <si>
    <t>Pyura stolonifera</t>
  </si>
  <si>
    <t>PTZ00189 8e-009| PLN00190 5e-004| ORC2 | BSD | PLN02357 | PRK10632 | HPC2 | Herpes_V23 | Viral_DNA_bp | DUF443 |</t>
  </si>
  <si>
    <t>Ribosomal protein L21 - Drosophila melanogaster - cytosolic large ribosomal subunit - translation - structural constituent of ribosome - lipid particle - mitotic spindle elongation - mitotic spindle organization</t>
  </si>
  <si>
    <t>sp|Q03270|PO12_NASVI</t>
  </si>
  <si>
    <t>ND5 0.084| ND5 | Sre | GpcrRhopsn4 | NarI | HIF-SF_euk | ND2 | ND5 | DNA_topoisoIV | ND4L |</t>
  </si>
  <si>
    <t>sp|Q8WTE6|OR2_ANOGA</t>
  </si>
  <si>
    <t>frsA | PRK11914 | PLN00151 |</t>
  </si>
  <si>
    <t>sp|P41822|FRI_AEDAE</t>
  </si>
  <si>
    <t>Euk_Ferritin 8e-023| Ferritin 2e-008| Ferritin 3e-007| Nonheme_Ferritin 0.016| Baculo_p47 0.083| Pox_VERT_large | p47 | 7TM_GPCR_Srx | PHA02653 | DUF1600 |</t>
  </si>
  <si>
    <t>Ferritin 1 heavy chain homologue - Drosophila melanogaster - intracellular ferritin complex - cellular iron ion homeostasis - ferrous iron binding - ferric iron binding - oxidation-reduction process - oxidoreductase activity - iron ion transport - Golgi apparatus - microtubule associated complex - fusome</t>
  </si>
  <si>
    <t>ferrous iron binding</t>
  </si>
  <si>
    <t>Interacting selectively and non-covalently with ferrous iron, Fe(II).  [GOC:ai]</t>
  </si>
  <si>
    <t>intracellular ferritin complex</t>
  </si>
  <si>
    <t>A ferritin complex located in the cell. Intracellular ferritin complexes contain 24 subunits, in a mixture of L (light) chains and H (heavy) chains.  [GOC:jl, GOC:mah, PMID:19154717]</t>
  </si>
  <si>
    <t>cellular iron ion homeostasis</t>
  </si>
  <si>
    <t>Any process involved in the maintenance of an internal steady state of iron ions at the level of a cell.  [GOC:ai, GOC:mah]</t>
  </si>
  <si>
    <t>iron homeostasis  BROAD []</t>
  </si>
  <si>
    <t>sp|Q55FI4|NOP58_DICDI</t>
  </si>
  <si>
    <t>PIG-U 3e-014| ND2 5e-014| ND5 6e-013| ATP6 1e-011| ND2 2e-011| 7TMR-DISM_7TM 5e-011| ND4 1e-010| ND6 2e-010| ND4 8e-010| NolL 9e-010|</t>
  </si>
  <si>
    <t>SFRS2-interacting protein - Dictyostelium discoideum - zinc ion binding - metal ion binding</t>
  </si>
  <si>
    <t>nutrient reservoir activity</t>
  </si>
  <si>
    <t>Functions in the storage of nutritious substrates.  [GOC:ai]</t>
  </si>
  <si>
    <t>storage protein  RELATED []</t>
  </si>
  <si>
    <t>Cavia porcellus</t>
  </si>
  <si>
    <t>sp|Q9NZP2|OR6C2_HUMAN</t>
  </si>
  <si>
    <t>ND5 | MatK_N | PRK11424 | ND5 | PRK10040 | PBP1_LacI_like_1 | ND5 | DUF2149 | ENaC | GPI2 |</t>
  </si>
  <si>
    <t>Monosiga brevicollis MX1</t>
  </si>
  <si>
    <t>lef-9 0.018| COG1408 | 7TM_GPCR_Srd | PRA1 | VAR1 | DUF70 | ND4 | ND2 | 7tm_7 | Apc4 |</t>
  </si>
  <si>
    <t>sp|Q7ZTY4|RBBP7_DANRE</t>
  </si>
  <si>
    <t>WD40 0.001| WD40 0.003| PTZ00420 0.004| WD40 0.009| COG2319 0.013| PRK11049 | DUF3611 | TraC-F-type | TraG_N | PRK08943 |</t>
  </si>
  <si>
    <t>retinoblastoma binding protein 4, like - Danio rerio - nucleus - chromatin modification - transcription, DNA-dependent - regulation of transcription, DNA-dependent - DNA replication - ESC/E(Z) complex</t>
  </si>
  <si>
    <t>negative regulation of transcription from RNA polymerase II promoter</t>
  </si>
  <si>
    <t>Any process that stops, prevents, or reduces the frequency, rate or extent of transcription from an RNA polymerase II promoter.  [GOC:go_curators, GOC:txnOH]</t>
  </si>
  <si>
    <t>down regulation of global transcription from RNA polymerase II promoter  RELATED []</t>
  </si>
  <si>
    <t>Borrelia turicatae 91E135</t>
  </si>
  <si>
    <t>sp|Q95Q98|JHD1_CAEEL</t>
  </si>
  <si>
    <t>PRK13671 0.004| ND2 0.012| ND4 | ND4 | DUF3023 | ND5 | CYTB | ATP6 | ND2 | DUF95 |</t>
  </si>
  <si>
    <t>sp|Q10096|YAOH_SCHPO</t>
  </si>
  <si>
    <t>sp|Q8D2V5|GSH1_WIGBR</t>
  </si>
  <si>
    <t>ndhG 0.063| COG1428 0.083| PTZ00447 | ND6 | PHA02716 | PRK12651 | 7TM_GPCR_Srsx | Spore_permease | ND5 | ND4 |</t>
  </si>
  <si>
    <t>sp|P24893|COX1_CAEEL</t>
  </si>
  <si>
    <t>COX1 | COX1 | lanti_perm_MutE | Cyt_c_Oxidase_I | ND1 | COX1 | Cut8 | PRK01766 | COG5291 | M14_CP_N-E_like |</t>
  </si>
  <si>
    <t>Euplectes orix</t>
  </si>
  <si>
    <t>sp|P46472|PRS7_XENLA</t>
  </si>
  <si>
    <t>PTKc_Srm_Brk | Phage_GPA | PRANC | NR_LBD_Dax1_like |</t>
  </si>
  <si>
    <t>Bacteroides sp. 4_1_36</t>
  </si>
  <si>
    <t>sp|Q7SDF3|MPH1_NEUCR</t>
  </si>
  <si>
    <t>Neurospora crassa (strain ATCC 24698 / 74-OR23-1A / CBS 708.71 / DSM 1257 / FGSC 987)</t>
  </si>
  <si>
    <t>napH | COX3 | RfbX | nhaA | PRK04949 | rodA_shape | ccoG_rdxA_fixG | TrbL | ND6 | GPI2 |</t>
  </si>
  <si>
    <t>Fibrobacter succinogenes subsp. succinogenes S85</t>
  </si>
  <si>
    <t>sp|Q54BL2|EFS2_DICDI</t>
  </si>
  <si>
    <t>RimK |</t>
  </si>
  <si>
    <t>Bdellovibrio bacteriovorus HD100</t>
  </si>
  <si>
    <t>sp|Q6MLK1|GLYA_BDEBA</t>
  </si>
  <si>
    <t>Bdellovibrio bacteriovorus</t>
  </si>
  <si>
    <t>PIN_Fcf1 | delta_tubulin | AcnA_Bact | MhpB_like | mhpB | acon_putative | ligB | RNR_III | PRK07229 | PHA03375 |</t>
  </si>
  <si>
    <t>Chlorella variabilis</t>
  </si>
  <si>
    <t>sp|Q9Y2G1|MRF_HUMAN</t>
  </si>
  <si>
    <t>PRK10572 | PRK05942 | PLN02164 | ygfB_yecA | PRK06156 | Nudix_Hydrolase_26 | DUF1632 | COG3816 | MET2 | FliI_clade1 |</t>
  </si>
  <si>
    <t>sp|P33844|VA21_VAR67</t>
  </si>
  <si>
    <t>Variola virus (isolate Human/India/Ind3/1967)</t>
  </si>
  <si>
    <t>PHA03045 | Pox_A21 | PHA02677 |</t>
  </si>
  <si>
    <t>Isosphaera pallida ATCC 43644</t>
  </si>
  <si>
    <t>sp|P27973|POL_SIVV1</t>
  </si>
  <si>
    <t>Simian immunodeficiency virus agm.vervet (isolate AGM155)</t>
  </si>
  <si>
    <t>PRK10124 | Cas1p | Fijivirus_P9-2 | HpnN | lanti_perm_MutE | PRK12664 | DUF161 | DUF3430 | TehA | Cyt_b561_ACYB-1_like |</t>
  </si>
  <si>
    <t>Posttranslational modification, protein turnover, chaperones, Transcription, Lipid transport and metabolism, Signal transduction mechanisms</t>
  </si>
  <si>
    <t>sp|Q9LKA5|UMP1_ARATH</t>
  </si>
  <si>
    <t>ND5 2e-004| ND6 0.026| ND2 0.065| ND2 | ND5 | Bul1_C | CYTB | COX3 | ND4 | PHA03042 |</t>
  </si>
  <si>
    <t>sp|Q9VCI3|LSD1_DROME</t>
  </si>
  <si>
    <t>Perilipin 8e-012| ND5 2e-004| ND6 0.025| ND2 0.062| ND2 | Bul1_C | PHA03042 | VAR1 | PAL-HAL | DUF1157 |</t>
  </si>
  <si>
    <t>Lipid storage droplet-1 - Drosophila melanogaster - lipid storage - lipid particle - regulation of lipid storage - lipid particle organization - neurogenesis</t>
  </si>
  <si>
    <t>lipid particle</t>
  </si>
  <si>
    <t>Any particle of coalesced lipids in the cytoplasm of a cell. May include associated proteins.  [GOC:mah]</t>
  </si>
  <si>
    <t>adiposome  EXACT []</t>
  </si>
  <si>
    <t>lipid storage</t>
  </si>
  <si>
    <t>The accumulation and maintenance in cells or tissues of lipids, compounds soluble in organic solvents but insoluble or sparingly soluble in aqueous solvents. Lipid reserves can be accumulated during early developmental stages for mobilization and utilization at later stages of development.  [GOC:dph, GOC:mah, GOC:tb, PMID:11102830]</t>
  </si>
  <si>
    <t>lipid retention  EXACT [GOC:dph, GOC:tb]</t>
  </si>
  <si>
    <t>sp|Q5RFK0|ETFB_PONAB</t>
  </si>
  <si>
    <t>FixA 3e-077| ETF_beta 1e-072| ETF 2e-047| ETF 7e-041| ETF 1e-032| PRK12342 3e-019| PRK03359 3e-017| ETF_alpha 3e-006| FrhA 0.093| Usp |</t>
  </si>
  <si>
    <t>Drosophila melanogaster - mitochondrial electron transfer flavoprotein complex - electron carrier activity - oxidative phosphorylation - lipid particle - microtubule associated complex</t>
  </si>
  <si>
    <t>electron carrier activity</t>
  </si>
  <si>
    <t>Any molecular entity that serves as an electron acceptor and electron donor in an electron transport system.  [ISBN:0198506732]</t>
  </si>
  <si>
    <t>2Fe-2S electron transfer carrier  NARROW []</t>
  </si>
  <si>
    <t>mitochondrial electron transfer flavoprotein complex</t>
  </si>
  <si>
    <t>A protein complex located in the mitochondrion. It contains flavin adenine dinucleotide (FAD) that, together with an acyl-CoA dehydrogenase, forms a system that oxidizes an acyl-CoA molecule and reduces ubiquinone and other acceptors in the mitochondrial electron transport system.  [GOC:mtg_sensu, ISBN:0198506732]</t>
  </si>
  <si>
    <t>oxidative phosphorylation</t>
  </si>
  <si>
    <t>The phosphorylation of ADP to ATP that accompanies the oxidation of a metabolite through the operation of the respiratory chain. Oxidation of compounds establishes a proton gradient across the membrane, providing the energy for ATP synthesis.  [ISBN:0198506732, ISBN:0471331309]</t>
  </si>
  <si>
    <t>respiratory-chain phosphorylation  EXACT []</t>
  </si>
  <si>
    <t>sp|Q7YN57|RPOB_EIMTE</t>
  </si>
  <si>
    <t>ND5 0.006| DUF613 0.019| DUF368 0.039| PRK07132 0.054| ND2 | DUF1279 | DUF2029 | AlsT | ND4 | 7TM_GPCR_Srz |</t>
  </si>
  <si>
    <t>Candidatus Blochmannia pennsylvanicus str. BPEN</t>
  </si>
  <si>
    <t>sp|Q8SSS9|QKGA_DICDI</t>
  </si>
  <si>
    <t>ND4 | Aph-1 | ND5 | ND4 | ND6 | HOLI | TcdA_TcdB | PRK12276 | rpoC2 | FU |</t>
  </si>
  <si>
    <t>DNA_pack_C | PHA03368 | PRK14985 |</t>
  </si>
  <si>
    <t>TFIID_90kDa | TAF5_NTD2 | PRK15082 |</t>
  </si>
  <si>
    <t>TAF19 | Het-C | RhoGAP | ASC | PLN02737 |</t>
  </si>
  <si>
    <t>Bacillus cereus ATCC 10987</t>
  </si>
  <si>
    <t>sp|Q07881|YL047_YEAST</t>
  </si>
  <si>
    <t>COX3 0.072| ND6 | ND2 | ND6 | ND5 | ND4L | NS3_envE | ATP8 | Plasmodium_Vir | ND5 |</t>
  </si>
  <si>
    <t>Candidatus Arthromitus sp. SFB-rat-Yit</t>
  </si>
  <si>
    <t>sp|Q6XUW5|MT_PLEAT</t>
  </si>
  <si>
    <t>Plecoglossus altivelis</t>
  </si>
  <si>
    <t>ND6 | PME_inhib | Toxin_34 | PHA03042 | PigN | rpoB | IGFBP | PSS | Rad1 | PHA03100 |</t>
  </si>
  <si>
    <t>sp|Q5FUR2|TIG_GLUOX</t>
  </si>
  <si>
    <t>DUF1777 0.055| Transformer | ADOP | PRP38_assoc | SF-CC1 | PRK10577 | PRK10367 | U2AF_lg | DUF755 | FHIPEP |</t>
  </si>
  <si>
    <t>Cell motility, Signal transduction mechanisms, Cytoskeleton</t>
  </si>
  <si>
    <t>sp|Q8LGU1|AB8C_ARATH</t>
  </si>
  <si>
    <t>7TM_GPCR_Sra | CAP10 | Baculo_helicase | glgC | 7TM_GPCR_Srt | zf-UBR | PLN02241 | int_mem_ywzB | GFP | 5 |</t>
  </si>
  <si>
    <t>sp|Q9Y8H7|SPEE_NEUCR</t>
  </si>
  <si>
    <t>speE 3e-015| PLN02366 2e-013| PRK00811 1e-012| SpeE 4e-010| Spermine_synth 0.006| speE 0.014| PLN02823 0.046| PTZ00046 | COG3936 | PHA02880 |</t>
  </si>
  <si>
    <t>Spermidine Synthase - Drosophila melanogaster - spermidine synthase activity - spermidine biosynthetic process - cellular_component</t>
  </si>
  <si>
    <t>spermidine synthase activity</t>
  </si>
  <si>
    <t>Catalysis of the reaction: S-adenosylmethioninamine + putrescine = 5'-methylthioadenosine + spermidine.  [EC:2.5.1.16]</t>
  </si>
  <si>
    <t>aminopropyltransferase activity  EXACT [EC:2.5.1.16]</t>
  </si>
  <si>
    <t>spermidine biosynthetic process</t>
  </si>
  <si>
    <t>The chemical reactions and pathways resulting in the formation of spermidine, N-(3-aminopropyl)-1,4-diaminobutane.  [GOC:go_curators, ISBN:0198506732]</t>
  </si>
  <si>
    <t>spermidine anabolism  EXACT []</t>
  </si>
  <si>
    <t>Coprococcus catus GD/7</t>
  </si>
  <si>
    <t>sp|P04929|HRPX_PLALO</t>
  </si>
  <si>
    <t>Plasmodium lophurae</t>
  </si>
  <si>
    <t>ND2 3e-009| ND5 2e-008| ND2 4e-008| ABC2_membrane 5e-008| ND4 7e-008| ND4 9e-008| ND5 3e-007| Oxidored_q3 3e-007| ND6 4e-007| 7TM_GPCR_Srz 6e-007|</t>
  </si>
  <si>
    <t>Catecholamines up - Drosophila melanogaster - ovarian nurse cell to oocyte transport - regulation of catecholamine metabolic process - enzyme regulator activity - integral to plasma membrane - metal ion transmembrane transporter activity - transmembrane transport - metal ion transport - membrane - regulation of epithelial cell migration, open tracheal system</t>
  </si>
  <si>
    <t>enzyme regulator activity</t>
  </si>
  <si>
    <t>Modulates the activity of an enzyme.  [GOC:mah]</t>
  </si>
  <si>
    <t>catalytic regulator activity  EXACT [GOC:dph]</t>
  </si>
  <si>
    <t>integral to plasma membrane</t>
  </si>
  <si>
    <t>Penetrating at least one phospholipid bilayer of a plasma membrane. May also refer to the state of being buried in the bilayer with no exposure outside the bilayer.  [GOC:go_curators]</t>
  </si>
  <si>
    <t>ovarian nurse cell to oocyte transport</t>
  </si>
  <si>
    <t>Transfer of constituents synthesized in the ovarian nurse cells to the oocyte, through the ring canals, as the egg chamber is growing. An example of this is found in Drosophila melanogaster.  [GOC:mtg_sensu, ISBN:0879694238]</t>
  </si>
  <si>
    <t>nurse cell to oocyte transport  BROAD []</t>
  </si>
  <si>
    <t>Leptotrichia goodfellowii F0264</t>
  </si>
  <si>
    <t>sp|O81193|SSS_SALOF</t>
  </si>
  <si>
    <t>Salvia officinalis</t>
  </si>
  <si>
    <t>Ribosomal_P2 | Ribosomal_60s | GT2_BcE_like | Ribosomal_P1 | PTZ00135 |</t>
  </si>
  <si>
    <t>ileS |</t>
  </si>
  <si>
    <t>sp|Q566R3|GPTC4_RAT</t>
  </si>
  <si>
    <t>G-patch 3e-009| G_patch 8e-009| G-patch_2 2e-004| ND5 0.015| ND4 0.079| ND5 | Telo_bind | COG2054 | ND5 | AvrE |</t>
  </si>
  <si>
    <t>Drosophila melanogaster - intracellular - nucleic acid binding</t>
  </si>
  <si>
    <t>RNA processing and modification, Cell cycle control, cell division, chromosome partitioning</t>
  </si>
  <si>
    <t>sp|Q6P1S4|SYRC_XENTR</t>
  </si>
  <si>
    <t>PLN02286 1e-044| ArgS 7e-034| argS 2e-033| argS 3e-033| Anticodon_Ia_Arg 8e-028| DALR_1 5e-026| DALR_1 3e-023| PRK12451 1e-014| tRNA-synt_1d 2e-005| PHA03042 0.084|</t>
  </si>
  <si>
    <t>arginyl-tRNA synthetase - Danio rerio - nucleotide binding - arginine-tRNA ligase activity - ATP binding - cytoplasm - tRNA aminoacylation for protein translation - arginyl-tRNA aminoacylation - aminoacyl-tRNA ligase activity - ligase activity - translation</t>
  </si>
  <si>
    <t>tRNA aminoacylation for protein translation</t>
  </si>
  <si>
    <t>The synthesis of aminoacyl tRNA by the formation of an ester bond between the 3'-hydroxyl group of the most 3' adenosine of the tRNA, to be used in ribosome-mediated polypeptide synthesis.  [GOC:ma]</t>
  </si>
  <si>
    <t>tRNA charging  NARROW []</t>
  </si>
  <si>
    <t>sp|Q9VWA1|CLC_DROME</t>
  </si>
  <si>
    <t>Clathrin_lg_ch 4e-031| AgrB 0.001| PRK03918 0.001| AgrB 0.014| HTTM 0.028| GWT1 0.037| PRP3 0.067| 7TM_GPCR_Srbc 0.095| Srg | ND4 |</t>
  </si>
  <si>
    <t>Uncharacterized protein - Homo sapiens - structural molecule activity - intracellular protein transport - vesicle-mediated transport - clathrin coat of trans-Golgi network vesicle - clathrin coat of coated pit</t>
  </si>
  <si>
    <t>structural molecule activity</t>
  </si>
  <si>
    <t>The action of a molecule that contributes to the structural integrity of a complex or assembly within or outside a cell.  [GOC:mah]</t>
  </si>
  <si>
    <t>clathrin coat of trans-Golgi network vesicle</t>
  </si>
  <si>
    <t>A clathrin coat found on a vesicle of the trans-Golgi network.  [GOC:mah]</t>
  </si>
  <si>
    <t>clathrin coat of TGN vesicle  EXACT []</t>
  </si>
  <si>
    <t>intracellular protein transport</t>
  </si>
  <si>
    <t>The directed movement of proteins in a cell, including the movement of proteins between specific compartments or structures within a cell, such as organelles of a eukaryotic cell.  [GOC:mah]</t>
  </si>
  <si>
    <t>sp|Q08170|SRSF4_HUMAN</t>
  </si>
  <si>
    <t>PHA03307 7e-008| DUF1777 8e-008| Transformer 1e-007| DUF936 2e-007| PRP38_assoc 4e-007| U2AF_lg 6e-007| DUF566 8e-007| PTZ00473 1e-006| Dsh_C 3e-006| Filament_head 5e-006|</t>
  </si>
  <si>
    <t>Uncharacterized protein - Sus scrofa - nucleotide binding - nucleic acid binding - negative regulation of nuclear mRNA splicing, via spliceosome</t>
  </si>
  <si>
    <t>RNA splicing, via transesterification reactions</t>
  </si>
  <si>
    <t>Splicing of RNA via a series of two transesterification reactions.  [GOC:krc]</t>
  </si>
  <si>
    <t>pre-mRNA splicing factor activity  RELATED [GOC:krc, GOC:mah]</t>
  </si>
  <si>
    <t>PRK05474 | xylose_isom_A | DIE2_ALG10 | DUF879 | Ins_P5_2-kin | PHA02655 | COG4069 | DUF1157 | APH | His_Phos_2 |</t>
  </si>
  <si>
    <t>sp|Q3SYB3|FX4L6_HUMAN</t>
  </si>
  <si>
    <t>PRK03449 | PLN02816 | GT8_A4GalT_like | mltA |</t>
  </si>
  <si>
    <t>sp|Q18221|SET2_CAEEL</t>
  </si>
  <si>
    <t>ATP6 | Amastin | Herpes_BMRF2 | PHA01076 | ND5 | 7TM_GPCR_Srv | Oxidored_q1 | CYTB | BRO1_ScBro1_like | dnaA |</t>
  </si>
  <si>
    <t>sp|O42690|CDR3_CANAX</t>
  </si>
  <si>
    <t>Candida albicans</t>
  </si>
  <si>
    <t>DUF3796 0.002| ND5 0.011| Fijivirus_P9-2 0.050| 3a01205 0.071| Pox_polyA_pol_N | spore_V_B | PHA02972 | ND2 | CreD | Herpes_BMRF2 |</t>
  </si>
  <si>
    <t>sp|Q8M9T2|YCF1_CHAGL</t>
  </si>
  <si>
    <t>Chaetosphaeridium globosum</t>
  </si>
  <si>
    <t>DUF63 0.021| pbsA | PRK10429 | pyrH_arch | Arv1 | Sre | PHA03010 | PTZ00234 | PTZ00447 | COG4905 |</t>
  </si>
  <si>
    <t>Drosophila ananassae</t>
  </si>
  <si>
    <t>sp|Q24319|OST48_DROME</t>
  </si>
  <si>
    <t>DDOST_48kD 5e-009| PHA03042 | TIGR03766 | DUF1368 | PHA03100 | ND5 | PRK11537 | NQR2_RnfD_RnfE | PRK11189 | GT_GPT_archaea |</t>
  </si>
  <si>
    <t>Oligosaccharyltransferase 48kD subunit - Drosophila melanogaster - dolichyl-diphosphooligosaccharide-protein glycotransferase activity - protein N-linked glycosylation - protein N-linked glycosylation via asparagine - endoplasmic reticulum membrane - lipid particle - Golgi organization - lipid particle organization - neurogenesis</t>
  </si>
  <si>
    <t>dolichyl-diphosphooligosaccharide-protein glycotransferase activity</t>
  </si>
  <si>
    <t>Catalysis of the reaction: dolichyl diphosphooligosaccharide + protein L-asparagine = dolichyl diphosphate + a glycoprotein with the oligosaccharide chain attached by glycosylamine linkage to protein L-asparagine.  [EC:2.4.1.119]</t>
  </si>
  <si>
    <t>asparagine N-glycosyltransferase activity  EXACT [EC:2.4.1.119]</t>
  </si>
  <si>
    <t>endoplasmic reticulum membrane</t>
  </si>
  <si>
    <t>The lipid bilayer surrounding the endoplasmic reticulum.  [GOC:mah]</t>
  </si>
  <si>
    <t>ER membrane  EXACT []</t>
  </si>
  <si>
    <t>protein N-linked glycosylation</t>
  </si>
  <si>
    <t>A protein glycosylation process in which a sugar unit is added to a protein via the N4 atom of peptidyl-asparagine, the omega-N of arginine, or the N1' atom peptidyl-tryptophan.  [RESID:AA0151, RESID:AA0156, RESID:AA0327]</t>
  </si>
  <si>
    <t>N-glycan biosynthesis  RELATED []</t>
  </si>
  <si>
    <t>sp|P0A1M9|SPAS_SHISO</t>
  </si>
  <si>
    <t>Shigella sonnei</t>
  </si>
  <si>
    <t>ND6 | MBOAT | 7TM_GPCR_Srb | TRAP-gamma | secE | psbM | PS_II_psbM | DUF2074 | ND4 | SecE |</t>
  </si>
  <si>
    <t>sp|Q20618|SRA13_CAEEL</t>
  </si>
  <si>
    <t>TATR | zf-DNA_Pol | tatC | nat_prod_clost | Pox_F16 | PHA02882 | UDPGP | Corona_S1 | GT1_like_4 | 3a01203 |</t>
  </si>
  <si>
    <t>sp|Q03824|INP2_YEAST</t>
  </si>
  <si>
    <t>matK 0.084| MatK_N |</t>
  </si>
  <si>
    <t>Culex tarsalis</t>
  </si>
  <si>
    <t>sp|Q05825|ATPB_DROME</t>
  </si>
  <si>
    <t>PRK09280 2e-060| atpD 3e-051| AtpD 9e-050| atpB 9e-050| PRK12597 2e-042| ATP-synt_ab_C 8e-030| alt_F1F0_F1_bet 9e-028| NtpA 0.005| PRK04192 0.006| V-ATPase_V1_A 0.009|</t>
  </si>
  <si>
    <t>ATP synthase-beta - Drosophila melanogaster - hydrogen-exporting ATPase activity, phosphorylative mechanism - proton transport - mitochondrial proton-transporting ATP synthase complex, catalytic core F(1) - proton-transporting ATPase activity, rotational mechanism - ATP synthesis coupled proton transport - ATP hydrolysis coupled proton transport - ATP binding - hydrogen ion transporting ATP synthase activity, rotational mechanism - lipid particle - lateral inhibition</t>
  </si>
  <si>
    <t>mitochondrial proton-transporting ATP synthase complex, catalytic core F(1)</t>
  </si>
  <si>
    <t>The catalytic sector of the mitochondrial hydrogen-transporting ATP synthase; it comprises the catalytic core and central stalk, and is peripherally associated with the mitochondrial inner membrane when the entire ATP synthase is assembled.  [GOC:mtg_sensu, PMID:10838056]</t>
  </si>
  <si>
    <t>hydrogen-transporting ATP synthase, F1 sector  BROAD []</t>
  </si>
  <si>
    <t>sp|P05389|RLA2_DROME</t>
  </si>
  <si>
    <t>Ribosomal_P2 6e-018| Ribosomal_60s 8e-016| Ribosomal_P1 4e-015| PLN00138 2e-014| PTZ00373 5e-011| RPP1A 2e-009| PTZ00135 3e-009| Ribosomal_P1_P2_L12p 4e-009| rpl12p 6e-009| L21P_arch 2e-008|</t>
  </si>
  <si>
    <t>Ribosomal protein LP2 - Drosophila melanogaster - translation - structural constituent of ribosome - cytosolic ribosome - translational elongation - cytosolic large ribosomal subunit</t>
  </si>
  <si>
    <t>cytosolic ribosome</t>
  </si>
  <si>
    <t>A ribosome located in the cytosol.  [GOC:mtg_sensu]</t>
  </si>
  <si>
    <t>70S ribosome  NARROW []</t>
  </si>
  <si>
    <t>sp|Q5AH25|EXO70_CANAL</t>
  </si>
  <si>
    <t>Candida albicans (strain SC5314 / ATCC MYA-2876)</t>
  </si>
  <si>
    <t>235kDa-fam 0.046| MpPF26 | COG2604 | SAM_decarbox | PLN02524 | PTS_IIB_bgl_like | LANC_like | rimM | Tfb4 | PHA02264 |</t>
  </si>
  <si>
    <t>sp|Q7VGZ3|RSMA_HELHP</t>
  </si>
  <si>
    <t>Helicobacter hepaticus</t>
  </si>
  <si>
    <t>aconitase_1 | PRK07208 | PRK04204 | acnA | DUF288 | AcnA | PRK09277 | Avl9 | Med3 | PTZ00477 |</t>
  </si>
  <si>
    <t>Nuclear structure, Intracellular trafficking, secretion, and vesicular transport</t>
  </si>
  <si>
    <t>sp|Q8VDG5|PPCS_MOUSE</t>
  </si>
  <si>
    <t>DFP 1e-028| PRK05579 2e-008| coaBC_dfp 2e-007| Dfp 1e-006| coaB_strep 5e-005| PRK06732 8e-005| PRK09620 3e-004| Peptidase_C19P | 2oxo_dh_E1 | 17beta-HSD1_like_SDR_c |</t>
  </si>
  <si>
    <t>Phosphopantothenoylcysteine synthetase - Drosophila melanogaster - phospholipid homeostasis - triglyceride homeostasis - ovarian follicle cell migration - cytoplasmic transport, nurse cell to oocyte - actin cytoskeleton organization - dorsal appendage formation - phosphopantothenate--cysteine ligase activity - coenzyme A biosynthetic process - germarium-derived female germ-line cyst encapsulation - chaeta development - ovarian follicle cell stalk formation - imaginal disc-derived wing morphogenesis</t>
  </si>
  <si>
    <t>PRK15078 | DUF3034 | Cu-oxidase | Dicty_spore_N | Poly_export |</t>
  </si>
  <si>
    <t>18 | ND1 | PTZ00228 | ND2 | 7TM_GPCR_Srw | MopB_Res-Cmplx1_Nad11-M | ASFV_360 | ND6 | CLAG | ND4 |</t>
  </si>
  <si>
    <t>sp|P08574|CY1_HUMAN</t>
  </si>
  <si>
    <t>Cytochrom_C1 6e-010| CYT1 2e-006| ND6 0.034| 7TM_GPCR_Srsx 0.062| ND6 | WzzB | 2A0309 | BROMO | PS_antenn_a_b | COG4478 |</t>
  </si>
  <si>
    <t>Drosophila melanogaster - electron transporter, transferring electrons within CoQH2-cytochrome c reductase complex activity - oxidative phosphorylation - mitochondrial respiratory chain complex III - mitochondrial electron transport, ubiquinol to cytochrome c - heme binding - lipid particle</t>
  </si>
  <si>
    <t>electron transporter, transferring electrons within CoQH2-cytochrome c reductase complex activity</t>
  </si>
  <si>
    <t>Enables the directed movement of electrons within the CoQH2-cytochrome c reductase complex.  [GOC:ai, ISBN:0716731363]</t>
  </si>
  <si>
    <t>cytochrome  RELATED []</t>
  </si>
  <si>
    <t>mitochondrial respiratory chain complex III</t>
  </si>
  <si>
    <t>A protein complex located in the mitochondrial inner membrane that forms part of the mitochondrial respiratory chain. Contains about 10 polypeptide subunits including four redox centers: cytochrome b/b6, cytochrome c1 and an 2Fe-2S cluster. Catalyzes the oxidation of ubiquinol by oxidized cytochrome c1.  [GOC:mtg_sensu, ISBN:0198547684]</t>
  </si>
  <si>
    <t>mitochondrial complex III  EXACT [GOC:mcc]</t>
  </si>
  <si>
    <t>Corynebacterium bovis DSM 20582</t>
  </si>
  <si>
    <t>sp|P47591|Y349_MYCGE</t>
  </si>
  <si>
    <t>ULP1 | PRK14703 | PRK11768 | DUF2152 |</t>
  </si>
  <si>
    <t>sp|Q54J71|FSLG_DICDI</t>
  </si>
  <si>
    <t>PLN00218 | nadD | CDC37_N |</t>
  </si>
  <si>
    <t>sp|Q5RKI1|IF4A2_RAT</t>
  </si>
  <si>
    <t>PTZ00424 1e-079| SrmB 2e-042| PRK11776 2e-040| HELICc 8e-034| PRK11192 2e-031| Helicase_C 2e-027| HELICc 8e-027| PRK11634 3e-026| PTZ00110 6e-026| PRK04837 9e-024|</t>
  </si>
  <si>
    <t>Uncharacterized protein - Rattus norvegicus - ATP-dependent helicase activity - hydrolase activity</t>
  </si>
  <si>
    <t>nuclear-transcribed mRNA catabolic process, deadenylation-dependent decay</t>
  </si>
  <si>
    <t>A major pathway of degradation of nuclear-transcribed mRNAs that proceeds through a series of ordered steps that includes poly(A) tail shortening and that can regulate mRNA stability.  [GOC:jp, GOC:krc]</t>
  </si>
  <si>
    <t>deadenylation-dependent mRNA decay  EXACT []</t>
  </si>
  <si>
    <t>Candidatus Regiella insecticola R5.15</t>
  </si>
  <si>
    <t>sp|O43167|ZBT24_HUMAN</t>
  </si>
  <si>
    <t>ycf46 | nadR_NMN_Atrans | PRK08206 | PRK14964 | PLN02525 | PRK14989 | PRK11880 | PLN03244 | DUF360 | PRK11611 |</t>
  </si>
  <si>
    <t>sp|Q6UUW5|CRLB_DICDI</t>
  </si>
  <si>
    <t>ND4 0.008| ND1 0.035| 2A0309 0.091| ND5 0.092| Arif-1 | ND2 | ELF | 7TM_GPCR_Srz | COX2 | DUF95 |</t>
  </si>
  <si>
    <t>sp|Q54SH8|GRLH_DICDI</t>
  </si>
  <si>
    <t>ND6 0.012| PHA03100 0.030| ND2 0.050| ND5 | ND6 | FadR_C | fadR_gamma | PRK04984 | DUF1975 | PHA03018 |</t>
  </si>
  <si>
    <t>sp|A4JMC2|TRUA_BURVG</t>
  </si>
  <si>
    <t>Burkholderia vietnamiensis (strain G4 / LMG 22486)</t>
  </si>
  <si>
    <t>TDT_like_3 | PRK05716 |</t>
  </si>
  <si>
    <t>General function prediction only, Signal transduction mechanisms</t>
  </si>
  <si>
    <t>sp|O88761|PSMD1_RAT</t>
  </si>
  <si>
    <t>PHA03307 | Tweety_N | DUF2946 | PRK14774 | TT_ORF1 | Umbravirus_LDM | SRPBCC_Smu440-like | dnaA | rSAM_fuse_unch | PRK05481 |</t>
  </si>
  <si>
    <t>proteasome (prosome, macropain) 26S subunit, non-ATPase, 1 - Danio rerio - binding - enzyme regulator activity - regulation of protein catabolic process - proteasome complex</t>
  </si>
  <si>
    <t>proteasome complex</t>
  </si>
  <si>
    <t>A large multisubunit complex which catalyzes protein degradation. This complex consists of the barrel shaped proteasome core complex and one or two associated proteins or complexes that act in regulating entry into or exit from the core.  [GOC:rb]</t>
  </si>
  <si>
    <t>26S proteasome  NARROW []</t>
  </si>
  <si>
    <t>regulation of protein catabolic process</t>
  </si>
  <si>
    <t>Any process that modulates the frequency, rate or extent of the chemical reactions and pathways resulting in the breakdown of a protein by the destruction of the native, active configuration, with or without the hydrolysis of peptide bonds.  [GOC:go_curators, GOC:jl]</t>
  </si>
  <si>
    <t>regulation of protein breakdown  EXACT []</t>
  </si>
  <si>
    <t>sp|P82792|DEF70_ARATH</t>
  </si>
  <si>
    <t>Knot1 0.002| Knot1 0.006| SLR1-BP 0.020| PqiA | Herpes_glycop | pqiA_fam | ATPase-Plipid | HyfB | PRK14469 | TIGR03766 |</t>
  </si>
  <si>
    <t>Anabrus simplex</t>
  </si>
  <si>
    <t>sp|P33501|CYB_ANOQU</t>
  </si>
  <si>
    <t>Anopheles quadrimaculatus</t>
  </si>
  <si>
    <t>CYTB 2e-010| CYTB 6e-008| CYTB 3e-007| CYTB 2e-006| CYTB 2e-005| CYTB 8e-005| CYTB 1e-004| CYTB 5e-004| CYTB 0.001| CYTB 0.001|</t>
  </si>
  <si>
    <t>mitochondrial Cytochrome b - Drosophila melanogaster - mitochondrial respiratory chain complex III - ubiquinol-cytochrome-c reductase activity - respiratory electron transport chain - electron carrier activity - oxidoreductase activity - membrane</t>
  </si>
  <si>
    <t>ubiquinol-cytochrome-c reductase activity</t>
  </si>
  <si>
    <t>Catalysis of the transfer of a solute or solutes from one side of a membrane to the other according to the reaction: CoQH2 + 2 ferricytochrome c = CoQ + 2 ferrocytochrome c + 2 H+.  [EC:1.10.2.2, ISBN:0198547684]</t>
  </si>
  <si>
    <t>coenzyme Q-cytochrome c reductase activity  EXACT [EC:1.10.2.2]</t>
  </si>
  <si>
    <t>respiratory electron transport chain</t>
  </si>
  <si>
    <t>A process in which a series of electron carriers operate together to transfer electrons from donors such as NADH and FADH2 to any of several different terminal electron acceptors to generate a transmembrane electrochemical gradient.  [GOC:mtg_electron_transport, ISBN:0716720094]</t>
  </si>
  <si>
    <t>6-phosphofructokinase reduction  RELATED []</t>
  </si>
  <si>
    <t>sp|Q54JI1|Y7749_DICDI</t>
  </si>
  <si>
    <t>DUF1430 | Zn_dep_PLPC | PLN03140 | argR | DUF1694 | PRK09609 | ERG8 |</t>
  </si>
  <si>
    <t>sp|Q6F444|RL24_PLUXY</t>
  </si>
  <si>
    <t>DUF3414 | PTZ00358 | DUF1011 | COG5081 | PRK05244 | glmU | DREG-2 | DUF2985 | SAM_PNT-PDEF-like |</t>
  </si>
  <si>
    <t>sp|P55735|SEC13_HUMAN</t>
  </si>
  <si>
    <t>WD40 5e-006| COG2319 2e-004| WD40 0.016| WD40 0.018| GH43_XYL_2 0.074| DUF1835 | 7TM_GPCR_Srz | ND2 | ND4 | PRK15314 |</t>
  </si>
  <si>
    <t>Protein SEC13 homolog - Homo sapiens - M phase of mitotic cell cycle - mitotic prometaphase - mitotic cell cycle - kinetochore - antigen processing and presentation of peptide antigen via MHC class I - protein binding - nucleus - nuclear envelope - endoplasmic reticulum - endoplasmic reticulum membrane - cytosol - intracellular protein transport - ER to Golgi vesicle-mediated transport - ER to Golgi transport vesicle membrane - membrane - cellular membrane organization - vesicle-mediated transport - protein N-linked glycosylation via asparagine - Nup107-160 complex - cytoplasmic vesicle - post-translational protein modification - cellular protein metabolic process - COPII vesicle coating - mRNA transport</t>
  </si>
  <si>
    <t>kinetochore</t>
  </si>
  <si>
    <t>A multisubunit complex that is located at the centromeric region of DNA and provides an attachment point for the spindle microtubules.  [GOC:elh]</t>
  </si>
  <si>
    <t>M phase of mitotic cell cycle</t>
  </si>
  <si>
    <t>M phase occurring as part of the mitotic cell cycle. M phase is the part of the cell cycle during which nuclear division takes place. A mitotic cell cycle is one which canonically comprises four successive phases called G1, S, G2, and M and includes replication of the genome and the subsequent segregation of chromosomes into daughter cells.  [GOC:dph, GOC:mah, ISBN:0815316194]</t>
  </si>
  <si>
    <t>M-phase of mitotic cell cycle  EXACT []</t>
  </si>
  <si>
    <t>Canis lupus familiaris</t>
  </si>
  <si>
    <t>Papilloma_E5 | rne | PRK03007 |</t>
  </si>
  <si>
    <t>sp|B5DF51|MMGT1_RAT</t>
  </si>
  <si>
    <t>ND5 0.075| ND4 0.094| MMgT | ND2 | ATP6 | ND2 | ND4L | Med23 | ND4L | ATP8 |</t>
  </si>
  <si>
    <t>Enterocytozoon bieneusi H348</t>
  </si>
  <si>
    <t>sp|O15820|PGM_ENTHI</t>
  </si>
  <si>
    <t>Entamoeba histolytica</t>
  </si>
  <si>
    <t>DUF846 | PRK07609 | DUF300 | GlgP | moaA | DUF3050 | PHA02980 | Carla_C4 | PRK11930 | COG5134 |</t>
  </si>
  <si>
    <t>sp|P25202|RPC1_GIAIN</t>
  </si>
  <si>
    <t>Giardia intestinalis</t>
  </si>
  <si>
    <t>DUF221 |</t>
  </si>
  <si>
    <t>sp|P37515|MAA_BACSU</t>
  </si>
  <si>
    <t>PRK01024 | GatC | nqrB | PRK05349 |</t>
  </si>
  <si>
    <t>sp|Q49A17|GLTL6_HUMAN</t>
  </si>
  <si>
    <t>Ricin_B_lectin 7e-007| RICIN 4e-005| RICIN 1e-004| gmhA | Med23 | ND2 | ndhA | Plasmepsin_5 | COG5547 | ksgA |</t>
  </si>
  <si>
    <t>Phytophthora sojae</t>
  </si>
  <si>
    <t>PRK08581 | Dicty_REP | SNF | Phage_min_cap2 | TIGR03943 | ubiA | ND3 | ATP8 | Herpes_UL74 | Peptidase_A17 |</t>
  </si>
  <si>
    <t>Heterodera glycines</t>
  </si>
  <si>
    <t>sp|C7YQ16|NOP9_NECH7</t>
  </si>
  <si>
    <t>Nectria haematococca (strain 77-13-4 / ATCC MYA-4622 / FGSC 9596 / MPVI)</t>
  </si>
  <si>
    <t>ND2 0.001| PLN00148 0.003| rpl12p 0.005| COX3 0.005| RNA_polI_A34 0.006| MFS 0.008| rpsP 0.010| ND4 0.012| eIF3_subunit 0.014| TSGP1 0.016|</t>
  </si>
  <si>
    <t>sp|A5DHT2|RPB2_PICGU</t>
  </si>
  <si>
    <t>Meyerozyma guilliermondii (strain ATCC 6260 / CBS 566 / DSM 6381 / JCM 1539 / NBRC 10279 / NRRL Y-324)</t>
  </si>
  <si>
    <t>PLN02302 | gph | PRK10255 | TRX_DnaJ | fliS |</t>
  </si>
  <si>
    <t>sp|Q8KA00|RSMA_BUCAP</t>
  </si>
  <si>
    <t>Rbsn 3e-006| PRK07668 0.068| ABC2_membrane | amt | Plasmodium_Vir | TraX | 7TM_GPCR_Srz | Baculo_helicase | ND2 | Ammonium_transp |</t>
  </si>
  <si>
    <t>sp|Q28596|TRFR_SHEEP</t>
  </si>
  <si>
    <t>Trypanosoma vivax Y486</t>
  </si>
  <si>
    <t>sp|Q9XI78|FUT8_ARATH</t>
  </si>
  <si>
    <t>LAGLIDADG_2 | lef-8 | 7TM_GPCR_Sru | LEF-8 | NUC | integ_memb_HG | DUF2616 | DltB | hemN | 7TM_GPCR_Sri |</t>
  </si>
  <si>
    <t>sp|Q5UQI2|YR809_MIMIV</t>
  </si>
  <si>
    <t>DUF2701 | blh_monoox |</t>
  </si>
  <si>
    <t>sp|Q8LFQ6|GRXC4_ARATH</t>
  </si>
  <si>
    <t>GRX_GRXh_1_2_like 2e-030| GRX_euk 7e-029| GRX_family 1e-017| Glutaredoxin 5e-016| GlrX-like_plant 2e-013| GrxC 2e-012| GRX_GRXb_1_3_like 1e-010| GRX_hybridPRX5 3e-010| GRX_bact 1e-009| GlrX-dom 2e-009|</t>
  </si>
  <si>
    <t>Grx-1 - Drosophila melanogaster - disulfide oxidoreductase activity - cell redox homeostasis - electron carrier activity - protein disulfide oxidoreductase activity</t>
  </si>
  <si>
    <t>cell redox homeostasis</t>
  </si>
  <si>
    <t>Any process that maintains the redox environment of a cell or compartment within a cell.  [GOC:ai, GOC:dph, GOC:tb]</t>
  </si>
  <si>
    <t>regulation of cell redox homeostasis  RELATED []</t>
  </si>
  <si>
    <t>sp|Q80943|VE1_HPV60</t>
  </si>
  <si>
    <t>Human papillomavirus type 60</t>
  </si>
  <si>
    <t>PPV_E1_C | PHA02774 | PRK10551 | thermo_KaiC_1 | PRK04328 | PLN03016 | GT_2_WfgS_like | Peptidase_S10 | PI3Kc_IB_gamma | PTKc_Tyro3 |</t>
  </si>
  <si>
    <t>Carbohydrate transport and metabolism, Posttranslational modification, protein turnover, chaperones</t>
  </si>
  <si>
    <t>ND2 | PHA03398 | PHA03051 |</t>
  </si>
  <si>
    <t>sp|Q29MA5|RM24_DROPS</t>
  </si>
  <si>
    <t>rplX_bact 4e-016| rplX 2e-015| RplX 4e-009| rpl24 5e-005| rplX 0.002| 7tm_7 0.040| KOW 0.059| PHA03042 | ND2 | PRK04290 |</t>
  </si>
  <si>
    <t>Probable 39S ribosomal protein L24, mitochondrial - Drosophila pseudoobscura pseudoobscura - molecular_function - cellular_component - biological_process</t>
  </si>
  <si>
    <t>sp|P0CAF5|VF354_ASFWA</t>
  </si>
  <si>
    <t>African swine fever virus (isolate Warthog/Namibia/Wart80/1980)</t>
  </si>
  <si>
    <t>DUF2972 | PHA02984 | Plasmodium_Vir | VAR1 | DUF1160 | Bfr | rps3p | PTZ00229 | PRK10635 | ycf1 |</t>
  </si>
  <si>
    <t>sp|Q8N8D1|PDCD7_HUMAN</t>
  </si>
  <si>
    <t>ND2 0.050| PRP | PRK14552 | pufM | PRK06076 | CDC48 | 26Sp45 | DUF3824 | PRK05854 | TDT_like_3 |</t>
  </si>
  <si>
    <t>sp|Q06450|ATP5E_IPOBA</t>
  </si>
  <si>
    <t>Ipomoea batatas</t>
  </si>
  <si>
    <t>ATP-synt_Eps 3e-013| PRK06315 | PRK01637 | DUF2701 | TonB-hemlactrns | parE_Gneg | PRK14488 | FliI_clade2 | Oxidored_q5_N | fliI |</t>
  </si>
  <si>
    <t>stunted - Drosophila melanogaster - hydrogen-exporting ATPase activity, phosphorylative mechanism - mitochondrial proton-transporting ATP synthase complex, catalytic core F(1) - proton transport - ATP synthesis coupled proton transport - proton-transporting ATPase activity, rotational mechanism - hydrogen ion transporting ATP synthase activity, rotational mechanism - response to oxidative stress - determination of adult lifespan - lateral inhibition</t>
  </si>
  <si>
    <t>Phytophthora cinnamomi</t>
  </si>
  <si>
    <t>sp|Q54DN3|XPO7_DICDI</t>
  </si>
  <si>
    <t>7TM_GPCR_Srz 2e-005| 2A0309 0.032| TRAM_LAG1_CLN8 0.039| PRK13298 0.073| ATP6 0.080| PHA03087 0.085| ND2 | ND1 | PHA03098 | exosort_arch |</t>
  </si>
  <si>
    <t>Candidatus Carsonella ruddii PV</t>
  </si>
  <si>
    <t>sp|Q9SAJ5|PP133_ARATH</t>
  </si>
  <si>
    <t>Staph_a_para_1 0.028| TIGR03766 0.044| DUF443 0.066| Baculo_p47 | ND5 | Choline_transpo | ND5 | ND5 | PHA03100 | 7TM_GPCR_Srd |</t>
  </si>
  <si>
    <t>sp|Q963B7|RL9_SPOFR</t>
  </si>
  <si>
    <t>PTZ00027 6e-016| PTZ00179 2e-009| rpl6p 1e-006| arch_L6P 5e-006| Ribosomal_L6 0.027| RplF 0.057| PTZ00482 | PRK11202 | ND2 | Paf1 |</t>
  </si>
  <si>
    <t>Ribosomal protein L9 - Drosophila melanogaster - structural constituent of ribosome - cytosolic large ribosomal subunit - translation - ribosome - rRNA binding - mitotic spindle elongation - mitotic spindle organization</t>
  </si>
  <si>
    <t>sp|Q9VL78|FKB59_DROME</t>
  </si>
  <si>
    <t>PRK14396 | THOC7 | Deadenylase_CCR4a | DUF2011 | PilT | PRESAC | TIGR00282 | SprA-related | GluRS_core | bass |</t>
  </si>
  <si>
    <t>FK506-binding protein FKBP59 - Drosophila melanogaster - peptidyl-prolyl cis-trans isomerase activity - FK506 binding - peripheral nervous system development - protein binding - inaD signaling complex - detection of light stimulus involved in visual perception - regulation of calcium ion transport - protein folding</t>
  </si>
  <si>
    <t>peptidyl-prolyl cis-trans isomerase activity</t>
  </si>
  <si>
    <t>Catalysis of the reaction: peptidyl-proline (omega=180) = peptidyl-proline (omega=0).  [EC:5.2.1.8]</t>
  </si>
  <si>
    <t>cis-trans proline isomerase activity  EXACT []</t>
  </si>
  <si>
    <t>inaD signaling complex</t>
  </si>
  <si>
    <t>A complex of proteins that are involved in phototransduction and attached to the transient receptor potential (TRP) channel. The protein connections are mediated through inaD.  [GOC:hb, PMID:9010208, PMID:9796815]</t>
  </si>
  <si>
    <t>inaD signalling complex  EXACT []</t>
  </si>
  <si>
    <t>peripheral nervous system development</t>
  </si>
  <si>
    <t>The process whose specific outcome is the progression of the peripheral nervous system over time, from its formation to the mature structure. The peripheral nervous system is one of the two major divisions of the nervous system. Nerves in the PNS connect the central nervous system (CNS) with sensory organs, other organs, muscles, blood vessels and glands.  [GOC:go_curators, UBERON:0000010]</t>
  </si>
  <si>
    <t>sp|Q6B959|APLD1_RAT</t>
  </si>
  <si>
    <t>urea_carbox | AHS2 | PTZ00306 | PRK09243 | AHS2 | GH43_like_1 | HCV_env |</t>
  </si>
  <si>
    <t>PRK05174 |</t>
  </si>
  <si>
    <t>Oscillochloris trichoides DG6</t>
  </si>
  <si>
    <t>sp|Q54CM6|Y5530_DICDI</t>
  </si>
  <si>
    <t>VKG_Carbox | 7TM_GPCR_Sru | ND6 | DUF3149 | ND5 | PHA03131 | DUF2679 | DUF912 | ND5 | 7TM_GPCR_Srv |</t>
  </si>
  <si>
    <t>sp|Q9VE46|SC5A7_DROME</t>
  </si>
  <si>
    <t>COG4485 | PRK11021 | DUF222 | Transposase_21 | ycf1 | 3a01204 | aspC | UNC-50 | PRK10429 | PRK12646 |</t>
  </si>
  <si>
    <t>Drosophila melanogaster - proline:sodium symporter activity - acetylcholine biosynthetic process - integral to membrane - choline transmembrane transporter activity - amino acid transmembrane transport - amino acid transmembrane transporter activity</t>
  </si>
  <si>
    <t>proline:sodium symporter activity</t>
  </si>
  <si>
    <t>Catalysis of the transfer of a solute or solutes from one side of a membrane to the other according to the reaction: proline(out) + Na+(out) = proline(in) + Na+(in).  [TC:2.A.22.2.1]</t>
  </si>
  <si>
    <t>sodium/proline symporter activity  EXACT []</t>
  </si>
  <si>
    <t>integral to membrane</t>
  </si>
  <si>
    <t>Penetrating at least one phospholipid bilayer of a membrane. May also refer to the state of being buried in the bilayer with no exposure outside the bilayer. When used to describe a protein, indicates that all or part of the peptide sequence is embedded in the membrane.  [GOC:go_curators]</t>
  </si>
  <si>
    <t>transmembrane  RELATED [GOC:mah]</t>
  </si>
  <si>
    <t>acetylcholine biosynthetic process</t>
  </si>
  <si>
    <t>The chemical reactions and pathways resulting in the formation of acetylcholine, the acetic acid ester of the organic base choline.  [GOC:jl, ISBN:0192800752]</t>
  </si>
  <si>
    <t>acetylcholine anabolism  EXACT []</t>
  </si>
  <si>
    <t>Desulfobacterium autotrophicum HRM2</t>
  </si>
  <si>
    <t>sp|Q6UXX5|ITH5L_HUMAN</t>
  </si>
  <si>
    <t>SF-CC1 | Herpes_IE68 | zf-CCCH | PRK15458 | PRK04841 | ispDF | DNA_pack_N | COG3777 | GH20_Sm-chitobiase-like | Srg |</t>
  </si>
  <si>
    <t>EutA | DUF872 | eutA | ND5 | PRK12646 | 2a38euk | Srg | Nodulin_late |</t>
  </si>
  <si>
    <t>Entamoeba dispar SAW760</t>
  </si>
  <si>
    <t>MIG-14_Wnt-bd 0.002| ND2 0.012| ND5 0.017| exosort_Gpos 0.026| 7TM_GPCR_Srz 0.045| Got1 0.053| DUF3671 0.067| Acyl_transf_3 0.067| LTA_dltB | ND2 |</t>
  </si>
  <si>
    <t>sp|O18640|GBLP_DROME</t>
  </si>
  <si>
    <t>WD40 7e-005| WD40 2e-004| WD40 7e-004| PRK13616 0.052| COG2319 | DHBP_synthase | PRK09311 | PLN00181 | ribB | PRK09319 |</t>
  </si>
  <si>
    <t>Receptor of activated protein kinase C 1 - Drosophila melanogaster - protein kinase C binding - oogenesis - wing disc development - cuticle development - cytoplasm - locomotory behavior - oviposition - microtubule associated complex - precatalytic spliceosome - nuclear mRNA splicing, via spliceosome - catalytic step 2 spliceosome</t>
  </si>
  <si>
    <t>protein kinase C binding</t>
  </si>
  <si>
    <t>Interacting selectively and non-covalently with protein kinase C.  [GOC:jl]</t>
  </si>
  <si>
    <t>PKC binding  EXACT []</t>
  </si>
  <si>
    <t>oogenesis</t>
  </si>
  <si>
    <t>The complete process of formation and maturation of an ovum or female gamete from a primordial female germ cell. Examples of this process are found in Mus musculus and Drosophila melanogaster.  [GOC:kmv, GOC:mtg_sensu]</t>
  </si>
  <si>
    <t>ovum development  EXACT systematic_synonym []</t>
  </si>
  <si>
    <t>Tetrahymena paravorax</t>
  </si>
  <si>
    <t>PRANC | ND5 | Plasmodium_Vir | RasGAP | PTPLA | COG4267 | PHA03031 | Dymeclin | wcaD | nhaA |</t>
  </si>
  <si>
    <t>Methanobacterium sp. AL-21</t>
  </si>
  <si>
    <t>sp|A4GYP8|RPOC2_POPTR</t>
  </si>
  <si>
    <t>dnaE 0.003| PHA02963 | PHA02992 | ND4L | PRK09609 | ND2 | NADH5_C | cemA | PHA03096 | Sec39 |</t>
  </si>
  <si>
    <t>sp|Q8WUM4|PDC6I_HUMAN</t>
  </si>
  <si>
    <t>WWbp 5e-007| PAT1 3e-005| PHA03378 4e-004| Cytadhesin_P30 0.001| CITED 0.006| PRK10263 0.009| DUF1421 0.009| MFMR 0.010| Atrophin-1 0.013| dnaA 0.016|</t>
  </si>
  <si>
    <t>ALG-2 interacting protein X - Drosophila melanogaster - signal transducer activity - positive regulation of JNK cascade - apoptosis - cellular_component - actin filament polymerization</t>
  </si>
  <si>
    <t>positive regulation of JNK cascade</t>
  </si>
  <si>
    <t>Any process that activates or increases the frequency, rate or extent of signal transduction mediated by the JNK cascade.  [GOC:bf]</t>
  </si>
  <si>
    <t>activation of JNK cascade  NARROW []</t>
  </si>
  <si>
    <t>sp|Q62186|SSRD_MOUSE</t>
  </si>
  <si>
    <t>TRAP-delta 2e-038| PLN02340 | hyp_HI0043 | MreD | PRK10916 | MscS_TM | COG2102 | DUF248 | 7TM_GPCR_Srd | DUF2580 |</t>
  </si>
  <si>
    <t>Translocon-associated protein delta - Drosophila melanogaster - Sec61 translocon complex - signal recognition particle, endoplasmic reticulum targeting - signal sequence binding - protein retention in ER lumen - integral to membrane - lipid particle</t>
  </si>
  <si>
    <t>signal sequence binding</t>
  </si>
  <si>
    <t>Interacting selectively and non-covalently with a signal sequence, a specific peptide sequence found on protein precursors or mature proteins that dictates where the mature protein is localized.  [GOC:ai]</t>
  </si>
  <si>
    <t>leader sequence binding  NARROW []</t>
  </si>
  <si>
    <t>Sec61 translocon complex</t>
  </si>
  <si>
    <t>A translocon complex that contains a core heterotrimer of conserved alpha, beta and gamma subunits, and may contain additional proteins (translocon-associated proteins or TRAPs); in budding yeast the core proteins are Sec61p, Sbh1p, and Sss1p. The Sec61 translocon complex functions in cotranslational and posttranslational translocation events.  [GOC:mah, PMID:18166647]</t>
  </si>
  <si>
    <t>Sec61p-Sbh1p-Sss1p complex  NARROW [GOC:mah]</t>
  </si>
  <si>
    <t>protein retention in ER lumen</t>
  </si>
  <si>
    <t>The retention in the endoplasmic reticulum (ER) lumen of soluble resident proteins. Sorting receptors retrieve proteins with ER localization signals, such as KDEL and HDEL sequences or some transmembrane domains, that have escaped to the cis-Golgi network and return them to the ER. Abnormally folded proteins and unassembled subunits are also selectively retained in the ER.  [ISBN:0716731363, PMID:12972550]</t>
  </si>
  <si>
    <t>maintenance of protein location in ER lumen  BROAD [GOC:dph, GOC:tb]</t>
  </si>
  <si>
    <t>sp|P29432|Y015_BUCAP</t>
  </si>
  <si>
    <t>wnt | Arl4_Arl7 | mnmA | DUF494 | PRK04173 | PLN02553 | DUF1383 | ITAM_Cys-rich | DUF1976 | tRNA_Me_trans |</t>
  </si>
  <si>
    <t>sp|Q63226|GRID2_RAT</t>
  </si>
  <si>
    <t>ATP6 | Tmp39 | ND6 | B56 | ND6 | PRK13822 | PIG-U | MPN_RPN7_8 | PLN02337 | ND1 |</t>
  </si>
  <si>
    <t>sp|P50719|TBA_HAECO</t>
  </si>
  <si>
    <t>Haemonchus contortus</t>
  </si>
  <si>
    <t>PLN00221 2e-007| PTZ00335 1e-006| alpha_tubulin 2e-004| COG5023 0.003| ND4 | bact_immun_7tm | ND4 | ND2 | PHA03042 | Cmr4_III-B |</t>
  </si>
  <si>
    <t>zgc:123298 - Danio rerio - protein complex - protein polymerization - GTPase activity - GTP binding - microtubule - GTP catabolic process - microtubule-based movement - microtubule-based process - structural molecule activity - nucleotide binding - cytoskeleton - cytoplasm</t>
  </si>
  <si>
    <t>GTPase activity</t>
  </si>
  <si>
    <t>Catalysis of the reaction: GTP + H2O = GDP + phosphate.  [ISBN:0198547684]</t>
  </si>
  <si>
    <t>ARF small monomeric GTPase activity  NARROW []</t>
  </si>
  <si>
    <t>protein complex</t>
  </si>
  <si>
    <t>Any macromolecular complex composed of two or more polypeptide subunits, which may or may not be identical. Protein complexes may have other associated non-protein prosthetic groups, such as nucleotides, metal ions or other small molecules.  [GOC:go_curators]</t>
  </si>
  <si>
    <t>protein-protein complex  EXACT []</t>
  </si>
  <si>
    <t>protein polymerization</t>
  </si>
  <si>
    <t>The process of creating protein polymers, compounds composed of a large number of component monomers; polymeric proteins may be made up of different or identical monomers. Polymerization occurs by the addition of extra monomers to an existing poly- or oligomeric protein.  [GOC:ai]</t>
  </si>
  <si>
    <t>protein polymer biosynthesis  EXACT []</t>
  </si>
  <si>
    <t>sp|Q04756|HGFA_HUMAN</t>
  </si>
  <si>
    <t>Tryp_SPc 1e-030| Tryp_SPc 4e-030| Trypsin 5e-022| COG5640 1e-010| ND2 0.004| PHA03377 | ND4 | AgrB | ND2 | PLN02217 |</t>
  </si>
  <si>
    <t>Tequila - Drosophila melanogaster - serine-type endopeptidase activity - proteolysis - chitin binding - scavenger receptor activity - chitin metabolic process - extracellular region - membrane - long-term memory</t>
  </si>
  <si>
    <t>HdeD | DUF1347 |</t>
  </si>
  <si>
    <t>sp|P07919|QCR6_HUMAN</t>
  </si>
  <si>
    <t>UCR_hinge 1e-023| Bac_export_1 0.042| AgrB 0.049| ND2 | fucI | PRK13531 | PRK06922 | folP | PSN | RfbX |</t>
  </si>
  <si>
    <t>Ubiquinol-cytochrome C reductase complex 11 kDa protein - Drosophila melanogaster - mitochondrial respiratory chain complex III - ubiquinol-cytochrome-c reductase activity - mitochondrial electron transport, ubiquinol to cytochrome c</t>
  </si>
  <si>
    <t>mitochondrial electron transport, ubiquinol to cytochrome c</t>
  </si>
  <si>
    <t>The transfer of electrons from ubiquinol to cytochrome c that occurs during oxidative phosphorylation, mediated by the multisubunit enzyme known as complex III.  [ISBN:0716731363]</t>
  </si>
  <si>
    <t>complex III (ubiquinone to cytochrome c)  RELATED []</t>
  </si>
  <si>
    <t>sp|Q962T5|RL24_SPOFR</t>
  </si>
  <si>
    <t>PTZ00033 1e-006| tolA 3e-005| PRK13808 9e-005| PTZ00436 1e-004| tolA_full 7e-004| PRK12278 0.001| valS 0.001| PTZ00144 0.002| PRK04950 0.002| TolA 0.002|</t>
  </si>
  <si>
    <t>Ribosomal protein L24 - Drosophila melanogaster - structural constituent of ribosome - cytosolic large ribosomal subunit - translation - lipid particle - mitotic spindle elongation - mitotic spindle organization</t>
  </si>
  <si>
    <t>sp|Q8IBG1|DYHC1_PLAF7</t>
  </si>
  <si>
    <t>PRK14121 0.040| ND4 | ND4 | DUF2972 | ND6 | ND2 | CYTB | PHA03031 | ND5 | SAPS |</t>
  </si>
  <si>
    <t>sp|Q9VRJ1|SYAM_DROME</t>
  </si>
  <si>
    <t>PTZ00440 3e-004| PRK05564 5e-004| T7_EssCb_Firm 0.004| ARV1 0.063| Sec1 0.080| SynN | DUF1976 | Srg | Fmp27_WPPW | PHA02937 |</t>
  </si>
  <si>
    <t>mitochondrial alanyl-tRNA synthetase - Drosophila melanogaster - mitochondrion - alanyl-tRNA aminoacylation - alanine-tRNA ligase activity - ATP binding - nucleic acid binding</t>
  </si>
  <si>
    <t>alanine-tRNA ligase activity</t>
  </si>
  <si>
    <t>Catalysis of the reaction: ATP + L-alanine + tRNA(Ala) = AMP + diphosphate + L-alanyl-tRNA(Ala).  [EC:6.1.1.7]</t>
  </si>
  <si>
    <t>Ala-tRNA synthetase activity  EXACT [EC:6.1.1.7]</t>
  </si>
  <si>
    <t>alanyl-tRNA aminoacylation</t>
  </si>
  <si>
    <t>The process of coupling alanine to alanyl-tRNA, catalyzed by alanyl-tRNA synthetase. In tRNA aminoacylation, the amino acid is first activated by linkage to AMP and then transferred to either the 2'- or the 3'-hydroxyl group of the 3'-adenosine residue of the tRNA.  [GOC:mcc, ISBN:0716730510]</t>
  </si>
  <si>
    <t>SCAMP | PRK06835 | PRK05318 | PMT1 | ND5 | DUF1361 | ATP8 | cyaA | LIM_like_1 | kup |</t>
  </si>
  <si>
    <t>sp|Q61712|DNJC1_MOUSE</t>
  </si>
  <si>
    <t>SANT 1e-006| SANT 3e-006| Myb_DNA-binding 9e-006| RSC8 2e-004| Drf_FH1 0.078| GpcrRhopsn4 0.089| YfhO | 7TM-7TMR_HD | Acyl_transf_3 | CbiQ |</t>
  </si>
  <si>
    <t>Drosophila melanogaster - heat shock protein binding - regulation of transcription, DNA-dependent - unfolded protein binding - protein folding - DNA binding</t>
  </si>
  <si>
    <t>sp|Q6IN36|WIPF1_RAT</t>
  </si>
  <si>
    <t>DUF3737 | Met_dep_hydrolase_D | PRK11664 | DEAH_box_HrpB |</t>
  </si>
  <si>
    <t>Replication, recombination and repair, Transcription, General function prediction only</t>
  </si>
  <si>
    <t>sp|Q7T312|CCD25_DANRE</t>
  </si>
  <si>
    <t>PTZ00266 4e-005| COG2433 9e-005| Caldesmon 0.002| ND5 0.003| Srg 0.003| PRK01100 0.004| MAP7 0.004| cdk7 0.009| AgrB 0.010| rRNA_processing 0.010|</t>
  </si>
  <si>
    <t>coiled-coil domain containing 25 - Danio rerio - biological_process - cellular_component - molecular_function</t>
  </si>
  <si>
    <t>Dascillus cervinus</t>
  </si>
  <si>
    <t>sp|Q7ZV82|RL27_DANRE</t>
  </si>
  <si>
    <t>Ribosomal_L27e 1e-044| PTZ00471 4e-029| RPL14A 4e-007| PIG-P | ATPase_gene1 | COG1784 | rpl24p | SdaC | NR_LBD_HNF4_like | Tmemb_185A |</t>
  </si>
  <si>
    <t>Ribosomal protein L27 - Drosophila melanogaster - structural constituent of ribosome - translation - cytosolic large ribosomal subunit - mitotic spindle organization - mitotic spindle elongation</t>
  </si>
  <si>
    <t>sp|Q9VJD2|LTOR3_DROME</t>
  </si>
  <si>
    <t>MAPKK1_Int 2e-041| ND2 | NMT_C | ATP8 | Ion_trans | PHA03330 | PLN02228 | PHA03081 | PHA03023 | BAR_Endophilin_B1 |</t>
  </si>
  <si>
    <t>Drosophila melanogaster - phosphorylation - SH3/SH2 adaptor activity - insoluble fraction - cellular response to amino acid stimulus</t>
  </si>
  <si>
    <t>SH3/SH2 adaptor activity</t>
  </si>
  <si>
    <t>Interacting selectively and non-covalently and simultaneously with one or more signal transduction molecules, usually acting as a scaffold to bring these molecules into close proximity either using their own SH2/SH3 domains (e.g. Grb2) or those of their target molecules (e.g. SAM68).  [GOC:mah, GOC:so]</t>
  </si>
  <si>
    <t>SH3/SH2 adaptor protein activity  NARROW []</t>
  </si>
  <si>
    <t>insoluble fraction</t>
  </si>
  <si>
    <t>That fraction of cells, prepared by disruptive biochemical methods, that is not soluble in water.  [GOC:ma]</t>
  </si>
  <si>
    <t>particle-bound  RELATED []</t>
  </si>
  <si>
    <t>phosphorylation</t>
  </si>
  <si>
    <t>The process of introducing a phosphate group into a molecule, usually with the formation of a phosphoric ester, a phosphoric anhydride or a phosphoric amide.  [ISBN:0198506732]</t>
  </si>
  <si>
    <t>sp|Q6P5L8|HSDL2_DANRE</t>
  </si>
  <si>
    <t>SCP2 1e-013| COG3255 2e-009| PHA03237 | ND5 | Herpes_glycop | COG3154 | PST-A | PRK08997 | COG3932 | PRK00566 |</t>
  </si>
  <si>
    <t>Drosophila melanogaster - oxidoreductase activity, acting on the CH-OH group of donors, NAD or NADP as acceptor - metabolic process - sterol binding - nucleotide binding - lipid particle - microtubule associated complex</t>
  </si>
  <si>
    <t>oxidoreductase activity, acting on the CH-OH group of donors, NAD or NADP as acceptor</t>
  </si>
  <si>
    <t>Catalysis of an oxidation-reduction (redox) reaction in which a CH-OH group acts as a hydrogen or electron donor and reduces NAD+ or NADP.  [GOC:ai]</t>
  </si>
  <si>
    <t>metabolic process</t>
  </si>
  <si>
    <t>The chemical reactions and pathways, including anabolism and catabolism, by which living organisms transform chemical substances. Metabolic processes typically transform small molecules, but also include macromolecular processes such as DNA repair and replication, and protein synthesis and degradation.  [GOC:go_curators, ISBN:0198547684]</t>
  </si>
  <si>
    <t>metabolic process resulting in cell growth  NARROW []</t>
  </si>
  <si>
    <t>sp|Q5RA63|EIF2D_PONAB</t>
  </si>
  <si>
    <t>SUI1 7e-017| DRP1 4e-005| SUI1 4e-005| SUI1_rel | PRK00939 | rne | ND4 | valS | PRK15455 | Sm |</t>
  </si>
  <si>
    <t>ligatin - Drosophila melanogaster - translational initiation - translation initiation factor activity</t>
  </si>
  <si>
    <t>translation initiation factor activity</t>
  </si>
  <si>
    <t>Functions in the initiation of ribosome-mediated translation of mRNA into a polypeptide.  [ISBN:0198506732]</t>
  </si>
  <si>
    <t>translational initiation</t>
  </si>
  <si>
    <t>The process preceding formation of the peptide bond between the first two amino acids of a protein. This includes the formation of a complex of the ribosome, mRNA, and an initiation complex that contains the first aminoacyl-tRNA.  [ISBN:019879276X]</t>
  </si>
  <si>
    <t>biopolymerisation  BROAD []</t>
  </si>
  <si>
    <t>sp|P43613|ERJ5_YEAST</t>
  </si>
  <si>
    <t>COX2 | ycf1 | PLDc_Tdp1_1 | PRK01115 |</t>
  </si>
  <si>
    <t>Salinisphaera shabanensis E1L3A</t>
  </si>
  <si>
    <t>sp|Q8AB57|Y254_BACTN</t>
  </si>
  <si>
    <t>Bacteroides thetaiotaomicron</t>
  </si>
  <si>
    <t>LIM1_Prickle 0.072| LIM1_Testin_like | LIM1_Prickle_3 | LIM1_Prickle_2 | YfhO | PRK14767 | GT_2_like_a | TatC | Mga | Herpes_BMRF2 |</t>
  </si>
  <si>
    <t>sp|Q5DC69|CH10_SCHJA</t>
  </si>
  <si>
    <t>Cpn10 2e-034| cpn10 4e-031| Cpn10 1e-029| groES 1e-028| GroS 3e-025| PTZ00414 1e-016| groES 2e-010| PriL_PriS_Eukaryotic | PRK07033 | PRK09598 |</t>
  </si>
  <si>
    <t>Drosophila melanogaster - unfolded protein binding - mitochondrion - mitochondrial matrix - 'de novo' protein folding - lipid particle</t>
  </si>
  <si>
    <t>unfolded protein binding</t>
  </si>
  <si>
    <t>Interacting selectively and non-covalently with an unfolded protein.  [GOC:ai]</t>
  </si>
  <si>
    <t>binding unfolded ER proteins  NARROW []</t>
  </si>
  <si>
    <t>'de novo' protein folding</t>
  </si>
  <si>
    <t>The process of assisting in the folding of a nascent peptide chain into its correct tertiary structure.  [GOC:mb]</t>
  </si>
  <si>
    <t>nascent chain protein folding  EXACT []</t>
  </si>
  <si>
    <t>Komagataella pastoris CBS 7435</t>
  </si>
  <si>
    <t>sp|P24309|DBR1_YEAST</t>
  </si>
  <si>
    <t>POLBc_alpha | XG_FTase | Cohesin_load | 7TM_GPCR_Str | PTZ00037 | nrdC.11 | LcrV | ND2 | DUF3708 | napH_ |</t>
  </si>
  <si>
    <t>sp|Q5U1Y4|AKCL2_RAT</t>
  </si>
  <si>
    <t>ARA1 2e-019| dkgA 1e-018| Aldo_ket_red 5e-014| dkgB 4e-009| Aldo_ket_red 9e-009| Tas 6e-004| PRK10376 0.057| RNA_pol_I_TF | MpPF1 | PLN02995 |</t>
  </si>
  <si>
    <t>Drosophila melanogaster - alditol:NADP+ 1-oxidoreductase activity - oxidation-reduction process</t>
  </si>
  <si>
    <t>oxidoreductase activity</t>
  </si>
  <si>
    <t>Catalysis of an oxidation-reduction (redox) reaction, a reversible chemical reaction in which the oxidation state of an atom or atoms within a molecule is altered. One substrate acts as a hydrogen or electron donor and becomes oxidized, while the other acts as hydrogen or electron acceptor and becomes reduced.  [GOC:go_curators]</t>
  </si>
  <si>
    <t>oxidoreductase activity, acting on other substrates  NARROW []</t>
  </si>
  <si>
    <t>L-ascorbic acid biosynthetic process</t>
  </si>
  <si>
    <t>The chemical reactions and pathways resulting in the formation of L-ascorbic acid; L-ascorbic acid ionizes to give L-ascorbate, (2R)-2-[(1S)-1,2-dihydroxyethyl]-4-hydroxy-5-oxo-2,5-dihydrofuran-3-olate, which is required as a cofactor in the oxidation of prolyl residues to hydroxyprolyl, and other reactions.  [CHEBI:38290, GOC:ma, ISBN:0198547684]</t>
  </si>
  <si>
    <t>ascorbate biosynthesis  EXACT []</t>
  </si>
  <si>
    <t>Cryptosporidium parvum</t>
  </si>
  <si>
    <t>sp|O88628|O51E2_RAT</t>
  </si>
  <si>
    <t>DUF975 | ND4 | ND2 | PRK09609 | ND5 | ND4L | Acyl_transf_3 | Mlo | DUF165 | PRK06630 |</t>
  </si>
  <si>
    <t>Candidatus Carsonella ruddii</t>
  </si>
  <si>
    <t>sp|A2BSR8|RL27_PROMS</t>
  </si>
  <si>
    <t>Prochlorococcus marinus (strain AS9601)</t>
  </si>
  <si>
    <t>ND2 | 7TM_GPCR_Sra | PTZ00404 | lef-8 | PTZ00228 | DUF2679 | ND2 | CLAG | Porin_3 | PRK14329 |</t>
  </si>
  <si>
    <t>Sulfolobus solfataricus 98/2</t>
  </si>
  <si>
    <t>PHA02834 | ND2 | PIGA | secA | TB2_DP1_HVA22 | PHA02920 | secA | DUF2873 | ND6 | ATP6 |</t>
  </si>
  <si>
    <t>Litopenaeus vannamei</t>
  </si>
  <si>
    <t>sp|Q8STF0|CALM_STRIE</t>
  </si>
  <si>
    <t>Strongylocentrotus intermedius</t>
  </si>
  <si>
    <t>PTZ00184 1e-061| FRQ1 2e-034| PTZ00183 1e-030| EFh 3e-021| EFh 2e-007| efhand 1e-006| EH 2e-006| PLN02964 8e-005| S-100 1e-004| efhand_Ca_insen 5e-004|</t>
  </si>
  <si>
    <t>Calmodulin - Drosophila melanogaster - rhabdomere - cytoplasm - rhodopsin mediated signaling pathway - protein phosphorylation - regulation of light-activated channel activity - metarhodopsin inactivation - detection of calcium ion - deactivation of rhodopsin mediated signaling - adaptation of rhodopsin mediated signaling - calcium ion binding - myosin heavy chain binding - myosin VI complex - myosin VI head/neck binding - mitotic spindle organization - spindle pole - positive regulation of NFAT protein import into nucleus - kinetochore organization - microtubule associated complex - centriole replication - calmodulin binding - lateral inhibition</t>
  </si>
  <si>
    <t>rhabdomere</t>
  </si>
  <si>
    <t>The specialized microvilli-containing organelle on the apical surfaces of a photoreceptor cell containing the visual pigment rhodopsin and most of the proteins involved in phototransduction.  [GOC:hb, GOC:sart, PMID:8646774]</t>
  </si>
  <si>
    <t>rhodopsin mediated signaling pathway</t>
  </si>
  <si>
    <t>The series of molecular signals generated as a consequence of excitation of rhodopsin by a photon.  [GOC:dph, GOC:hb, GOC:tb]</t>
  </si>
  <si>
    <t>rhodopsin mediated signalling pathway  EXACT [GOC:dph, GOC:tb]</t>
  </si>
  <si>
    <t>sp|Q5PQN1|HERC4_RAT</t>
  </si>
  <si>
    <t>HECTc 0.033| HECTc 0.051| Phytochelatin_C | YfhO | HUL4 | HECT | PHA03002 | CotJB | DUF2343 | Colicin_V |</t>
  </si>
  <si>
    <t>sp|Q10944|PHO5_CAEEL</t>
  </si>
  <si>
    <t>TBCC | pepF | Inp1 | PPK2_P_aer | met_A_Alw26 | DUF1229 | PRK14644 | COG4330 | COG3972 | Baculo_44 |</t>
  </si>
  <si>
    <t>Nucleotide transport and metabolism, Coenzyme transport and metabolism</t>
  </si>
  <si>
    <t>sp|Q6J9G0|STYK1_HUMAN</t>
  </si>
  <si>
    <t>PLN02943 | STKc_CdkB_plant | ND2 | 7TM_GPCR_Srw | DUF773 | PRK04334 | PRK11230 | PTR2 | PLN02211 | PRK05092 |</t>
  </si>
  <si>
    <t>Cyanothece sp. PCC 8802</t>
  </si>
  <si>
    <t>sp|P23098|DYHC_TRIGR</t>
  </si>
  <si>
    <t>Tripneustes gratilla</t>
  </si>
  <si>
    <t>Otopetrin | LEF-4 | LFG_like | Peptidase_A22B | PRK07133 | DUF3836 | RE_Alw26IDE | acc_ester | DUF1113 | restrict_Alw26I |</t>
  </si>
  <si>
    <t>Caenorhabditis briggsae AF16</t>
  </si>
  <si>
    <t>sp|Q91G04|135R_IIV6</t>
  </si>
  <si>
    <t>Invertebrate iridescent virus 6</t>
  </si>
  <si>
    <t>ND5 0.004| ND5 0.004| ND5 0.007| Oxidored_q1_N 0.016| ND5 0.073| PTZ00188 | ND4 | Cir_Bir_Yir | GuKc | PHA03302 |</t>
  </si>
  <si>
    <t>sp|B6JPH7|LSPA_HELP2</t>
  </si>
  <si>
    <t>Helicobacter pylori (strain P12)</t>
  </si>
  <si>
    <t>ND5 | PIA_icaD | K-box | Dpy19 | ND4 | COX3 | ND4 | SdaC | ATP6 | ND6 |</t>
  </si>
  <si>
    <t>sp|Q9FIF0|LRK22_ARATH</t>
  </si>
  <si>
    <t>ND5 0.021| ND6 | PHA02999 | ND4 | PHA03042 | Ptpl | DUF70 | 7TM_GPCR_Srz | PTZ00435 | Hfq |</t>
  </si>
  <si>
    <t>sp|Q5RES5|THIM_PONAB</t>
  </si>
  <si>
    <t>PRK05790 4e-004| Thiolase_C 0.002| thiolase 0.005| PRK08170 0.010| PRK09051 0.017| AcCoA-C-Actrans 0.019| PRK06205 0.039| PRK09050 0.078| pcaF 0.082| PRK08131 |</t>
  </si>
  <si>
    <t>DUF2418 |</t>
  </si>
  <si>
    <t>Mnemiopsis leidyi</t>
  </si>
  <si>
    <t>sp|Q55FN1|PLBLG_DICDI</t>
  </si>
  <si>
    <t>NADHdh | ND1 | ND1 | ND6 | ND1 | SCAMP | ND2 | COG3936 | ND1 | AgrB |</t>
  </si>
  <si>
    <t>sp|Q8I5P7|SYSC_PLAF7</t>
  </si>
  <si>
    <t>SecY | MADS | Baculo_helicase | PLN02400 | BTB | DUF2206 | alcohol_DH_plants | PHA03100 | rpl13 | DUF2325 |</t>
  </si>
  <si>
    <t>sulfolob_CbsB |</t>
  </si>
  <si>
    <t>sp|Q4R8N2|LIN9_MACFA</t>
  </si>
  <si>
    <t>Macaca fascicularis</t>
  </si>
  <si>
    <t>flavin_oxioreductase 0.015| ND1 0.021| ND2 0.056| PHA02983 | GpcrRhopsn4 | Chordopox_A35R | DUF1430 | 7TM_GPCR_Srz | ATPase_P-type | ND5 |</t>
  </si>
  <si>
    <t>Protein lin-9 homolog - Homo sapiens - nucleus - nucleoplasm - nucleolus - DNA replication - cell cycle</t>
  </si>
  <si>
    <t>Xenopus (Silurana) tropicalis</t>
  </si>
  <si>
    <t>sp|Q2KHU0|SERB_BOVIN</t>
  </si>
  <si>
    <t>PLN02954 2e-014| serB 2e-005| MgtA 0.032| copA | ND1 | Glyoxalase_I | Fibrillarin_2 | PRK06918 | ATPase_P-type | ND2 |</t>
  </si>
  <si>
    <t>Uncharacterized protein - Sus scrofa - magnesium ion binding - catalytic activity - phosphoserine phosphatase activity - calcium ion binding - L-serine biosynthetic process - protein homodimerization activity</t>
  </si>
  <si>
    <t>magnesium ion binding</t>
  </si>
  <si>
    <t>Interacting selectively and non-covalently with magnesium (Mg) ions.  [GOC:ai]</t>
  </si>
  <si>
    <t>magnesium binding  EXACT []</t>
  </si>
  <si>
    <t>L-serine metabolic process</t>
  </si>
  <si>
    <t>The chemical reactions and pathways involving L-serine, the L-enantiomer of serine, i.e. (2S)-2-amino-3-hydroxypropanoic acid.  [CHEBI:17115, GOC:ai, GOC:jsg]</t>
  </si>
  <si>
    <t>L-serine metabolism  EXACT []</t>
  </si>
  <si>
    <t>PRK04984 | trpA |</t>
  </si>
  <si>
    <t>sp|B4UGL0|YEDY_ANASK</t>
  </si>
  <si>
    <t>Anaeromyxobacter sp. (strain K)</t>
  </si>
  <si>
    <t>Pec_lyase_C | Flavi_glycoprot | PRK05363 | Peptidase_C19J | Bin3 |</t>
  </si>
  <si>
    <t>sp|Q792Q4|CRIPT_RAT</t>
  </si>
  <si>
    <t>Cript 9e-040| DUF2039 0.036| NolL 0.092| DUF1407 | PRK14810 | RNA_pol_Rpb1_5 | COG5152 | VSP | hisB | R3H_encore_like |</t>
  </si>
  <si>
    <t>cysteine-rich PDZ-binding protein - Rattus norvegicus - cytoplasm - postsynaptic density - cell junction - PDZ domain binding - dendrite - cytoplasmic microtubule organization - protein complex binding - cell projection - neuronal cell body - dendritic spine - dendritic shaft - establishment of protein localization - synapse</t>
  </si>
  <si>
    <t>PDZ domain binding</t>
  </si>
  <si>
    <t>Interacting selectively and non-covalently with a PDZ domain of a protein, a domain found in diverse signaling proteins.  [GOC:go_curators, Pfam:PF00595]</t>
  </si>
  <si>
    <t>DHR-domain binding  EXACT []</t>
  </si>
  <si>
    <t>cytoplasmic microtubule organization</t>
  </si>
  <si>
    <t>A process that is carried out at the cellular level which results in the assembly, arrangement of constituent parts, or disassembly of structures formed of microtubules and associated proteins in the cytoplasm of a cell.  [GOC:mah]</t>
  </si>
  <si>
    <t>cytoplasmic microtubule organisation  EXACT [GOC:curators]</t>
  </si>
  <si>
    <t>sp|Q88W26|HSLU_LACPL</t>
  </si>
  <si>
    <t>Lactobacillus plantarum</t>
  </si>
  <si>
    <t>hrcA 0.007| 7TM_GPCR_Srsx 0.013| PRK14160 | Sfi1 | ND5 | PrkA | FCH_F-BAR | DUF443 | PRK07218 | hemE |</t>
  </si>
  <si>
    <t>sp|Q5RCE2|STT3A_PONAB</t>
  </si>
  <si>
    <t>ND4 0.034| 7TM_GPCR_Sra | DUF3810 | DUF1461 | PHA02962 | 7TM_GPCR_Srz | ARPC4 | STT3 | PRK09297 | ATP6 |</t>
  </si>
  <si>
    <t>Drosophila melanogaster - oligosaccharyl transferase activity - protein glycosylation - membrane - chaeta development - wing disc development</t>
  </si>
  <si>
    <t>oligosaccharyl transferase activity</t>
  </si>
  <si>
    <t>Catalysis of the transfer of a oligosaccharyl group to an acceptor molecule, typically another carbohydrate or a lipid.  [GOC:ai]</t>
  </si>
  <si>
    <t>oligosaccharide transferase activity  EXACT [EC:2.4.1.119, GOC:mah]</t>
  </si>
  <si>
    <t>protein glycosylation</t>
  </si>
  <si>
    <t>A protein modification process that results in the addition of a sugar unit to a protein amino acid, e.g. the addition of glycan chains to proteins.  [GOC:curators]</t>
  </si>
  <si>
    <t>protein amino acid glycosylation  EXACT [GOC:bf]</t>
  </si>
  <si>
    <t>sp|Q7M4F3|CUD2_SCHGR</t>
  </si>
  <si>
    <t>Schistocerca gregaria</t>
  </si>
  <si>
    <t>ND6 1e-004| ND5 3e-004| ND5 0.001| ND4 0.003| ND6 0.005| ND2 0.005| 7TM_GPCR_Srz 0.008| ND4 0.011| ND2 0.023| NMN_trans_PnuC 0.024|</t>
  </si>
  <si>
    <t>sp|Q5RC82|NMD3_PONAB</t>
  </si>
  <si>
    <t>QcrB | ndhF | ND4L | SugarP_isomerase | SUR7 | TIGR00427 | hisS | PHA03111 | ND5 | PRK07165 |</t>
  </si>
  <si>
    <t>NMD3 homolog (S. cerevisiae) - Rattus norvegicus - nucleus - nucleolus</t>
  </si>
  <si>
    <t>ribosomal large subunit binding</t>
  </si>
  <si>
    <t>Interacting selectively and non-covalently with any part of the larger ribosomal subunit.  [GOC:go_curators]</t>
  </si>
  <si>
    <t>nucleoplasm</t>
  </si>
  <si>
    <t>That part of the nuclear content other than the chromosomes or the nucleolus.  [GOC:ma, ISBN:0124325653]</t>
  </si>
  <si>
    <t>ribosomal large subunit export from nucleus</t>
  </si>
  <si>
    <t>The directed movement of a ribosomal large subunit from the nucleus into the cytoplasm.  [GOC:mah]</t>
  </si>
  <si>
    <t>50S ribosomal subunit export from nucleus  NARROW [GOC:mah]</t>
  </si>
  <si>
    <t>sp|Q9DDT5|SPT5H_DANRE</t>
  </si>
  <si>
    <t>PRK05331 | SH2_SAP1a | Pox_VERT_large | APC10 | Lamp | PTZ00188 | PRK06148 | PRK15407 | WecE | PLN02821 |</t>
  </si>
  <si>
    <t>suppressor of Ty 5 homolog (S. cerevisiae) - Danio rerio - positive regulation of transcription elongation from RNA polymerase II promoter - regulation of transcription from RNA polymerase II promoter - regulation of transcription elongation, DNA-dependent - regulation of transcription, DNA-dependent - nucleus - transcription, DNA-dependent - hemopoiesis - neuron migration - transcription elongation from RNA polymerase II promoter - negative regulation of transcription elongation from RNA polymerase II promoter</t>
  </si>
  <si>
    <t>Ditylenchus destructor</t>
  </si>
  <si>
    <t>sp|Q8HY82|CATS_SAIBB</t>
  </si>
  <si>
    <t>Saimiri boliviensis boliviensis</t>
  </si>
  <si>
    <t>Peptidase_C1 3e-005| Peptidase_C1A 0.001| Pept_C1 0.001| ND4 0.078| PSN 0.085| ND5 | ND6 | CYTB | DUF705 | PHA03034 |</t>
  </si>
  <si>
    <t>Protein T03E6.7, confirmed by transcript evidence - Caenorhabditis elegans - protein binding</t>
  </si>
  <si>
    <t>cysteine-type endopeptidase activity</t>
  </si>
  <si>
    <t>Catalysis of the hydrolysis of internal, alpha-peptide bonds in a polypeptide chain by a mechanism in which the sulfhydryl group of a cysteine residue at the active center acts as a nucleophile.  [GOC:mah, http://merops.sanger.ac.uk/about/glossary.htm#CATTYPE, http://merops.sanger.ac.uk/about/glossary.htm#ENDOPEPTIDASE]</t>
  </si>
  <si>
    <t>caspase activity  NARROW [GOC:mtg_apoptosis]</t>
  </si>
  <si>
    <t>vesicle lumen</t>
  </si>
  <si>
    <t>The volume enclosed by the membrane or protein that forms a vesicle.  [GOC:mah]</t>
  </si>
  <si>
    <t>Campylobacter jejuni subsp. jejuni 327</t>
  </si>
  <si>
    <t>sp|Q2SRR7|DER_MYCCT</t>
  </si>
  <si>
    <t>Mycoplasma capricolum subsp. capricolum (strain California kid / ATCC 27343 / NCTC 10154)</t>
  </si>
  <si>
    <t>Pox_Rap94 0.066| ATP6 | ND3 | ND5 | Plasmid_parti | ND4L | ND4L | PRK15086 | DUF1700 | ND6 |</t>
  </si>
  <si>
    <t>Bacteroides sp. 2_1_56FAA</t>
  </si>
  <si>
    <t>sp|B7GGJ1|Y1839_ANOFW</t>
  </si>
  <si>
    <t>Anoxybacillus flavithermus (strain DSM 21510 / WK1)</t>
  </si>
  <si>
    <t>Cir_Bir_Yir | Pox_ser-thr_kin | PRK13298 | ND4 | ND6 | PLN03071 | PRK10517 | RAN | PHA02845 | DNA_pol_viral_N |</t>
  </si>
  <si>
    <t>sp|P75107|SYS_MYCPN</t>
  </si>
  <si>
    <t>Mycoplasma pneumoniae (strain ATCC 29342 / M129)</t>
  </si>
  <si>
    <t>Pat_PLPL | PHA02834 | efThoc1 | Gpi1 | rpoB | PHA01886 | RAP-1 |</t>
  </si>
  <si>
    <t>sp|Q9H4L7|SMRCD_HUMAN</t>
  </si>
  <si>
    <t>HepA 3e-008| PLN03142 2e-005| rpoC2 | PBP1_Pheromone_receptor | MPH1 | DUF366 | OAD_beta | ThrS | ATP-synt_10 | PRK11465 |</t>
  </si>
  <si>
    <t>Etl1 homologue - Drosophila melanogaster - ATP-dependent DNA helicase activity - DNA binding - ATP binding</t>
  </si>
  <si>
    <t>regulation of DNA recombination</t>
  </si>
  <si>
    <t>Any process that modulates the frequency, rate or extent of DNA recombination, a DNA metabolic process in which a new genotype is formed by reassortment of genes resulting in gene combinations different from those that were present in the parents.  [GOC:go_curators, ISBN:0198506732]</t>
  </si>
  <si>
    <t>sp|P81929|DEF1_PEA</t>
  </si>
  <si>
    <t>Toxin_2 0.005| ATP6 0.010| 7TM_GPCR_Srsx 0.017| Gamma-thionin 0.033| p47 0.044| BPD_transp_1 0.044| Duffy_binding 0.072| HRD1 | Knot1 | Grp1_Fun34_YaaH |</t>
  </si>
  <si>
    <t>sp|Q0H8X7|AI1_USTMA</t>
  </si>
  <si>
    <t>SQR_TypeB_1_TM 0.058| SOG2 0.084| ND1 0.085| FA_hydroxylase | 7TM_GPCR_Srz | ND4 | 7TM_GPCR_Srd | DUF3021 | ND2 | ND1 |</t>
  </si>
  <si>
    <t>Staphylococcus pseudintermedius ED99</t>
  </si>
  <si>
    <t>sp|Q21388|NAS10_CAEEL</t>
  </si>
  <si>
    <t>ND5 | GP41 | DUF221 | AgrB | Fun_ATP-synt_8 | AgrB | ndhF | ND2 | PRK06602 | SDF |</t>
  </si>
  <si>
    <t>Chlamydomonas reinhardtii</t>
  </si>
  <si>
    <t>sp|Q9JL04|FMN2_MOUSE</t>
  </si>
  <si>
    <t>PHA03100 6e-004| PHA03098 0.039| 7TM_GPCR_Srz 0.058| Sre 0.083| s48_45 | TIGR03766 | Amidase_6 | DEC-1_N | dipZ | DUF654 |</t>
  </si>
  <si>
    <t>GPDPase_memb | PQ-loop | PRK01749 | Serpentine_r_xa |</t>
  </si>
  <si>
    <t>sp|Q8R344|CCD12_MOUSE</t>
  </si>
  <si>
    <t>cwf18 4e-024| Spc24 0.007| PRK11820 0.031| LUC7 0.033| DUF621 0.057| DMSO_red_II_alp | CYTB | ND5 | 7TM_GPCR_Srab | thiH |</t>
  </si>
  <si>
    <t>coiled-coil domain containing 12 - Danio rerio - biological_process - cellular_component - molecular_function</t>
  </si>
  <si>
    <t>sp|Q9NZW4|DSPP_HUMAN</t>
  </si>
  <si>
    <t>PRD_Mga | PBP1_ABC_sugar_binding_like_11 | PRK10907 | DUF1368 | PLN02224 | Extensin-like_C | MDN1 | OAS1_C | PRK13735 | fliM |</t>
  </si>
  <si>
    <t>RhoGAP54D - Drosophila melanogaster - intracellular - signal transduction</t>
  </si>
  <si>
    <t>signal transduction</t>
  </si>
  <si>
    <t>The cellular process in which a signal is conveyed to trigger a change in the activity or state of a cell. Signal transduction begins with reception of a signal, e.g. a ligand binding to a receptor or receptor activation by a stimulus such as light, and ends with regulation of a downstream cellular process, e.g. regulation of transcription or regulation of a metabolic process. Signal transduction covers signaling from receptors located on the surface of the cell, and signaling via molecules located within the cell. For signaling between cells, signal transduction is restricted to events at and within the receiving cell.  [GOC:go_curators, GOC:mtg_signaling_feb11]</t>
  </si>
  <si>
    <t>signaling cascade  NARROW []</t>
  </si>
  <si>
    <t>Peptidases_S8_Subtilisin_Novo-like |</t>
  </si>
  <si>
    <t>sp|Q9XZS3|CCD72_DROME</t>
  </si>
  <si>
    <t>TMA7 3e-023| tolA 0.041| Spb1_C 0.067| Macoilin | DUF1154 | ND2 | Nop53 | mtEFG2_like_IV | Got1 | Synaphin |</t>
  </si>
  <si>
    <t>Drosophila melanogaster - cellular_component - biological_process - molecular_function</t>
  </si>
  <si>
    <t>sp|Q68VZ8|RL27_RICTY</t>
  </si>
  <si>
    <t>UPF0259 | ND5 | LysP | PHA03042 | 7TM_GPCR_Srh | COG3601 |</t>
  </si>
  <si>
    <t>sp|A5CF31|COXX_ORITB</t>
  </si>
  <si>
    <t>PHA02987 | PHA02953 |</t>
  </si>
  <si>
    <t>sp|P38811|TRA1_YEAST</t>
  </si>
  <si>
    <t>ND2 | DUF747 | PRK03818 | 7TM_GPCR_Srbc | ND6 | nfrB | DUF3611 | pepsin_like |</t>
  </si>
  <si>
    <t>PTZ00200 | ND6 | Peptidase_S46 | PRK09609 | ND2 | PIKKc_ATM | ND4 | rpoB | PRK13909 | PHA03093 |</t>
  </si>
  <si>
    <t>sp|Q962Q6|RS24_SPOFR</t>
  </si>
  <si>
    <t>PTZ00071 5e-010| TRAM_LAG1_CLN8 | DUF2011 | kup | SURF6 | PRK06319 | Kri1 | IsdE | PstC | phoR |</t>
  </si>
  <si>
    <t>ribosomal protein S24 - Danio rerio - nucleotide binding - intracellular - ribosome - structural constituent of ribosome - translation - translational elongation - cytosolic small ribosomal subunit - maturation of SSU-rRNA from tricistronic rRNA transcript (SSU-rRNA, 5.8S rRNA, LSU-rRNA) - nucleolus - ribonucleoprotein complex</t>
  </si>
  <si>
    <t>Dethiosulfovibrio peptidovorans DSM 11002</t>
  </si>
  <si>
    <t>sp|P54613|2AAB_PIG</t>
  </si>
  <si>
    <t>ATPase-IID_K-Na | DUF3785 | LbH_MAT_GAT | PRK11239 | DUF1157 | PHA03031 | denA | COG3548 | COG5600 | ND6 |</t>
  </si>
  <si>
    <t>GDA1_CD39 2e-007| ND6 0.003| 7TMR-DISM_7TM 0.004| ND2 0.006| ND5 0.010| ND4 0.033| ND1 0.045| 7tm_1 0.047| 7TM_GPCR_Srz 0.077| bact_immun_7tm 0.079|</t>
  </si>
  <si>
    <t>Daphnia pulex</t>
  </si>
  <si>
    <t>sp|Q6FTR8|PXR1_CANGA</t>
  </si>
  <si>
    <t>ND4 0.023| DUF1754 0.091| ND5 | ND4 | PRK02868 | ND5 | ER_lumen_recept | Baculo_ME53 | NTPase_1 | 7TM_GPCR_Sra |</t>
  </si>
  <si>
    <t>TRAM - Drosophila melanogaster - endoplasmic reticulum - SRP-dependent cotranslational protein targeting to membrane - integral to membrane - phagocytosis, engulfment - lipid particle</t>
  </si>
  <si>
    <t>SRP-dependent cotranslational protein targeting to membrane</t>
  </si>
  <si>
    <t>The targeting of proteins to a membrane that occurs during translation and is dependent upon two key components, the signal-recognition particle (SRP) and the SRP receptor. SRP is a cytosolic particle that transiently binds to the endoplasmic reticulum (ER) signal sequence in a nascent protein, to the large ribosomal unit, and to the SRP receptor in the ER membrane.  [ISBN:0716731363]</t>
  </si>
  <si>
    <t>ER translocation  BROAD []</t>
  </si>
  <si>
    <t>sp|O08795|GLU2B_MOUSE</t>
  </si>
  <si>
    <t>ND4 | OATP | BCHF | ND1 | PRK13909 | oat | lacZ | PHA03261 | PAD | ccs |</t>
  </si>
  <si>
    <t>Phytophthora infestans T30-4</t>
  </si>
  <si>
    <t>sp|B7J183|NAGB_BORBZ</t>
  </si>
  <si>
    <t>Borrelia burgdorferi (strain ZS7)</t>
  </si>
  <si>
    <t>ND2 | PRK05643 | TraC-F-type | ND1 | PRK10604 | Piwi-like | PRK11814 | PRK15035 | Aph-1 | DnaN |</t>
  </si>
  <si>
    <t>SpoVA |</t>
  </si>
  <si>
    <t>sp|Q43641|UFOG_SOLME</t>
  </si>
  <si>
    <t>Solanum melongena</t>
  </si>
  <si>
    <t>PBP2_NikA | GDPD_GDE4 | Glyco_hydro_63 | Profilin |</t>
  </si>
  <si>
    <t>sp|P38316|ATG12_YEAST</t>
  </si>
  <si>
    <t>ZnMc_TACE_like | rpoB | PRK07143 | 7TM_GPCR_Sri | 7TM_GPCR_Srj | NhaB | PLN02327 | frsA | nhaB | DUF2837 |</t>
  </si>
  <si>
    <t>sp|O60312|AT10A_HUMAN</t>
  </si>
  <si>
    <t>DUF420 0.061| Four-jointed-like_C | 7TM_GPCR_Srw | Sre | 7TM_GPCR_Str | MSC | Cytochrom_B_C | PRK05451 | mraY | Intg_mem_TP0381 |</t>
  </si>
  <si>
    <t>Prevotella sp. C561</t>
  </si>
  <si>
    <t>sp|Q5BJM8|ZNT7_RAT</t>
  </si>
  <si>
    <t>PHA03096 0.019| ND6 | NDH_I_N | 7TM_GPCR_Srbc | Plasmodium_Vir | PRK07132 | PRK06080 | Adenylsuccinate_lyase_like | PRK07115 | SMK-1 |</t>
  </si>
  <si>
    <t>Arthroderma benhamiae CBS 112371</t>
  </si>
  <si>
    <t>sp|P44287|Y1671_HAEIN</t>
  </si>
  <si>
    <t>ND2 | ND5 | UFD1 | gidB | NMN_transporter | PRK09609 | Pox_ser-thr_kin | PRK06588 | 7TM_GPCR_Srx | 7TM_GPCR_Srbc |</t>
  </si>
  <si>
    <t>sp|Q24439|ATPO_DROME</t>
  </si>
  <si>
    <t>OSCP 2e-023| PRK05758 3e-016| AtpH 6e-016| PRK13429 5e-014| ATP_synt_delta 3e-011| PRK13430 3e-009| PRK13428 2e-006| atpD 4e-006| PRK13436 0.001| PRK13434 0.009|</t>
  </si>
  <si>
    <t>Oligomycin sensitivity-conferring protein - Drosophila melanogaster - hydrogen-exporting ATPase activity, phosphorylative mechanism - mitochondrial proton-transporting ATP synthase, central stalk - proton transport - hydrogen ion transporting ATP synthase activity, rotational mechanism - ATP synthesis coupled proton transport - lipid particle</t>
  </si>
  <si>
    <t>mitochondrial proton-transporting ATP synthase, central stalk</t>
  </si>
  <si>
    <t>One of two stalks that connect the catalytic core of the hydrogen-transporting ATP synthase to the mitochondrial membrane-associated F0 proteins; rotates within the catalytic core during catalysis.  [GOC:mtg_sensu, PMID:10838056]</t>
  </si>
  <si>
    <t>sp|Q9M1W4|HMT2_ARATH</t>
  </si>
  <si>
    <t>mmuM 4e-007| PLN02489 8e-007| S-methyl_trans 2e-006| MHT1 1e-005| MetH 0.016| PRK08645 0.018| PRK07534 0.033| metH | PRK15316 | PHA03246 |</t>
  </si>
  <si>
    <t>Drosophila melanogaster - selenocysteine methyltransferase activity - homocysteine S-methyltransferase activity</t>
  </si>
  <si>
    <t>selenocysteine methyltransferase activity</t>
  </si>
  <si>
    <t>Catalysis of the reaction: selenocysteine + S-adenosyl-L-methionine = Se-methylselenocysteine + S-adenosyl-homocysteine.  [EC:2.1.1.-, PMID:10026151]</t>
  </si>
  <si>
    <t>sp|P32528|DUR1_YEAST</t>
  </si>
  <si>
    <t>PRK13662 |</t>
  </si>
  <si>
    <t>OSCP 0.004| PRK13429 0.054| PigN | PRK13430 | YajC | PRK10586 | nat_prod_clost | 7TM_GPCR_Srz | Sec3 | AtpH |</t>
  </si>
  <si>
    <t>nagB 2e-029| PTZ00285 1e-027| nagB 2e-026| GlcN6P_deaminase 8e-021| NagB 9e-014| PRK02122 9e-011| SugarP_isomerase 5e-007| PRK12358 6e-006| PRK09762 0.011| 6PGL 0.050|</t>
  </si>
  <si>
    <t>sp|Q9QXE5|TSSP_MOUSE</t>
  </si>
  <si>
    <t>Peptidase_S28 2e-020| TLC | CRD_TK_ROR2 | Peptidase_S9_N | PRK15243 | DUF3431 | PRK10965 | MPP_PPP_family | flhA | DUF1423 |</t>
  </si>
  <si>
    <t>zgc:158605 - Danio rerio - proteolysis - serine-type peptidase activity - cellular_component</t>
  </si>
  <si>
    <t>serine-type peptidase activity</t>
  </si>
  <si>
    <t>Catalysis of the hydrolysis of peptide bonds in a polypeptide chain by a catalytic mechanism that involves a catalytic triad consisting of a serine nucleophile that is activated by a proton relay involving an acidic residue (e.g. aspartate or glutamate) and a basic residue (usually histidine).  [http://merops.sanger.ac.uk/about/glossary.htm#CATTYPE, ISBN:0716720094]</t>
  </si>
  <si>
    <t>serine protease activity  EXACT []</t>
  </si>
  <si>
    <t>sp|Q47537|TAUA_ECOLI</t>
  </si>
  <si>
    <t>tauA | TauA | taurine_ABC_bnd | DUF412 |</t>
  </si>
  <si>
    <t>sp|Q057M1|RSMC_BUCCC</t>
  </si>
  <si>
    <t>secA | secA | RAP-1 | TB2_DP1_HVA22 | PRK05818 | PKc | PHA02920 | POLBc_B3 | M14_CPO | KISc_KIF23_like |</t>
  </si>
  <si>
    <t>Methanobacterium sp. SWAN-1</t>
  </si>
  <si>
    <t>sp|Q9LRJ9|CRR38_ARATH</t>
  </si>
  <si>
    <t>PalH 0.021| PRK07143 | rps3 | DUF1703 | YibE_F | GtrA | ND2 | PRK08475 | DUF3169 | ND4 |</t>
  </si>
  <si>
    <t>sp|P87365|OPSB_ORYLA</t>
  </si>
  <si>
    <t>Oryzias latipes</t>
  </si>
  <si>
    <t>ndhA 0.046| SLR1-BP 0.058| ccsA | ND4L | PRK01030 | PHA03045 | 7TM_GPCR_Srz | 7TM_GPCR_Srh | CRD_SMO | PHA02967 |</t>
  </si>
  <si>
    <t>sp|P47376|RNY_MYCGE</t>
  </si>
  <si>
    <t>PHA03042 0.002| 7TM_GPCR_Srz | ND1 | PRK08568 | FliP | fliP | Tenui_PVC2 | lspA | ND4 | ND6 |</t>
  </si>
  <si>
    <t>Scheffersomyces stipitis CBS 6054</t>
  </si>
  <si>
    <t>sp|Q06991|PUN1_YEAST</t>
  </si>
  <si>
    <t>7TM_GPCR_Srx | ND1 | ND2 | PRK05643 | DHOD_e_trans_like | TraC-F-type | PLDc_Nuc_like_unchar2 | PRK11814 | DnaN | PRK10604 |</t>
  </si>
  <si>
    <t>sp|Q6CEE7|PPN1_YARLI</t>
  </si>
  <si>
    <t>Yarrowia lipolytica (strain CLIB 122 / E 150)</t>
  </si>
  <si>
    <t>PRK14552 9e-004| PLN00218 0.005| ND4 0.007| ND2 0.009| CTP_transf_1 0.011| MIG-14_Wnt-bd 0.020| ND2 0.027| Got1 0.028| RNA_polI_A34 0.030| NuoH 0.032|</t>
  </si>
  <si>
    <t>sp|P24177|ACRD_ECOLI</t>
  </si>
  <si>
    <t>PRK10555 | PRK05761 | PRK10600 |</t>
  </si>
  <si>
    <t>ND5 2e-009| ND4 2e-009| ND4 2e-008| ATP6 4e-008| ND2 4e-008| ND5 6e-008| COX3 8e-008| PRK11192 3e-007| ND2 3e-007| ND6 5e-007|</t>
  </si>
  <si>
    <t>Mycobacterium rhodesiae NBB3</t>
  </si>
  <si>
    <t>sp|Q6TLK4|RHG27_RAT</t>
  </si>
  <si>
    <t>Rota_NS53 | BtuF | murD | SCAN |</t>
  </si>
  <si>
    <t>Grosmannia clavigera kw1407</t>
  </si>
  <si>
    <t>sp|Q54XN7|Y8827_DICDI</t>
  </si>
  <si>
    <t>ND5 | ND4 | DUF2956 | PHA02973 | SF-CC1 | Atrophin-1 | Ribosomal_L30_N | COG4267 | PTZ00399 | Chordopox_G3 |</t>
  </si>
  <si>
    <t>Candidatus Pelagibacter ubique HTCC1002</t>
  </si>
  <si>
    <t>sp|Q9P4X1|YKV5_SCHPO</t>
  </si>
  <si>
    <t>7TM_GPCR_Str | ALMT | 7TM_GPCR_Srsx | Lung_7-TM_R | p23_CacyBP | DUF2435 | Parvo_coat | ND4 | PRK12772 | DUF735 |</t>
  </si>
  <si>
    <t>sp|P21329|RTJK_DROFU</t>
  </si>
  <si>
    <t>Drosophila funebris</t>
  </si>
  <si>
    <t>RT_nLTR_like 2e-036| RVT_1 7e-030| RT_G2_intron 3e-012| COG3344 1e-008| RT_Bac_retron_II 3e-005| TERT 0.001| RT_Bac_retron_I 0.004| RT_like 0.050| RT_Rtv | TIGR00488 |</t>
  </si>
  <si>
    <t>Replication, recombination and repair, Chromatin structure and dynamics</t>
  </si>
  <si>
    <t>Ashbya gossypii ATCC 10895</t>
  </si>
  <si>
    <t>sp|Q759K4|NUR1_ASHGO</t>
  </si>
  <si>
    <t>PI3Kc_III | Mlo | COG2237 | COG4907 | YMF19 | M3A_TOP | TLC | CYTB | PHA02864 | NDH_I_L |</t>
  </si>
  <si>
    <t>sp|Q9CZU3|SK2L2_MOUSE</t>
  </si>
  <si>
    <t>DSHCT 6e-025| COG4581 5e-015| 7TM_GPCR_Srz 0.007| ND4 0.009| Pox_Rap94 0.009| PRANC 0.012| Borrelia_orfA 0.013| ND5 0.018| NDH_I_L 0.023| PHA03098 0.027|</t>
  </si>
  <si>
    <t>lethal (2) 35Df - Drosophila melanogaster - ATP-dependent RNA helicase activity - nucleic acid binding - ATP binding - catalytic step 2 spliceosome - nuclear mRNA splicing, via spliceosome - neurogenesis</t>
  </si>
  <si>
    <t>catalytic step 2 spliceosome</t>
  </si>
  <si>
    <t>A spliceosomal complex that contains three snRNPs, including U5, bound to a splicing intermediate in which the first catalytic cleavage of the 5' splice site has occurred. The precise subunit composition differs significantly from that of the catalytic step 1, or activated, spliceosome, and includes many proteins in addition to those found in the associated snRNPs.  [GOC:ab, GOC:krc, GOC:mah, ISBN:0879695897, ISBN:0879697393, PMID:18322460, PMID:19239890]</t>
  </si>
  <si>
    <t>mammalian spliceosomal complex C  NARROW [GOC:ab, GOC:krc, GOC:mah, ISBN:0879695897, ISBN:0879697393, PMID:19239890]</t>
  </si>
  <si>
    <t>nuclear mRNA splicing, via spliceosome</t>
  </si>
  <si>
    <t>The joining together of exons from one or more primary transcripts of nuclear messenger RNA (mRNA) and the excision of intron sequences, via a spliceosomal mechanism, so that mRNA consisting only of the joined exons is produced.  [GOC:krc, ISBN:0198506732, ISBN:0879695897]</t>
  </si>
  <si>
    <t>mRNA splicing  BROAD []</t>
  </si>
  <si>
    <t>Lumbricus rubellus</t>
  </si>
  <si>
    <t>sp|Q9GRJ1|CALM_LUMRU</t>
  </si>
  <si>
    <t>PTZ00184 2e-034| FRQ1 2e-020| EFh 6e-020| PTZ00183 5e-015| EFh 2e-008| efhand 2e-007| EH 3e-006| S-100 7e-005| EH 8e-004| S-100B 0.002|</t>
  </si>
  <si>
    <t>ND2 8e-011| ND5 2e-010| PIG-U 9e-010| ND4 1e-009| ND4 1e-009| ND5 1e-009| ND6 4e-009| ND2 5e-009| ATP6 6e-009| COX3 6e-009|</t>
  </si>
  <si>
    <t>ribonuclease, putative - Plasmodium falciparum - RNA processing</t>
  </si>
  <si>
    <t>apicoplast</t>
  </si>
  <si>
    <t>The plastid organelle found in apicomplexans.  [ISBN:0521664470]</t>
  </si>
  <si>
    <t>sp|Q94546|ATU_DROME</t>
  </si>
  <si>
    <t>Cwf_Cwc_15 0.004| RAP1 0.006| TFIIF_alpha 0.016| PRK12720 0.026| PHA02664 0.045| PTZ00108 0.047| Oscp1 0.051| Leo1 0.069| BUD22 0.074| 32 |</t>
  </si>
  <si>
    <t>Another transcription unit - Drosophila melanogaster - molecular_function - cellular_component - biological_process</t>
  </si>
  <si>
    <t>sp|Q9V411|NOG1_DROME</t>
  </si>
  <si>
    <t>3MGA_Dioxygenase 0.044| DUF1191 | secY | PLN03124 | Drc1-Sld2 | WbaP_sugtrans | ND4 | Cdd | U2AF_lg | DUF1777 |</t>
  </si>
  <si>
    <t>Drosophila melanogaster - GTP binding - nucleus</t>
  </si>
  <si>
    <t>negative regulation of cell-cell adhesion</t>
  </si>
  <si>
    <t>Any process that stops, prevents or reduces the rate or extent of cell adhesion to another cell.  [GOC:isa_complete]</t>
  </si>
  <si>
    <t>down regulation of cell-cell adhesion  EXACT []</t>
  </si>
  <si>
    <t>sp|P36417|GBF_DICDI</t>
  </si>
  <si>
    <t>PS_II_psb27 0.031| PTZ00440 0.057| PRK13783 0.063| DHC_N2 | TIGR03545 | Glyco_hydro_59 | PRK05776 | Neuro_bHLH | PfUIS3 | WecB |</t>
  </si>
  <si>
    <t>sp|Q661W1|MRAY_BORGA</t>
  </si>
  <si>
    <t>Borrelia garinii</t>
  </si>
  <si>
    <t>Arrestin_C | mraY | Glyco_hydro_100 | PRK09009 | 3a01204 | pnk |</t>
  </si>
  <si>
    <t>sp|Q37024|NU5M_PICCA</t>
  </si>
  <si>
    <t>Pichia canadensis</t>
  </si>
  <si>
    <t>CAD3 | rps3 | RNase_HII_bacteria_HIII_like | PHA02638 | PHA03002 | NrdD | rADc | purM | PHA03033 | PHA03026 |</t>
  </si>
  <si>
    <t>sp|Q8D219|SYM_WIGBR</t>
  </si>
  <si>
    <t>His_Phos_2 0.019| ND5 0.035| ND5 | DUF2268 | ND2 | GT_WecA_like | PHA03024 | HlyIII | PRK11070 | bact_immun_7tm |</t>
  </si>
  <si>
    <t>Solobacterium moorei F0204</t>
  </si>
  <si>
    <t>sp|O72904|NPH2_FOWPN</t>
  </si>
  <si>
    <t>ATP6 0.022| DUF3021 0.090| TRAM_LAG1_CLN8 | COG4906 | ND2 | ND4 | ND4 | ND5 | ND5 | ND1 |</t>
  </si>
  <si>
    <t>sp|P49028|MGN_DROME</t>
  </si>
  <si>
    <t>Mago_nashi 3e-040| MIG-14_Wnt-bd 0.072| Ufd2P_core | Intg_mem_TP0381 | ND6 | XylH | PRK11466 | Pox_P35 | PHA02688 | GrpB |</t>
  </si>
  <si>
    <t>mago nashi - Drosophila melanogaster - pole plasm assembly - oocyte microtubule cytoskeleton polarization - regulation of pole plasm oskar mRNA localization - oogenesis - microtubule cytoskeleton organization - protein localization - nucleus - cytoplasm - oocyte microtubule cytoskeleton organization - mRNA export from nucleus - pole plasm oskar mRNA localization - maintenance of pole plasm mRNA location - pole plasm - cell-cell signaling - oocyte axis specification - pole plasm protein localization - catalytic step 2 spliceosome - nuclear mRNA splicing, via spliceosome - precatalytic spliceosome - RNA splicing - epidermal growth factor receptor signaling pathway</t>
  </si>
  <si>
    <t>mRNA transport</t>
  </si>
  <si>
    <t>The directed movement of mRNA, messenger ribonucleic acid, into, out of or within a cell, or between cells, by means of some agent such as a transporter or pore.  [GOC:ai]</t>
  </si>
  <si>
    <t>Trachypachus holmbergi</t>
  </si>
  <si>
    <t>sp|P33502|NU1M_ANOQU</t>
  </si>
  <si>
    <t>ND1 9e-043| ND1 2e-030| NADHdh 1e-029| ND1 3e-028| ND1 7e-028| ND1 2e-022| ND1 5e-021| ND1 1e-020| PRK06076 9e-020| ND1 1e-018|</t>
  </si>
  <si>
    <t>sp|Q95KV7|NDUAD_BOVIN</t>
  </si>
  <si>
    <t>GRIM-19 3e-027| DUF2398 0.011| PLN00189 | COG4402 | nrdC.11 | PRK10873 | ALDH_SSADH1_GabD1 | celD | TIGR00286 | rpsD_arch |</t>
  </si>
  <si>
    <t>Drosophila melanogaster - mitochondrial respiratory chain complex I - NADH dehydrogenase activity - mitochondrial electron transport, NADH to ubiquinone</t>
  </si>
  <si>
    <t>NADH dehydrogenase activity</t>
  </si>
  <si>
    <t>Catalysis of the reaction: NADH + H+ + acceptor = NAD+ + reduced acceptor.  [EC:1.6.99.3]</t>
  </si>
  <si>
    <t>beta-NADH dehydrogenase dinucleotide activity  EXACT [EC:1.6.99.3]</t>
  </si>
  <si>
    <t>Energy production and conversion, Cell cycle control, cell division, chromosome partitioning</t>
  </si>
  <si>
    <t>sp|P46222|RL11_DROME</t>
  </si>
  <si>
    <t>PTZ00156 1e-042| rpl5p 8e-028| Ribosomal_L5_C 1e-015| RplE 2e-013| POLBc_B1 7e-004| rlmL 0.003| ND5 | PRK05761 | rplE | Kei1 |</t>
  </si>
  <si>
    <t>Ribosomal protein L11 - Drosophila melanogaster - structural constituent of ribosome - cytosolic large ribosomal subunit - translation - ribosome - protein binding - lipid particle - mitotic spindle elongation - mitotic spindle organization</t>
  </si>
  <si>
    <t>2HCT | Adeno_IVa2 | Cullin |</t>
  </si>
  <si>
    <t>sp|Q9P7Q9|YFV5_SCHPO</t>
  </si>
  <si>
    <t>ND1 0.091| p47 0.093| Glyco_transf_22 | ND4 | ND5 | ND5 | ABC2_membrane_3 | Baculo_p47 | ubiA | ND1 |</t>
  </si>
  <si>
    <t>Branchiostoma floridae</t>
  </si>
  <si>
    <t>sp|Q5ZLD7|VPS53_CHICK</t>
  </si>
  <si>
    <t>upp 0.009| MreD | ND5 | COX2 | NOC3p | 7TM_GPCR_Srbc | GlcN6P_deaminase | PHA03081 | PRK14232 | Nitrogenase_VFe_beta_like |</t>
  </si>
  <si>
    <t>Vacuolar protein sorting-associated protein 53 homolog - Gallus gallus - endosome - Golgi apparatus - endosome membrane - protein transport - membrane</t>
  </si>
  <si>
    <t>sp|Q2KJA2|ABCF2_BOVIN</t>
  </si>
  <si>
    <t>Uup 5e-029| ABCF_EF-3 1e-026| PLN03073 2e-021| PRK10636 2e-019| PRK15064 3e-015| ABC_ABC_ChvD 6e-014| PRK11819 4e-013| PRK11147 9e-013| ABC_Iron-Siderophores_B12_Hemin 4e-012| ABC_ATPase 7e-011|</t>
  </si>
  <si>
    <t>Drosophila melanogaster - transporter activity - ATPase activity, coupled to transmembrane movement of substances - ATP-binding cassette (ABC) transporter complex - ATP binding</t>
  </si>
  <si>
    <t>transport</t>
  </si>
  <si>
    <t>The directed movement of substances (such as macromolecules, small molecules, ions) into, out of or within a cell, or between cells, or within a multicellular organism by means of some agent such as a transporter or pore.  [GOC:dph, GOC:jl, GOC:mah]</t>
  </si>
  <si>
    <t>auxiliary transport protein activity  RELATED [GOC:mah]</t>
  </si>
  <si>
    <t>sp|Q9LD83|SLAC1_ARATH</t>
  </si>
  <si>
    <t>AgrB 0.022| 7TM_GPCR_Srx 0.026| Srg 0.049| COG3936 0.091| PHA03042 | VAR1 | DUF1600 | Baculo_ODV-E27 | bact_immun_7tm | 7TM_GPCR_Srz |</t>
  </si>
  <si>
    <t>UBP12 |</t>
  </si>
  <si>
    <t>sp|P15208|INSR_MOUSE</t>
  </si>
  <si>
    <t>PRK12474 | zf-DNA_Pol | 7TM_GPCR_Srsx | PRK09213 | Herpes_UL87 | L28 |</t>
  </si>
  <si>
    <t>Neurospora tetrasperma FGSC 2509</t>
  </si>
  <si>
    <t>sp|B0Z4R9|YCF2_OENAR</t>
  </si>
  <si>
    <t>Oenothera argillicola</t>
  </si>
  <si>
    <t>ND4 0.003| PRK14552 0.012| ND4 0.016| ND6 0.018| ND5 0.028| ATP6 0.031| WBS_methylT 0.053| ND4 0.060| DUF1168 0.065| DUF2011 0.070|</t>
  </si>
  <si>
    <t>sp|Q13428|TCOF_HUMAN</t>
  </si>
  <si>
    <t>PLN00218 0.004| 7TM_GPCR_Srz 0.005| Got1 0.007| TrkH 0.008| ND5 0.010| ND5 0.013| ND4 0.015| COX3 0.015| ND1 0.017| ND4 0.020|</t>
  </si>
  <si>
    <t>Albugo laibachii Nc14</t>
  </si>
  <si>
    <t>sp|P85860|VA_PHOKE</t>
  </si>
  <si>
    <t>Phoneutria keyserlingi</t>
  </si>
  <si>
    <t>DUF1972 | YccA_like | FGGY_D-XK_euk | GT1_gtfA_like | CFTR_protein | Peptidase_M56 | Mac-1 | GvpD | AF0261 |</t>
  </si>
  <si>
    <t>sp|P01525|NXB4_CERLA</t>
  </si>
  <si>
    <t>Cerebratulus lacteus</t>
  </si>
  <si>
    <t>PRK15294 | HEPPP_synt_1 | LOTUS | PRK10281 | Toxin_13 | DUF1521 | Pox_TAP | PEPCK_GTP | PHA03071 | mtEFG2_II_like |</t>
  </si>
  <si>
    <t>synthetic construct</t>
  </si>
  <si>
    <t>sp|Q58547|Y1147_METJA</t>
  </si>
  <si>
    <t>PHA02246 | ND2 | Glyco_transf_22 | DUF1620 | 7TM_GPCR_Srz | DUF3708 | MPP_TMEM62_N | 7TM_GPCR_Srw | Thermopsin | DUF1189 |</t>
  </si>
  <si>
    <t>Dorea formicigenerans ATCC 27755</t>
  </si>
  <si>
    <t>sp|P39608|YWCJ_BACSU</t>
  </si>
  <si>
    <t>DUF1776 | ND5 | violacein_E | Hid1 | PK_STRAD | GPDPase_memb | Gemini_AL3 | COG4781 | CytoC_RC | SOG2 |</t>
  </si>
  <si>
    <t>Osmerus mordax</t>
  </si>
  <si>
    <t>sp|Q0P5B9|ANR39_BOVIN</t>
  </si>
  <si>
    <t>Ank_2 4e-009| ANK 7e-009| PHA03100 5e-005| PHA02874 3e-004| PLN03192 4e-004| PHA03095 0.001| Arp 0.001| Ank 0.006| PHA02798 0.006| PTZ00322 0.009|</t>
  </si>
  <si>
    <t>mind bomb - Danio rerio - metal ion binding - zinc ion binding - ubiquitin-protein ligase activity - protein ubiquitination - regulation of neuron differentiation - hemopoiesis - somitogenesis - habenula development - determination of left/right symmetry - generation of neurons - blood vessel development - endothelial cell development - Notch signaling pathway - pronephros development - melanocyte differentiation - cytoplasmic vesicle - positive regulation of Notch signaling pathway - hemopoietic stem cell differentiation - plasma membrane - inner ear receptor cell differentiation - blood vessel morphogenesis - ligase activity - membrane - cytoplasm - multicellular organismal development - floor plate formation - ventral spinal cord interneuron specification - protein binding - protein autoubiquitination - protein homodimerization activity - ubiquitin ligase complex - perinuclear region of cytoplasm - regulation of receptor internalization - neuron differentiation - endocytic vesicle - glial cell differentiation - embryonic pattern specification - embryonic camera-type eye development - regulation of glial cell differentiation - digestive tract morphogenesis - positive regulation of cell proliferation - spinal cord motor neuron cell fate specification - spinal cord association neuron specification - vasculogenesis - ventral spinal cord interneuron differentiation - regulation of receptor-mediated endocytosis - rhombomere boundary formation - epithelial cell development - hindbrain development - protein complex - otic vesicle development</t>
  </si>
  <si>
    <t>metal ion binding</t>
  </si>
  <si>
    <t>Interacting selectively and non-covalently with any metal ion.  [GOC:ai]</t>
  </si>
  <si>
    <t>heavy metal binding  NARROW []</t>
  </si>
  <si>
    <t>cytoplasmic vesicle</t>
  </si>
  <si>
    <t>A vesicle formed of membrane or protein, found in the cytoplasm of a cell.  [GOC:mah]</t>
  </si>
  <si>
    <t>protein ubiquitination</t>
  </si>
  <si>
    <t>The process in which one or more ubiquitin groups are added to a protein.  [GOC:ai]</t>
  </si>
  <si>
    <t>protein ubiquitinylation  EXACT []</t>
  </si>
  <si>
    <t>ND4 2e-020| ND5 4e-019| ND2 1e-018| ND2 1e-017| ND1 4e-015| ND4 8e-015| ND6 3e-014| ATP6 3e-014| ND4 5e-014| 7TMR-DISM_7TM 8e-014|</t>
  </si>
  <si>
    <t>zinc ion binding</t>
  </si>
  <si>
    <t>Interacting selectively and non-covalently with zinc (Zn) ions.  [GOC:ai]</t>
  </si>
  <si>
    <t>zinc binding  EXACT []</t>
  </si>
  <si>
    <t>DUF559 | DUF2126 | PRK13894 | Endonuclease_DUF559 | Urb2 | COG2852 | NAF | UDG_fam4 | seco_metab_LLM | DUF3634 |</t>
  </si>
  <si>
    <t>Prevotella copri DSM 18205</t>
  </si>
  <si>
    <t>sp|Q1XH10|DLN1_HUMAN</t>
  </si>
  <si>
    <t>ND4 0.005| CYTB 0.019| ND4L | Acyl_transf_3 | ND2 | Peptidase_A8 | ND4 | 7TM_GPCR_Srz | 7tm_7 | TrkH |</t>
  </si>
  <si>
    <t>cobQ | PRK00784 | CobQ |</t>
  </si>
  <si>
    <t>Clostridium saccharolyticum WM1</t>
  </si>
  <si>
    <t>sp|P38745|YHB7_YEAST</t>
  </si>
  <si>
    <t>Mannosyl_trans2 0.072| ND1 | SRP-alpha_N | Ubiquinol_oxidase_III | lspA | 7TM_GPCR_Sri | 7TM_GPCR_Srsx | Borrelia_orfA | ND2 | PRK07059 |</t>
  </si>
  <si>
    <t>sp|Q29G21|COPB_DROPS</t>
  </si>
  <si>
    <t>Coatamer_beta_C 8e-022| PBP1_iGluR_AMPA | ND4L | TET_Cys_rich | cPLA2_Grp-IVB-IVD-IVE-IVF | ND4 | DUF747 | PRK07229 | CARD_CASP9 | PRK06099 |</t>
  </si>
  <si>
    <t>beta-coatomer protein - Drosophila melanogaster - Golgi apparatus - retrograde vesicle-mediated transport, Golgi to ER - COPI vesicle coat - binding - structural molecule activity - intracellular protein transport - phagocytosis, engulfment - regulation of lipid storage</t>
  </si>
  <si>
    <t>Trichophyton verrucosum HKI 0517</t>
  </si>
  <si>
    <t>sp|B9DU46|AROC_STRU0</t>
  </si>
  <si>
    <t>Streptococcus uberis (strain ATCC BAA-854 / 0140J)</t>
  </si>
  <si>
    <t>Cas8a1_I-A | ATP_synt_6_or_A | CYTB | COG3274 | LexA | PRK08299 | Orbi_VP1 | YfhO |</t>
  </si>
  <si>
    <t>sp|P91240|SRP72_CAEEL</t>
  </si>
  <si>
    <t>SRP72 1e-014| PRK10504 0.002| ND5 0.011| ND2 0.024| TatC 0.030| SART-1 0.036| Pex24p 0.037| ATP6 0.053| ND6 0.061| DUF2074 0.077|</t>
  </si>
  <si>
    <t>Signal recognition particle protein 72 - Drosophila melanogaster - signal recognition particle, endoplasmic reticulum targeting - SRP-dependent cotranslational protein targeting to membrane - 7S RNA binding - dsRNA transport</t>
  </si>
  <si>
    <t>7S RNA binding</t>
  </si>
  <si>
    <t>Interacting selectively and non-covalently with 7S RNA, the RNA component of the signal recognition particle (SRP).  [GOC:jl, PMID:6181418]</t>
  </si>
  <si>
    <t>signal recognition particle, endoplasmic reticulum targeting</t>
  </si>
  <si>
    <t>A ribonucleoprotein particle of 325 kDa composed of a 7S (300 nucleotide) RNA molecule and a complex of six different polypeptides. This binds both to the N-terminal signal peptide for proteins destined for the endoplasmic reticulum as they emerge from the large ribosomal subunit and also to the ribosome. This binding arrests further translation thereby preventing the proteins from being released into the cytosol. The SRP-ribosome complex then diffuses to the endoplasmic reticulum where it is bound to the signal recognition particle receptor, which allows resumption of protein synthesis and facilitates the passage of the growing polypeptide chain through the translocon. Through a process involving GTP hydrolysis, the SRP-SRP receptor complex dissociates and SRP returns to the cytosol. Of the six polypeptides of SRP the 54 kDa subunit (SRP54) is the central player. It contains an N-terminal GTPase domain and a C-terminal domain that binds directly to the signal peptide and the SRP RNA. Examples of this component are found in Mus musculus, Saccharomyces cerevisiae and Arabidopsis thaliana.  [GOC:mtg_sensu, ISBN:0198506732]</t>
  </si>
  <si>
    <t>signal sequence receptor complex  EXACT []</t>
  </si>
  <si>
    <t>Stomoxys calcitrans</t>
  </si>
  <si>
    <t>PTZ00067 2e-022| Ribosomal_S23 4e-018| rps12P 4e-013| S23_S12_E_A 2e-010| RpsL 1e-008| Ribosomal_S12 3e-008| Ribosomal_S12_like 3e-005| PLN02665 0.037| PRK12568 0.075| truB |</t>
  </si>
  <si>
    <t>sp|Q6C0K9|BYE1_YARLI</t>
  </si>
  <si>
    <t>ND5 0.002| TIGR03766 0.005| ND4 0.056| MIG-14_Wnt-bd | PRK12704 | DUF1361 | PHA00727 | 7TM_GPCR_Srbc | ND4 | COX3 |</t>
  </si>
  <si>
    <t>Opitutaceae bacterium TAV2</t>
  </si>
  <si>
    <t>sp|Q9URY6|DUR33_SCHPO</t>
  </si>
  <si>
    <t>Dynamin_M | Pox_A11 | Mannosyl_trans | surE | PRK09609 | PRK15132 | 7TM_GPCR_Srt | 2A0309 | PRK06541 | SurE |</t>
  </si>
  <si>
    <t>sp|Q4V7M2|CRE2B_XENLA</t>
  </si>
  <si>
    <t>Baculo_helicase | CPW_WPC | PHA03127 | TIGR00157 | cas1_NMENI | EGF_2 | PRK10548 | Med15 | ICA69 | SH2_Grb10 |</t>
  </si>
  <si>
    <t>Treponema denticola ATCC 35405</t>
  </si>
  <si>
    <t>sp|Q7SYR6|LMBD1_XENLA</t>
  </si>
  <si>
    <t>ND2 | TIGR03546 | COG4956 | AgrB | ATP6 | ATP6 | XK-related | 7TM_GPCR_Srw | ATP_bind_3 | cyoE_ctaB |</t>
  </si>
  <si>
    <t>sp|Q5MQL3|DEF2_APIME</t>
  </si>
  <si>
    <t>Defensin_2 8e-008| Knot1 8e-004| DUF3500 | ND4 | ATP-synt_8 | PRK01318 | PRK12612 | MntH | PRK12664 | Toxin_6 |</t>
  </si>
  <si>
    <t>Defensin - Palomena prasina - molecular_function - extracellular region - defense response to Gram-negative bacterium</t>
  </si>
  <si>
    <t>defense response to Gram-negative bacterium</t>
  </si>
  <si>
    <t>Reactions triggered in response to the presence of a Gram-negative bacterium that act to protect the cell or organism.  [GOC:ai]</t>
  </si>
  <si>
    <t>defence response to Gram-negative bacteria  EXACT []</t>
  </si>
  <si>
    <t>sp|P13516|ACOD1_MOUSE</t>
  </si>
  <si>
    <t>Delta9-FADS-like 5e-015| OLE1 3e-008| PLN02220 0.002| TIGR03663 | Glyco_transf_29 | ND6 | glyc2_xrt_Gpos1 | LIM4_Paxillin_like | ALO | PLN02317 |</t>
  </si>
  <si>
    <t>Drosophila melanogaster - stearoyl-CoA 9-desaturase activity - lipid metabolic process - oxidation-reduction process</t>
  </si>
  <si>
    <t>stearoyl-CoA 9-desaturase activity</t>
  </si>
  <si>
    <t>Catalysis of the reaction: stearoyl-CoA + 2 ferrocytochrome b5 + O2 + 2 H+ = oleoyl-CoA + 2 ferricytochrome b5 + H2O.  [EC:1.14.19.1]</t>
  </si>
  <si>
    <t>acyl-CoA desaturase activity  EXACT [EC:1.14.19.1]</t>
  </si>
  <si>
    <t>fatty acid biosynthetic process</t>
  </si>
  <si>
    <t>The chemical reactions and pathways resulting in the formation of a fatty acid, any of the aliphatic monocarboxylic acids that can be liberated by hydrolysis from naturally occurring fats and oils. Fatty acids are predominantly straight-chain acids of 4 to 24 carbon atoms, which may be saturated or unsaturated; branched fatty acids and hydroxy fatty acids also occur, and very long chain acids of over 30 carbons are found in waxes.  [GOC:mah, ISBN:0198506732]</t>
  </si>
  <si>
    <t>fatty acid anabolism  EXACT []</t>
  </si>
  <si>
    <t>sp|P54985|PPIA_BLAGE</t>
  </si>
  <si>
    <t>Blattella germanica</t>
  </si>
  <si>
    <t>cyclophilin_ABH_like 5e-013| PTZ00060 2e-011| Pro_isomerase 4e-007| cyclophilin 3e-005| PpiB 3e-004| cyclophilin_WD40 0.024| cyclophilin_RRM 0.041| PRK10791 | PRK10903 | cyclophilin_RING |</t>
  </si>
  <si>
    <t>Drosophila melanogaster - peptidyl-prolyl cis-trans isomerase activity - protein folding</t>
  </si>
  <si>
    <t>protein peptidyl-prolyl isomerization</t>
  </si>
  <si>
    <t>The modification of a protein by cis-trans isomerization of a proline residue.  [GOC:krc, PMID:16959570]</t>
  </si>
  <si>
    <t>protein proline isomerization  EXACT []</t>
  </si>
  <si>
    <t>Ribosomal_L6e 6e-010| P | PRK12663 | Phage-tail_2 | M3A_TOP | PHA00202 | PRK11056 | PRK09617 | M3B_PepF_1 | DUF1422 |</t>
  </si>
  <si>
    <t>Caenorhabditis elegans - structural constituent of ribosome - intracellular - ribosome - translation - embryo development ending in birth or egg hatching - reproduction - growth - nematode larval development - determination of adult lifespan</t>
  </si>
  <si>
    <t>sp|Q90888|MAFB_CHICK</t>
  </si>
  <si>
    <t>ND4L | ND2 | CbiQ_TIGR | matK | PRK09609 | TIGR00089 | ATPase-IIC_X-K | PLDc_DNaseII_2 | PHA02738 | MiaB |</t>
  </si>
  <si>
    <t>sp|Q96G74|OTUD5_HUMAN</t>
  </si>
  <si>
    <t>Herpes_LMP2 0.098| PHA03247 | PRK14959 | PIOX_like | PHA03201 | PRK09694 | DUF1305 | VI_chp_1 | PHA03307 | MopB_2 |</t>
  </si>
  <si>
    <t>Leuconostoc pseudomesenteroides KCTC 3652</t>
  </si>
  <si>
    <t>sp|Q89AL6|PYRF_BUCBP</t>
  </si>
  <si>
    <t>COX2 | 7TM_GPCR_Srx | tfb | MUTSd | PRK13532 | secY | CRM1_C | COX2 | COX2 | 7TM_GPCR_Sru |</t>
  </si>
  <si>
    <t>sp|Q06FL7|NU5C_PELHO</t>
  </si>
  <si>
    <t>Pelargonium hortorum</t>
  </si>
  <si>
    <t>ND2 | MucB_RseB | DUF3488 |</t>
  </si>
  <si>
    <t>sp|P54966|Y284L_PBCV1</t>
  </si>
  <si>
    <t>Paramecium bursaria Chlorella virus 1</t>
  </si>
  <si>
    <t>Arv1 | ND5 | 3a0501s007 | bacteriocin_ABC | PLN00149 | DYN1 | PI31_Prot_N | TDT | PRK07208 | ND6 |</t>
  </si>
  <si>
    <t>sp|A8W3M6|YCF1_CUSOB</t>
  </si>
  <si>
    <t>Cuscuta obtusiflora</t>
  </si>
  <si>
    <t>His_Phos_2 1e-005| AIPR 0.016| PRESAC 0.051| RhoGEF | RhoGEF | RhoGEF | 7TM_GPCR_Srh | ND5 | Inhibitor_I24 | Plasmodium_Vir |</t>
  </si>
  <si>
    <t>sp|Q9LVD3|PP434_ARATH</t>
  </si>
  <si>
    <t>Anticodon_Ia_Val | ND5 |</t>
  </si>
  <si>
    <t>sp|Q04002|SCC2_YEAST</t>
  </si>
  <si>
    <t>Sre | ND5 | rpl2 | YMF19 | PHA03111 | DltB | ND6 | rplB_bact | DUF443 | Svf1 |</t>
  </si>
  <si>
    <t>Tetraodon nigroviridis</t>
  </si>
  <si>
    <t>sp|Q9W4J5|NEP1_DROME</t>
  </si>
  <si>
    <t>EMG1 1e-009| Mra1 2e-006| PRK04171 7e-005| PRK00402 | DUF2208 | hacA_fam | 7TM_GPCR_Srd | LEU2 | LeuC | IPMI |</t>
  </si>
  <si>
    <t>Drosophila melanogaster - nucleolus - rRNA processing - ribosomal small subunit biogenesis - methyltransferase activity - neurogenesis</t>
  </si>
  <si>
    <t>methyltransferase activity</t>
  </si>
  <si>
    <t>Catalysis of the transfer of a methyl group to an acceptor molecule.  [ISBN:0198506732]</t>
  </si>
  <si>
    <t>methylase  BROAD []</t>
  </si>
  <si>
    <t>nucleolus</t>
  </si>
  <si>
    <t>A small, dense body one or more of which are present in the nucleus of eukaryotic cells. It is rich in RNA and protein, is not bounded by a limiting membrane, and is not seen during mitosis. Its prime function is the transcription of the nucleolar DNA into 45S ribosomal-precursor RNA, the processing of this RNA into 5.8S, 18S, and 28S components of ribosomal RNA, and the association of these components with 5S RNA and proteins synthesized outside the nucleolus. This association results in the formation of ribonucleoprotein precursors; these pass into the cytoplasm and mature into the 40S and 60S subunits of the ribosome.  [ISBN:0198506732]</t>
  </si>
  <si>
    <t>rRNA processing</t>
  </si>
  <si>
    <t>Any process involved in the conversion of a primary ribosomal RNA (rRNA) transcript into one or more mature rRNA molecules.  [GOC:curators]</t>
  </si>
  <si>
    <t>35S primary transcript processing  NARROW []</t>
  </si>
  <si>
    <t>Drosophila simulans</t>
  </si>
  <si>
    <t>RT_nLTR_like 6e-009| RVT_1 2e-004| ND6 0.008| ND5 0.010| ND4 0.010| 7TM_GPCR_Srz 0.012| ND4 0.015| ABC2_membrane_3 0.017| ND4L 0.017| ND2 0.019|</t>
  </si>
  <si>
    <t>sp|P41092|RL27A_DROME</t>
  </si>
  <si>
    <t>PTZ00160 0.014| PH_2 | Ribosomal_L18e | GT1_mtfB_like | rplO | PRK04005 | purF | rpl15p | formate_focA | CYTB |</t>
  </si>
  <si>
    <t>PLN02302 |</t>
  </si>
  <si>
    <t>sp|A4FUZ6|HSDL2_BOVIN</t>
  </si>
  <si>
    <t>SCP2 7e-019| COG3255 1e-009| PRK12493 | PRK05508 | PST-A | Cas10_III | ligA | GatC | COG3932 | GATase1_PfpI_2 |</t>
  </si>
  <si>
    <t>sp|Q08C57|ADXL_DANRE</t>
  </si>
  <si>
    <t>PLN02593 1e-031| PTZ00490 3e-014| fdx_isc 4e-013| Fdx 9e-011| fer2 0.001| Fer2 0.036| lgt | Corona_RPol_N | NqrF | pcnB |</t>
  </si>
  <si>
    <t>ferredoxin 1-like - Danio rerio - iron-sulfur cluster binding - electron carrier activity - 2 iron, 2 sulfur cluster binding - mitochondrial matrix - electron transport chain - metal ion binding - mitochondrion - transport</t>
  </si>
  <si>
    <t>sp|P41375|IF2B_DROME</t>
  </si>
  <si>
    <t>eIF2B_5 2e-027| eIF-5_eIF-2B 3e-027| GCD7 9e-020| PRK03988 8e-019| PRK12336 3e-014| aIF-2beta 4e-010| PRK08568 | PRK08206 | Septin | BRCT_assoc |</t>
  </si>
  <si>
    <t>Eukaryotic initiation factor 2beta - Drosophila melanogaster - GTP binding - eukaryotic translation initiation factor 2 complex - formation of translation initiation ternary complex - tRNA binding - translation initiation factor activity - cytosol - translational initiation - mitotic spindle organization - mitotic spindle elongation - axon midline choice point recognition - microtubule associated complex</t>
  </si>
  <si>
    <t>GTP binding</t>
  </si>
  <si>
    <t>Interacting selectively and non-covalently with GTP, guanosine triphosphate.  [GOC:ai]</t>
  </si>
  <si>
    <t>eukaryotic translation initiation factor 2 complex</t>
  </si>
  <si>
    <t>Complex of three heterogeneous polypeptide chains, that form a ternary complex with initiator methionyl-tRNA and GTP. This ternary complex binds to free 40S subunit, which subsequently binds the 5' end of mRNA.  [PMID:10216940]</t>
  </si>
  <si>
    <t>eIF-2  EXACT []</t>
  </si>
  <si>
    <t>formation of translation initiation ternary complex</t>
  </si>
  <si>
    <t>Formation of a complex between aminoacylated initiator methionine tRNA, GTP, and initiation factor 2 (either eIF2 in eukaryotes, or IF2 in prokaryotes). In prokaryotes, fMet-tRNA (initiator) is used rather than Met-tRNA (initiator).  [GOC:hjd]</t>
  </si>
  <si>
    <t>translation initiation ternary complex assembly  EXACT []</t>
  </si>
  <si>
    <t>sp|Q9VC49|RPAB5_DROME</t>
  </si>
  <si>
    <t>PLN00032 3e-017| RNA_pol_N 3e-015| PRK04016 3e-011| RPB10 4e-011| 7TM_GPCR_Srx 0.099| ND4 | hisZ | Plasmod_Pvs28 | ND4 | hisZ_biosyn_reg |</t>
  </si>
  <si>
    <t>Rpb10 - Drosophila melanogaster - DNA-directed RNA polymerase activity - DNA-directed RNA polymerase II, core complex - transcription from RNA polymerase II promoter - transcription, DNA-dependent - nucleus - zinc ion binding - regulation of transcription, DNA-dependent - DNA binding</t>
  </si>
  <si>
    <t>DNA-directed RNA polymerase activity</t>
  </si>
  <si>
    <t>Catalysis of the reaction: nucleoside triphosphate + RNA(n) = diphosphate + RNA(n+1). Utilizes a DNA template, i.e. the catalysis of DNA-template-directed extension of the 3'-end of an RNA strand by one nucleotide at a time. Can initiate a chain 'de novo'.  [EC:2.7.7.6]</t>
  </si>
  <si>
    <t>C ribonucleic acid formation factors  RELATED [EC:2.7.7.6]</t>
  </si>
  <si>
    <t>DNA-directed RNA polymerase II, core complex</t>
  </si>
  <si>
    <t>RNA polymerase II, one of three nuclear DNA-directed RNA polymerases found in all eukaryotes, is a multisubunit complex; typically it produces mRNAs, snoRNAs, and some of the snRNAs. Two large subunits comprise the most conserved portion including the catalytic site and share similarity with other eukaryotic and bacterial multisubunit RNA polymerases. The largest subunit of RNA polymerase II contains an essential carboxyl-terminal domain (CTD) composed of a variable number of heptapeptide repeats (YSPTSPS). The remainder of the complex is composed of smaller subunits (generally ten or more), some of which are also found in RNA polymerases I and III. Although the core is competent to mediate ribonucleic acid synthesis, it requires additional factors to select the appropriate template.  [GOC:krc, GOC:mtg_sensu]</t>
  </si>
  <si>
    <t>RNA polymerase II complex  BROAD []</t>
  </si>
  <si>
    <t>transcription from RNA polymerase II promoter</t>
  </si>
  <si>
    <t>The synthesis of RNA from a DNA template by RNA polymerase II, originating at an RNA polymerase II promoter. Includes transcription of messenger RNA (mRNA) and certain small nuclear RNAs (snRNAs).  [GOC:jl, GOC:txnOH, ISBN:0321000382]</t>
  </si>
  <si>
    <t>gene-specific transcription from RNA polymerase II promoter  RELATED []</t>
  </si>
  <si>
    <t>Candidatus Zinderia insecticola CARI</t>
  </si>
  <si>
    <t>sp|P13568|MDR_PLAFF</t>
  </si>
  <si>
    <t>ND2 0.003| PLN02220 | PRK09609 | PTS-IIBC-alpha | 7tm_7 | PTZ00265 | ANTH | DUF929 | DUF1461 | Pox_Rap94 |</t>
  </si>
  <si>
    <t>ND4 1e-006| ND5 7e-006| ND6 7e-005| ND4 7e-005| ND4 1e-004| RNA_polI_A34 2e-004| ATP6 2e-004| ND4L 3e-004| PRK11192 4e-004| ND2 5e-004|</t>
  </si>
  <si>
    <t>sp|Q2V390|DF109_ARATH</t>
  </si>
  <si>
    <t>mtnA | PIPKc | PLN00137 |</t>
  </si>
  <si>
    <t>PTZ00184 1e-034| EFh 7e-021| FRQ1 3e-020| PTZ00183 3e-016| EFh 2e-007| EH 2e-006| efhand 2e-006| S-100 1e-004| PLN02964 2e-004| EH 4e-004|</t>
  </si>
  <si>
    <t>sp|Q2F5R8|EIF3E_BOMMO</t>
  </si>
  <si>
    <t>PCI 5e-020| PAM 3e-012| PINT 3e-012| RPN5 0.039| petJ | PRK15086 | PRK13697 | DUF763 | NR_DBD_PXR | nagB |</t>
  </si>
  <si>
    <t>Int6 homologue - Drosophila melanogaster - eukaryotic translation initiation factor 3 complex - translational initiation - translation initiation factor activity - cytosol - phagocytosis, engulfment</t>
  </si>
  <si>
    <t>eukaryotic translation initiation factor 3 complex</t>
  </si>
  <si>
    <t>A complex of several polypeptides that plays at least two important roles in protein synthesis: First, eIF3 binds to the 40S ribosome and facilitates loading of the Met-tRNA/eIF2.GTP ternary complex to form the 43S preinitiation complex. Subsequently, eIF3 apparently assists eIF4 in recruiting mRNAs to the 43S complex. The eIF3 complex contains five conserved core subunits, and may contain several additional proteins; the non-core subunits are thought to mediate association of the complex with specific sets of mRNAs.  [PMID:15904532]</t>
  </si>
  <si>
    <t>eIF-3  EXACT []</t>
  </si>
  <si>
    <t>sp|P43001|PRL_BUFJA</t>
  </si>
  <si>
    <t>Bufo japonicus</t>
  </si>
  <si>
    <t>7TM_GPCR_Srt 0.051| ND6 | ND2 | ND3 | oxygenase_e_transfer_subunit | ND5 | ND4 | Bax1-I | ND5 | AppB |</t>
  </si>
  <si>
    <t>PTZ00156 4e-069| rpl5p 4e-041| Ribosomal_L5_C 1e-026| RplE 1e-023| rplE 5e-004| POLBc_B1 0.001| rlmL 0.007| rpl5 0.008| ND5 | PLN02980 |</t>
  </si>
  <si>
    <t>sp|Q6DIY9|MDHC_XENTR</t>
  </si>
  <si>
    <t>MDH_cytoplasmic_cytosolic 6e-036| PRK05442 9e-030| MDH_euk_cyt 1e-029| PLN00135 9e-028| MDH_choloroplast_like 1e-027| MalateDH-SF1 5e-025| MDH 4e-024| MDH_like 5e-017| Ldh_1_C 2e-014| LDH_protist 2e-011|</t>
  </si>
  <si>
    <t>malate dehydrogenase 1, NAD (soluble) - Rattus norvegicus - soluble fraction - cytoplasm - mitochondrion - centrosome - tricarboxylic acid cycle - oxaloacetate metabolic process - malate metabolic process - NADH metabolic process - oxidoreductase activity - malate dehydrogenase activity - NAD metabolic process - L-malate dehydrogenase activity - cellular carbohydrate metabolic process - NAD binding</t>
  </si>
  <si>
    <t>tricarboxylic acid cycle</t>
  </si>
  <si>
    <t>A nearly universal metabolic pathway in which the acetyl group of acetyl coenzyme A is effectively oxidized to two CO2 and four pairs of electrons are transferred to coenzymes. The acetyl group combines with oxaloacetate to form citrate, which undergoes successive transformations to isocitrate, 2-oxoglutarate, succinyl-CoA, succinate, fumarate, malate, and oxaloacetate again, thus completing the cycle. In eukaryotes the tricarboxylic acid is confined to the mitochondria. See also glyoxylate cycle.  [ISBN:0198506732]</t>
  </si>
  <si>
    <t>citric acid cycle  EXACT []</t>
  </si>
  <si>
    <t>sp|Q6P378|ACTG_XENTR</t>
  </si>
  <si>
    <t>PTZ00281 7e-041| Actin 1e-040| PTZ00004 7e-038| ACTIN 2e-036| ACTIN 1e-029| PTZ00466 9e-028| PTZ00452 2e-027| COG5277 2e-027| PTZ00280 3e-015| Polysacc_synt 0.057|</t>
  </si>
  <si>
    <t>zgc:123289 - Danio rerio - ATP binding - cytoplasm - nucleotide binding - cytoskeleton</t>
  </si>
  <si>
    <t>cytoskeleton</t>
  </si>
  <si>
    <t>Any of the various filamentous elements that form the internal framework of cells, and typically remain after treatment of the cells with mild detergent to remove membrane constituents and soluble components of the cytoplasm. The term embraces intermediate filaments, microfilaments, microtubules, the microtrabecular lattice, and other structures characterized by a polymeric filamentous nature and long-range order within the cell. The various elements of the cytoskeleton not only serve in the maintenance of cellular shape but also have roles in other cellular functions, including cellular movement, cell division, endocytosis, and movement of organelles.  [GOC:mah, ISBN:0198547684, PMID:16959967]</t>
  </si>
  <si>
    <t>reproduction</t>
  </si>
  <si>
    <t>The production by an organism of new individuals that contain some portion of their genetic material inherited from that organism.  [GOC:go_curators, GOC:isa_complete, ISBN:0198506732]</t>
  </si>
  <si>
    <t>reproductive physiological process  EXACT []</t>
  </si>
  <si>
    <t>sp|Q6PDY2|AEDO_MOUSE</t>
  </si>
  <si>
    <t>DUF1637 9e-021| ND2 | COG2983 | PRK06811 | ER_lumen_recept | PHA02798 | PRK10447 | LAGLIDADG_1 | STKc_PKA | Borrelia_orfA |</t>
  </si>
  <si>
    <t>2-aminoethanethiol (cysteamine) dioxygenase b - Danio rerio - cysteamine dioxygenase activity - oxidation-reduction process - cellular_component - oxidoreductase activity, acting on single donors with incorporation of molecular oxygen, incorporation of two atoms of oxygen</t>
  </si>
  <si>
    <t>cysteamine dioxygenase activity</t>
  </si>
  <si>
    <t>Catalysis of the reaction: cysteamine + O(2) = H(+) + hypotaurine.  [EC:1.13.11.19, RHEA:14412]</t>
  </si>
  <si>
    <t>2-aminoethanethiol:oxygen oxidoreductase activity  EXACT [EC:1.13.11.19]</t>
  </si>
  <si>
    <t>PRK09737 | ND5 | PRK15033 | Intg_mem_TP0381 | ND4L | PRK12574 |</t>
  </si>
  <si>
    <t>sp|Q9W590|LSG1_DROME</t>
  </si>
  <si>
    <t>COG1161 5e-004| rbgA 7e-004| GTPase_YlqF 0.003| ND4 0.004| PHA02963 0.050| AF-4 0.092| 7TM-7TMR_HD | ND2 | Kv_beta | Sp38 |</t>
  </si>
  <si>
    <t>nucleostemin 3 - Drosophila melanogaster - GTP binding - cytoplasm</t>
  </si>
  <si>
    <t>nuclear export</t>
  </si>
  <si>
    <t>The directed movement of substances out of the nucleus.  [GOC:ai]</t>
  </si>
  <si>
    <t>export from nucleus  EXACT []</t>
  </si>
  <si>
    <t>sp|P51957|NEK4_HUMAN</t>
  </si>
  <si>
    <t>PLN02316 | GST_C_CLIC2 | PLPDE_III_ODC_DapDC_like | PRK09260 | PHA02871 | DNA_pol_gammaA | PLN02494 | PRK14985 | dhaK1 | rlmL |</t>
  </si>
  <si>
    <t>Uncharacterized protein - Homo sapiens - nucleus - regulation of transcription, DNA-dependent - sex differentiation - sequence-specific DNA binding</t>
  </si>
  <si>
    <t>sequence-specific DNA binding</t>
  </si>
  <si>
    <t>Interacting selectively and non-covalently with DNA of a specific nucleotide composition, e.g. GC-rich DNA binding, or with a specific sequence motif or type of DNA e.g. promotor binding or rDNA binding.  [GOC:jl]</t>
  </si>
  <si>
    <t>sequence specific DNA binding  EXACT []</t>
  </si>
  <si>
    <t>Panonychus citri</t>
  </si>
  <si>
    <t>sp|Q79ZV2|ICAC_STAAW</t>
  </si>
  <si>
    <t>Staphylococcus aureus (strain MW2)</t>
  </si>
  <si>
    <t>DUF1673 0.017| Plasmodium_Vir 0.076| Oxidored_q1 | PHA02817 | ND2 | ND5 | GPDPase_memb | ND6 | glyc2_xrt_Gpos1 | DUF674 |</t>
  </si>
  <si>
    <t>sp|O44081|DKC1_DROME</t>
  </si>
  <si>
    <t>RNA_polI_A34 1e-006| CDC27 3e-006| ND2 1e-005| MIP-T3 3e-005| Utp14 7e-005| TRAM_LAG1_CLN8 1e-004| MFS 2e-004| HSP90 3e-004| ND5 3e-004| ND2 3e-004|</t>
  </si>
  <si>
    <t>Nucleolar protein at 60B - Drosophila melanogaster - nucleolus - ribosome biogenesis - rRNA processing - pseudouridine synthesis - nucleus - pseudouridylate synthase activity - germ cell development - pseudouridine synthase activity - RNA binding - wing disc development - neurogenesis</t>
  </si>
  <si>
    <t>pseudouridylate synthase activity</t>
  </si>
  <si>
    <t>Catalysis of the reaction: D-ribose 5-phosphate + uracil = H(2)O + pseudouridine 5'-phosphate.  [EC:4.2.1.70, RHEA:18340]</t>
  </si>
  <si>
    <t>5-ribosyluracil 5-phosphate synthetase activity  EXACT [EC:4.2.1.70]</t>
  </si>
  <si>
    <t>ribosome biogenesis</t>
  </si>
  <si>
    <t>A cellular process that results in the biosynthesis of constituent macromolecules, assembly, and arrangement of constituent parts of ribosome subunits; includes transport to the sites of protein synthesis.  [GOC:ma]</t>
  </si>
  <si>
    <t>ribosomal chaperone activity  RELATED []</t>
  </si>
  <si>
    <t>Paenibacillus sp. JDR-2</t>
  </si>
  <si>
    <t>sp|A5CFB7|SYE2_ORITB</t>
  </si>
  <si>
    <t>PRK09573 | DUF2972 | DUF1679 | DUP | PRK00915 | PLN02620 | APG9 | ND2 | DUF63 | ND6 |</t>
  </si>
  <si>
    <t>sp|P14544|COX1_LEITA</t>
  </si>
  <si>
    <t>ND4 2e-004| ND4 3e-004| ND6 5e-004| ND4 0.001| ND5 0.006| ND4L 0.007| PRK12291 0.012| COG5409 0.022| 7TMR-DISM_7TM 0.034| Fijivirus_P9-2 0.037|</t>
  </si>
  <si>
    <t>sp|P00428|COX5B_BOVIN</t>
  </si>
  <si>
    <t>Cyt_c_Oxidase_Vb 3e-033| COX5B 3e-016| PLN02294 1e-007| PRK00220 0.052| PLN00028 | ND2 | CyoE | rpl2 | PAE | PX_SNX17_31 |</t>
  </si>
  <si>
    <t>Drosophila melanogaster - mitochondrion - cytochrome-c oxidase activity - mitochondrial respiratory chain complex IV - mitochondrial electron transport, cytochrome c to oxygen - lipid particle</t>
  </si>
  <si>
    <t>Nodulin_late | ATP8 |</t>
  </si>
  <si>
    <t>ND2 0.001| ATP6 0.004| Oxidored_q5_N 0.050| ND6 0.050| PRK05910 0.069| ND6 0.089| 7TMR-DISM_7TM | ATP_synt_6_or_A | DltB | tegu_FGAM_synt |</t>
  </si>
  <si>
    <t>Uncharacterized protein - Sus scrofa - acid phosphatase activity</t>
  </si>
  <si>
    <t>purine base metabolic process</t>
  </si>
  <si>
    <t>The chemical reactions and pathways involving purine bases, one of the two classes of nitrogen-containing ring compounds found in DNA and RNA, which include adenine and guanine.  [GOC:go_curators]</t>
  </si>
  <si>
    <t>purine base metabolism  EXACT []</t>
  </si>
  <si>
    <t>sp|Q8MQI6|ELOF1_DROME</t>
  </si>
  <si>
    <t>Elf1 2e-031| COG4888 9e-020| PRK14892 4e-007| PSS 0.039| Rnd2_Rho7 | PDT | Flavi_NS2A | ND2 | GDPD_EcGlpQ_like_1 | UgpE |</t>
  </si>
  <si>
    <t>Drosophila melanogaster - molecular_function - biological_process - cellular_component</t>
  </si>
  <si>
    <t>sp|P30397|ROAA_EUGGR</t>
  </si>
  <si>
    <t>Euglena gracilis</t>
  </si>
  <si>
    <t>7TM_GPCR_Srz 0.086| p47 0.096| Baculo_helicase | Serinc | PLN00218 | Fun_ATP-synt_8 | TIGR03766 | PHA03042 | Mitovir_RNA_pol | Intg_mem_TP0381 |</t>
  </si>
  <si>
    <t>Theileria annulata</t>
  </si>
  <si>
    <t>sp|O21408|NU1M_SCYCA</t>
  </si>
  <si>
    <t>Scyliorhinus canicula</t>
  </si>
  <si>
    <t>DUF1577 0.022| NMN_transporter 0.081| ND4 | DUF2074 | gph | GpcrRhopsn4 | DUF3815 | PRK12577 | RE_SacI | Glyco_hydro_92 |</t>
  </si>
  <si>
    <t>sp|P70315|WASP_MOUSE</t>
  </si>
  <si>
    <t>vlf-1 | PHA03362 | GldJ_short | N-Ac-Glu-synth | PLN02502 | M20_Acy1_amhX_like | PRK13343 |</t>
  </si>
  <si>
    <t>Ostreococcus tauri</t>
  </si>
  <si>
    <t>sp|Q8CIB5|FERM2_MOUSE</t>
  </si>
  <si>
    <t>Pox_I1 | PHA03061 | PBP2_clavulanate_OppA2 | PRK13564 | SigBFG | DUF3431 | M32_Taq | Gallate_Doxase_N | PRK15083 | DUF1647 |</t>
  </si>
  <si>
    <t>Thermosipho melanesiensis BI429</t>
  </si>
  <si>
    <t>sp|A6LJT4|PURA_THEM4</t>
  </si>
  <si>
    <t>Thermosipho melanesiensis (strain BI429 / DSM 12029)</t>
  </si>
  <si>
    <t>COX3 0.057| ND5 | rad1 | COG5522 | ND2 | GpcrRhopsn4 | ND6 | Histidinol-ppas | B561 | DUF2645 |</t>
  </si>
  <si>
    <t>Inorganic ion transport and metabolism, Secondary metabolites biosynthesis, transport and catabolism</t>
  </si>
  <si>
    <t>Candidatus Arthromitus sp. SFB-mouse-Yit</t>
  </si>
  <si>
    <t>sp|O13076|AA2BR_CHICK</t>
  </si>
  <si>
    <t>7tm_7 0.082| zf-SNAP50_C | PalH | PHA03031 | PP2Ac | odv-e66 | RRN3 | COG3936 | MPP_PP2B | UbiE |</t>
  </si>
  <si>
    <t>sp|O14776|TCRG1_HUMAN</t>
  </si>
  <si>
    <t>M20_ArgE_RocB |</t>
  </si>
  <si>
    <t>sp|P23687|PPCE_PIG</t>
  </si>
  <si>
    <t>COG1505 5e-009| Peptidase_S9 3e-008| PtrB 0.008| COG5219 | PRK09034 | Dcp | citrate_synt_like_1_2 | PTZ00284 | PRK14032 | dUTPase_2 |</t>
  </si>
  <si>
    <t>prolyl endopeptidase - Danio rerio - serine-type endopeptidase activity - proteolysis - serine-type exopeptidase activity - serine-type peptidase activity - cellular_component</t>
  </si>
  <si>
    <t>PRK00784 |</t>
  </si>
  <si>
    <t>sp|Q06235|YL162_YEAST</t>
  </si>
  <si>
    <t>G1P_TT_short | HHH_2 | ligA | PRK10423 | Gemini_BL1 | CHAD | PRK08850 | PRK13876 | COG3329 | DUF2388 |</t>
  </si>
  <si>
    <t>sp|Q8K9M4|Y310_BUCAP</t>
  </si>
  <si>
    <t>ND5 0.007| ND3 0.009| Srg 0.015| 7TM_GPCR_Srbc 0.044| Gpi1 0.090| Oxidored_q5_N | ND6 | ND4 | ND4 | DUF1839 |</t>
  </si>
  <si>
    <t>sp|P59531|T2R12_HUMAN</t>
  </si>
  <si>
    <t>Snurportin-1_C | ND2 | 7TM_GPCR_Srbc | ATP8 | PRK09609 | ND5 | ND5 | COG4781 | ulaA | PRK12997 |</t>
  </si>
  <si>
    <t>sp|P61354|RL27_RAT</t>
  </si>
  <si>
    <t>Ribosomal_L27e 2e-044| PTZ00471 1e-037| RPL14A 6e-010| ATP6 | PIG-P | ATPase_gene1 | PLN00151 | E | SdaC | 3a0801s03tim44 |</t>
  </si>
  <si>
    <t>sp|P07882|CEL_RAT</t>
  </si>
  <si>
    <t>COesterase 3e-012| Esterase_lipase 2e-008| ND5 1e-004| PnbA 4e-004| 7TM_GPCR_Srz 0.003| COX3 0.005| PHA03074 0.019| ATP6 0.019| TagG 0.034| ND4 0.056|</t>
  </si>
  <si>
    <t>cholesterol catabolic process</t>
  </si>
  <si>
    <t>The chemical reactions and pathways resulting in the breakdown of cholesterol, cholest-5-en-3 beta-ol, the principal sterol of vertebrates and the precursor of many steroids, including bile acids and steroid hormones.  [GOC:ai]</t>
  </si>
  <si>
    <t>cholesterol breakdown  EXACT []</t>
  </si>
  <si>
    <t>sp|P09592|POLS_EEVVT</t>
  </si>
  <si>
    <t>Venezuelan equine encephalitis virus (strain Trinidad donkey)</t>
  </si>
  <si>
    <t>ND3 | ND2 | 7TM_GPCR_Str | Bestrophin | ND4 | ubiA | Iron_permease | Sre | ND4 | B56 |</t>
  </si>
  <si>
    <t>sp|Q641Z8|PEF1_RAT</t>
  </si>
  <si>
    <t>PTZ00184 2e-012| FRQ1 2e-010| EFh 1e-008| PTZ00183 7e-005| efhand 0.002| COG4781 0.011| EFh 0.020| COG4025 0.046| ND2 0.064| ND1 |</t>
  </si>
  <si>
    <t>Drosophila melanogaster - calcium ion binding</t>
  </si>
  <si>
    <t>response to calcium ion</t>
  </si>
  <si>
    <t>Any process that results in a change in state or activity of a cell or an organism (in terms of movement, secretion, enzyme production, gene expression, etc.) as a result of a calcium ion stimulus.  [GOC:ai]</t>
  </si>
  <si>
    <t>response to Ca2+ ion  EXACT []</t>
  </si>
  <si>
    <t>VKG_Carbox |</t>
  </si>
  <si>
    <t>sp|Q5SSW2|PSME4_MOUSE</t>
  </si>
  <si>
    <t>DUF3437 5e-010| Papilloma_E5 | RNA_pol_Rpb1_5 | RNAP_I_Rpa1_C | PRK04309 | RNAP_II_Rpb1_C | met_A_Alw26 | PX_RPK118_like | PLN03064 | RNAP_A'' |</t>
  </si>
  <si>
    <t>Uncharacterized protein - Bos taurus - binding</t>
  </si>
  <si>
    <t>GT8_like_2 | DUF2248 | PAP_RNA-bind |</t>
  </si>
  <si>
    <t>sp|P54358|DPOD1_DROME</t>
  </si>
  <si>
    <t>PTZ00166 4e-022| Clusterin | YycI | PRK10522 | BAR_SNX7 | Endotoxin_C | zf-RING-like | tpt | DUF567 | IL8 |</t>
  </si>
  <si>
    <t>polymerase (DNA directed), delta 1, catalytic subunit - Danio rerio - nucleotide binding - nucleic acid binding - DNA binding - DNA-directed DNA polymerase activity - DNA replication - nucleobase-containing compound metabolic process - regulation of mitotic cell cycle - S phase of mitotic cell cycle - delta DNA polymerase complex - base-excision repair, gap-filling - 3'-5'-exodeoxyribonuclease activity - DNA replication, removal of RNA primer - DNA replication proofreading - nucleotide-excision repair, DNA gap filling - transferase activity - nucleotidyltransferase activity</t>
  </si>
  <si>
    <t>delta DNA polymerase complex</t>
  </si>
  <si>
    <t>A multimeric DNA polymerase enzyme complex which differs in composition amongst species; in humans it is a heterotetramer of four subunits of approximately 125, 50, 68 and 12kDa, while in S. cerevisiae, it has three different subunits which form a heterotrimer, and the active enzyme is a dimer of this heterotrimer. Functions in DNA replication, mismatch repair and excision repair.  [GOC:jl, ISBN:0198547684, PMID:11205330, PMID:12403614]</t>
  </si>
  <si>
    <t>delta-DNA polymerase complex  EXACT []</t>
  </si>
  <si>
    <t>DNA replication</t>
  </si>
  <si>
    <t>The cellular metabolic process in which a cell duplicates one or more molecules of DNA. DNA replication begins when specific sequences, known as origins of replication, are recognized and bound by initiation proteins, and ends when the original DNA molecule has been completely duplicated and the copies topologically separated. The unit of replication usually corresponds to the genome of the cell, an organelle, or a virus. The template for replication can either be an existing DNA molecule or RNA.  [GOC:mah]</t>
  </si>
  <si>
    <t>sp|Q9UU86|SYG1_SCHPO</t>
  </si>
  <si>
    <t>ND5 0.024| EXS 0.032| bact_immun_7tm | ND2 | 7TM_GPCR_Str | CYTB | ND6 | PRK07630 | VWA | PHA02817 |</t>
  </si>
  <si>
    <t>Heterocephalus glaber</t>
  </si>
  <si>
    <t>sp|Q8CQ10|LTAS_STAES</t>
  </si>
  <si>
    <t>Staphylococcus epidermidis (strain ATCC 12228)</t>
  </si>
  <si>
    <t>3a01205 |</t>
  </si>
  <si>
    <t>sp|P18160|PYK1_DICDI</t>
  </si>
  <si>
    <t>ND4L 3e-004| DUF3397 0.003| SirB 0.004| PTZ00046 0.013| ND5 0.023| DUF2972 0.024| Ion_trans 0.028| ATP6 0.028| ND2 0.033| Na_H_Exchanger 0.036|</t>
  </si>
  <si>
    <t>Salmonella enterica subsp. enterica serovar Inverness str. R8-3668</t>
  </si>
  <si>
    <t>sp|P50635|APY_AEDAE</t>
  </si>
  <si>
    <t>ushA 2e-005| 5_nucleotid_C 0.004| PRK09419 0.005| PRK07188 | secF | UshA | DUF3019 | nadN | PRK13024 | PIN_T4-like |</t>
  </si>
  <si>
    <t>Sulfurovum sp. NBC37-1</t>
  </si>
  <si>
    <t>sp|Q12674|ATC8_YEAST</t>
  </si>
  <si>
    <t>7TM_GPCR_Srz 0.030| PTZ00014 | VAR1 | BAR_Rvs167p | 7tm_7 | ND5 | ND2 | tRNA-synt_1e | ND4 | Ndc80_HEC |</t>
  </si>
  <si>
    <t>PRK00635 | DEAH_box_HrpB | Na_K-ATPase |</t>
  </si>
  <si>
    <t>sp|P41990|APX1_CAEEL</t>
  </si>
  <si>
    <t>PRK08208 0.024| ND4 | int_mem_ywzB | SugarP_isomerase | PRK13298 | PRK09058 | Head-tail_con | CYTB | PRK12576 | PRK00409 |</t>
  </si>
  <si>
    <t>Gemella moribillum M424</t>
  </si>
  <si>
    <t>7tm_7 0.002| ND5 0.089| ND6 0.098| ND5 | ND4 | Rota_NS53 | ND5 | ND5 | ND2 | ND5 |</t>
  </si>
  <si>
    <t>Streptomyces sp. Mg1</t>
  </si>
  <si>
    <t>ND4 3e-005| ND2 4e-005| ND5 6e-005| DUF2011 1e-004| ND4 1e-004| COG4652 1e-004| COX3 2e-004| ND1 2e-004| SURF6 3e-004| ND4 5e-004|</t>
  </si>
  <si>
    <t>Uncharacterized protein - Rattus norvegicus - myosin filament</t>
  </si>
  <si>
    <t>sp|Q7T6T3|SPIKE_CVCBG</t>
  </si>
  <si>
    <t>Canine coronavirus (strain BGF10)</t>
  </si>
  <si>
    <t>HCO3_cotransp | Corona_S2 | PRK06849 | SP | ACT_HSDH-Hom | Ly49 | PRK15483 | Bac_Flav_CT_K | NB-ARC | dnaE |</t>
  </si>
  <si>
    <t>sp|Q07171|GELS_DROME</t>
  </si>
  <si>
    <t>GEL 6e-020| Gelsolin 8e-009| ND4L 0.008| ND4 0.044| ND6 0.069| ND5 0.084| NarK | PHA02638 | ND2 | ND4 |</t>
  </si>
  <si>
    <t>Gelsolin - Drosophila melanogaster - actin filament - cytosol - extracellular region - actin binding - phagocytosis, engulfment</t>
  </si>
  <si>
    <t>actin filament</t>
  </si>
  <si>
    <t>A filamentous structure formed of a two-stranded helical polymer of the protein actin and associated proteins. Actin filaments are a major component of the contractile apparatus of skeletal muscle and the microfilaments of the cytoskeleton of eukaryotic cells. The filaments, comprising polymerized globular actin molecules, appear as flexible structures with a diameter of 5-9 nm. They are organized into a variety of linear bundles, two-dimensional networks, and three dimensional gels. In the cytoskeleton they are most highly concentrated in the cortex of the cell just beneath the plasma membrane.  [GOC:mah, ISBN:0198506732, PMID:10666339]</t>
  </si>
  <si>
    <t>microfilament  EXACT []</t>
  </si>
  <si>
    <t>phagocytosis, engulfment</t>
  </si>
  <si>
    <t>The internalization of bacteria, immune complexes and other particulate matter or of an apoptotic cell by phagocytosis, including the membrane and cytoskeletal processes required, which involves one of three mechanisms: zippering of pseudopods around a target via repeated receptor-ligand interactions, sinking of the target directly into plasma membrane of the phagocytosing cell, or induced uptake via an enhanced membrane ruffling of the phagocytosing cell similar to macropinocytosis.  [GOC:curators, ISBN:0781735149]</t>
  </si>
  <si>
    <t>phagosome biosynthesis  RELATED []</t>
  </si>
  <si>
    <t>Syngamus trachea</t>
  </si>
  <si>
    <t>sp|Q05FH8|RPOB_CARRP</t>
  </si>
  <si>
    <t>ND4 2e-004| 7TM_GPCR_Srz 0.001| ND5 0.050| 7tm_7 | ATP6 | Anoctamin | 7TMR-DISM_7TM | VPS9 | COG5141 | ND5 |</t>
  </si>
  <si>
    <t>Thiorhodovibrio sp. 970</t>
  </si>
  <si>
    <t>sp|Q9PH84|PDXJ_XYLFA</t>
  </si>
  <si>
    <t>Xylella fastidiosa</t>
  </si>
  <si>
    <t>murD | PRK13897 | FERM_C | Citrate_ly_lig | COG2717 | Viral_Hsp90 | Citrate_ly_lig | PRK10406 | rpl6p | photo_TT_lyase |</t>
  </si>
  <si>
    <t>Micromalthus debilis</t>
  </si>
  <si>
    <t>sp|Q945U1|RS15_ELAOL</t>
  </si>
  <si>
    <t>Elaeis oleifera</t>
  </si>
  <si>
    <t>PTZ00096 3e-071| rpsS_arch 5e-062| rps19p 2e-049| Ribosomal_S19 2e-035| RpsS 7e-031| rpsS 2e-014| rpsS_bact 2e-013| rps19 4e-012| PLN03147 2e-004| ATP-synt_D |</t>
  </si>
  <si>
    <t>Ribosomal protein S15 - Drosophila melanogaster - structural constituent of ribosome - cytosolic small ribosomal subunit - translation - RNA binding - lipid particle - mitotic spindle elongation - mitotic spindle organization</t>
  </si>
  <si>
    <t>sp|O13760|YF2A_SCHPO</t>
  </si>
  <si>
    <t>ND5 0.005| ND2 0.033| ND2 0.053| 7TM_GPCR_Srbc | DNA_pol_B | ND6 | ND6 | ND4 | TOP4c | YfhO |</t>
  </si>
  <si>
    <t>GH20_chitobiase-like | PRK01213 |</t>
  </si>
  <si>
    <t>Cryptosporidium muris RN66</t>
  </si>
  <si>
    <t>PRP38 | zf-DNA_Pol | COG4781 | Srg | ABC_perm_GldF | Gsf2 | PRK09213 |</t>
  </si>
  <si>
    <t>ND4 7e-009| ND4 8e-009| ND5 7e-008| ND6 8e-007| ND2 2e-006| PIG-U 2e-006| PTZ00121 4e-006| ND2 5e-006| Got1 5e-006| 7TMR-DISM_7TM 5e-006|</t>
  </si>
  <si>
    <t>protein O-linked glycosylation</t>
  </si>
  <si>
    <t>A protein glycosylation process in which a sugar unit is added to a protein via the hydroxyl group of peptidyl-serine, peptidyl-threonine, peptidyl-hydroxylysine, or peptidyl-hydroxyproline, or via the phenol group of peptidyl-tyrosine, forming an O-glycan.  [ISBN:0879695595, RESID:AA0153, RESID:AA0154, RESID:AA0155, RESID:AA0157, RESID:AA0212]</t>
  </si>
  <si>
    <t>protein amino acid O-linked glycosylation  EXACT [GOC:bf]</t>
  </si>
  <si>
    <t>sp|O34313|NTPES_BACSU</t>
  </si>
  <si>
    <t>ushA 2e-005| 5_nucleotid_C 0.004| PRK09419 0.005| UshA | nadN | DUF3019 | PRK07188 | PRK13024 | PRK15198 | gatB |</t>
  </si>
  <si>
    <t>Average Result</t>
  </si>
  <si>
    <t>Frame of SignalP</t>
  </si>
  <si>
    <t>2,</t>
  </si>
  <si>
    <t>1,</t>
  </si>
  <si>
    <t>Ind</t>
  </si>
  <si>
    <t>3,</t>
  </si>
  <si>
    <t>3,3,3,3,</t>
  </si>
  <si>
    <t>3,3,3,</t>
  </si>
  <si>
    <t>1,1,</t>
  </si>
  <si>
    <t>1,2,</t>
  </si>
  <si>
    <t>2,3,</t>
  </si>
  <si>
    <t>3,3,</t>
  </si>
  <si>
    <t>Comments</t>
  </si>
  <si>
    <t>Class</t>
  </si>
  <si>
    <t>Dbase</t>
  </si>
  <si>
    <t>Eval</t>
  </si>
  <si>
    <t>Coverage</t>
  </si>
  <si>
    <t>Hypothetical secreted protein precursor - signalP detected</t>
  </si>
  <si>
    <t>s/</t>
  </si>
  <si>
    <t>Unknown product</t>
  </si>
  <si>
    <t>uk</t>
  </si>
  <si>
    <t>secreted salivary protein - signalP detected</t>
  </si>
  <si>
    <t>secreted salivary protein</t>
  </si>
  <si>
    <t>Anopheles funestus 16S ribosomal RNA partial sequence; mitochondrial</t>
  </si>
  <si>
    <t>ps</t>
  </si>
  <si>
    <t>truncated secreted salivary acid phosphatase</t>
  </si>
  <si>
    <t>truncated salivary phosphatase</t>
  </si>
  <si>
    <t>salivary allergen 2</t>
  </si>
  <si>
    <t>truncated esterase</t>
  </si>
  <si>
    <t>uc</t>
  </si>
  <si>
    <t>Adenosine deaminase CECR1 - metal ion binding - inosine biosynthetic process - proteoglycan binding - hypoxanthine salvage - protein homodimerization</t>
  </si>
  <si>
    <t>st</t>
  </si>
  <si>
    <t>Adenine deaminase/adenosine deaminase</t>
  </si>
  <si>
    <t>met/nuc</t>
  </si>
  <si>
    <t>Adenosine deaminase CECR1 - metal ion binding - proteoglycan binding - adenosine receptor binding - hydrolase - purine ribonucleoside monophosphate - signalP detected</t>
  </si>
  <si>
    <t>60S acidic ribosomal protein P1</t>
  </si>
  <si>
    <t>salivary apyrase</t>
  </si>
  <si>
    <t>Glycine-rich cell wall structural protein 1.8 - signalP detected</t>
  </si>
  <si>
    <t>extmat</t>
  </si>
  <si>
    <t>E3 ubiquitin-protein ligase RBBP6</t>
  </si>
  <si>
    <t>prot</t>
  </si>
  <si>
    <t>Uncharacterized protein - metal ion binding - protein ubiquitination involved in ubiquitin-dependent protein catabolic process - zinc ion binding -</t>
  </si>
  <si>
    <t>ribosomal protein S6e</t>
  </si>
  <si>
    <t>40S ribosomal protein S6</t>
  </si>
  <si>
    <t>Ribosomal protein L41</t>
  </si>
  <si>
    <t>Ribosomal protein L36e</t>
  </si>
  <si>
    <t>40S ribosomal protein S2</t>
  </si>
  <si>
    <t>40S ribosomal protein S8</t>
  </si>
  <si>
    <t>60S ribosomal protein L8 Harpegnathos saltator</t>
  </si>
  <si>
    <t>60s ribosomal protein L2/L8</t>
  </si>
  <si>
    <t>ribosomal protein L14 Tribolium castaneum</t>
  </si>
  <si>
    <t>ribosome-associated protein P40 Tribolium castaneum - signalP detected</t>
  </si>
  <si>
    <t>ribosomal protein L4e</t>
  </si>
  <si>
    <t>60S acidic ribosomal protein P0-like</t>
  </si>
  <si>
    <t>elongation factor 1-alpha</t>
  </si>
  <si>
    <t>Elongation factor 1alpha48D - microtubule associated complex - lipid particle - GTP binding - translation - GTPase - cytoplasm</t>
  </si>
  <si>
    <t>cs</t>
  </si>
  <si>
    <t>60s ribosomal protein L15</t>
  </si>
  <si>
    <t>60s ribosomal protein L19</t>
  </si>
  <si>
    <t>Lysosomal &amp; prostatic acid phosphatases</t>
  </si>
  <si>
    <t>met/lipd</t>
  </si>
  <si>
    <t>ubiquitin-ribosomal protein S30e fusion protein</t>
  </si>
  <si>
    <t>60S ribosomal protein L34</t>
  </si>
  <si>
    <t>40S ribosomal protein S3A</t>
  </si>
  <si>
    <t>Ribosomal protein S19e</t>
  </si>
  <si>
    <t>40S ribosomal protein S15/S22</t>
  </si>
  <si>
    <t>integrin beta-like 1 - integrin-mediated signaling pathway - binding - cell-matrix adhesion - receptor - integrin complex - cell adhesion - signalP detected</t>
  </si>
  <si>
    <t>Ribosomal protein S4</t>
  </si>
  <si>
    <t>ribosomal protein rps9</t>
  </si>
  <si>
    <t>Ribosomal protein S9 - mitotic spindle elongation - mitotic spindle organization - rRNA binding - ribosome - structural constituent of ribosome -</t>
  </si>
  <si>
    <t>Predicted ubiquitin-protein ligase/hyperplastic discs protein HECT superfamily</t>
  </si>
  <si>
    <t>ribosomal protein L44e</t>
  </si>
  <si>
    <t>Ribosomal protein S18</t>
  </si>
  <si>
    <t>Histidine phosphatase superfamily</t>
  </si>
  <si>
    <t>60S ribosomal protein L22</t>
  </si>
  <si>
    <t>Ribosomal protein S21e</t>
  </si>
  <si>
    <t>40S ribosomal protein S16</t>
  </si>
  <si>
    <t>60S ribosomal protein L18a</t>
  </si>
  <si>
    <t>60S ribosomal protein L5</t>
  </si>
  <si>
    <t>vitellogenin C</t>
  </si>
  <si>
    <t>storage/</t>
  </si>
  <si>
    <t>Calreticulin</t>
  </si>
  <si>
    <t>pm</t>
  </si>
  <si>
    <t>Ribosomal L37ae protein family</t>
  </si>
  <si>
    <t>60S ribosomal protein L32</t>
  </si>
  <si>
    <t>ribosomal protein S27</t>
  </si>
  <si>
    <t>Salivary antigen 1</t>
  </si>
  <si>
    <t>40S ribosomal protein S7</t>
  </si>
  <si>
    <t>ribosomal protein L28e</t>
  </si>
  <si>
    <t>40S ribosomal protein S13</t>
  </si>
  <si>
    <t>60S ribosomal protein L26</t>
  </si>
  <si>
    <t>ribosomal protein L26e</t>
  </si>
  <si>
    <t>ribosomal protein L35Ae Tribolium castaneum</t>
  </si>
  <si>
    <t>S10e ribosomal protein</t>
  </si>
  <si>
    <t>ribosomal protein L35</t>
  </si>
  <si>
    <t>40S ribosomal protein S2/30S ribosomal protein S5</t>
  </si>
  <si>
    <t>Knottins</t>
  </si>
  <si>
    <t>imm</t>
  </si>
  <si>
    <t>Ribosomal protein S26e</t>
  </si>
  <si>
    <t>40S ribosomal protein S4</t>
  </si>
  <si>
    <t>translationally controlled tumor protein</t>
  </si>
  <si>
    <t>ribosomal protein L23e Tribolium castaneum</t>
  </si>
  <si>
    <t>Translation elongation factor EF-1 gamma</t>
  </si>
  <si>
    <t>40S ribosomal protein S14</t>
  </si>
  <si>
    <t>Polyadenylate-binding protein (RRM superfamily) - signalP detected</t>
  </si>
  <si>
    <t>Polyadenylate-binding protein Pediculus humanus corporis</t>
  </si>
  <si>
    <t>60s ribosomal protein L10</t>
  </si>
  <si>
    <t>Glutaminyl-tRNA synthetase</t>
  </si>
  <si>
    <t>Protein of unknown function</t>
  </si>
  <si>
    <t>Attacin</t>
  </si>
  <si>
    <t>60S ribosomal protein L31</t>
  </si>
  <si>
    <t>vitellogenin 1</t>
  </si>
  <si>
    <t>Ribosomal L38e protein family</t>
  </si>
  <si>
    <t>ribosomal protein L30</t>
  </si>
  <si>
    <t>ribosomal protein S25</t>
  </si>
  <si>
    <t>40S ribosomal protein S3</t>
  </si>
  <si>
    <t>Fructose-biphosphate aldolase</t>
  </si>
  <si>
    <t>met/carb</t>
  </si>
  <si>
    <t>ERp60 - microtubule associated complex - lipid particle - protein disulfide oxidoreductase - electron carrier - cell redox homeostasis -</t>
  </si>
  <si>
    <t>60S ribosomal protein L13a-like</t>
  </si>
  <si>
    <t>60S ribosomal protein L10A</t>
  </si>
  <si>
    <t>ribosomal protein L10A Bombyx mori</t>
  </si>
  <si>
    <t>mitochondrial import inner membrane translocase subunit Tim23 Pediculus humanus corporis</t>
  </si>
  <si>
    <t>tr</t>
  </si>
  <si>
    <t>S17e ribosomal protein Tribolium castaneum</t>
  </si>
  <si>
    <t>60S Ribosomal protein L13</t>
  </si>
  <si>
    <t>60S ribosomal protein L37</t>
  </si>
  <si>
    <t>Elongation factor 1 beta/delta chain</t>
  </si>
  <si>
    <t>tm</t>
  </si>
  <si>
    <t>Polyubiquitin-B - toll-like receptor 21 signaling pathway - toll-like receptor 15 signaling pathway - activation of MAPK involved in innate immune</t>
  </si>
  <si>
    <t>ribosomal protein L27A</t>
  </si>
  <si>
    <t>RTE_Ele1_ORF1 -h 1e-60 -j 4</t>
  </si>
  <si>
    <t>te</t>
  </si>
  <si>
    <t>Lysosomal &amp; prostatic acid phosphatases - Membrane anchor detected</t>
  </si>
  <si>
    <t>met/lipd membrAnchor</t>
  </si>
  <si>
    <t>40S ribosomal protein SA (P40)/Laminin receptor 1</t>
  </si>
  <si>
    <t>proteasome subunit beta 1</t>
  </si>
  <si>
    <t>Ribosomal protein L6e</t>
  </si>
  <si>
    <t>Thioredoxin domain-containing protein 2 - nutrient reservoir - cell redox homeostasis - cell differentiation - protein disulfide oxidoreductase -</t>
  </si>
  <si>
    <t>ribosomal protein L7A</t>
  </si>
  <si>
    <t>Uncharacterized protein - transferase  transferring phosphorus-containing groups - ATP binding - protein serine/threonine kinase</t>
  </si>
  <si>
    <t>ribosomal protein S11-2</t>
  </si>
  <si>
    <t>DNAJ chaperone Culex quinquefasciatus</t>
  </si>
  <si>
    <t>ribosomal RNA (CR40766) rRNA</t>
  </si>
  <si>
    <t>lipid particle - ATP synthesis coupled proton transport - proton transport - mitochondrial proton-transporting ATP synthase complex coupling factor</t>
  </si>
  <si>
    <t>14-3-3zeta - protein heterodimerization - protein homodimerization - microtubule associated complex - protein folding - protein stabilization -</t>
  </si>
  <si>
    <t>Uncharacterized protein - regulation of transcription DNA-dependent - nucleus - DNA binding - chromatin</t>
  </si>
  <si>
    <t>GK18829 Drosophila willistoni</t>
  </si>
  <si>
    <t>Caspase 7 apoptosis-related cysteine peptidase - apoptosis - proteolysis - cysteine-type endopeptidase</t>
  </si>
  <si>
    <t>st/apoptosis</t>
  </si>
  <si>
    <t>40S ribosomal protein S23</t>
  </si>
  <si>
    <t>ADP/ATP translocase</t>
  </si>
  <si>
    <t>signal transducer - GTPase activator - regulation of G-protein coupled receptor protein signaling pathway</t>
  </si>
  <si>
    <t>Luehdorfia chinensis mitochondrion partial genome</t>
  </si>
  <si>
    <t>Monooxygenase involved in coenzyme Q (ubiquinone) biosynthesis</t>
  </si>
  <si>
    <t>met/int</t>
  </si>
  <si>
    <t>ubiquitin protein ligase Glossina morsitans morsitans</t>
  </si>
  <si>
    <t>Conserved secreted protein precursor - signalP detected</t>
  </si>
  <si>
    <t>s/ucs</t>
  </si>
  <si>
    <t>secreted salivary phosphatase</t>
  </si>
  <si>
    <t>60S ribosomal protein L3 - signalP detected</t>
  </si>
  <si>
    <t>sec71 - binding - regulation of ARF protein signal transduction - ER to Golgi vesicle-mediated transport - ARF guanyl-nucleotide exchange factor -</t>
  </si>
  <si>
    <t>pe</t>
  </si>
  <si>
    <t>hypothetical protein AaeL_AAEL002797 Aedes aegypti</t>
  </si>
  <si>
    <t>transcriptional regulator DJ-1</t>
  </si>
  <si>
    <t>hypothetical protein SINV_00679</t>
  </si>
  <si>
    <t>Glycine dehydrogenase (decarboxylating)</t>
  </si>
  <si>
    <t>met/aa</t>
  </si>
  <si>
    <t>Drosophila persimilis ribosomal RNA (Dper\28SrRNA:GL28069) rRNA</t>
  </si>
  <si>
    <t>Conserved protein with signal anchor - Membrane anchor detected</t>
  </si>
  <si>
    <t>uc/anchor membrAnchor</t>
  </si>
  <si>
    <t>Trypsin</t>
  </si>
  <si>
    <t>Glycyl-tRNA synthetase</t>
  </si>
  <si>
    <t>Cytochrome c oxidase subunit II</t>
  </si>
  <si>
    <t>met/energy</t>
  </si>
  <si>
    <t>ribosomal protein L29</t>
  </si>
  <si>
    <t>40S ribosomal protein S15</t>
  </si>
  <si>
    <t>Transcription regulator XNP/ATRX DEAD-box superfamily</t>
  </si>
  <si>
    <t>NADH-ubiquinone oxidoreductase chain 2 - reactive oxygen species metabolic process - respiratory chain - ATP synthesis coupled electron transport -</t>
  </si>
  <si>
    <t>exosomal 3'-5' exoribonuclease complex subunit ski4</t>
  </si>
  <si>
    <t>60S ribosomal protein L22-like</t>
  </si>
  <si>
    <t>ubiquitin-protein ligase 1 - ubiquitin-dependent protein catabolic process</t>
  </si>
  <si>
    <t>Uncharacterized protein - smooth muscle cell proliferation - plasma membrane - cytoplasm - nucleus</t>
  </si>
  <si>
    <t>hypothetical protein AND_01233</t>
  </si>
  <si>
    <t>Uncharacterized conserved protein</t>
  </si>
  <si>
    <t>gamma-coatomer protein - larval salivary gland morphogenesis - endoplasmic reticulum - regulation of tube diameter open tracheal system -</t>
  </si>
  <si>
    <t>ATP citrate lyase - lipid particle - cellular carbohydrate metabolic process - succinate-CoA ligase (ADP-forming) - ATP binding - acetyl-CoA</t>
  </si>
  <si>
    <t>NADH dehydrogenase subunit 1</t>
  </si>
  <si>
    <t>glucosamine-6-phosphate deaminase 1 - cellular_component - carbohydrate metabolic process - N-acetylglucosamine metabolic process -</t>
  </si>
  <si>
    <t>F-actin capping protein beta subunit</t>
  </si>
  <si>
    <t>Mitochondrial/chloroplast ribosomal protein S11</t>
  </si>
  <si>
    <t>Derlin-2 - retrograde protein transport ER to cytosol - endoplasmic reticulum unfolded protein response - ER-associated protein catabolic process -</t>
  </si>
  <si>
    <t>6-phosphogluconolactonase - 6-phosphogluconolactonase - glucose metabolic process - carbohydrate metabolic process - cytoplasm</t>
  </si>
  <si>
    <t>Ferredoxin</t>
  </si>
  <si>
    <t>emp24/gp25L/p24 family of membrane trafficking</t>
  </si>
  <si>
    <t>20S proteasome regulatory subunit alpha type PSMA3/PRE10</t>
  </si>
  <si>
    <t>60S ribosomal protein L21</t>
  </si>
  <si>
    <t>ferritin Tribolium castaneum - Membrane anchor detected</t>
  </si>
  <si>
    <t>storage/ membrAnchor</t>
  </si>
  <si>
    <t>retinoblastoma binding protein 4 like - ESC/E(Z) complex - DNA replication - regulation of transcription DNA-dependent - transcription - Membrane anchor detected</t>
  </si>
  <si>
    <t>tm membrAnchor</t>
  </si>
  <si>
    <t>hypothetical protein TcasGA2_TC001324</t>
  </si>
  <si>
    <t>Electron transfer flavoprotein beta subunit - signalP detected</t>
  </si>
  <si>
    <t>Spermidine synthase</t>
  </si>
  <si>
    <t>Catecholamines up - regulation of epithelial cell migration open tracheal system - membrane - metal ion transport - transmembrane transport - metal</t>
  </si>
  <si>
    <t>Telomerase elongation inhibitor/RNA maturation protein PINX1</t>
  </si>
  <si>
    <t>Arginyl-tRNA synthetase</t>
  </si>
  <si>
    <t>Vesicle coat protein clathrin light chain</t>
  </si>
  <si>
    <t>RNA polymerase-associated protein CTR9 homolog</t>
  </si>
  <si>
    <t>Oligosaccharyltransferase beta subunit</t>
  </si>
  <si>
    <t>F0F1-type ATP synthase beta subunit</t>
  </si>
  <si>
    <t>ribosomal protein P2 - signalP detected</t>
  </si>
  <si>
    <t>Uncharacterized conserved protein with similarity to phosphopantothenoylcysteine synthetase/decarboxylase</t>
  </si>
  <si>
    <t>Cytochrome c1</t>
  </si>
  <si>
    <t>Translation initiation factor 4F helicase subunit (eIF-4A)</t>
  </si>
  <si>
    <t>proteasome (prosome macropain) 26S subunit non-ATPase 1 - proteasome complex - regulation of protein catabolic process - enzyme regulator -</t>
  </si>
  <si>
    <t>Adoxophyes honmai mitochondrion complete genome</t>
  </si>
  <si>
    <t>Protein SEC13 homolog - mRNA transport - COPII vesicle coating - cellular protein metabolic process - post-translational protein modification -</t>
  </si>
  <si>
    <t>AGAP009134-PA Anopheles gambiae str. PEST</t>
  </si>
  <si>
    <t>Ricin-type beta-trefoil</t>
  </si>
  <si>
    <t>Glutaredoxin</t>
  </si>
  <si>
    <t>Mitochondrial/chloroplast ribosomal protein L24</t>
  </si>
  <si>
    <t>Mitochondrial F1F0-ATP synthase subunit epsilon/ATP15</t>
  </si>
  <si>
    <t>60S ribosomal protein L9</t>
  </si>
  <si>
    <t>protein phosphatase 1 catalytic subunit beta isoform 1</t>
  </si>
  <si>
    <t>high-affinity choline transporter 1-like - signalP detected</t>
  </si>
  <si>
    <t>Receptor of activated protein kinase C 1 - catalytic step 2 spliceosome - nuclear mRNA splicing via spliceosome - precatalytic spliceosome -</t>
  </si>
  <si>
    <t>programmed cell death 6-interacting protein</t>
  </si>
  <si>
    <t>Translocon-associated protein</t>
  </si>
  <si>
    <t>serine protease P153</t>
  </si>
  <si>
    <t>pm/protease</t>
  </si>
  <si>
    <t>Ubiquinol-cytochrome C reductase hinge protein</t>
  </si>
  <si>
    <t>ribosomal protein L24</t>
  </si>
  <si>
    <t>Alanyl-tRNA synthetase</t>
  </si>
  <si>
    <t>DNA binding - protein folding - unfolded protein binding - regulation of transcription DNA-dependent - heat shock protein binding</t>
  </si>
  <si>
    <t>CG4593 CG4593-PA Tribolium castaneum</t>
  </si>
  <si>
    <t>ribosomal protein L27e</t>
  </si>
  <si>
    <t>Mitogen-activated protein kinase kinase 1 interacting</t>
  </si>
  <si>
    <t>2-enoyl-CoA hydratase/3-hydroxyacyl-CoA dehydrogenase/Peroxisomal 3-ketoacyl-CoA-thiolase sterol-binding domain</t>
  </si>
  <si>
    <t>Filamentous baseplate protein Ligatin contains PUA domain</t>
  </si>
  <si>
    <t>10 kDa heat shock protein mitochondrial-like</t>
  </si>
  <si>
    <t>hypothetical protein AND_13780</t>
  </si>
  <si>
    <t>Calmodulin - lateral inhibition - calmodulin binding - centriole replication - microtubule associated complex - kinetochore organization - positive</t>
  </si>
  <si>
    <t>secreted acid phosphatase</t>
  </si>
  <si>
    <t>Lin-9 homolog (mLin-9) (Type I interferon receptor beta chain-associated protein) (TUDOR gene similar 1 protein)</t>
  </si>
  <si>
    <t>Phosphoserine phosphatase</t>
  </si>
  <si>
    <t>Microtubule-associated protein CRIPT</t>
  </si>
  <si>
    <t>Oligosaccharyltransferase STT3 subunit</t>
  </si>
  <si>
    <t>60S ribosomal export protein NMD3</t>
  </si>
  <si>
    <t>LOW QUALITY PROTEIN: transcription elongation factor SPT5</t>
  </si>
  <si>
    <t>SNF2 family DNA-dependent ATPase</t>
  </si>
  <si>
    <t>nr</t>
  </si>
  <si>
    <t>hypothetical protein</t>
  </si>
  <si>
    <t>RhoGAP54D - signal transduction - intracellular</t>
  </si>
  <si>
    <t>Translation machinery associated TMA7</t>
  </si>
  <si>
    <t>ribosomal protein S24e</t>
  </si>
  <si>
    <t>Protein transporter of the TRAM (translocating chain-associating membrane) superfamily</t>
  </si>
  <si>
    <t>H+ transporting ATP synthase O subunit isoform 1 Bombyx mori</t>
  </si>
  <si>
    <t>Homocysteine S-methyltransferase</t>
  </si>
  <si>
    <t>Mitochondrial F1F0-ATP synthase subunit OSCP/ATP5</t>
  </si>
  <si>
    <t>Glucosamine-6-phosphate isomerase</t>
  </si>
  <si>
    <t>Hydrolytic enzymes of the alpha/beta hydrolase fold</t>
  </si>
  <si>
    <t>Outcast_Ele5_ORF1 -h 1e-40 -j 4</t>
  </si>
  <si>
    <t>Nuclear exosomal RNA helicase MTR4 DEAD-box superfamily</t>
  </si>
  <si>
    <t>Another transcription unit - biological_process - cellular_component - molecular_function</t>
  </si>
  <si>
    <t>probable nucleolar GTP-binding protein 1-like</t>
  </si>
  <si>
    <t>Exon-exon junction complex Magoh component</t>
  </si>
  <si>
    <t>GRIM-19 protein</t>
  </si>
  <si>
    <t>60S ribosomal protein L11</t>
  </si>
  <si>
    <t>Vacuolar protein sorting-associated protein 53 homolog - membrane - protein transport - endosome membrane - Golgi apparatus - endosome</t>
  </si>
  <si>
    <t>ATP binding - ATP-binding cassette (ABC) transporter complex - ATPase  coupled to transmembrane movement of substances - transporter</t>
  </si>
  <si>
    <t>Ankyrin repeats</t>
  </si>
  <si>
    <t>beta-coatomer protein - regulation of lipid storage - phagocytosis engulfment - intracellular protein transport - structural molecule - binding - - signalP detected</t>
  </si>
  <si>
    <t>Signal recognition particle protein 72 - dsRNA transport - 7S RNA binding - SRP-dependent cotranslational protein targeting to membrane - signal</t>
  </si>
  <si>
    <t>Defensin-1 - signalP detected</t>
  </si>
  <si>
    <t>s/imm Defensin-1</t>
  </si>
  <si>
    <t>Fatty acid desaturase - signalP detected</t>
  </si>
  <si>
    <t>s/met/lipd Fatty</t>
  </si>
  <si>
    <t>Cyclophilin type peptidyl-prolyl cis-trans isomerase</t>
  </si>
  <si>
    <t>Protein required for 18S rRNA maturation and 40S ribosome biogenesis - signalP detected</t>
  </si>
  <si>
    <t>hydroxysteroid dehydrogenase-like protein 2-like</t>
  </si>
  <si>
    <t>eukaryotic translation initiation factor 2 subunit 2-like</t>
  </si>
  <si>
    <t>DNA-directed RNA polymerase subunit RPB10</t>
  </si>
  <si>
    <t>Unknown product - Membrane anchor detected</t>
  </si>
  <si>
    <t>uk membrAnchor</t>
  </si>
  <si>
    <t>Translation initiation factor 3 subunit e (eIF-3e)</t>
  </si>
  <si>
    <t>Malate dehydrogenase</t>
  </si>
  <si>
    <t>Actin</t>
  </si>
  <si>
    <t>large subunit GTPase 1 homolog</t>
  </si>
  <si>
    <t>centromere/microtubule binding protein cbf5 Aedes aegypti</t>
  </si>
  <si>
    <t>cytochrome c oxidase subunit Vb COX4</t>
  </si>
  <si>
    <t>transcription elongation factor 1 homolog isoform 1 Bombus terrestris</t>
  </si>
  <si>
    <t>prolyl endopeptidase</t>
  </si>
  <si>
    <t>Ca2+-binding protein EF-Hand protein superfamily</t>
  </si>
  <si>
    <t>Proteasome activator complex subunit 4 (Proteasome activator PA200)</t>
  </si>
  <si>
    <t>DNA polymerase delta catalytic subunit</t>
  </si>
  <si>
    <t>5'-nucleotidase</t>
  </si>
  <si>
    <t>Actin regulatory (gelsolin/villin family)</t>
  </si>
  <si>
    <t>Putative Housekeeping proteins</t>
  </si>
  <si>
    <t xml:space="preserve">    Cytoskeletal</t>
  </si>
  <si>
    <t xml:space="preserve">    Extracellular matrix</t>
  </si>
  <si>
    <t xml:space="preserve">    Immunity related</t>
  </si>
  <si>
    <t xml:space="preserve">    Metabolism, amino acid</t>
  </si>
  <si>
    <t xml:space="preserve">    Metabolism, carbohydrate</t>
  </si>
  <si>
    <t xml:space="preserve">    Metabolism, energy</t>
  </si>
  <si>
    <t xml:space="preserve">    Metabolism, intermediary</t>
  </si>
  <si>
    <t xml:space="preserve">    Metabolism, lipid</t>
  </si>
  <si>
    <t xml:space="preserve">    Metabolism, nucleotide</t>
  </si>
  <si>
    <t>s/met/nuc</t>
  </si>
  <si>
    <t xml:space="preserve">    Nuclear Regulation</t>
  </si>
  <si>
    <t xml:space="preserve">    Protein Export</t>
  </si>
  <si>
    <t xml:space="preserve">    Protein modification</t>
  </si>
  <si>
    <t xml:space="preserve">    Proteasome machinery</t>
  </si>
  <si>
    <t xml:space="preserve">    Protein synthesis machinery</t>
  </si>
  <si>
    <t xml:space="preserve">    Signal transduction</t>
  </si>
  <si>
    <t xml:space="preserve">    Transposable element</t>
  </si>
  <si>
    <t>Unknown products</t>
  </si>
  <si>
    <t xml:space="preserve">    Transcription machinery</t>
  </si>
  <si>
    <t xml:space="preserve">    Transporters</t>
  </si>
  <si>
    <t xml:space="preserve">    Unknown conserved</t>
  </si>
  <si>
    <t>s/esterase</t>
  </si>
  <si>
    <t xml:space="preserve">    Storage </t>
  </si>
  <si>
    <t>Putative secreted proteins</t>
  </si>
  <si>
    <t>Enzymes</t>
  </si>
  <si>
    <t xml:space="preserve">    Adenosine deaminase</t>
  </si>
  <si>
    <t>Clustered at 30%-Id- on 50% of length - - Cluster#</t>
  </si>
  <si>
    <t xml:space="preserve"># seqs </t>
  </si>
  <si>
    <t>Clustered at 35%-Id- on 50% of length - - Cluster#</t>
  </si>
  <si>
    <t>Clustered at 40%-Id- on 50% of length - - Cluster#</t>
  </si>
  <si>
    <t>Clustered at 45%-Id- on 50% of length - - Cluster#</t>
  </si>
  <si>
    <t>Clustered at 50%-Id- on 50% of length - - Cluster#</t>
  </si>
  <si>
    <t>Clustered at 55%-Id- on 50% of length - - Cluster#</t>
  </si>
  <si>
    <t>Clustered at 60%-Id- on 50% of length - - Cluster#</t>
  </si>
  <si>
    <t>Clustered at 65%-Id- on 50% of length - - Cluster#</t>
  </si>
  <si>
    <t>Clustered at 70%-Id- on 50% of length - - Cluster#</t>
  </si>
  <si>
    <t>Clustered at 75%-Id- on 50% of length - - Cluster#</t>
  </si>
  <si>
    <t>Clustered at 80%-Id- on 50% of length - - Cluster#</t>
  </si>
  <si>
    <t>Clustered at 90%-Id- on 50% of length - - Cluster#</t>
  </si>
  <si>
    <t>Clustered at 95%-Id- on 50% of length - - Cluster#</t>
  </si>
  <si>
    <t xml:space="preserve">    FS-H family</t>
  </si>
  <si>
    <t xml:space="preserve">    Short peptide family</t>
  </si>
  <si>
    <t>Best match to XC-ASB database</t>
  </si>
  <si>
    <t xml:space="preserve">    Abundant very short peptide family</t>
  </si>
  <si>
    <t xml:space="preserve">    Phosphatase</t>
  </si>
  <si>
    <t xml:space="preserve">    Esterase</t>
  </si>
  <si>
    <t xml:space="preserve">    Apyrase</t>
  </si>
  <si>
    <t xml:space="preserve">    5'-nucleotidase</t>
  </si>
  <si>
    <t xml:space="preserve">      Other putative secreted peptides</t>
  </si>
  <si>
    <t>tf</t>
  </si>
  <si>
    <t xml:space="preserve">    Deorphanized flea proteins</t>
  </si>
  <si>
    <t>Xc-contig_7 is phosphatase</t>
  </si>
  <si>
    <t xml:space="preserve">    FS-I antigen</t>
  </si>
  <si>
    <t>Number of ESTs</t>
  </si>
  <si>
    <t>Flea -specific families</t>
  </si>
  <si>
    <t>Immunity related</t>
  </si>
  <si>
    <t xml:space="preserve">    Attacin</t>
  </si>
  <si>
    <t xml:space="preserve">    Defensins</t>
  </si>
  <si>
    <t>Antigen 5 family</t>
  </si>
  <si>
    <t>Phosphatase</t>
  </si>
  <si>
    <t>Apyrase</t>
  </si>
  <si>
    <t>Adenosine deaminase</t>
  </si>
  <si>
    <t>Esterase</t>
  </si>
  <si>
    <t>Defensins</t>
  </si>
  <si>
    <t>FS-H family</t>
  </si>
  <si>
    <t>Short peptide family</t>
  </si>
  <si>
    <t>Abundant very short peptide family</t>
  </si>
  <si>
    <t>FS-I antigen</t>
  </si>
  <si>
    <t>Deorphanized flea proteins</t>
  </si>
  <si>
    <t>Other putative secreted peptides</t>
  </si>
  <si>
    <t>Cytoskeletal</t>
  </si>
  <si>
    <t>Extracellular matrix</t>
  </si>
  <si>
    <t>Metabolism, amino acid</t>
  </si>
  <si>
    <t>Metabolism, carbohydrate</t>
  </si>
  <si>
    <t>Metabolism, energy</t>
  </si>
  <si>
    <t>Metabolism, intermediary</t>
  </si>
  <si>
    <t>Metabolism, lipid</t>
  </si>
  <si>
    <t>Metabolism, nucleotide</t>
  </si>
  <si>
    <t>Nuclear Regulation</t>
  </si>
  <si>
    <t>Protein Export</t>
  </si>
  <si>
    <t>Protein modification</t>
  </si>
  <si>
    <t>Proteasome machinery</t>
  </si>
  <si>
    <t>Protein synthesis machinery</t>
  </si>
  <si>
    <t>Signal transduction</t>
  </si>
  <si>
    <t>Transcription machinery</t>
  </si>
  <si>
    <t>Storage</t>
  </si>
  <si>
    <t>Transporters</t>
  </si>
  <si>
    <t>Unknown conserved</t>
  </si>
  <si>
    <t>Transposable element</t>
  </si>
  <si>
    <t>Name</t>
  </si>
  <si>
    <t>Subclass</t>
  </si>
  <si>
    <t xml:space="preserve">    Other putative secreted peptides</t>
  </si>
  <si>
    <t xml:space="preserve">    Storage</t>
  </si>
  <si>
    <t>Total</t>
  </si>
  <si>
    <t>Number of contigs</t>
  </si>
  <si>
    <r>
      <t xml:space="preserve">Table I:  Functional classification of the sialotranscriptome of the cat flea, </t>
    </r>
    <r>
      <rPr>
        <i/>
        <sz val="11"/>
        <color theme="1"/>
        <rFont val="Verdana"/>
        <family val="2"/>
      </rPr>
      <t>Ctenocephalides felis</t>
    </r>
  </si>
  <si>
    <t>EST's/Contig</t>
  </si>
  <si>
    <t>Housekeeping</t>
  </si>
  <si>
    <t>Secreted</t>
  </si>
  <si>
    <t>contigs</t>
  </si>
  <si>
    <t>ests</t>
  </si>
  <si>
    <t>Drosophila persimilis ribosomal RNA (Dper/28SrRNA:GL28069) rRNA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</si>
</sst>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x14ac:knownFonts="1">
    <font>
      <sz val="11"/>
      <color theme="1"/>
      <name val="Verdana"/>
      <family val="2"/>
    </font>
    <font>
      <sz val="11"/>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1"/>
      <color rgb="FF006100"/>
      <name val="Verdana"/>
      <family val="2"/>
    </font>
    <font>
      <sz val="11"/>
      <color rgb="FF9C0006"/>
      <name val="Verdana"/>
      <family val="2"/>
    </font>
    <font>
      <sz val="11"/>
      <color rgb="FF9C6500"/>
      <name val="Verdana"/>
      <family val="2"/>
    </font>
    <font>
      <sz val="11"/>
      <color rgb="FF3F3F76"/>
      <name val="Verdana"/>
      <family val="2"/>
    </font>
    <font>
      <b/>
      <sz val="11"/>
      <color rgb="FF3F3F3F"/>
      <name val="Verdana"/>
      <family val="2"/>
    </font>
    <font>
      <b/>
      <sz val="11"/>
      <color rgb="FFFA7D00"/>
      <name val="Verdana"/>
      <family val="2"/>
    </font>
    <font>
      <sz val="11"/>
      <color rgb="FFFA7D00"/>
      <name val="Verdana"/>
      <family val="2"/>
    </font>
    <font>
      <b/>
      <sz val="11"/>
      <color theme="0"/>
      <name val="Verdana"/>
      <family val="2"/>
    </font>
    <font>
      <sz val="11"/>
      <color rgb="FFFF0000"/>
      <name val="Verdana"/>
      <family val="2"/>
    </font>
    <font>
      <i/>
      <sz val="11"/>
      <color rgb="FF7F7F7F"/>
      <name val="Verdana"/>
      <family val="2"/>
    </font>
    <font>
      <b/>
      <sz val="11"/>
      <color theme="1"/>
      <name val="Verdana"/>
      <family val="2"/>
    </font>
    <font>
      <sz val="11"/>
      <color theme="0"/>
      <name val="Verdana"/>
      <family val="2"/>
    </font>
    <font>
      <b/>
      <sz val="11"/>
      <color rgb="FF3176C9"/>
      <name val="Verdana"/>
      <family val="2"/>
    </font>
    <font>
      <i/>
      <sz val="11"/>
      <color theme="1"/>
      <name val="Verdan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theme="5" tint="0.7999816888943144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8" fillId="33" borderId="12" xfId="0" applyFont="1" applyFill="1" applyBorder="1" applyAlignment="1">
      <alignment horizontal="center" wrapText="1"/>
    </xf>
    <xf numFmtId="0" fontId="18" fillId="33" borderId="10" xfId="0" applyFont="1" applyFill="1" applyBorder="1" applyAlignment="1">
      <alignment horizontal="center" wrapText="1"/>
    </xf>
    <xf numFmtId="0" fontId="18" fillId="33" borderId="14" xfId="0" applyFont="1" applyFill="1" applyBorder="1" applyAlignment="1">
      <alignment horizontal="center" wrapText="1"/>
    </xf>
    <xf numFmtId="0" fontId="0" fillId="33" borderId="13" xfId="0" applyFill="1" applyBorder="1"/>
    <xf numFmtId="11" fontId="0" fillId="0" borderId="0" xfId="0" applyNumberFormat="1"/>
    <xf numFmtId="0" fontId="18" fillId="33" borderId="11" xfId="0" applyFont="1" applyFill="1" applyBorder="1" applyAlignment="1">
      <alignment horizontal="center" wrapText="1"/>
    </xf>
    <xf numFmtId="0" fontId="0" fillId="0" borderId="0" xfId="0" applyAlignment="1">
      <alignment horizontal="center"/>
    </xf>
    <xf numFmtId="0" fontId="18" fillId="34" borderId="12" xfId="0" applyFont="1" applyFill="1" applyBorder="1" applyAlignment="1">
      <alignment horizontal="center" wrapText="1"/>
    </xf>
    <xf numFmtId="0" fontId="18" fillId="34" borderId="14" xfId="0" applyFont="1" applyFill="1" applyBorder="1" applyAlignment="1">
      <alignment horizontal="center" wrapText="1"/>
    </xf>
    <xf numFmtId="0" fontId="0" fillId="34" borderId="13" xfId="0" applyFill="1" applyBorder="1"/>
    <xf numFmtId="0" fontId="18" fillId="34" borderId="11" xfId="0" applyFont="1" applyFill="1" applyBorder="1" applyAlignment="1">
      <alignment horizontal="center" wrapText="1"/>
    </xf>
    <xf numFmtId="0" fontId="18" fillId="33" borderId="10" xfId="0" applyFont="1" applyFill="1" applyBorder="1" applyAlignment="1">
      <alignment horizontal="left"/>
    </xf>
    <xf numFmtId="0" fontId="18" fillId="34" borderId="15" xfId="0" applyFont="1" applyFill="1" applyBorder="1" applyAlignment="1">
      <alignment horizontal="left"/>
    </xf>
    <xf numFmtId="0" fontId="18" fillId="34" borderId="16" xfId="0" applyFont="1" applyFill="1" applyBorder="1" applyAlignment="1">
      <alignment horizontal="center" wrapText="1"/>
    </xf>
    <xf numFmtId="0" fontId="18" fillId="34" borderId="17" xfId="0" applyFont="1" applyFill="1" applyBorder="1" applyAlignment="1">
      <alignment horizontal="center" wrapText="1"/>
    </xf>
    <xf numFmtId="0" fontId="0" fillId="0" borderId="0" xfId="0" applyAlignment="1">
      <alignment wrapText="1"/>
    </xf>
    <xf numFmtId="0" fontId="16" fillId="0" borderId="12" xfId="0" applyFont="1" applyBorder="1" applyAlignment="1">
      <alignment horizontal="left" wrapText="1"/>
    </xf>
    <xf numFmtId="0" fontId="16" fillId="0" borderId="12" xfId="0" applyFont="1" applyBorder="1" applyAlignment="1">
      <alignment horizontal="center" wrapText="1"/>
    </xf>
    <xf numFmtId="0" fontId="16" fillId="0" borderId="0" xfId="0" applyFont="1"/>
    <xf numFmtId="164" fontId="0" fillId="0" borderId="0" xfId="0" applyNumberFormat="1"/>
    <xf numFmtId="164" fontId="16" fillId="0" borderId="12" xfId="0" applyNumberFormat="1" applyFont="1" applyBorder="1" applyAlignment="1">
      <alignment horizontal="center" wrapText="1"/>
    </xf>
    <xf numFmtId="164" fontId="16" fillId="0" borderId="0" xfId="0" applyNumberFormat="1" applyFont="1"/>
    <xf numFmtId="0" fontId="0"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    Contig</a:t>
            </a:r>
            <a:r>
              <a:rPr lang="en-US" baseline="0"/>
              <a:t> distribution</a:t>
            </a:r>
            <a:endParaRPr lang="en-US"/>
          </a:p>
        </c:rich>
      </c:tx>
      <c:overlay val="0"/>
    </c:title>
    <c:autoTitleDeleted val="0"/>
    <c:plotArea>
      <c:layout/>
      <c:pieChart>
        <c:varyColors val="1"/>
        <c:ser>
          <c:idx val="1"/>
          <c:order val="1"/>
          <c:dLbls>
            <c:txPr>
              <a:bodyPr/>
              <a:lstStyle/>
              <a:p>
                <a:pPr>
                  <a:defRPr sz="1400" baseline="0"/>
                </a:pPr>
                <a:endParaRPr lang="en-US"/>
              </a:p>
            </c:txPr>
            <c:dLblPos val="outEnd"/>
            <c:showLegendKey val="0"/>
            <c:showVal val="0"/>
            <c:showCatName val="1"/>
            <c:showSerName val="0"/>
            <c:showPercent val="0"/>
            <c:showBubbleSize val="0"/>
            <c:showLeaderLines val="0"/>
          </c:dLbls>
          <c:cat>
            <c:strRef>
              <c:f>Sheet2!$G$3:$G$6</c:f>
              <c:strCache>
                <c:ptCount val="4"/>
                <c:pt idx="0">
                  <c:v>Secreted</c:v>
                </c:pt>
                <c:pt idx="1">
                  <c:v>Housekeeping</c:v>
                </c:pt>
                <c:pt idx="2">
                  <c:v>Transposable element</c:v>
                </c:pt>
                <c:pt idx="3">
                  <c:v>Unknown products</c:v>
                </c:pt>
              </c:strCache>
            </c:strRef>
          </c:cat>
          <c:val>
            <c:numRef>
              <c:f>Sheet2!$H$3:$H$6</c:f>
              <c:numCache>
                <c:formatCode>General</c:formatCode>
                <c:ptCount val="4"/>
                <c:pt idx="0">
                  <c:v>91</c:v>
                </c:pt>
                <c:pt idx="1">
                  <c:v>253</c:v>
                </c:pt>
                <c:pt idx="2">
                  <c:v>3</c:v>
                </c:pt>
                <c:pt idx="3">
                  <c:v>459</c:v>
                </c:pt>
              </c:numCache>
            </c:numRef>
          </c:val>
        </c:ser>
        <c:ser>
          <c:idx val="0"/>
          <c:order val="0"/>
          <c:cat>
            <c:strRef>
              <c:f>Sheet2!$G$3:$G$6</c:f>
              <c:strCache>
                <c:ptCount val="4"/>
                <c:pt idx="0">
                  <c:v>Secreted</c:v>
                </c:pt>
                <c:pt idx="1">
                  <c:v>Housekeeping</c:v>
                </c:pt>
                <c:pt idx="2">
                  <c:v>Transposable element</c:v>
                </c:pt>
                <c:pt idx="3">
                  <c:v>Unknown products</c:v>
                </c:pt>
              </c:strCache>
            </c:strRef>
          </c:cat>
          <c:val>
            <c:numRef>
              <c:f>Sheet2!$H$3:$H$6</c:f>
              <c:numCache>
                <c:formatCode>General</c:formatCode>
                <c:ptCount val="4"/>
                <c:pt idx="0">
                  <c:v>91</c:v>
                </c:pt>
                <c:pt idx="1">
                  <c:v>253</c:v>
                </c:pt>
                <c:pt idx="2">
                  <c:v>3</c:v>
                </c:pt>
                <c:pt idx="3">
                  <c:v>459</c:v>
                </c:pt>
              </c:numCache>
            </c:numRef>
          </c:val>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    EST</a:t>
            </a:r>
            <a:r>
              <a:rPr lang="en-US" baseline="0"/>
              <a:t> distribution</a:t>
            </a:r>
            <a:endParaRPr lang="en-US"/>
          </a:p>
        </c:rich>
      </c:tx>
      <c:overlay val="0"/>
    </c:title>
    <c:autoTitleDeleted val="0"/>
    <c:plotArea>
      <c:layout/>
      <c:pieChart>
        <c:varyColors val="1"/>
        <c:ser>
          <c:idx val="1"/>
          <c:order val="1"/>
          <c:dLbls>
            <c:txPr>
              <a:bodyPr/>
              <a:lstStyle/>
              <a:p>
                <a:pPr>
                  <a:defRPr sz="1400" baseline="0"/>
                </a:pPr>
                <a:endParaRPr lang="en-US"/>
              </a:p>
            </c:txPr>
            <c:dLblPos val="outEnd"/>
            <c:showLegendKey val="0"/>
            <c:showVal val="0"/>
            <c:showCatName val="1"/>
            <c:showSerName val="0"/>
            <c:showPercent val="0"/>
            <c:showBubbleSize val="0"/>
            <c:showLeaderLines val="1"/>
          </c:dLbls>
          <c:cat>
            <c:strRef>
              <c:f>Sheet2!$G$3:$G$6</c:f>
              <c:strCache>
                <c:ptCount val="4"/>
                <c:pt idx="0">
                  <c:v>Secreted</c:v>
                </c:pt>
                <c:pt idx="1">
                  <c:v>Housekeeping</c:v>
                </c:pt>
                <c:pt idx="2">
                  <c:v>Transposable element</c:v>
                </c:pt>
                <c:pt idx="3">
                  <c:v>Unknown products</c:v>
                </c:pt>
              </c:strCache>
            </c:strRef>
          </c:cat>
          <c:val>
            <c:numRef>
              <c:f>Sheet2!$L$3:$L$6</c:f>
              <c:numCache>
                <c:formatCode>General</c:formatCode>
                <c:ptCount val="4"/>
                <c:pt idx="0">
                  <c:v>478</c:v>
                </c:pt>
                <c:pt idx="1">
                  <c:v>558</c:v>
                </c:pt>
                <c:pt idx="2">
                  <c:v>4</c:v>
                </c:pt>
                <c:pt idx="3">
                  <c:v>700</c:v>
                </c:pt>
              </c:numCache>
            </c:numRef>
          </c:val>
        </c:ser>
        <c:ser>
          <c:idx val="0"/>
          <c:order val="0"/>
          <c:cat>
            <c:strRef>
              <c:f>Sheet2!$G$3:$G$6</c:f>
              <c:strCache>
                <c:ptCount val="4"/>
                <c:pt idx="0">
                  <c:v>Secreted</c:v>
                </c:pt>
                <c:pt idx="1">
                  <c:v>Housekeeping</c:v>
                </c:pt>
                <c:pt idx="2">
                  <c:v>Transposable element</c:v>
                </c:pt>
                <c:pt idx="3">
                  <c:v>Unknown products</c:v>
                </c:pt>
              </c:strCache>
            </c:strRef>
          </c:cat>
          <c:val>
            <c:numRef>
              <c:f>Sheet2!$H$3:$H$6</c:f>
              <c:numCache>
                <c:formatCode>General</c:formatCode>
                <c:ptCount val="4"/>
                <c:pt idx="0">
                  <c:v>91</c:v>
                </c:pt>
                <c:pt idx="1">
                  <c:v>253</c:v>
                </c:pt>
                <c:pt idx="2">
                  <c:v>3</c:v>
                </c:pt>
                <c:pt idx="3">
                  <c:v>459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419099</xdr:colOff>
      <xdr:row>10</xdr:row>
      <xdr:rowOff>85724</xdr:rowOff>
    </xdr:from>
    <xdr:to>
      <xdr:col>12</xdr:col>
      <xdr:colOff>714374</xdr:colOff>
      <xdr:row>30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428625</xdr:colOff>
      <xdr:row>30</xdr:row>
      <xdr:rowOff>28575</xdr:rowOff>
    </xdr:from>
    <xdr:to>
      <xdr:col>12</xdr:col>
      <xdr:colOff>723900</xdr:colOff>
      <xdr:row>49</xdr:row>
      <xdr:rowOff>152401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K848"/>
  <sheetViews>
    <sheetView tabSelected="1" zoomScale="80" zoomScaleNormal="80" workbookViewId="0">
      <pane xSplit="1" ySplit="1" topLeftCell="B2" activePane="bottomRight" state="frozen"/>
      <selection pane="topRight" activeCell="B1" sqref="B1"/>
      <selection pane="bottomLeft" activeCell="A2" sqref="A2"/>
      <selection pane="bottomRight"/>
    </sheetView>
  </sheetViews>
  <sheetFormatPr defaultRowHeight="14.25" x14ac:dyDescent="0.2"/>
  <cols>
    <col min="1" max="1" width="16.69921875" customWidth="1"/>
    <col min="2" max="2" width="7" customWidth="1"/>
    <col min="3" max="3" width="31.59765625" style="10" customWidth="1"/>
    <col min="4" max="4" width="7" customWidth="1"/>
    <col min="7" max="11" width="7" customWidth="1"/>
    <col min="12" max="12" width="5.19921875" customWidth="1"/>
    <col min="13" max="18" width="7" customWidth="1"/>
    <col min="19" max="19" width="7" style="7" customWidth="1"/>
    <col min="20" max="20" width="7" customWidth="1"/>
    <col min="21" max="21" width="5.19921875" customWidth="1"/>
    <col min="22" max="22" width="5.19921875" style="4" customWidth="1"/>
    <col min="23" max="23" width="5.19921875" customWidth="1"/>
    <col min="24" max="24" width="5.19921875" style="4" customWidth="1"/>
    <col min="25" max="25" width="5.19921875" customWidth="1"/>
    <col min="26" max="26" width="5.19921875" style="4" customWidth="1"/>
    <col min="27" max="27" width="5.19921875" customWidth="1"/>
    <col min="28" max="28" width="27.3984375" style="4" customWidth="1"/>
    <col min="30" max="30" width="31.59765625" style="10" customWidth="1"/>
    <col min="31" max="34" width="6" customWidth="1"/>
    <col min="35" max="35" width="27.3984375" style="4" customWidth="1"/>
    <col min="53" max="53" width="8.796875" style="4"/>
    <col min="61" max="69" width="0" hidden="1" customWidth="1"/>
    <col min="71" max="71" width="8.796875" style="4"/>
    <col min="74" max="74" width="8.796875" style="4"/>
    <col min="79" max="96" width="0" hidden="1" customWidth="1"/>
    <col min="97" max="97" width="8.796875" style="4"/>
    <col min="100" max="100" width="8.796875" style="4"/>
    <col min="102" max="102" width="8.796875" style="4"/>
    <col min="104" max="104" width="8.796875" style="4"/>
    <col min="112" max="112" width="8.796875" style="4"/>
    <col min="114" max="114" width="8.796875" style="4"/>
    <col min="116" max="116" width="8.796875" style="4"/>
    <col min="118" max="118" width="8.796875" style="4"/>
    <col min="120" max="120" width="8.796875" style="4"/>
    <col min="122" max="122" width="8.796875" style="4"/>
    <col min="124" max="124" width="8.796875" style="4"/>
    <col min="126" max="126" width="8.796875" style="4"/>
    <col min="128" max="128" width="8.796875" style="4"/>
    <col min="130" max="130" width="8.796875" style="4"/>
    <col min="132" max="132" width="8.796875" style="4"/>
    <col min="134" max="134" width="8.796875" style="4"/>
    <col min="136" max="136" width="8.796875" style="4"/>
    <col min="138" max="138" width="8.796875" style="4"/>
    <col min="140" max="140" width="8.796875" style="4"/>
  </cols>
  <sheetData>
    <row r="1" spans="1:141" s="1" customFormat="1" ht="171" x14ac:dyDescent="0.2">
      <c r="A1" s="1" t="s">
        <v>0</v>
      </c>
      <c r="B1" s="1" t="s">
        <v>4933</v>
      </c>
      <c r="C1" s="8" t="s">
        <v>4593</v>
      </c>
      <c r="D1" s="1" t="s">
        <v>4933</v>
      </c>
      <c r="E1" s="1" t="s">
        <v>1</v>
      </c>
      <c r="F1" s="1" t="s">
        <v>2</v>
      </c>
      <c r="G1" s="1" t="s">
        <v>4</v>
      </c>
      <c r="H1" s="1" t="s">
        <v>5</v>
      </c>
      <c r="I1" s="1" t="s">
        <v>6</v>
      </c>
      <c r="J1" s="1" t="s">
        <v>7</v>
      </c>
      <c r="K1" s="1" t="s">
        <v>8</v>
      </c>
      <c r="L1" s="1" t="s">
        <v>3</v>
      </c>
      <c r="M1" s="1" t="s">
        <v>9</v>
      </c>
      <c r="N1" s="1" t="s">
        <v>10</v>
      </c>
      <c r="O1" s="1" t="s">
        <v>820</v>
      </c>
      <c r="P1" s="1" t="s">
        <v>821</v>
      </c>
      <c r="Q1" s="1" t="s">
        <v>822</v>
      </c>
      <c r="R1" s="1" t="s">
        <v>823</v>
      </c>
      <c r="S1" s="1" t="s">
        <v>4581</v>
      </c>
      <c r="T1" s="2" t="s">
        <v>4582</v>
      </c>
      <c r="U1" s="1" t="s">
        <v>3</v>
      </c>
      <c r="V1" s="1" t="s">
        <v>4906</v>
      </c>
      <c r="W1" s="3" t="s">
        <v>4907</v>
      </c>
      <c r="X1" s="1" t="s">
        <v>4908</v>
      </c>
      <c r="Y1" s="3" t="s">
        <v>4907</v>
      </c>
      <c r="Z1" s="1" t="s">
        <v>4909</v>
      </c>
      <c r="AA1" s="3" t="s">
        <v>4907</v>
      </c>
      <c r="AB1" s="1" t="s">
        <v>4922</v>
      </c>
      <c r="AC1" s="3" t="s">
        <v>1627</v>
      </c>
      <c r="AD1" s="8" t="s">
        <v>4593</v>
      </c>
      <c r="AE1" s="9" t="s">
        <v>4594</v>
      </c>
      <c r="AF1" s="8" t="s">
        <v>4595</v>
      </c>
      <c r="AG1" s="8" t="s">
        <v>4596</v>
      </c>
      <c r="AH1" s="8" t="s">
        <v>4597</v>
      </c>
      <c r="AI1" s="1" t="s">
        <v>1626</v>
      </c>
      <c r="AJ1" s="3" t="s">
        <v>1627</v>
      </c>
      <c r="AK1" s="1" t="s">
        <v>1628</v>
      </c>
      <c r="AL1" s="1" t="s">
        <v>1629</v>
      </c>
      <c r="AM1" s="1" t="s">
        <v>1630</v>
      </c>
      <c r="AN1" s="1" t="s">
        <v>1631</v>
      </c>
      <c r="AO1" s="1" t="s">
        <v>1632</v>
      </c>
      <c r="AP1" s="1" t="s">
        <v>1633</v>
      </c>
      <c r="AQ1" s="1" t="s">
        <v>1634</v>
      </c>
      <c r="AR1" s="1" t="s">
        <v>1635</v>
      </c>
      <c r="AS1" s="1" t="s">
        <v>1636</v>
      </c>
      <c r="AT1" s="1" t="s">
        <v>1637</v>
      </c>
      <c r="AU1" s="1" t="s">
        <v>1638</v>
      </c>
      <c r="AV1" s="1" t="s">
        <v>1639</v>
      </c>
      <c r="AW1" s="1" t="s">
        <v>1640</v>
      </c>
      <c r="AX1" s="1" t="s">
        <v>1641</v>
      </c>
      <c r="AY1" s="1" t="s">
        <v>1642</v>
      </c>
      <c r="AZ1" s="2" t="s">
        <v>1643</v>
      </c>
      <c r="BA1" s="1" t="s">
        <v>1644</v>
      </c>
      <c r="BB1" s="3" t="s">
        <v>1627</v>
      </c>
      <c r="BC1" s="1" t="s">
        <v>1628</v>
      </c>
      <c r="BD1" s="1" t="s">
        <v>1629</v>
      </c>
      <c r="BE1" s="1" t="s">
        <v>1630</v>
      </c>
      <c r="BF1" s="1" t="s">
        <v>1631</v>
      </c>
      <c r="BG1" s="1" t="s">
        <v>1632</v>
      </c>
      <c r="BH1" s="1" t="s">
        <v>1633</v>
      </c>
      <c r="BI1" s="1" t="s">
        <v>1634</v>
      </c>
      <c r="BJ1" s="1" t="s">
        <v>1635</v>
      </c>
      <c r="BK1" s="1" t="s">
        <v>1636</v>
      </c>
      <c r="BL1" s="1" t="s">
        <v>1637</v>
      </c>
      <c r="BM1" s="1" t="s">
        <v>1638</v>
      </c>
      <c r="BN1" s="1" t="s">
        <v>1639</v>
      </c>
      <c r="BO1" s="1" t="s">
        <v>1640</v>
      </c>
      <c r="BP1" s="1" t="s">
        <v>1641</v>
      </c>
      <c r="BQ1" s="1" t="s">
        <v>1642</v>
      </c>
      <c r="BR1" s="2" t="s">
        <v>1643</v>
      </c>
      <c r="BS1" s="1" t="s">
        <v>1645</v>
      </c>
      <c r="BT1" s="3" t="s">
        <v>1627</v>
      </c>
      <c r="BU1" s="2" t="s">
        <v>1646</v>
      </c>
      <c r="BV1" s="1" t="s">
        <v>1647</v>
      </c>
      <c r="BW1" s="3" t="s">
        <v>1627</v>
      </c>
      <c r="BX1" s="1" t="s">
        <v>1648</v>
      </c>
      <c r="BY1" s="1" t="s">
        <v>1649</v>
      </c>
      <c r="BZ1" s="1" t="s">
        <v>1650</v>
      </c>
      <c r="CA1" s="1" t="s">
        <v>1651</v>
      </c>
      <c r="CB1" s="1" t="s">
        <v>1652</v>
      </c>
      <c r="CC1" s="1" t="s">
        <v>1653</v>
      </c>
      <c r="CD1" s="1" t="s">
        <v>1627</v>
      </c>
      <c r="CE1" s="1" t="s">
        <v>1654</v>
      </c>
      <c r="CF1" s="1" t="s">
        <v>1655</v>
      </c>
      <c r="CG1" s="1" t="s">
        <v>1650</v>
      </c>
      <c r="CH1" s="1" t="s">
        <v>1651</v>
      </c>
      <c r="CI1" s="1" t="s">
        <v>1652</v>
      </c>
      <c r="CJ1" s="1" t="s">
        <v>1653</v>
      </c>
      <c r="CK1" s="1" t="s">
        <v>1627</v>
      </c>
      <c r="CL1" s="1" t="s">
        <v>1656</v>
      </c>
      <c r="CM1" s="1" t="s">
        <v>1657</v>
      </c>
      <c r="CN1" s="1" t="s">
        <v>1650</v>
      </c>
      <c r="CO1" s="1" t="s">
        <v>1651</v>
      </c>
      <c r="CP1" s="1" t="s">
        <v>1652</v>
      </c>
      <c r="CQ1" s="1" t="s">
        <v>1653</v>
      </c>
      <c r="CR1" s="2" t="s">
        <v>1627</v>
      </c>
      <c r="CS1" s="1" t="s">
        <v>1658</v>
      </c>
      <c r="CT1" s="3" t="s">
        <v>1627</v>
      </c>
      <c r="CU1" s="1" t="s">
        <v>1659</v>
      </c>
      <c r="CV1" s="1" t="s">
        <v>1660</v>
      </c>
      <c r="CW1" s="6" t="s">
        <v>1661</v>
      </c>
      <c r="CX1" s="1" t="s">
        <v>1662</v>
      </c>
      <c r="CY1" s="6" t="s">
        <v>1661</v>
      </c>
      <c r="CZ1" s="1" t="s">
        <v>1663</v>
      </c>
      <c r="DA1" s="3" t="s">
        <v>1627</v>
      </c>
      <c r="DB1" s="1" t="s">
        <v>1628</v>
      </c>
      <c r="DC1" s="1" t="s">
        <v>1629</v>
      </c>
      <c r="DD1" s="1" t="s">
        <v>1630</v>
      </c>
      <c r="DE1" s="1" t="s">
        <v>1631</v>
      </c>
      <c r="DF1" s="1" t="s">
        <v>1632</v>
      </c>
      <c r="DG1" s="2" t="s">
        <v>1633</v>
      </c>
      <c r="DH1" s="1" t="s">
        <v>1664</v>
      </c>
      <c r="DI1" s="6" t="s">
        <v>1661</v>
      </c>
      <c r="DJ1" s="1" t="s">
        <v>1665</v>
      </c>
      <c r="DK1" s="3" t="s">
        <v>1661</v>
      </c>
      <c r="DL1" s="1" t="s">
        <v>4906</v>
      </c>
      <c r="DM1" s="3" t="s">
        <v>4907</v>
      </c>
      <c r="DN1" s="1" t="s">
        <v>4908</v>
      </c>
      <c r="DO1" s="3" t="s">
        <v>4907</v>
      </c>
      <c r="DP1" s="1" t="s">
        <v>4909</v>
      </c>
      <c r="DQ1" s="3" t="s">
        <v>4907</v>
      </c>
      <c r="DR1" s="1" t="s">
        <v>4910</v>
      </c>
      <c r="DS1" s="3" t="s">
        <v>4907</v>
      </c>
      <c r="DT1" s="1" t="s">
        <v>4911</v>
      </c>
      <c r="DU1" s="3" t="s">
        <v>4907</v>
      </c>
      <c r="DV1" s="1" t="s">
        <v>4912</v>
      </c>
      <c r="DW1" s="3" t="s">
        <v>4907</v>
      </c>
      <c r="DX1" s="1" t="s">
        <v>4913</v>
      </c>
      <c r="DY1" s="3" t="s">
        <v>4907</v>
      </c>
      <c r="DZ1" s="1" t="s">
        <v>4914</v>
      </c>
      <c r="EA1" s="3" t="s">
        <v>4907</v>
      </c>
      <c r="EB1" s="1" t="s">
        <v>4915</v>
      </c>
      <c r="EC1" s="3" t="s">
        <v>4907</v>
      </c>
      <c r="ED1" s="1" t="s">
        <v>4916</v>
      </c>
      <c r="EE1" s="3" t="s">
        <v>4907</v>
      </c>
      <c r="EF1" s="1" t="s">
        <v>4917</v>
      </c>
      <c r="EG1" s="3" t="s">
        <v>4907</v>
      </c>
      <c r="EH1" s="1" t="s">
        <v>4918</v>
      </c>
      <c r="EI1" s="3" t="s">
        <v>4907</v>
      </c>
      <c r="EJ1" s="1" t="s">
        <v>4919</v>
      </c>
      <c r="EK1" s="3" t="s">
        <v>4907</v>
      </c>
    </row>
    <row r="2" spans="1:141" s="14" customFormat="1" x14ac:dyDescent="0.2">
      <c r="A2" s="13" t="s">
        <v>4903</v>
      </c>
      <c r="C2" s="15"/>
      <c r="V2" s="15"/>
      <c r="X2" s="15"/>
      <c r="Z2" s="15"/>
      <c r="AB2" s="15" t="s">
        <v>42</v>
      </c>
      <c r="AD2" s="15"/>
      <c r="AI2" s="15"/>
      <c r="BA2" s="15"/>
      <c r="BS2" s="15"/>
      <c r="BV2" s="15"/>
      <c r="CS2" s="15"/>
      <c r="CV2" s="15"/>
      <c r="CX2" s="15"/>
      <c r="CZ2" s="15"/>
      <c r="DH2" s="15"/>
      <c r="DJ2" s="15"/>
      <c r="DL2" s="15"/>
      <c r="DN2" s="15"/>
      <c r="DP2" s="15"/>
      <c r="DR2" s="15"/>
      <c r="DT2" s="15"/>
      <c r="DV2" s="15"/>
      <c r="DX2" s="15"/>
      <c r="DZ2" s="15"/>
      <c r="EB2" s="15"/>
      <c r="ED2" s="15"/>
      <c r="EF2" s="15"/>
      <c r="EH2" s="15"/>
      <c r="EJ2" s="15"/>
    </row>
    <row r="3" spans="1:141" s="6" customFormat="1" x14ac:dyDescent="0.2">
      <c r="A3" s="12" t="s">
        <v>4904</v>
      </c>
      <c r="AB3" s="6" t="s">
        <v>42</v>
      </c>
    </row>
    <row r="4" spans="1:141" s="6" customFormat="1" x14ac:dyDescent="0.2">
      <c r="A4" s="12" t="s">
        <v>4924</v>
      </c>
      <c r="D4" s="6">
        <f>SUM(D5:D25)</f>
        <v>81</v>
      </c>
    </row>
    <row r="5" spans="1:141" x14ac:dyDescent="0.2">
      <c r="A5" t="str">
        <f>HYPERLINK("http://exon.niaid.nih.gov/transcriptome/C_felis/S1/links/cf/cf-contig_693.txt","cf-contig_693")</f>
        <v>cf-contig_693</v>
      </c>
      <c r="B5">
        <v>1</v>
      </c>
      <c r="C5" s="10" t="s">
        <v>4607</v>
      </c>
      <c r="D5">
        <v>1</v>
      </c>
      <c r="E5" t="str">
        <f>HYPERLINK("http://exon.niaid.nih.gov/transcriptome/C_felis/S1/links/cf/cf-5-36-asb-693.txt","Contig-693")</f>
        <v>Contig-693</v>
      </c>
      <c r="F5" t="str">
        <f>HYPERLINK("http://exon.niaid.nih.gov/transcriptome/C_felis/S1/links/cf/cf-5-36-693-CLU.txt","Contig693")</f>
        <v>Contig693</v>
      </c>
      <c r="G5" t="str">
        <f>HYPERLINK("http://exon.niaid.nih.gov/transcriptome/C_felis/S1/links/cf/cf-5-36-693-qual.txt","63.4")</f>
        <v>63.4</v>
      </c>
      <c r="H5" t="s">
        <v>11</v>
      </c>
      <c r="I5">
        <v>70.8</v>
      </c>
      <c r="J5">
        <v>450</v>
      </c>
      <c r="K5" t="s">
        <v>12</v>
      </c>
      <c r="L5">
        <v>1</v>
      </c>
      <c r="M5" t="s">
        <v>706</v>
      </c>
      <c r="N5">
        <v>450</v>
      </c>
      <c r="O5">
        <v>469</v>
      </c>
      <c r="P5">
        <v>366</v>
      </c>
      <c r="Q5" t="s">
        <v>1512</v>
      </c>
      <c r="R5">
        <v>1</v>
      </c>
      <c r="S5" s="7" t="str">
        <f>HYPERLINK("http://exon.niaid.nih.gov/transcriptome/C_felis/S1/links/Sigp/CF-CONTIG_693-SigP.txt","Cyt")</f>
        <v>Cyt</v>
      </c>
      <c r="U5">
        <v>1</v>
      </c>
      <c r="V5" s="4">
        <v>565</v>
      </c>
      <c r="W5">
        <v>1</v>
      </c>
      <c r="X5" s="4">
        <v>580</v>
      </c>
      <c r="Y5">
        <v>1</v>
      </c>
      <c r="Z5" s="4">
        <v>592</v>
      </c>
      <c r="AA5">
        <v>1</v>
      </c>
      <c r="AB5" s="4" t="str">
        <f>HYPERLINK("http://exon.niaid.nih.gov/transcriptome/C_felis/S1/links/XC-ASB/cf-contig_188-XC-ASB.txt","XC-contig_51")</f>
        <v>XC-contig_51</v>
      </c>
      <c r="AC5">
        <v>5.1999999999999998E-2</v>
      </c>
      <c r="AD5" s="10" t="s">
        <v>4607</v>
      </c>
      <c r="AE5" t="s">
        <v>4599</v>
      </c>
      <c r="AI5" s="4" t="str">
        <f>HYPERLINK("http://exon.niaid.nih.gov/transcriptome/C_felis/S1/links/NR/cf-contig_693-NR.txt","secreted salivary protein")</f>
        <v>secreted salivary protein</v>
      </c>
      <c r="AJ5" t="str">
        <f>HYPERLINK("http://www.ncbi.nlm.nih.gov/sutils/blink.cgi?pid=121511926","0.078")</f>
        <v>0.078</v>
      </c>
      <c r="AK5" t="str">
        <f>HYPERLINK("http://www.ncbi.nlm.nih.gov/protein/121511926","gi|121511926")</f>
        <v>gi|121511926</v>
      </c>
      <c r="AL5">
        <v>40.799999999999997</v>
      </c>
      <c r="AM5">
        <v>57</v>
      </c>
      <c r="AN5">
        <v>391</v>
      </c>
      <c r="AO5">
        <v>27</v>
      </c>
      <c r="AP5">
        <v>15</v>
      </c>
      <c r="AQ5">
        <v>42</v>
      </c>
      <c r="AR5">
        <v>0</v>
      </c>
      <c r="AS5">
        <v>301</v>
      </c>
      <c r="AT5">
        <v>13</v>
      </c>
      <c r="AU5">
        <v>1</v>
      </c>
      <c r="AV5">
        <v>1</v>
      </c>
      <c r="AW5" t="s">
        <v>12</v>
      </c>
      <c r="AY5" t="s">
        <v>1676</v>
      </c>
      <c r="AZ5" t="s">
        <v>1717</v>
      </c>
      <c r="BA5" s="4" t="str">
        <f>HYPERLINK("http://exon.niaid.nih.gov/transcriptome/C_felis/S1/links/SWISSP/cf-contig_693-SWISSP.txt","Methionyl-tRNA synthetase")</f>
        <v>Methionyl-tRNA synthetase</v>
      </c>
      <c r="BB5" t="str">
        <f>HYPERLINK("http://www.uniprot.org/uniprot/Q8D219","2.3")</f>
        <v>2.3</v>
      </c>
      <c r="BC5" t="s">
        <v>4183</v>
      </c>
      <c r="BD5">
        <v>31.6</v>
      </c>
      <c r="BE5">
        <v>48</v>
      </c>
      <c r="BF5">
        <v>550</v>
      </c>
      <c r="BG5">
        <v>30</v>
      </c>
      <c r="BH5">
        <v>9</v>
      </c>
      <c r="BI5">
        <v>34</v>
      </c>
      <c r="BJ5">
        <v>0</v>
      </c>
      <c r="BK5">
        <v>460</v>
      </c>
      <c r="BL5">
        <v>245</v>
      </c>
      <c r="BM5">
        <v>1</v>
      </c>
      <c r="BN5">
        <v>2</v>
      </c>
      <c r="BO5" t="s">
        <v>12</v>
      </c>
      <c r="BP5">
        <v>2.0830000000000002</v>
      </c>
      <c r="BQ5" t="s">
        <v>1676</v>
      </c>
      <c r="BR5" t="s">
        <v>1988</v>
      </c>
      <c r="BS5" s="4" t="str">
        <f>HYPERLINK("http://exon.niaid.nih.gov/transcriptome/C_felis/S1/links/CDD/cf-contig_693-CDD.txt","His_Phos_2")</f>
        <v>His_Phos_2</v>
      </c>
      <c r="BT5" t="str">
        <f>HYPERLINK("http://www.ncbi.nlm.nih.gov/Structure/cdd/cddsrv.cgi?uid=pfam00328&amp;version=v4.0","0.019")</f>
        <v>0.019</v>
      </c>
      <c r="BU5" t="s">
        <v>4184</v>
      </c>
      <c r="BV5" s="4" t="s">
        <v>42</v>
      </c>
      <c r="BW5" t="s">
        <v>42</v>
      </c>
      <c r="BX5" t="s">
        <v>42</v>
      </c>
      <c r="BY5" t="s">
        <v>42</v>
      </c>
      <c r="BZ5" t="s">
        <v>42</v>
      </c>
      <c r="CA5" t="s">
        <v>42</v>
      </c>
      <c r="CB5" t="s">
        <v>42</v>
      </c>
      <c r="CC5" t="s">
        <v>42</v>
      </c>
      <c r="CD5" t="s">
        <v>42</v>
      </c>
      <c r="CE5" t="s">
        <v>42</v>
      </c>
      <c r="CF5" t="s">
        <v>42</v>
      </c>
      <c r="CG5" t="s">
        <v>42</v>
      </c>
      <c r="CH5" t="s">
        <v>42</v>
      </c>
      <c r="CI5" t="s">
        <v>42</v>
      </c>
      <c r="CJ5" t="s">
        <v>42</v>
      </c>
      <c r="CK5" t="s">
        <v>42</v>
      </c>
      <c r="CL5" t="s">
        <v>42</v>
      </c>
      <c r="CM5" t="s">
        <v>42</v>
      </c>
      <c r="CN5" t="s">
        <v>42</v>
      </c>
      <c r="CO5" t="s">
        <v>42</v>
      </c>
      <c r="CP5" t="s">
        <v>42</v>
      </c>
      <c r="CQ5" t="s">
        <v>42</v>
      </c>
      <c r="CR5" t="s">
        <v>42</v>
      </c>
      <c r="CS5" s="4" t="str">
        <f>HYPERLINK("http://exon.niaid.nih.gov/transcriptome/C_felis/S1/links/KOG/cf-contig_693-KOG.txt","Lysosomal &amp; prostatic acid phosphatases")</f>
        <v>Lysosomal &amp; prostatic acid phosphatases</v>
      </c>
      <c r="CT5" t="str">
        <f>HYPERLINK("http://www.ncbi.nlm.nih.gov/COG/grace/shokog.cgi?KOG3720","8E-004")</f>
        <v>8E-004</v>
      </c>
      <c r="CU5" t="s">
        <v>1761</v>
      </c>
      <c r="CV5" s="4" t="str">
        <f>HYPERLINK("http://exon.niaid.nih.gov/transcriptome/C_felis/S1/links/PFAM/cf-contig_693-PFAM.txt","His_Phos_2")</f>
        <v>His_Phos_2</v>
      </c>
      <c r="CW5" t="str">
        <f>HYPERLINK("http://pfam.sanger.ac.uk/family?acc=PF00328","0.004")</f>
        <v>0.004</v>
      </c>
      <c r="CX5" s="4" t="str">
        <f>HYPERLINK("http://exon.niaid.nih.gov/transcriptome/C_felis/S1/links/SMART/cf-contig_693-SMART.txt","Brix")</f>
        <v>Brix</v>
      </c>
      <c r="CY5" t="str">
        <f>HYPERLINK("http://smart.embl-heidelberg.de/smart/do_annotation.pl?DOMAIN=Brix&amp;BLAST=DUMMY","0.020")</f>
        <v>0.020</v>
      </c>
      <c r="CZ5" s="4" t="s">
        <v>42</v>
      </c>
      <c r="DA5" t="s">
        <v>42</v>
      </c>
      <c r="DB5" t="s">
        <v>42</v>
      </c>
      <c r="DC5" t="s">
        <v>42</v>
      </c>
      <c r="DD5" t="s">
        <v>42</v>
      </c>
      <c r="DE5" t="s">
        <v>42</v>
      </c>
      <c r="DF5" t="s">
        <v>42</v>
      </c>
      <c r="DG5" t="s">
        <v>42</v>
      </c>
      <c r="DH5" s="4" t="s">
        <v>42</v>
      </c>
      <c r="DI5" t="s">
        <v>42</v>
      </c>
      <c r="DJ5" s="4" t="s">
        <v>42</v>
      </c>
      <c r="DK5" t="s">
        <v>42</v>
      </c>
      <c r="DL5" s="4">
        <v>565</v>
      </c>
      <c r="DM5">
        <v>1</v>
      </c>
      <c r="DN5" s="4">
        <v>580</v>
      </c>
      <c r="DO5">
        <v>1</v>
      </c>
      <c r="DP5" s="4">
        <v>592</v>
      </c>
      <c r="DQ5">
        <v>1</v>
      </c>
      <c r="DR5" s="4">
        <v>613</v>
      </c>
      <c r="DS5">
        <v>1</v>
      </c>
      <c r="DT5" s="4">
        <v>627</v>
      </c>
      <c r="DU5">
        <v>1</v>
      </c>
      <c r="DV5" s="4">
        <v>642</v>
      </c>
      <c r="DW5">
        <v>1</v>
      </c>
      <c r="DX5" s="4">
        <v>651</v>
      </c>
      <c r="DY5">
        <v>1</v>
      </c>
      <c r="DZ5" s="4">
        <v>661</v>
      </c>
      <c r="EA5">
        <v>1</v>
      </c>
      <c r="EB5" s="4">
        <v>666</v>
      </c>
      <c r="EC5">
        <v>1</v>
      </c>
      <c r="ED5" s="4">
        <v>670</v>
      </c>
      <c r="EE5">
        <v>1</v>
      </c>
      <c r="EF5" s="4">
        <v>676</v>
      </c>
      <c r="EG5">
        <v>1</v>
      </c>
      <c r="EH5" s="4">
        <v>684</v>
      </c>
      <c r="EI5">
        <v>1</v>
      </c>
      <c r="EJ5" s="4">
        <v>693</v>
      </c>
      <c r="EK5">
        <v>1</v>
      </c>
    </row>
    <row r="6" spans="1:141" x14ac:dyDescent="0.2">
      <c r="A6" t="str">
        <f>HYPERLINK("http://exon.niaid.nih.gov/transcriptome/C_felis/S1/links/cf/cf-contig_735.txt","cf-contig_735")</f>
        <v>cf-contig_735</v>
      </c>
      <c r="B6">
        <v>1</v>
      </c>
      <c r="C6" s="10" t="s">
        <v>4607</v>
      </c>
      <c r="D6">
        <v>1</v>
      </c>
      <c r="E6" t="str">
        <f>HYPERLINK("http://exon.niaid.nih.gov/transcriptome/C_felis/S1/links/cf/cf-5-36-asb-735.txt","Contig-735")</f>
        <v>Contig-735</v>
      </c>
      <c r="F6" t="str">
        <f>HYPERLINK("http://exon.niaid.nih.gov/transcriptome/C_felis/S1/links/cf/cf-5-36-735-CLU.txt","Contig735")</f>
        <v>Contig735</v>
      </c>
      <c r="G6" t="str">
        <f>HYPERLINK("http://exon.niaid.nih.gov/transcriptome/C_felis/S1/links/cf/cf-5-36-735-qual.txt","46.2")</f>
        <v>46.2</v>
      </c>
      <c r="H6">
        <v>0.1</v>
      </c>
      <c r="I6">
        <v>68.900000000000006</v>
      </c>
      <c r="J6">
        <v>1155</v>
      </c>
      <c r="K6" t="s">
        <v>12</v>
      </c>
      <c r="L6">
        <v>1</v>
      </c>
      <c r="M6" t="s">
        <v>748</v>
      </c>
      <c r="N6">
        <v>1155</v>
      </c>
      <c r="O6">
        <v>1174</v>
      </c>
      <c r="P6">
        <v>900</v>
      </c>
      <c r="Q6" t="s">
        <v>1554</v>
      </c>
      <c r="R6">
        <v>1</v>
      </c>
      <c r="S6" s="7" t="str">
        <f>HYPERLINK("http://exon.niaid.nih.gov/transcriptome/C_felis/S1/links/Sigp/CF-CONTIG_735-SigP.txt","Cyt")</f>
        <v>Cyt</v>
      </c>
      <c r="U6">
        <v>1</v>
      </c>
      <c r="V6" s="4">
        <v>595</v>
      </c>
      <c r="W6">
        <v>1</v>
      </c>
      <c r="X6" s="4">
        <v>611</v>
      </c>
      <c r="Y6">
        <v>1</v>
      </c>
      <c r="Z6" s="4">
        <v>625</v>
      </c>
      <c r="AA6">
        <v>1</v>
      </c>
      <c r="AB6" s="4" t="str">
        <f>HYPERLINK("http://exon.niaid.nih.gov/transcriptome/C_felis/S1/links/XC-ASB/cf-contig_437-XC-ASB.txt","XC-contig_49")</f>
        <v>XC-contig_49</v>
      </c>
      <c r="AC6">
        <v>7.9999999999999996E-7</v>
      </c>
      <c r="AD6" s="10" t="s">
        <v>4607</v>
      </c>
      <c r="AE6" t="s">
        <v>4599</v>
      </c>
      <c r="AF6" t="str">
        <f>HYPERLINK("http://exon.niaid.nih.gov/transcriptome/C_felis/S1/links/NR/cf-contig_735-NR.txt","NR")</f>
        <v>NR</v>
      </c>
      <c r="AG6" s="5">
        <v>3.0000000000000001E-94</v>
      </c>
      <c r="AH6">
        <v>81.3</v>
      </c>
      <c r="AI6" s="4" t="str">
        <f>HYPERLINK("http://exon.niaid.nih.gov/transcriptome/C_felis/S1/links/NR/cf-contig_735-NR.txt","secreted salivary protein")</f>
        <v>secreted salivary protein</v>
      </c>
      <c r="AJ6" t="str">
        <f>HYPERLINK("http://www.ncbi.nlm.nih.gov/sutils/blink.cgi?pid=121511926","3E-094")</f>
        <v>3E-094</v>
      </c>
      <c r="AK6" t="str">
        <f>HYPERLINK("http://www.ncbi.nlm.nih.gov/protein/121511926","gi|121511926")</f>
        <v>gi|121511926</v>
      </c>
      <c r="AL6">
        <v>350</v>
      </c>
      <c r="AM6">
        <v>313</v>
      </c>
      <c r="AN6">
        <v>391</v>
      </c>
      <c r="AO6">
        <v>52</v>
      </c>
      <c r="AP6">
        <v>80</v>
      </c>
      <c r="AQ6">
        <v>151</v>
      </c>
      <c r="AR6">
        <v>0</v>
      </c>
      <c r="AS6">
        <v>76</v>
      </c>
      <c r="AT6">
        <v>10</v>
      </c>
      <c r="AU6">
        <v>1</v>
      </c>
      <c r="AV6">
        <v>1</v>
      </c>
      <c r="AW6" t="s">
        <v>12</v>
      </c>
      <c r="AX6">
        <v>0.31900000000000001</v>
      </c>
      <c r="AY6" t="s">
        <v>1676</v>
      </c>
      <c r="AZ6" t="s">
        <v>1717</v>
      </c>
      <c r="BA6" s="4" t="str">
        <f>HYPERLINK("http://exon.niaid.nih.gov/transcriptome/C_felis/S1/links/SWISSP/cf-contig_735-SWISSP.txt","Putative membrane protein ycf1")</f>
        <v>Putative membrane protein ycf1</v>
      </c>
      <c r="BB6" t="str">
        <f>HYPERLINK("http://www.uniprot.org/uniprot/A8W3M6","0.020")</f>
        <v>0.020</v>
      </c>
      <c r="BC6" t="s">
        <v>4331</v>
      </c>
      <c r="BD6">
        <v>40.799999999999997</v>
      </c>
      <c r="BE6">
        <v>123</v>
      </c>
      <c r="BF6">
        <v>1676</v>
      </c>
      <c r="BG6">
        <v>26</v>
      </c>
      <c r="BH6">
        <v>7</v>
      </c>
      <c r="BI6">
        <v>91</v>
      </c>
      <c r="BJ6">
        <v>9</v>
      </c>
      <c r="BK6">
        <v>1002</v>
      </c>
      <c r="BL6">
        <v>151</v>
      </c>
      <c r="BM6">
        <v>1</v>
      </c>
      <c r="BN6">
        <v>1</v>
      </c>
      <c r="BO6" t="s">
        <v>12</v>
      </c>
      <c r="BQ6" t="s">
        <v>1676</v>
      </c>
      <c r="BR6" t="s">
        <v>4332</v>
      </c>
      <c r="BS6" s="4" t="str">
        <f>HYPERLINK("http://exon.niaid.nih.gov/transcriptome/C_felis/S1/links/CDD/cf-contig_735-CDD.txt","His_Phos_2")</f>
        <v>His_Phos_2</v>
      </c>
      <c r="BT6" t="str">
        <f>HYPERLINK("http://www.ncbi.nlm.nih.gov/Structure/cdd/cddsrv.cgi?uid=pfam00328&amp;version=v4.0","1E-005")</f>
        <v>1E-005</v>
      </c>
      <c r="BU6" t="s">
        <v>4333</v>
      </c>
      <c r="BV6" s="4" t="s">
        <v>42</v>
      </c>
      <c r="BW6" t="s">
        <v>42</v>
      </c>
      <c r="BX6" t="s">
        <v>42</v>
      </c>
      <c r="BY6" t="s">
        <v>42</v>
      </c>
      <c r="BZ6" t="s">
        <v>42</v>
      </c>
      <c r="CA6" t="s">
        <v>42</v>
      </c>
      <c r="CB6" t="s">
        <v>42</v>
      </c>
      <c r="CC6" t="s">
        <v>42</v>
      </c>
      <c r="CD6" t="s">
        <v>42</v>
      </c>
      <c r="CE6" t="s">
        <v>42</v>
      </c>
      <c r="CF6" t="s">
        <v>42</v>
      </c>
      <c r="CG6" t="s">
        <v>42</v>
      </c>
      <c r="CH6" t="s">
        <v>42</v>
      </c>
      <c r="CI6" t="s">
        <v>42</v>
      </c>
      <c r="CJ6" t="s">
        <v>42</v>
      </c>
      <c r="CK6" t="s">
        <v>42</v>
      </c>
      <c r="CL6" t="s">
        <v>42</v>
      </c>
      <c r="CM6" t="s">
        <v>42</v>
      </c>
      <c r="CN6" t="s">
        <v>42</v>
      </c>
      <c r="CO6" t="s">
        <v>42</v>
      </c>
      <c r="CP6" t="s">
        <v>42</v>
      </c>
      <c r="CQ6" t="s">
        <v>42</v>
      </c>
      <c r="CR6" t="s">
        <v>42</v>
      </c>
      <c r="CS6" s="4" t="str">
        <f>HYPERLINK("http://exon.niaid.nih.gov/transcriptome/C_felis/S1/links/KOG/cf-contig_735-KOG.txt","Lysosomal &amp; prostatic acid phosphatases")</f>
        <v>Lysosomal &amp; prostatic acid phosphatases</v>
      </c>
      <c r="CT6" t="str">
        <f>HYPERLINK("http://www.ncbi.nlm.nih.gov/COG/grace/shokog.cgi?KOG3720","3E-013")</f>
        <v>3E-013</v>
      </c>
      <c r="CU6" t="s">
        <v>1761</v>
      </c>
      <c r="CV6" s="4" t="str">
        <f>HYPERLINK("http://exon.niaid.nih.gov/transcriptome/C_felis/S1/links/PFAM/cf-contig_735-PFAM.txt","His_Phos_2")</f>
        <v>His_Phos_2</v>
      </c>
      <c r="CW6" t="str">
        <f>HYPERLINK("http://pfam.sanger.ac.uk/family?acc=PF00328","2E-006")</f>
        <v>2E-006</v>
      </c>
      <c r="CX6" s="4" t="str">
        <f>HYPERLINK("http://exon.niaid.nih.gov/transcriptome/C_felis/S1/links/SMART/cf-contig_735-SMART.txt","RhoGEF")</f>
        <v>RhoGEF</v>
      </c>
      <c r="CY6" t="str">
        <f>HYPERLINK("http://smart.embl-heidelberg.de/smart/do_annotation.pl?DOMAIN=RhoGEF&amp;BLAST=DUMMY","0.002")</f>
        <v>0.002</v>
      </c>
      <c r="CZ6" s="4" t="s">
        <v>42</v>
      </c>
      <c r="DA6" t="s">
        <v>42</v>
      </c>
      <c r="DB6" t="s">
        <v>42</v>
      </c>
      <c r="DC6" t="s">
        <v>42</v>
      </c>
      <c r="DD6" t="s">
        <v>42</v>
      </c>
      <c r="DE6" t="s">
        <v>42</v>
      </c>
      <c r="DF6" t="s">
        <v>42</v>
      </c>
      <c r="DG6" t="s">
        <v>42</v>
      </c>
      <c r="DH6" s="4" t="s">
        <v>42</v>
      </c>
      <c r="DI6" t="s">
        <v>42</v>
      </c>
      <c r="DJ6" s="4" t="s">
        <v>42</v>
      </c>
      <c r="DK6" t="s">
        <v>42</v>
      </c>
      <c r="DL6" s="4">
        <v>595</v>
      </c>
      <c r="DM6">
        <v>1</v>
      </c>
      <c r="DN6" s="4">
        <v>611</v>
      </c>
      <c r="DO6">
        <v>1</v>
      </c>
      <c r="DP6" s="4">
        <v>625</v>
      </c>
      <c r="DQ6">
        <v>1</v>
      </c>
      <c r="DR6" s="4">
        <v>647</v>
      </c>
      <c r="DS6">
        <v>1</v>
      </c>
      <c r="DT6" s="4">
        <v>662</v>
      </c>
      <c r="DU6">
        <v>1</v>
      </c>
      <c r="DV6" s="4">
        <v>677</v>
      </c>
      <c r="DW6">
        <v>1</v>
      </c>
      <c r="DX6" s="4">
        <v>688</v>
      </c>
      <c r="DY6">
        <v>1</v>
      </c>
      <c r="DZ6" s="4">
        <v>698</v>
      </c>
      <c r="EA6">
        <v>1</v>
      </c>
      <c r="EB6" s="4">
        <v>704</v>
      </c>
      <c r="EC6">
        <v>1</v>
      </c>
      <c r="ED6" s="4">
        <v>709</v>
      </c>
      <c r="EE6">
        <v>1</v>
      </c>
      <c r="EF6" s="4">
        <v>715</v>
      </c>
      <c r="EG6">
        <v>1</v>
      </c>
      <c r="EH6" s="4">
        <v>726</v>
      </c>
      <c r="EI6">
        <v>1</v>
      </c>
      <c r="EJ6" s="4">
        <v>735</v>
      </c>
      <c r="EK6">
        <v>1</v>
      </c>
    </row>
    <row r="7" spans="1:141" x14ac:dyDescent="0.2">
      <c r="A7" t="str">
        <f>HYPERLINK("http://exon.niaid.nih.gov/transcriptome/C_felis/S1/links/cf/cf-contig_402.txt","cf-contig_402")</f>
        <v>cf-contig_402</v>
      </c>
      <c r="B7">
        <v>1</v>
      </c>
      <c r="C7" s="10" t="s">
        <v>4607</v>
      </c>
      <c r="D7">
        <v>1</v>
      </c>
      <c r="E7" t="str">
        <f>HYPERLINK("http://exon.niaid.nih.gov/transcriptome/C_felis/S1/links/cf/cf-5-36-asb-402.txt","Contig-402")</f>
        <v>Contig-402</v>
      </c>
      <c r="F7" t="str">
        <f>HYPERLINK("http://exon.niaid.nih.gov/transcriptome/C_felis/S1/links/cf/cf-5-36-402-CLU.txt","Contig402")</f>
        <v>Contig402</v>
      </c>
      <c r="G7" t="str">
        <f>HYPERLINK("http://exon.niaid.nih.gov/transcriptome/C_felis/S1/links/cf/cf-5-36-402-qual.txt","54.8")</f>
        <v>54.8</v>
      </c>
      <c r="H7" t="s">
        <v>11</v>
      </c>
      <c r="I7">
        <v>72.599999999999994</v>
      </c>
      <c r="J7">
        <v>204</v>
      </c>
      <c r="K7" t="s">
        <v>12</v>
      </c>
      <c r="L7">
        <v>1</v>
      </c>
      <c r="M7" t="s">
        <v>415</v>
      </c>
      <c r="N7">
        <v>204</v>
      </c>
      <c r="O7">
        <v>223</v>
      </c>
      <c r="P7">
        <v>120</v>
      </c>
      <c r="Q7" t="s">
        <v>1222</v>
      </c>
      <c r="R7">
        <v>3</v>
      </c>
      <c r="S7" s="7" t="s">
        <v>4585</v>
      </c>
      <c r="U7">
        <v>1</v>
      </c>
      <c r="V7" s="4">
        <v>328</v>
      </c>
      <c r="W7">
        <v>1</v>
      </c>
      <c r="X7" s="4">
        <v>336</v>
      </c>
      <c r="Y7">
        <v>1</v>
      </c>
      <c r="Z7" s="4">
        <v>337</v>
      </c>
      <c r="AA7">
        <v>1</v>
      </c>
      <c r="AB7" s="4" t="str">
        <f>HYPERLINK("http://exon.niaid.nih.gov/transcriptome/C_felis/S1/links/XC-ASB/cf-contig_48-XC-ASB.txt","XC-contig_7")</f>
        <v>XC-contig_7</v>
      </c>
      <c r="AC7">
        <v>1.9999999999999999E-28</v>
      </c>
      <c r="AD7" s="10" t="s">
        <v>4607</v>
      </c>
      <c r="AE7" t="s">
        <v>4601</v>
      </c>
      <c r="AI7" s="4" t="str">
        <f>HYPERLINK("http://exon.niaid.nih.gov/transcriptome/C_felis/S1/links/NR/cf-contig_402-NR.txt","truncated secreted salivary acid phosphatase")</f>
        <v>truncated secreted salivary acid phosphatase</v>
      </c>
      <c r="AJ7" t="str">
        <f>HYPERLINK("http://www.ncbi.nlm.nih.gov/sutils/blink.cgi?pid=121511922","1.1")</f>
        <v>1.1</v>
      </c>
      <c r="AK7" t="str">
        <f>HYPERLINK("http://www.ncbi.nlm.nih.gov/protein/121511922","gi|121511922")</f>
        <v>gi|121511922</v>
      </c>
      <c r="AL7">
        <v>37</v>
      </c>
      <c r="AM7">
        <v>33</v>
      </c>
      <c r="AN7">
        <v>246</v>
      </c>
      <c r="AO7">
        <v>48</v>
      </c>
      <c r="AP7">
        <v>14</v>
      </c>
      <c r="AQ7">
        <v>18</v>
      </c>
      <c r="AR7">
        <v>0</v>
      </c>
      <c r="AS7">
        <v>212</v>
      </c>
      <c r="AT7">
        <v>18</v>
      </c>
      <c r="AU7">
        <v>1</v>
      </c>
      <c r="AV7">
        <v>3</v>
      </c>
      <c r="AW7" t="s">
        <v>12</v>
      </c>
      <c r="AY7" t="s">
        <v>1676</v>
      </c>
      <c r="AZ7" t="s">
        <v>1717</v>
      </c>
      <c r="BA7" s="4" t="str">
        <f>HYPERLINK("http://exon.niaid.nih.gov/transcriptome/C_felis/S1/links/SWISSP/cf-contig_402-SWISSP.txt","RAS guanyl-releasing protein 1")</f>
        <v>RAS guanyl-releasing protein 1</v>
      </c>
      <c r="BB7" t="str">
        <f>HYPERLINK("http://www.uniprot.org/uniprot/Q6NTL4","3.6")</f>
        <v>3.6</v>
      </c>
      <c r="BC7" t="s">
        <v>3090</v>
      </c>
      <c r="BD7">
        <v>30.4</v>
      </c>
      <c r="BE7">
        <v>30</v>
      </c>
      <c r="BF7">
        <v>791</v>
      </c>
      <c r="BG7">
        <v>40</v>
      </c>
      <c r="BH7">
        <v>4</v>
      </c>
      <c r="BI7">
        <v>19</v>
      </c>
      <c r="BJ7">
        <v>0</v>
      </c>
      <c r="BK7">
        <v>759</v>
      </c>
      <c r="BL7">
        <v>18</v>
      </c>
      <c r="BM7">
        <v>1</v>
      </c>
      <c r="BN7">
        <v>3</v>
      </c>
      <c r="BO7" t="s">
        <v>12</v>
      </c>
      <c r="BQ7" t="s">
        <v>1676</v>
      </c>
      <c r="BR7" t="s">
        <v>1832</v>
      </c>
      <c r="BS7" s="4" t="str">
        <f>HYPERLINK("http://exon.niaid.nih.gov/transcriptome/C_felis/S1/links/CDD/cf-contig_402-CDD.txt","Peptidase_S49_N")</f>
        <v>Peptidase_S49_N</v>
      </c>
      <c r="BT7" t="str">
        <f>HYPERLINK("http://www.ncbi.nlm.nih.gov/Structure/cdd/cddsrv.cgi?uid=pfam08496&amp;version=v4.0","0.27")</f>
        <v>0.27</v>
      </c>
      <c r="BU7" t="s">
        <v>3091</v>
      </c>
      <c r="BV7" s="4" t="s">
        <v>42</v>
      </c>
      <c r="BW7" t="s">
        <v>42</v>
      </c>
      <c r="BX7" t="s">
        <v>42</v>
      </c>
      <c r="BY7" t="s">
        <v>42</v>
      </c>
      <c r="BZ7" t="s">
        <v>42</v>
      </c>
      <c r="CA7" t="s">
        <v>42</v>
      </c>
      <c r="CB7" t="s">
        <v>42</v>
      </c>
      <c r="CC7" t="s">
        <v>42</v>
      </c>
      <c r="CD7" t="s">
        <v>42</v>
      </c>
      <c r="CE7" t="s">
        <v>42</v>
      </c>
      <c r="CF7" t="s">
        <v>42</v>
      </c>
      <c r="CG7" t="s">
        <v>42</v>
      </c>
      <c r="CH7" t="s">
        <v>42</v>
      </c>
      <c r="CI7" t="s">
        <v>42</v>
      </c>
      <c r="CJ7" t="s">
        <v>42</v>
      </c>
      <c r="CK7" t="s">
        <v>42</v>
      </c>
      <c r="CL7" t="s">
        <v>42</v>
      </c>
      <c r="CM7" t="s">
        <v>42</v>
      </c>
      <c r="CN7" t="s">
        <v>42</v>
      </c>
      <c r="CO7" t="s">
        <v>42</v>
      </c>
      <c r="CP7" t="s">
        <v>42</v>
      </c>
      <c r="CQ7" t="s">
        <v>42</v>
      </c>
      <c r="CR7" t="s">
        <v>42</v>
      </c>
      <c r="CS7" s="4" t="str">
        <f>HYPERLINK("http://exon.niaid.nih.gov/transcriptome/C_felis/S1/links/KOG/cf-contig_402-KOG.txt","Gamma-tubulin complex, DGRIP91/SPC98 component")</f>
        <v>Gamma-tubulin complex, DGRIP91/SPC98 component</v>
      </c>
      <c r="CT7" t="str">
        <f>HYPERLINK("http://www.ncbi.nlm.nih.gov/COG/grace/shokog.cgi?KOG2000","2.2")</f>
        <v>2.2</v>
      </c>
      <c r="CU7" t="s">
        <v>3092</v>
      </c>
      <c r="CV7" s="4" t="str">
        <f>HYPERLINK("http://exon.niaid.nih.gov/transcriptome/C_felis/S1/links/PFAM/cf-contig_402-PFAM.txt","Peptidase_S49_N")</f>
        <v>Peptidase_S49_N</v>
      </c>
      <c r="CW7" t="str">
        <f>HYPERLINK("http://pfam.sanger.ac.uk/family?acc=PF08496","0.056")</f>
        <v>0.056</v>
      </c>
      <c r="CX7" s="4" t="str">
        <f>HYPERLINK("http://exon.niaid.nih.gov/transcriptome/C_felis/S1/links/SMART/cf-contig_402-SMART.txt","MyTH4")</f>
        <v>MyTH4</v>
      </c>
      <c r="CY7" t="str">
        <f>HYPERLINK("http://smart.embl-heidelberg.de/smart/do_annotation.pl?DOMAIN=MyTH4&amp;BLAST=DUMMY","0.68")</f>
        <v>0.68</v>
      </c>
      <c r="CZ7" s="4" t="s">
        <v>42</v>
      </c>
      <c r="DA7" t="s">
        <v>42</v>
      </c>
      <c r="DB7" t="s">
        <v>42</v>
      </c>
      <c r="DC7" t="s">
        <v>42</v>
      </c>
      <c r="DD7" t="s">
        <v>42</v>
      </c>
      <c r="DE7" t="s">
        <v>42</v>
      </c>
      <c r="DF7" t="s">
        <v>42</v>
      </c>
      <c r="DG7" t="s">
        <v>42</v>
      </c>
      <c r="DH7" s="4" t="s">
        <v>42</v>
      </c>
      <c r="DI7" t="s">
        <v>42</v>
      </c>
      <c r="DJ7" s="4" t="s">
        <v>42</v>
      </c>
      <c r="DK7" t="s">
        <v>42</v>
      </c>
      <c r="DL7" s="4">
        <v>328</v>
      </c>
      <c r="DM7">
        <v>1</v>
      </c>
      <c r="DN7" s="4">
        <v>336</v>
      </c>
      <c r="DO7">
        <v>1</v>
      </c>
      <c r="DP7" s="4">
        <v>337</v>
      </c>
      <c r="DQ7">
        <v>1</v>
      </c>
      <c r="DR7" s="4">
        <v>348</v>
      </c>
      <c r="DS7">
        <v>1</v>
      </c>
      <c r="DT7" s="4">
        <v>358</v>
      </c>
      <c r="DU7">
        <v>1</v>
      </c>
      <c r="DV7" s="4">
        <v>371</v>
      </c>
      <c r="DW7">
        <v>1</v>
      </c>
      <c r="DX7" s="4">
        <v>374</v>
      </c>
      <c r="DY7">
        <v>1</v>
      </c>
      <c r="DZ7" s="4">
        <v>379</v>
      </c>
      <c r="EA7">
        <v>1</v>
      </c>
      <c r="EB7" s="4">
        <v>384</v>
      </c>
      <c r="EC7">
        <v>1</v>
      </c>
      <c r="ED7" s="4">
        <v>388</v>
      </c>
      <c r="EE7">
        <v>1</v>
      </c>
      <c r="EF7" s="4">
        <v>393</v>
      </c>
      <c r="EG7">
        <v>1</v>
      </c>
      <c r="EH7" s="4">
        <v>396</v>
      </c>
      <c r="EI7">
        <v>1</v>
      </c>
      <c r="EJ7" s="4">
        <v>402</v>
      </c>
      <c r="EK7">
        <v>1</v>
      </c>
    </row>
    <row r="8" spans="1:141" x14ac:dyDescent="0.2">
      <c r="A8" t="str">
        <f>HYPERLINK("http://exon.niaid.nih.gov/transcriptome/C_felis/S1/links/cf/cf-contig_421.txt","cf-contig_421")</f>
        <v>cf-contig_421</v>
      </c>
      <c r="B8">
        <v>1</v>
      </c>
      <c r="C8" s="10" t="s">
        <v>4607</v>
      </c>
      <c r="D8">
        <v>1</v>
      </c>
      <c r="E8" t="str">
        <f>HYPERLINK("http://exon.niaid.nih.gov/transcriptome/C_felis/S1/links/cf/cf-5-36-asb-421.txt","Contig-421")</f>
        <v>Contig-421</v>
      </c>
      <c r="F8" t="str">
        <f>HYPERLINK("http://exon.niaid.nih.gov/transcriptome/C_felis/S1/links/cf/cf-5-36-421-CLU.txt","Contig421")</f>
        <v>Contig421</v>
      </c>
      <c r="G8" t="str">
        <f>HYPERLINK("http://exon.niaid.nih.gov/transcriptome/C_felis/S1/links/cf/cf-5-36-421-qual.txt","64.2")</f>
        <v>64.2</v>
      </c>
      <c r="H8" t="s">
        <v>11</v>
      </c>
      <c r="I8">
        <v>72.3</v>
      </c>
      <c r="J8">
        <v>317</v>
      </c>
      <c r="K8" t="s">
        <v>12</v>
      </c>
      <c r="L8">
        <v>1</v>
      </c>
      <c r="M8" t="s">
        <v>434</v>
      </c>
      <c r="N8">
        <v>317</v>
      </c>
      <c r="O8">
        <v>336</v>
      </c>
      <c r="P8">
        <v>177</v>
      </c>
      <c r="Q8" t="s">
        <v>1241</v>
      </c>
      <c r="R8">
        <v>3</v>
      </c>
      <c r="S8" s="7" t="str">
        <f>HYPERLINK("http://exon.niaid.nih.gov/transcriptome/C_felis/S1/links/Sigp/CF-CONTIG_421-SigP.txt","Cyt")</f>
        <v>Cyt</v>
      </c>
      <c r="U8">
        <v>1</v>
      </c>
      <c r="V8" s="4">
        <v>343</v>
      </c>
      <c r="W8">
        <v>1</v>
      </c>
      <c r="X8" s="4">
        <v>352</v>
      </c>
      <c r="Y8">
        <v>1</v>
      </c>
      <c r="Z8" s="4">
        <v>355</v>
      </c>
      <c r="AA8">
        <v>1</v>
      </c>
      <c r="AB8" s="4" t="str">
        <f>HYPERLINK("http://exon.niaid.nih.gov/transcriptome/C_felis/S1/links/XC-ASB/cf-contig_49-XC-ASB.txt","XC-contig_7")</f>
        <v>XC-contig_7</v>
      </c>
      <c r="AC8">
        <v>6.0000000000000003E-47</v>
      </c>
      <c r="AD8" s="10" t="s">
        <v>4607</v>
      </c>
      <c r="AE8" t="s">
        <v>4599</v>
      </c>
      <c r="AF8" t="str">
        <f>HYPERLINK("http://exon.niaid.nih.gov/transcriptome/C_felis/S1/links/NR/cf-contig_421-NR.txt","NR")</f>
        <v>NR</v>
      </c>
      <c r="AG8">
        <v>2.9999999999999999E-7</v>
      </c>
      <c r="AH8">
        <v>57.8</v>
      </c>
      <c r="AI8" s="4" t="str">
        <f>HYPERLINK("http://exon.niaid.nih.gov/transcriptome/C_felis/S1/links/NR/cf-contig_421-NR.txt","cysteine-rich secreted salivary protein")</f>
        <v>cysteine-rich secreted salivary protein</v>
      </c>
      <c r="AJ8" t="str">
        <f>HYPERLINK("http://www.ncbi.nlm.nih.gov/sutils/blink.cgi?pid=121511982","3E-007")</f>
        <v>3E-007</v>
      </c>
      <c r="AK8" t="str">
        <f>HYPERLINK("http://www.ncbi.nlm.nih.gov/protein/121511982","gi|121511982")</f>
        <v>gi|121511982</v>
      </c>
      <c r="AL8">
        <v>58.9</v>
      </c>
      <c r="AM8">
        <v>46</v>
      </c>
      <c r="AN8">
        <v>83</v>
      </c>
      <c r="AO8">
        <v>54</v>
      </c>
      <c r="AP8">
        <v>57</v>
      </c>
      <c r="AQ8">
        <v>22</v>
      </c>
      <c r="AR8">
        <v>0</v>
      </c>
      <c r="AS8">
        <v>37</v>
      </c>
      <c r="AT8">
        <v>23</v>
      </c>
      <c r="AU8">
        <v>1</v>
      </c>
      <c r="AV8">
        <v>2</v>
      </c>
      <c r="AW8" t="s">
        <v>12</v>
      </c>
      <c r="AY8" t="s">
        <v>1676</v>
      </c>
      <c r="AZ8" t="s">
        <v>1717</v>
      </c>
      <c r="BA8" s="4" t="str">
        <f>HYPERLINK("http://exon.niaid.nih.gov/transcriptome/C_felis/S1/links/SWISSP/cf-contig_421-SWISSP.txt","Defensin-like protein 78")</f>
        <v>Defensin-like protein 78</v>
      </c>
      <c r="BB8" t="str">
        <f>HYPERLINK("http://www.uniprot.org/uniprot/Q9SL74","0.33")</f>
        <v>0.33</v>
      </c>
      <c r="BC8" t="s">
        <v>3173</v>
      </c>
      <c r="BD8">
        <v>33.9</v>
      </c>
      <c r="BE8">
        <v>39</v>
      </c>
      <c r="BF8">
        <v>89</v>
      </c>
      <c r="BG8">
        <v>34</v>
      </c>
      <c r="BH8">
        <v>45</v>
      </c>
      <c r="BI8">
        <v>29</v>
      </c>
      <c r="BJ8">
        <v>0</v>
      </c>
      <c r="BK8">
        <v>36</v>
      </c>
      <c r="BL8">
        <v>26</v>
      </c>
      <c r="BM8">
        <v>1</v>
      </c>
      <c r="BN8">
        <v>2</v>
      </c>
      <c r="BO8" t="s">
        <v>12</v>
      </c>
      <c r="BQ8" t="s">
        <v>1676</v>
      </c>
      <c r="BR8" t="s">
        <v>1714</v>
      </c>
      <c r="BS8" s="4" t="str">
        <f>HYPERLINK("http://exon.niaid.nih.gov/transcriptome/C_felis/S1/links/CDD/cf-contig_421-CDD.txt","Furin-like")</f>
        <v>Furin-like</v>
      </c>
      <c r="BT8" t="str">
        <f>HYPERLINK("http://www.ncbi.nlm.nih.gov/Structure/cdd/cddsrv.cgi?uid=pfam00757&amp;version=v4.0","0.003")</f>
        <v>0.003</v>
      </c>
      <c r="BU8" t="s">
        <v>3174</v>
      </c>
      <c r="BV8" s="4" t="s">
        <v>42</v>
      </c>
      <c r="BW8" t="s">
        <v>42</v>
      </c>
      <c r="BX8" t="s">
        <v>42</v>
      </c>
      <c r="BY8" t="s">
        <v>42</v>
      </c>
      <c r="BZ8" t="s">
        <v>42</v>
      </c>
      <c r="CA8" t="s">
        <v>42</v>
      </c>
      <c r="CB8" t="s">
        <v>42</v>
      </c>
      <c r="CC8" t="s">
        <v>42</v>
      </c>
      <c r="CD8" t="s">
        <v>42</v>
      </c>
      <c r="CE8" t="s">
        <v>42</v>
      </c>
      <c r="CF8" t="s">
        <v>42</v>
      </c>
      <c r="CG8" t="s">
        <v>42</v>
      </c>
      <c r="CH8" t="s">
        <v>42</v>
      </c>
      <c r="CI8" t="s">
        <v>42</v>
      </c>
      <c r="CJ8" t="s">
        <v>42</v>
      </c>
      <c r="CK8" t="s">
        <v>42</v>
      </c>
      <c r="CL8" t="s">
        <v>42</v>
      </c>
      <c r="CM8" t="s">
        <v>42</v>
      </c>
      <c r="CN8" t="s">
        <v>42</v>
      </c>
      <c r="CO8" t="s">
        <v>42</v>
      </c>
      <c r="CP8" t="s">
        <v>42</v>
      </c>
      <c r="CQ8" t="s">
        <v>42</v>
      </c>
      <c r="CR8" t="s">
        <v>42</v>
      </c>
      <c r="CS8" s="4" t="str">
        <f>HYPERLINK("http://exon.niaid.nih.gov/transcriptome/C_felis/S1/links/KOG/cf-contig_421-KOG.txt","Insulin/growth factor receptor (contains protein kinase domain)")</f>
        <v>Insulin/growth factor receptor (contains protein kinase domain)</v>
      </c>
      <c r="CT8" t="str">
        <f>HYPERLINK("http://www.ncbi.nlm.nih.gov/COG/grace/shokog.cgi?KOG4258","0.007")</f>
        <v>0.007</v>
      </c>
      <c r="CU8" t="s">
        <v>1780</v>
      </c>
      <c r="CV8" s="4" t="str">
        <f>HYPERLINK("http://exon.niaid.nih.gov/transcriptome/C_felis/S1/links/PFAM/cf-contig_421-PFAM.txt","Furin-like")</f>
        <v>Furin-like</v>
      </c>
      <c r="CW8" t="str">
        <f>HYPERLINK("http://pfam.sanger.ac.uk/family?acc=PF00757","6E-004")</f>
        <v>6E-004</v>
      </c>
      <c r="CX8" s="4" t="str">
        <f>HYPERLINK("http://exon.niaid.nih.gov/transcriptome/C_felis/S1/links/SMART/cf-contig_421-SMART.txt","Knot1")</f>
        <v>Knot1</v>
      </c>
      <c r="CY8" t="str">
        <f>HYPERLINK("http://smart.embl-heidelberg.de/smart/do_annotation.pl?DOMAIN=Knot1&amp;BLAST=DUMMY","0.012")</f>
        <v>0.012</v>
      </c>
      <c r="CZ8" s="4" t="s">
        <v>42</v>
      </c>
      <c r="DA8" t="s">
        <v>42</v>
      </c>
      <c r="DB8" t="s">
        <v>42</v>
      </c>
      <c r="DC8" t="s">
        <v>42</v>
      </c>
      <c r="DD8" t="s">
        <v>42</v>
      </c>
      <c r="DE8" t="s">
        <v>42</v>
      </c>
      <c r="DF8" t="s">
        <v>42</v>
      </c>
      <c r="DG8" t="s">
        <v>42</v>
      </c>
      <c r="DH8" s="4" t="s">
        <v>42</v>
      </c>
      <c r="DI8" t="s">
        <v>42</v>
      </c>
      <c r="DJ8" s="4" t="s">
        <v>42</v>
      </c>
      <c r="DK8" t="s">
        <v>42</v>
      </c>
      <c r="DL8" s="4">
        <v>343</v>
      </c>
      <c r="DM8">
        <v>1</v>
      </c>
      <c r="DN8" s="4">
        <v>352</v>
      </c>
      <c r="DO8">
        <v>1</v>
      </c>
      <c r="DP8" s="4">
        <v>355</v>
      </c>
      <c r="DQ8">
        <v>1</v>
      </c>
      <c r="DR8" s="4">
        <v>367</v>
      </c>
      <c r="DS8">
        <v>1</v>
      </c>
      <c r="DT8" s="4">
        <v>377</v>
      </c>
      <c r="DU8">
        <v>1</v>
      </c>
      <c r="DV8" s="4">
        <v>390</v>
      </c>
      <c r="DW8">
        <v>1</v>
      </c>
      <c r="DX8" s="4">
        <v>393</v>
      </c>
      <c r="DY8">
        <v>1</v>
      </c>
      <c r="DZ8" s="4">
        <v>398</v>
      </c>
      <c r="EA8">
        <v>1</v>
      </c>
      <c r="EB8" s="4">
        <v>403</v>
      </c>
      <c r="EC8">
        <v>1</v>
      </c>
      <c r="ED8" s="4">
        <v>407</v>
      </c>
      <c r="EE8">
        <v>1</v>
      </c>
      <c r="EF8" s="4">
        <v>412</v>
      </c>
      <c r="EG8">
        <v>1</v>
      </c>
      <c r="EH8" s="4">
        <v>415</v>
      </c>
      <c r="EI8">
        <v>1</v>
      </c>
      <c r="EJ8" s="4">
        <v>421</v>
      </c>
      <c r="EK8">
        <v>1</v>
      </c>
    </row>
    <row r="9" spans="1:141" x14ac:dyDescent="0.2">
      <c r="A9" t="str">
        <f>HYPERLINK("http://exon.niaid.nih.gov/transcriptome/C_felis/S1/links/cf/cf-contig_423.txt","cf-contig_423")</f>
        <v>cf-contig_423</v>
      </c>
      <c r="B9">
        <v>1</v>
      </c>
      <c r="C9" s="10" t="s">
        <v>4607</v>
      </c>
      <c r="D9">
        <v>1</v>
      </c>
      <c r="E9" t="str">
        <f>HYPERLINK("http://exon.niaid.nih.gov/transcriptome/C_felis/S1/links/cf/cf-5-36-asb-423.txt","Contig-423")</f>
        <v>Contig-423</v>
      </c>
      <c r="F9" t="str">
        <f>HYPERLINK("http://exon.niaid.nih.gov/transcriptome/C_felis/S1/links/cf/cf-5-36-423-CLU.txt","Contig423")</f>
        <v>Contig423</v>
      </c>
      <c r="G9" t="str">
        <f>HYPERLINK("http://exon.niaid.nih.gov/transcriptome/C_felis/S1/links/cf/cf-5-36-423-qual.txt","63.4")</f>
        <v>63.4</v>
      </c>
      <c r="H9" t="s">
        <v>11</v>
      </c>
      <c r="I9">
        <v>74.8</v>
      </c>
      <c r="J9">
        <v>283</v>
      </c>
      <c r="K9" t="s">
        <v>12</v>
      </c>
      <c r="L9">
        <v>1</v>
      </c>
      <c r="M9" t="s">
        <v>436</v>
      </c>
      <c r="N9">
        <v>283</v>
      </c>
      <c r="O9">
        <v>302</v>
      </c>
      <c r="P9">
        <v>117</v>
      </c>
      <c r="Q9" t="s">
        <v>1243</v>
      </c>
      <c r="R9">
        <v>1</v>
      </c>
      <c r="S9" s="7" t="s">
        <v>4585</v>
      </c>
      <c r="U9">
        <v>1</v>
      </c>
      <c r="V9" s="4">
        <v>345</v>
      </c>
      <c r="W9">
        <v>1</v>
      </c>
      <c r="X9" s="4">
        <v>354</v>
      </c>
      <c r="Y9">
        <v>1</v>
      </c>
      <c r="Z9" s="4">
        <v>357</v>
      </c>
      <c r="AA9">
        <v>1</v>
      </c>
      <c r="AB9" s="4" t="str">
        <f>HYPERLINK("http://exon.niaid.nih.gov/transcriptome/C_felis/S1/links/XC-ASB/cf-contig_79-XC-ASB.txt","XC-contig_7")</f>
        <v>XC-contig_7</v>
      </c>
      <c r="AC9">
        <v>4.0000000000000001E-83</v>
      </c>
      <c r="AD9" s="10" t="s">
        <v>4607</v>
      </c>
      <c r="AE9" t="s">
        <v>4601</v>
      </c>
      <c r="AI9" s="4" t="str">
        <f>HYPERLINK("http://exon.niaid.nih.gov/transcriptome/C_felis/S1/links/NR/cf-contig_423-NR.txt","truncated secreted salivary acid phosphatase")</f>
        <v>truncated secreted salivary acid phosphatase</v>
      </c>
      <c r="AJ9" t="str">
        <f>HYPERLINK("http://www.ncbi.nlm.nih.gov/sutils/blink.cgi?pid=121511916","7.2")</f>
        <v>7.2</v>
      </c>
      <c r="AK9" t="str">
        <f>HYPERLINK("http://www.ncbi.nlm.nih.gov/protein/121511916","gi|121511916")</f>
        <v>gi|121511916</v>
      </c>
      <c r="AL9">
        <v>34.299999999999997</v>
      </c>
      <c r="AM9">
        <v>26</v>
      </c>
      <c r="AN9">
        <v>374</v>
      </c>
      <c r="AO9">
        <v>44</v>
      </c>
      <c r="AP9">
        <v>7</v>
      </c>
      <c r="AQ9">
        <v>15</v>
      </c>
      <c r="AR9">
        <v>0</v>
      </c>
      <c r="AS9">
        <v>346</v>
      </c>
      <c r="AT9">
        <v>19</v>
      </c>
      <c r="AU9">
        <v>1</v>
      </c>
      <c r="AV9">
        <v>1</v>
      </c>
      <c r="AW9" t="s">
        <v>12</v>
      </c>
      <c r="AY9" t="s">
        <v>1676</v>
      </c>
      <c r="AZ9" t="s">
        <v>1717</v>
      </c>
      <c r="BA9" s="4" t="str">
        <f>HYPERLINK("http://exon.niaid.nih.gov/transcriptome/C_felis/S1/links/SWISSP/cf-contig_423-SWISSP.txt","Putative transporter AmpG 2")</f>
        <v>Putative transporter AmpG 2</v>
      </c>
      <c r="BB9" t="str">
        <f>HYPERLINK("http://www.uniprot.org/uniprot/Q9ZCQ1","14")</f>
        <v>14</v>
      </c>
      <c r="BC9" t="s">
        <v>3181</v>
      </c>
      <c r="BD9">
        <v>28.5</v>
      </c>
      <c r="BE9">
        <v>44</v>
      </c>
      <c r="BF9">
        <v>408</v>
      </c>
      <c r="BG9">
        <v>36</v>
      </c>
      <c r="BH9">
        <v>11</v>
      </c>
      <c r="BI9">
        <v>30</v>
      </c>
      <c r="BJ9">
        <v>0</v>
      </c>
      <c r="BK9">
        <v>71</v>
      </c>
      <c r="BL9">
        <v>101</v>
      </c>
      <c r="BM9">
        <v>1</v>
      </c>
      <c r="BN9">
        <v>-2</v>
      </c>
      <c r="BO9" t="s">
        <v>12</v>
      </c>
      <c r="BP9">
        <v>9.0909999999999993</v>
      </c>
      <c r="BQ9" t="s">
        <v>1666</v>
      </c>
      <c r="BR9" t="s">
        <v>2793</v>
      </c>
      <c r="BS9" s="4" t="str">
        <f>HYPERLINK("http://exon.niaid.nih.gov/transcriptome/C_felis/S1/links/CDD/cf-contig_423-CDD.txt","ND5")</f>
        <v>ND5</v>
      </c>
      <c r="BT9" t="str">
        <f>HYPERLINK("http://www.ncbi.nlm.nih.gov/Structure/cdd/cddsrv.cgi?uid=MTH00151&amp;version=v4.0","0.35")</f>
        <v>0.35</v>
      </c>
      <c r="BU9" t="s">
        <v>3182</v>
      </c>
      <c r="BV9" s="4" t="s">
        <v>42</v>
      </c>
      <c r="BW9" t="s">
        <v>42</v>
      </c>
      <c r="BX9" t="s">
        <v>42</v>
      </c>
      <c r="BY9" t="s">
        <v>42</v>
      </c>
      <c r="BZ9" t="s">
        <v>42</v>
      </c>
      <c r="CA9" t="s">
        <v>42</v>
      </c>
      <c r="CB9" t="s">
        <v>42</v>
      </c>
      <c r="CC9" t="s">
        <v>42</v>
      </c>
      <c r="CD9" t="s">
        <v>42</v>
      </c>
      <c r="CE9" t="s">
        <v>42</v>
      </c>
      <c r="CF9" t="s">
        <v>42</v>
      </c>
      <c r="CG9" t="s">
        <v>42</v>
      </c>
      <c r="CH9" t="s">
        <v>42</v>
      </c>
      <c r="CI9" t="s">
        <v>42</v>
      </c>
      <c r="CJ9" t="s">
        <v>42</v>
      </c>
      <c r="CK9" t="s">
        <v>42</v>
      </c>
      <c r="CL9" t="s">
        <v>42</v>
      </c>
      <c r="CM9" t="s">
        <v>42</v>
      </c>
      <c r="CN9" t="s">
        <v>42</v>
      </c>
      <c r="CO9" t="s">
        <v>42</v>
      </c>
      <c r="CP9" t="s">
        <v>42</v>
      </c>
      <c r="CQ9" t="s">
        <v>42</v>
      </c>
      <c r="CR9" t="s">
        <v>42</v>
      </c>
      <c r="CS9" s="4" t="str">
        <f>HYPERLINK("http://exon.niaid.nih.gov/transcriptome/C_felis/S1/links/KOG/cf-contig_423-KOG.txt","ER vesicle integral membrane protein involved in establishing cell polarity, signaling and protein degradation")</f>
        <v>ER vesicle integral membrane protein involved in establishing cell polarity, signaling and protein degradation</v>
      </c>
      <c r="CT9" t="str">
        <f>HYPERLINK("http://www.ncbi.nlm.nih.gov/COG/grace/shokog.cgi?KOG2729","1.7")</f>
        <v>1.7</v>
      </c>
      <c r="CU9" t="s">
        <v>3183</v>
      </c>
      <c r="CV9" s="4" t="str">
        <f>HYPERLINK("http://exon.niaid.nih.gov/transcriptome/C_felis/S1/links/PFAM/cf-contig_423-PFAM.txt","Plasmodium_Vir")</f>
        <v>Plasmodium_Vir</v>
      </c>
      <c r="CW9" t="str">
        <f>HYPERLINK("http://pfam.sanger.ac.uk/family?acc=PF05795","0.075")</f>
        <v>0.075</v>
      </c>
      <c r="CX9" s="4" t="str">
        <f>HYPERLINK("http://exon.niaid.nih.gov/transcriptome/C_felis/S1/links/SMART/cf-contig_423-SMART.txt","BPI1")</f>
        <v>BPI1</v>
      </c>
      <c r="CY9" t="str">
        <f>HYPERLINK("http://smart.embl-heidelberg.de/smart/do_annotation.pl?DOMAIN=BPI1&amp;BLAST=DUMMY","0.057")</f>
        <v>0.057</v>
      </c>
      <c r="CZ9" s="4" t="s">
        <v>42</v>
      </c>
      <c r="DA9" t="s">
        <v>42</v>
      </c>
      <c r="DB9" t="s">
        <v>42</v>
      </c>
      <c r="DC9" t="s">
        <v>42</v>
      </c>
      <c r="DD9" t="s">
        <v>42</v>
      </c>
      <c r="DE9" t="s">
        <v>42</v>
      </c>
      <c r="DF9" t="s">
        <v>42</v>
      </c>
      <c r="DG9" t="s">
        <v>42</v>
      </c>
      <c r="DH9" s="4" t="s">
        <v>42</v>
      </c>
      <c r="DI9" t="s">
        <v>42</v>
      </c>
      <c r="DJ9" s="4" t="s">
        <v>42</v>
      </c>
      <c r="DK9" t="s">
        <v>42</v>
      </c>
      <c r="DL9" s="4">
        <v>345</v>
      </c>
      <c r="DM9">
        <v>1</v>
      </c>
      <c r="DN9" s="4">
        <v>354</v>
      </c>
      <c r="DO9">
        <v>1</v>
      </c>
      <c r="DP9" s="4">
        <v>357</v>
      </c>
      <c r="DQ9">
        <v>1</v>
      </c>
      <c r="DR9" s="4">
        <v>369</v>
      </c>
      <c r="DS9">
        <v>1</v>
      </c>
      <c r="DT9" s="4">
        <v>379</v>
      </c>
      <c r="DU9">
        <v>1</v>
      </c>
      <c r="DV9" s="4">
        <v>392</v>
      </c>
      <c r="DW9">
        <v>1</v>
      </c>
      <c r="DX9" s="4">
        <v>395</v>
      </c>
      <c r="DY9">
        <v>1</v>
      </c>
      <c r="DZ9" s="4">
        <v>400</v>
      </c>
      <c r="EA9">
        <v>1</v>
      </c>
      <c r="EB9" s="4">
        <v>405</v>
      </c>
      <c r="EC9">
        <v>1</v>
      </c>
      <c r="ED9" s="4">
        <v>409</v>
      </c>
      <c r="EE9">
        <v>1</v>
      </c>
      <c r="EF9" s="4">
        <v>414</v>
      </c>
      <c r="EG9">
        <v>1</v>
      </c>
      <c r="EH9" s="4">
        <v>417</v>
      </c>
      <c r="EI9">
        <v>1</v>
      </c>
      <c r="EJ9" s="4">
        <v>423</v>
      </c>
      <c r="EK9">
        <v>1</v>
      </c>
    </row>
    <row r="10" spans="1:141" x14ac:dyDescent="0.2">
      <c r="A10" t="str">
        <f>HYPERLINK("http://exon.niaid.nih.gov/transcriptome/C_felis/S1/links/cf/cf-contig_358.txt","cf-contig_358")</f>
        <v>cf-contig_358</v>
      </c>
      <c r="B10">
        <v>1</v>
      </c>
      <c r="C10" s="10" t="s">
        <v>4607</v>
      </c>
      <c r="D10">
        <v>1</v>
      </c>
      <c r="E10" t="str">
        <f>HYPERLINK("http://exon.niaid.nih.gov/transcriptome/C_felis/S1/links/cf/cf-5-36-asb-358.txt","Contig-358")</f>
        <v>Contig-358</v>
      </c>
      <c r="F10" t="str">
        <f>HYPERLINK("http://exon.niaid.nih.gov/transcriptome/C_felis/S1/links/cf/cf-5-36-358-CLU.txt","Contig358")</f>
        <v>Contig358</v>
      </c>
      <c r="G10" t="str">
        <f>HYPERLINK("http://exon.niaid.nih.gov/transcriptome/C_felis/S1/links/cf/cf-5-36-358-qual.txt","62.4")</f>
        <v>62.4</v>
      </c>
      <c r="H10" t="s">
        <v>11</v>
      </c>
      <c r="I10">
        <v>73.099999999999994</v>
      </c>
      <c r="J10">
        <v>312</v>
      </c>
      <c r="K10" t="s">
        <v>12</v>
      </c>
      <c r="L10">
        <v>1</v>
      </c>
      <c r="M10" t="s">
        <v>371</v>
      </c>
      <c r="N10">
        <v>312</v>
      </c>
      <c r="O10">
        <v>331</v>
      </c>
      <c r="P10">
        <v>210</v>
      </c>
      <c r="Q10" t="s">
        <v>1178</v>
      </c>
      <c r="R10">
        <v>2</v>
      </c>
      <c r="S10" s="7" t="str">
        <f>HYPERLINK("http://exon.niaid.nih.gov/transcriptome/C_felis/S1/links/Sigp/CF-CONTIG_358-SigP.txt","Cyt")</f>
        <v>Cyt</v>
      </c>
      <c r="U10">
        <v>1</v>
      </c>
      <c r="V10" s="4">
        <f>HYPERLINK("http://exon.niaid.nih.gov/transcriptome/C_felis/S1/links/cluster/cf-5-36-asb30-50-Id-CLU71.txt", 71)</f>
        <v>71</v>
      </c>
      <c r="W10">
        <f>HYPERLINK("http://exon.niaid.nih.gov/transcriptome/C_felis/S1/links/cluster/cf-5-36-asb30-50-Id-CLTL71.txt", 2)</f>
        <v>2</v>
      </c>
      <c r="X10" s="4">
        <f>HYPERLINK("http://exon.niaid.nih.gov/transcriptome/C_felis/S1/links/cluster/cf-5-36-asb35-50-Id-CLU63.txt", 63)</f>
        <v>63</v>
      </c>
      <c r="Y10">
        <f>HYPERLINK("http://exon.niaid.nih.gov/transcriptome/C_felis/S1/links/cluster/cf-5-36-asb35-50-Id-CLTL63.txt", 2)</f>
        <v>2</v>
      </c>
      <c r="Z10" s="4">
        <v>296</v>
      </c>
      <c r="AA10">
        <v>1</v>
      </c>
      <c r="AB10" s="4" t="str">
        <f>HYPERLINK("http://exon.niaid.nih.gov/transcriptome/C_felis/S1/links/XC-ASB/cf-contig_69-XC-ASB.txt","XC-contig_169")</f>
        <v>XC-contig_169</v>
      </c>
      <c r="AC10">
        <v>4.0000000000000002E-4</v>
      </c>
      <c r="AD10" s="10" t="s">
        <v>4607</v>
      </c>
      <c r="AE10" t="s">
        <v>4599</v>
      </c>
      <c r="AF10" t="str">
        <f>HYPERLINK("http://exon.niaid.nih.gov/transcriptome/C_felis/S1/links/NR/cf-contig_358-NR.txt","NR")</f>
        <v>NR</v>
      </c>
      <c r="AG10">
        <v>2E-8</v>
      </c>
      <c r="AH10">
        <v>14.8</v>
      </c>
      <c r="AI10" s="4" t="str">
        <f>HYPERLINK("http://exon.niaid.nih.gov/transcriptome/C_felis/S1/links/NR/cf-contig_358-NR.txt","secreted salivary phosphatase")</f>
        <v>secreted salivary phosphatase</v>
      </c>
      <c r="AJ10" t="str">
        <f>HYPERLINK("http://www.ncbi.nlm.nih.gov/sutils/blink.cgi?pid=121511920","2E-008")</f>
        <v>2E-008</v>
      </c>
      <c r="AK10" t="str">
        <f>HYPERLINK("http://www.ncbi.nlm.nih.gov/protein/121511920","gi|121511920")</f>
        <v>gi|121511920</v>
      </c>
      <c r="AL10">
        <v>62.4</v>
      </c>
      <c r="AM10">
        <v>55</v>
      </c>
      <c r="AN10">
        <v>377</v>
      </c>
      <c r="AO10">
        <v>42</v>
      </c>
      <c r="AP10">
        <v>15</v>
      </c>
      <c r="AQ10">
        <v>32</v>
      </c>
      <c r="AR10">
        <v>0</v>
      </c>
      <c r="AS10">
        <v>321</v>
      </c>
      <c r="AT10">
        <v>11</v>
      </c>
      <c r="AU10">
        <v>1</v>
      </c>
      <c r="AV10">
        <v>2</v>
      </c>
      <c r="AW10" t="s">
        <v>12</v>
      </c>
      <c r="AY10" t="s">
        <v>1676</v>
      </c>
      <c r="AZ10" t="s">
        <v>1717</v>
      </c>
      <c r="BA10" s="4" t="str">
        <f>HYPERLINK("http://exon.niaid.nih.gov/transcriptome/C_felis/S1/links/SWISSP/cf-contig_358-SWISSP.txt","Mas-related G-protein coupled receptor member A6")</f>
        <v>Mas-related G-protein coupled receptor member A6</v>
      </c>
      <c r="BB10" t="str">
        <f>HYPERLINK("http://www.uniprot.org/uniprot/Q91ZC6","0.023")</f>
        <v>0.023</v>
      </c>
      <c r="BC10" t="s">
        <v>2934</v>
      </c>
      <c r="BD10">
        <v>37.700000000000003</v>
      </c>
      <c r="BE10">
        <v>65</v>
      </c>
      <c r="BF10">
        <v>301</v>
      </c>
      <c r="BG10">
        <v>35</v>
      </c>
      <c r="BH10">
        <v>22</v>
      </c>
      <c r="BI10">
        <v>44</v>
      </c>
      <c r="BJ10">
        <v>0</v>
      </c>
      <c r="BK10">
        <v>195</v>
      </c>
      <c r="BL10">
        <v>11</v>
      </c>
      <c r="BM10">
        <v>1</v>
      </c>
      <c r="BN10">
        <v>-1</v>
      </c>
      <c r="BO10" t="s">
        <v>12</v>
      </c>
      <c r="BP10">
        <v>1.538</v>
      </c>
      <c r="BQ10" t="s">
        <v>1666</v>
      </c>
      <c r="BR10" t="s">
        <v>1705</v>
      </c>
      <c r="BS10" s="4" t="str">
        <f>HYPERLINK("http://exon.niaid.nih.gov/transcriptome/C_felis/S1/links/CDD/cf-contig_358-CDD.txt","AgrB")</f>
        <v>AgrB</v>
      </c>
      <c r="BT10" t="str">
        <f>HYPERLINK("http://www.ncbi.nlm.nih.gov/Structure/cdd/cddsrv.cgi?uid=pfam04647&amp;version=v4.0","3E-004")</f>
        <v>3E-004</v>
      </c>
      <c r="BU10" t="s">
        <v>2935</v>
      </c>
      <c r="BV10" s="4" t="s">
        <v>42</v>
      </c>
      <c r="BW10" t="s">
        <v>42</v>
      </c>
      <c r="BX10" t="s">
        <v>42</v>
      </c>
      <c r="BY10" t="s">
        <v>42</v>
      </c>
      <c r="BZ10" t="s">
        <v>42</v>
      </c>
      <c r="CA10" t="s">
        <v>42</v>
      </c>
      <c r="CB10" t="s">
        <v>42</v>
      </c>
      <c r="CC10" t="s">
        <v>42</v>
      </c>
      <c r="CD10" t="s">
        <v>42</v>
      </c>
      <c r="CE10" t="s">
        <v>42</v>
      </c>
      <c r="CF10" t="s">
        <v>42</v>
      </c>
      <c r="CG10" t="s">
        <v>42</v>
      </c>
      <c r="CH10" t="s">
        <v>42</v>
      </c>
      <c r="CI10" t="s">
        <v>42</v>
      </c>
      <c r="CJ10" t="s">
        <v>42</v>
      </c>
      <c r="CK10" t="s">
        <v>42</v>
      </c>
      <c r="CL10" t="s">
        <v>42</v>
      </c>
      <c r="CM10" t="s">
        <v>42</v>
      </c>
      <c r="CN10" t="s">
        <v>42</v>
      </c>
      <c r="CO10" t="s">
        <v>42</v>
      </c>
      <c r="CP10" t="s">
        <v>42</v>
      </c>
      <c r="CQ10" t="s">
        <v>42</v>
      </c>
      <c r="CR10" t="s">
        <v>42</v>
      </c>
      <c r="CS10" s="4" t="str">
        <f>HYPERLINK("http://exon.niaid.nih.gov/transcriptome/C_felis/S1/links/KOG/cf-contig_358-KOG.txt","Lysosomal &amp; prostatic acid phosphatases")</f>
        <v>Lysosomal &amp; prostatic acid phosphatases</v>
      </c>
      <c r="CT10" t="str">
        <f>HYPERLINK("http://www.ncbi.nlm.nih.gov/COG/grace/shokog.cgi?KOG3720","3E-006")</f>
        <v>3E-006</v>
      </c>
      <c r="CU10" t="s">
        <v>1761</v>
      </c>
      <c r="CV10" s="4" t="str">
        <f>HYPERLINK("http://exon.niaid.nih.gov/transcriptome/C_felis/S1/links/PFAM/cf-contig_358-PFAM.txt","AgrB")</f>
        <v>AgrB</v>
      </c>
      <c r="CW10" t="str">
        <f>HYPERLINK("http://pfam.sanger.ac.uk/family?acc=PF04647","7E-005")</f>
        <v>7E-005</v>
      </c>
      <c r="CX10" s="4" t="str">
        <f>HYPERLINK("http://exon.niaid.nih.gov/transcriptome/C_felis/S1/links/SMART/cf-contig_358-SMART.txt","PSN")</f>
        <v>PSN</v>
      </c>
      <c r="CY10" t="str">
        <f>HYPERLINK("http://smart.embl-heidelberg.de/smart/do_annotation.pl?DOMAIN=PSN&amp;BLAST=DUMMY","0.011")</f>
        <v>0.011</v>
      </c>
      <c r="CZ10" s="4" t="s">
        <v>42</v>
      </c>
      <c r="DA10" t="s">
        <v>42</v>
      </c>
      <c r="DB10" t="s">
        <v>42</v>
      </c>
      <c r="DC10" t="s">
        <v>42</v>
      </c>
      <c r="DD10" t="s">
        <v>42</v>
      </c>
      <c r="DE10" t="s">
        <v>42</v>
      </c>
      <c r="DF10" t="s">
        <v>42</v>
      </c>
      <c r="DG10" t="s">
        <v>42</v>
      </c>
      <c r="DH10" s="4" t="s">
        <v>42</v>
      </c>
      <c r="DI10" t="s">
        <v>42</v>
      </c>
      <c r="DJ10" s="4" t="s">
        <v>42</v>
      </c>
      <c r="DK10" t="s">
        <v>42</v>
      </c>
      <c r="DL10" s="4">
        <f>HYPERLINK("http://exon.niaid.nih.gov/transcriptome/C_felis/S1/links/cluster/cf-5-36-asb30-50-Id-CLU71.txt", 71)</f>
        <v>71</v>
      </c>
      <c r="DM10">
        <f>HYPERLINK("http://exon.niaid.nih.gov/transcriptome/C_felis/S1/links/cluster/cf-5-36-asb30-50-Id-CLTL71.txt", 2)</f>
        <v>2</v>
      </c>
      <c r="DN10" s="4">
        <f>HYPERLINK("http://exon.niaid.nih.gov/transcriptome/C_felis/S1/links/cluster/cf-5-36-asb35-50-Id-CLU63.txt", 63)</f>
        <v>63</v>
      </c>
      <c r="DO10">
        <f>HYPERLINK("http://exon.niaid.nih.gov/transcriptome/C_felis/S1/links/cluster/cf-5-36-asb35-50-Id-CLTL63.txt", 2)</f>
        <v>2</v>
      </c>
      <c r="DP10" s="4">
        <v>296</v>
      </c>
      <c r="DQ10">
        <v>1</v>
      </c>
      <c r="DR10" s="4">
        <v>306</v>
      </c>
      <c r="DS10">
        <v>1</v>
      </c>
      <c r="DT10" s="4">
        <v>316</v>
      </c>
      <c r="DU10">
        <v>1</v>
      </c>
      <c r="DV10" s="4">
        <v>329</v>
      </c>
      <c r="DW10">
        <v>1</v>
      </c>
      <c r="DX10" s="4">
        <v>332</v>
      </c>
      <c r="DY10">
        <v>1</v>
      </c>
      <c r="DZ10" s="4">
        <v>337</v>
      </c>
      <c r="EA10">
        <v>1</v>
      </c>
      <c r="EB10" s="4">
        <v>342</v>
      </c>
      <c r="EC10">
        <v>1</v>
      </c>
      <c r="ED10" s="4">
        <v>346</v>
      </c>
      <c r="EE10">
        <v>1</v>
      </c>
      <c r="EF10" s="4">
        <v>351</v>
      </c>
      <c r="EG10">
        <v>1</v>
      </c>
      <c r="EH10" s="4">
        <v>353</v>
      </c>
      <c r="EI10">
        <v>1</v>
      </c>
      <c r="EJ10" s="4">
        <v>358</v>
      </c>
      <c r="EK10">
        <v>1</v>
      </c>
    </row>
    <row r="11" spans="1:141" x14ac:dyDescent="0.2">
      <c r="A11" t="str">
        <f>HYPERLINK("http://exon.niaid.nih.gov/transcriptome/C_felis/S1/links/cf/cf-contig_766.txt","cf-contig_766")</f>
        <v>cf-contig_766</v>
      </c>
      <c r="B11">
        <v>1</v>
      </c>
      <c r="C11" s="10" t="s">
        <v>4607</v>
      </c>
      <c r="D11">
        <v>1</v>
      </c>
      <c r="E11" t="str">
        <f>HYPERLINK("http://exon.niaid.nih.gov/transcriptome/C_felis/S1/links/cf/cf-5-36-asb-766.txt","Contig-766")</f>
        <v>Contig-766</v>
      </c>
      <c r="F11" t="str">
        <f>HYPERLINK("http://exon.niaid.nih.gov/transcriptome/C_felis/S1/links/cf/cf-5-36-766-CLU.txt","Contig766")</f>
        <v>Contig766</v>
      </c>
      <c r="G11" t="str">
        <f>HYPERLINK("http://exon.niaid.nih.gov/transcriptome/C_felis/S1/links/cf/cf-5-36-766-qual.txt","63.1")</f>
        <v>63.1</v>
      </c>
      <c r="H11" t="s">
        <v>11</v>
      </c>
      <c r="I11">
        <v>71.8</v>
      </c>
      <c r="J11">
        <v>399</v>
      </c>
      <c r="K11" t="s">
        <v>12</v>
      </c>
      <c r="L11">
        <v>1</v>
      </c>
      <c r="M11" t="s">
        <v>779</v>
      </c>
      <c r="N11">
        <v>399</v>
      </c>
      <c r="O11">
        <v>418</v>
      </c>
      <c r="P11">
        <v>267</v>
      </c>
      <c r="Q11" t="s">
        <v>1585</v>
      </c>
      <c r="R11">
        <v>3</v>
      </c>
      <c r="S11" s="7" t="str">
        <f>HYPERLINK("http://exon.niaid.nih.gov/transcriptome/C_felis/S1/links/Sigp/CF-CONTIG_766-SigP.txt","Cyt")</f>
        <v>Cyt</v>
      </c>
      <c r="U11">
        <v>1</v>
      </c>
      <c r="V11" s="4">
        <f>HYPERLINK("http://exon.niaid.nih.gov/transcriptome/C_felis/S1/links/cluster/cf-5-36-asb30-50-Id-CLU71.txt", 71)</f>
        <v>71</v>
      </c>
      <c r="W11">
        <f>HYPERLINK("http://exon.niaid.nih.gov/transcriptome/C_felis/S1/links/cluster/cf-5-36-asb30-50-Id-CLTL71.txt", 2)</f>
        <v>2</v>
      </c>
      <c r="X11" s="4">
        <f>HYPERLINK("http://exon.niaid.nih.gov/transcriptome/C_felis/S1/links/cluster/cf-5-36-asb35-50-Id-CLU63.txt", 63)</f>
        <v>63</v>
      </c>
      <c r="Y11">
        <f>HYPERLINK("http://exon.niaid.nih.gov/transcriptome/C_felis/S1/links/cluster/cf-5-36-asb35-50-Id-CLTL63.txt", 2)</f>
        <v>2</v>
      </c>
      <c r="Z11" s="4">
        <v>651</v>
      </c>
      <c r="AA11">
        <v>1</v>
      </c>
      <c r="AB11" s="4" t="str">
        <f>HYPERLINK("http://exon.niaid.nih.gov/transcriptome/C_felis/S1/links/XC-ASB/cf-contig_70-XC-ASB.txt","XC-contig_169")</f>
        <v>XC-contig_169</v>
      </c>
      <c r="AC11">
        <v>8.0000000000000003E-10</v>
      </c>
      <c r="AD11" s="10" t="s">
        <v>4607</v>
      </c>
      <c r="AE11" t="s">
        <v>4599</v>
      </c>
      <c r="AF11" t="str">
        <f>HYPERLINK("http://exon.niaid.nih.gov/transcriptome/C_felis/S1/links/NR/cf-contig_766-NR.txt","NR")</f>
        <v>NR</v>
      </c>
      <c r="AG11" s="5">
        <v>2E-16</v>
      </c>
      <c r="AH11">
        <v>22.4</v>
      </c>
      <c r="AI11" s="4" t="str">
        <f>HYPERLINK("http://exon.niaid.nih.gov/transcriptome/C_felis/S1/links/NR/cf-contig_766-NR.txt","secreted acid phosphatase")</f>
        <v>secreted acid phosphatase</v>
      </c>
      <c r="AJ11" t="str">
        <f>HYPERLINK("http://www.ncbi.nlm.nih.gov/sutils/blink.cgi?pid=121511908","2E-016")</f>
        <v>2E-016</v>
      </c>
      <c r="AK11" t="str">
        <f>HYPERLINK("http://www.ncbi.nlm.nih.gov/protein/121511908","gi|121511908")</f>
        <v>gi|121511908</v>
      </c>
      <c r="AL11">
        <v>89</v>
      </c>
      <c r="AM11">
        <v>84</v>
      </c>
      <c r="AN11">
        <v>378</v>
      </c>
      <c r="AO11">
        <v>44</v>
      </c>
      <c r="AP11">
        <v>22</v>
      </c>
      <c r="AQ11">
        <v>47</v>
      </c>
      <c r="AR11">
        <v>0</v>
      </c>
      <c r="AS11">
        <v>292</v>
      </c>
      <c r="AT11">
        <v>9</v>
      </c>
      <c r="AU11">
        <v>1</v>
      </c>
      <c r="AV11">
        <v>3</v>
      </c>
      <c r="AW11" t="s">
        <v>12</v>
      </c>
      <c r="AY11" t="s">
        <v>1676</v>
      </c>
      <c r="AZ11" t="s">
        <v>1717</v>
      </c>
      <c r="BA11" s="4" t="str">
        <f>HYPERLINK("http://exon.niaid.nih.gov/transcriptome/C_felis/S1/links/SWISSP/cf-contig_766-SWISSP.txt","Testicular acid phosphatase homolog")</f>
        <v>Testicular acid phosphatase homolog</v>
      </c>
      <c r="BB11" t="str">
        <f>HYPERLINK("http://www.uniprot.org/uniprot/Q3KQG9","4E-005")</f>
        <v>4E-005</v>
      </c>
      <c r="BC11" t="s">
        <v>1951</v>
      </c>
      <c r="BD11">
        <v>47</v>
      </c>
      <c r="BE11">
        <v>69</v>
      </c>
      <c r="BF11">
        <v>420</v>
      </c>
      <c r="BG11">
        <v>33</v>
      </c>
      <c r="BH11">
        <v>17</v>
      </c>
      <c r="BI11">
        <v>48</v>
      </c>
      <c r="BJ11">
        <v>1</v>
      </c>
      <c r="BK11">
        <v>303</v>
      </c>
      <c r="BL11">
        <v>57</v>
      </c>
      <c r="BM11">
        <v>1</v>
      </c>
      <c r="BN11">
        <v>3</v>
      </c>
      <c r="BO11" t="s">
        <v>12</v>
      </c>
      <c r="BQ11" t="s">
        <v>1676</v>
      </c>
      <c r="BR11" t="s">
        <v>1832</v>
      </c>
      <c r="BS11" s="4" t="str">
        <f>HYPERLINK("http://exon.niaid.nih.gov/transcriptome/C_felis/S1/links/CDD/cf-contig_766-CDD.txt","ND2")</f>
        <v>ND2</v>
      </c>
      <c r="BT11" t="str">
        <f>HYPERLINK("http://www.ncbi.nlm.nih.gov/Structure/cdd/cddsrv.cgi?uid=MTH00059&amp;version=v4.0","0.001")</f>
        <v>0.001</v>
      </c>
      <c r="BU11" t="s">
        <v>4455</v>
      </c>
      <c r="BV11" s="4" t="s">
        <v>4456</v>
      </c>
      <c r="BW11">
        <f>HYPERLINK("http://exon.niaid.nih.gov/transcriptome/C_felis/S1/links/GO/cf-contig_766-GO.txt",0.00005)</f>
        <v>5.0000000000000002E-5</v>
      </c>
      <c r="BX11" t="str">
        <f>HYPERLINK("http://amigo.geneontology.org/cgi-bin/amigo/term_details?term=GO:0003993","GO:0003993")</f>
        <v>GO:0003993</v>
      </c>
      <c r="BY11" t="s">
        <v>1835</v>
      </c>
      <c r="BZ11" t="s">
        <v>1836</v>
      </c>
      <c r="CA11" t="s">
        <v>1837</v>
      </c>
      <c r="CB11" t="str">
        <f>HYPERLINK("http://www.genome.jp/dbget-bin/www_bfind_sub?mode=bfind&amp;max_hit=1000&amp;dbkey=kegg&amp;keywords=EC:3.1.3.2","EC:3.1.3.2")</f>
        <v>EC:3.1.3.2</v>
      </c>
      <c r="CD11">
        <v>9.0000000000000006E-5</v>
      </c>
      <c r="CE11" t="str">
        <f>HYPERLINK("http://amigo.geneontology.org/cgi-bin/amigo/term_details?term=GO:0005576","GO:0005576")</f>
        <v>GO:0005576</v>
      </c>
      <c r="CF11" t="s">
        <v>1854</v>
      </c>
      <c r="CG11" t="s">
        <v>1855</v>
      </c>
      <c r="CH11" t="s">
        <v>1856</v>
      </c>
      <c r="CI11" t="s">
        <v>42</v>
      </c>
      <c r="CK11">
        <v>9.0000000000000006E-5</v>
      </c>
      <c r="CL11" t="str">
        <f>HYPERLINK("http://amigo.geneontology.org/cgi-bin/amigo/term_details?term=GO:0006144","GO:0006144")</f>
        <v>GO:0006144</v>
      </c>
      <c r="CM11" t="s">
        <v>4457</v>
      </c>
      <c r="CN11" t="s">
        <v>4458</v>
      </c>
      <c r="CO11" t="s">
        <v>4459</v>
      </c>
      <c r="CP11" t="s">
        <v>42</v>
      </c>
      <c r="CR11">
        <v>9.0000000000000006E-5</v>
      </c>
      <c r="CS11" s="4" t="str">
        <f>HYPERLINK("http://exon.niaid.nih.gov/transcriptome/C_felis/S1/links/KOG/cf-contig_766-KOG.txt","Lysosomal &amp; prostatic acid phosphatases")</f>
        <v>Lysosomal &amp; prostatic acid phosphatases</v>
      </c>
      <c r="CT11" t="str">
        <f>HYPERLINK("http://www.ncbi.nlm.nih.gov/COG/grace/shokog.cgi?KOG3720","2E-009")</f>
        <v>2E-009</v>
      </c>
      <c r="CU11" t="s">
        <v>1761</v>
      </c>
      <c r="CV11" s="4" t="str">
        <f>HYPERLINK("http://exon.niaid.nih.gov/transcriptome/C_felis/S1/links/PFAM/cf-contig_766-PFAM.txt","Oxidored_q5_N")</f>
        <v>Oxidored_q5_N</v>
      </c>
      <c r="CW11" t="str">
        <f>HYPERLINK("http://pfam.sanger.ac.uk/family?acc=PF01059","0.011")</f>
        <v>0.011</v>
      </c>
      <c r="CX11" s="4" t="str">
        <f>HYPERLINK("http://exon.niaid.nih.gov/transcriptome/C_felis/S1/links/SMART/cf-contig_766-SMART.txt","LITAF")</f>
        <v>LITAF</v>
      </c>
      <c r="CY11" t="str">
        <f>HYPERLINK("http://smart.embl-heidelberg.de/smart/do_annotation.pl?DOMAIN=LITAF&amp;BLAST=DUMMY","0.007")</f>
        <v>0.007</v>
      </c>
      <c r="CZ11" s="4" t="s">
        <v>42</v>
      </c>
      <c r="DA11" t="s">
        <v>42</v>
      </c>
      <c r="DB11" t="s">
        <v>42</v>
      </c>
      <c r="DC11" t="s">
        <v>42</v>
      </c>
      <c r="DD11" t="s">
        <v>42</v>
      </c>
      <c r="DE11" t="s">
        <v>42</v>
      </c>
      <c r="DF11" t="s">
        <v>42</v>
      </c>
      <c r="DG11" t="s">
        <v>42</v>
      </c>
      <c r="DH11" s="4" t="s">
        <v>42</v>
      </c>
      <c r="DI11" t="s">
        <v>42</v>
      </c>
      <c r="DJ11" s="4" t="s">
        <v>42</v>
      </c>
      <c r="DK11" t="s">
        <v>42</v>
      </c>
      <c r="DL11" s="4">
        <f>HYPERLINK("http://exon.niaid.nih.gov/transcriptome/C_felis/S1/links/cluster/cf-5-36-asb30-50-Id-CLU71.txt", 71)</f>
        <v>71</v>
      </c>
      <c r="DM11">
        <f>HYPERLINK("http://exon.niaid.nih.gov/transcriptome/C_felis/S1/links/cluster/cf-5-36-asb30-50-Id-CLTL71.txt", 2)</f>
        <v>2</v>
      </c>
      <c r="DN11" s="4">
        <f>HYPERLINK("http://exon.niaid.nih.gov/transcriptome/C_felis/S1/links/cluster/cf-5-36-asb35-50-Id-CLU63.txt", 63)</f>
        <v>63</v>
      </c>
      <c r="DO11">
        <f>HYPERLINK("http://exon.niaid.nih.gov/transcriptome/C_felis/S1/links/cluster/cf-5-36-asb35-50-Id-CLTL63.txt", 2)</f>
        <v>2</v>
      </c>
      <c r="DP11" s="4">
        <v>651</v>
      </c>
      <c r="DQ11">
        <v>1</v>
      </c>
      <c r="DR11" s="4">
        <v>673</v>
      </c>
      <c r="DS11">
        <v>1</v>
      </c>
      <c r="DT11" s="4">
        <v>688</v>
      </c>
      <c r="DU11">
        <v>1</v>
      </c>
      <c r="DV11" s="4">
        <v>703</v>
      </c>
      <c r="DW11">
        <v>1</v>
      </c>
      <c r="DX11" s="4">
        <v>717</v>
      </c>
      <c r="DY11">
        <v>1</v>
      </c>
      <c r="DZ11" s="4">
        <v>728</v>
      </c>
      <c r="EA11">
        <v>1</v>
      </c>
      <c r="EB11" s="4">
        <v>734</v>
      </c>
      <c r="EC11">
        <v>1</v>
      </c>
      <c r="ED11" s="4">
        <v>739</v>
      </c>
      <c r="EE11">
        <v>1</v>
      </c>
      <c r="EF11" s="4">
        <v>745</v>
      </c>
      <c r="EG11">
        <v>1</v>
      </c>
      <c r="EH11" s="4">
        <v>757</v>
      </c>
      <c r="EI11">
        <v>1</v>
      </c>
      <c r="EJ11" s="4">
        <v>766</v>
      </c>
      <c r="EK11">
        <v>1</v>
      </c>
    </row>
    <row r="12" spans="1:141" x14ac:dyDescent="0.2">
      <c r="A12" t="str">
        <f>HYPERLINK("http://exon.niaid.nih.gov/transcriptome/C_felis/S1/links/cf/cf-contig_393.txt","cf-contig_393")</f>
        <v>cf-contig_393</v>
      </c>
      <c r="B12">
        <v>1</v>
      </c>
      <c r="C12" s="10" t="s">
        <v>4607</v>
      </c>
      <c r="D12">
        <v>1</v>
      </c>
      <c r="E12" t="str">
        <f>HYPERLINK("http://exon.niaid.nih.gov/transcriptome/C_felis/S1/links/cf/cf-5-36-asb-393.txt","Contig-393")</f>
        <v>Contig-393</v>
      </c>
      <c r="F12" t="str">
        <f>HYPERLINK("http://exon.niaid.nih.gov/transcriptome/C_felis/S1/links/cf/cf-5-36-393-CLU.txt","Contig393")</f>
        <v>Contig393</v>
      </c>
      <c r="G12" t="str">
        <f>HYPERLINK("http://exon.niaid.nih.gov/transcriptome/C_felis/S1/links/cf/cf-5-36-393-qual.txt","66.1")</f>
        <v>66.1</v>
      </c>
      <c r="H12" t="s">
        <v>11</v>
      </c>
      <c r="I12">
        <v>70.099999999999994</v>
      </c>
      <c r="J12">
        <v>580</v>
      </c>
      <c r="K12" t="s">
        <v>12</v>
      </c>
      <c r="L12">
        <v>1</v>
      </c>
      <c r="M12" t="s">
        <v>406</v>
      </c>
      <c r="N12">
        <v>580</v>
      </c>
      <c r="O12">
        <v>599</v>
      </c>
      <c r="P12">
        <v>291</v>
      </c>
      <c r="Q12" t="s">
        <v>1213</v>
      </c>
      <c r="R12">
        <v>2</v>
      </c>
      <c r="S12" s="7" t="str">
        <f>HYPERLINK("http://exon.niaid.nih.gov/transcriptome/C_felis/S1/links/Sigp/CF-CONTIG_393-SigP.txt","Cyt")</f>
        <v>Cyt</v>
      </c>
      <c r="U12">
        <v>1</v>
      </c>
      <c r="V12" s="4">
        <f>HYPERLINK("http://exon.niaid.nih.gov/transcriptome/C_felis/S1/links/cluster/cf-5-36-asb30-50-Id-CLU72.txt", 72)</f>
        <v>72</v>
      </c>
      <c r="W12">
        <f>HYPERLINK("http://exon.niaid.nih.gov/transcriptome/C_felis/S1/links/cluster/cf-5-36-asb30-50-Id-CLTL72.txt", 2)</f>
        <v>2</v>
      </c>
      <c r="X12" s="4">
        <f>HYPERLINK("http://exon.niaid.nih.gov/transcriptome/C_felis/S1/links/cluster/cf-5-36-asb35-50-Id-CLU64.txt", 64)</f>
        <v>64</v>
      </c>
      <c r="Y12">
        <f>HYPERLINK("http://exon.niaid.nih.gov/transcriptome/C_felis/S1/links/cluster/cf-5-36-asb35-50-Id-CLTL64.txt", 2)</f>
        <v>2</v>
      </c>
      <c r="Z12" s="4">
        <f>HYPERLINK("http://exon.niaid.nih.gov/transcriptome/C_felis/S1/links/cluster/cf-5-36-asb40-50-Id-CLU59.txt", 59)</f>
        <v>59</v>
      </c>
      <c r="AA12">
        <f>HYPERLINK("http://exon.niaid.nih.gov/transcriptome/C_felis/S1/links/cluster/cf-5-36-asb40-50-Id-CLTL59.txt", 2)</f>
        <v>2</v>
      </c>
      <c r="AB12" s="4" t="str">
        <f>HYPERLINK("http://exon.niaid.nih.gov/transcriptome/C_felis/S1/links/XC-ASB/cf-contig_71-XC-ASB.txt","XC-contig_169")</f>
        <v>XC-contig_169</v>
      </c>
      <c r="AC12">
        <v>7.9999999999999995E-11</v>
      </c>
      <c r="AD12" s="10" t="s">
        <v>4607</v>
      </c>
      <c r="AE12" t="s">
        <v>4599</v>
      </c>
      <c r="AF12" t="str">
        <f>HYPERLINK("http://exon.niaid.nih.gov/transcriptome/C_felis/S1/links/NR/cf-contig_393-NR.txt","NR")</f>
        <v>NR</v>
      </c>
      <c r="AG12" s="5">
        <v>3.0000000000000003E-20</v>
      </c>
      <c r="AH12">
        <v>27.8</v>
      </c>
      <c r="AI12" s="4" t="str">
        <f>HYPERLINK("http://exon.niaid.nih.gov/transcriptome/C_felis/S1/links/NR/cf-contig_393-NR.txt","secreted salivary protein")</f>
        <v>secreted salivary protein</v>
      </c>
      <c r="AJ12" t="str">
        <f>HYPERLINK("http://www.ncbi.nlm.nih.gov/sutils/blink.cgi?pid=121511926","3E-020")</f>
        <v>3E-020</v>
      </c>
      <c r="AK12" t="str">
        <f>HYPERLINK("http://www.ncbi.nlm.nih.gov/protein/121511926","gi|121511926")</f>
        <v>gi|121511926</v>
      </c>
      <c r="AL12">
        <v>102</v>
      </c>
      <c r="AM12">
        <v>102</v>
      </c>
      <c r="AN12">
        <v>391</v>
      </c>
      <c r="AO12">
        <v>45</v>
      </c>
      <c r="AP12">
        <v>26</v>
      </c>
      <c r="AQ12">
        <v>59</v>
      </c>
      <c r="AR12">
        <v>0</v>
      </c>
      <c r="AS12">
        <v>289</v>
      </c>
      <c r="AT12">
        <v>8</v>
      </c>
      <c r="AU12">
        <v>1</v>
      </c>
      <c r="AV12">
        <v>2</v>
      </c>
      <c r="AW12" t="s">
        <v>12</v>
      </c>
      <c r="AX12">
        <v>0.98</v>
      </c>
      <c r="AY12" t="s">
        <v>1676</v>
      </c>
      <c r="AZ12" t="s">
        <v>1717</v>
      </c>
      <c r="BA12" s="4" t="str">
        <f>HYPERLINK("http://exon.niaid.nih.gov/transcriptome/C_felis/S1/links/SWISSP/cf-contig_393-SWISSP.txt","Testicular acid phosphatase homolog")</f>
        <v>Testicular acid phosphatase homolog</v>
      </c>
      <c r="BB12" t="str">
        <f>HYPERLINK("http://www.uniprot.org/uniprot/Q3KQG9","0.36")</f>
        <v>0.36</v>
      </c>
      <c r="BC12" t="s">
        <v>1951</v>
      </c>
      <c r="BD12">
        <v>35</v>
      </c>
      <c r="BE12">
        <v>43</v>
      </c>
      <c r="BF12">
        <v>420</v>
      </c>
      <c r="BG12">
        <v>36</v>
      </c>
      <c r="BH12">
        <v>10</v>
      </c>
      <c r="BI12">
        <v>28</v>
      </c>
      <c r="BJ12">
        <v>0</v>
      </c>
      <c r="BK12">
        <v>302</v>
      </c>
      <c r="BL12">
        <v>89</v>
      </c>
      <c r="BM12">
        <v>1</v>
      </c>
      <c r="BN12">
        <v>2</v>
      </c>
      <c r="BO12" t="s">
        <v>12</v>
      </c>
      <c r="BQ12" t="s">
        <v>1676</v>
      </c>
      <c r="BR12" t="s">
        <v>1832</v>
      </c>
      <c r="BS12" s="4" t="str">
        <f>HYPERLINK("http://exon.niaid.nih.gov/transcriptome/C_felis/S1/links/CDD/cf-contig_393-CDD.txt","DIE2_ALG10")</f>
        <v>DIE2_ALG10</v>
      </c>
      <c r="BT12" t="str">
        <f>HYPERLINK("http://www.ncbi.nlm.nih.gov/Structure/cdd/cddsrv.cgi?uid=pfam04922&amp;version=v4.0","0.45")</f>
        <v>0.45</v>
      </c>
      <c r="BU12" t="s">
        <v>3059</v>
      </c>
      <c r="BV12" s="4" t="s">
        <v>42</v>
      </c>
      <c r="BW12" t="s">
        <v>42</v>
      </c>
      <c r="BX12" t="s">
        <v>42</v>
      </c>
      <c r="BY12" t="s">
        <v>42</v>
      </c>
      <c r="BZ12" t="s">
        <v>42</v>
      </c>
      <c r="CA12" t="s">
        <v>42</v>
      </c>
      <c r="CB12" t="s">
        <v>42</v>
      </c>
      <c r="CC12" t="s">
        <v>42</v>
      </c>
      <c r="CD12" t="s">
        <v>42</v>
      </c>
      <c r="CE12" t="s">
        <v>42</v>
      </c>
      <c r="CF12" t="s">
        <v>42</v>
      </c>
      <c r="CG12" t="s">
        <v>42</v>
      </c>
      <c r="CH12" t="s">
        <v>42</v>
      </c>
      <c r="CI12" t="s">
        <v>42</v>
      </c>
      <c r="CJ12" t="s">
        <v>42</v>
      </c>
      <c r="CK12" t="s">
        <v>42</v>
      </c>
      <c r="CL12" t="s">
        <v>42</v>
      </c>
      <c r="CM12" t="s">
        <v>42</v>
      </c>
      <c r="CN12" t="s">
        <v>42</v>
      </c>
      <c r="CO12" t="s">
        <v>42</v>
      </c>
      <c r="CP12" t="s">
        <v>42</v>
      </c>
      <c r="CQ12" t="s">
        <v>42</v>
      </c>
      <c r="CR12" t="s">
        <v>42</v>
      </c>
      <c r="CS12" s="4" t="str">
        <f>HYPERLINK("http://exon.niaid.nih.gov/transcriptome/C_felis/S1/links/KOG/cf-contig_393-KOG.txt","Lysosomal &amp; prostatic acid phosphatases")</f>
        <v>Lysosomal &amp; prostatic acid phosphatases</v>
      </c>
      <c r="CT12" t="str">
        <f>HYPERLINK("http://www.ncbi.nlm.nih.gov/COG/grace/shokog.cgi?KOG3720","3E-008")</f>
        <v>3E-008</v>
      </c>
      <c r="CU12" t="s">
        <v>1761</v>
      </c>
      <c r="CV12" s="4" t="str">
        <f>HYPERLINK("http://exon.niaid.nih.gov/transcriptome/C_felis/S1/links/PFAM/cf-contig_393-PFAM.txt","DIE2_ALG10")</f>
        <v>DIE2_ALG10</v>
      </c>
      <c r="CW12" t="str">
        <f>HYPERLINK("http://pfam.sanger.ac.uk/family?acc=PF04922","0.091")</f>
        <v>0.091</v>
      </c>
      <c r="CX12" s="4" t="str">
        <f>HYPERLINK("http://exon.niaid.nih.gov/transcriptome/C_felis/S1/links/SMART/cf-contig_393-SMART.txt","HLH")</f>
        <v>HLH</v>
      </c>
      <c r="CY12" t="str">
        <f>HYPERLINK("http://smart.embl-heidelberg.de/smart/do_annotation.pl?DOMAIN=HLH&amp;BLAST=DUMMY","0.17")</f>
        <v>0.17</v>
      </c>
      <c r="CZ12" s="4" t="s">
        <v>42</v>
      </c>
      <c r="DA12" t="s">
        <v>42</v>
      </c>
      <c r="DB12" t="s">
        <v>42</v>
      </c>
      <c r="DC12" t="s">
        <v>42</v>
      </c>
      <c r="DD12" t="s">
        <v>42</v>
      </c>
      <c r="DE12" t="s">
        <v>42</v>
      </c>
      <c r="DF12" t="s">
        <v>42</v>
      </c>
      <c r="DG12" t="s">
        <v>42</v>
      </c>
      <c r="DH12" s="4" t="s">
        <v>42</v>
      </c>
      <c r="DI12" t="s">
        <v>42</v>
      </c>
      <c r="DJ12" s="4" t="s">
        <v>42</v>
      </c>
      <c r="DK12" t="s">
        <v>42</v>
      </c>
      <c r="DL12" s="4">
        <f>HYPERLINK("http://exon.niaid.nih.gov/transcriptome/C_felis/S1/links/cluster/cf-5-36-asb30-50-Id-CLU72.txt", 72)</f>
        <v>72</v>
      </c>
      <c r="DM12">
        <f>HYPERLINK("http://exon.niaid.nih.gov/transcriptome/C_felis/S1/links/cluster/cf-5-36-asb30-50-Id-CLTL72.txt", 2)</f>
        <v>2</v>
      </c>
      <c r="DN12" s="4">
        <f>HYPERLINK("http://exon.niaid.nih.gov/transcriptome/C_felis/S1/links/cluster/cf-5-36-asb35-50-Id-CLU64.txt", 64)</f>
        <v>64</v>
      </c>
      <c r="DO12">
        <f>HYPERLINK("http://exon.niaid.nih.gov/transcriptome/C_felis/S1/links/cluster/cf-5-36-asb35-50-Id-CLTL64.txt", 2)</f>
        <v>2</v>
      </c>
      <c r="DP12" s="4">
        <f>HYPERLINK("http://exon.niaid.nih.gov/transcriptome/C_felis/S1/links/cluster/cf-5-36-asb40-50-Id-CLU59.txt", 59)</f>
        <v>59</v>
      </c>
      <c r="DQ12">
        <f>HYPERLINK("http://exon.niaid.nih.gov/transcriptome/C_felis/S1/links/cluster/cf-5-36-asb40-50-Id-CLTL59.txt", 2)</f>
        <v>2</v>
      </c>
      <c r="DR12" s="4">
        <f>HYPERLINK("http://exon.niaid.nih.gov/transcriptome/C_felis/S1/links/cluster/cf-5-36-asb45-50-Id-CLU49.txt", 49)</f>
        <v>49</v>
      </c>
      <c r="DS12">
        <f>HYPERLINK("http://exon.niaid.nih.gov/transcriptome/C_felis/S1/links/cluster/cf-5-36-asb45-50-Id-CLTL49.txt", 2)</f>
        <v>2</v>
      </c>
      <c r="DT12" s="4">
        <f>HYPERLINK("http://exon.niaid.nih.gov/transcriptome/C_felis/S1/links/cluster/cf-5-36-asb50-50-Id-CLU42.txt", 42)</f>
        <v>42</v>
      </c>
      <c r="DU12">
        <f>HYPERLINK("http://exon.niaid.nih.gov/transcriptome/C_felis/S1/links/cluster/cf-5-36-asb50-50-Id-CLTL42.txt", 2)</f>
        <v>2</v>
      </c>
      <c r="DV12" s="4">
        <f>HYPERLINK("http://exon.niaid.nih.gov/transcriptome/C_felis/S1/links/cluster/cf-5-36-asb55-50-Id-CLU38.txt", 38)</f>
        <v>38</v>
      </c>
      <c r="DW12">
        <f>HYPERLINK("http://exon.niaid.nih.gov/transcriptome/C_felis/S1/links/cluster/cf-5-36-asb55-50-Id-CLTL38.txt", 2)</f>
        <v>2</v>
      </c>
      <c r="DX12" s="4">
        <f>HYPERLINK("http://exon.niaid.nih.gov/transcriptome/C_felis/S1/links/cluster/cf-5-36-asb60-50-Id-CLU34.txt", 34)</f>
        <v>34</v>
      </c>
      <c r="DY12">
        <f>HYPERLINK("http://exon.niaid.nih.gov/transcriptome/C_felis/S1/links/cluster/cf-5-36-asb60-50-Id-CLTL34.txt", 2)</f>
        <v>2</v>
      </c>
      <c r="DZ12" s="4">
        <f>HYPERLINK("http://exon.niaid.nih.gov/transcriptome/C_felis/S1/links/cluster/cf-5-36-asb65-50-Id-CLU28.txt", 28)</f>
        <v>28</v>
      </c>
      <c r="EA12">
        <f>HYPERLINK("http://exon.niaid.nih.gov/transcriptome/C_felis/S1/links/cluster/cf-5-36-asb65-50-Id-CLTL28.txt", 2)</f>
        <v>2</v>
      </c>
      <c r="EB12" s="4">
        <f>HYPERLINK("http://exon.niaid.nih.gov/transcriptome/C_felis/S1/links/cluster/cf-5-36-asb70-50-Id-CLU23.txt", 23)</f>
        <v>23</v>
      </c>
      <c r="EC12">
        <f>HYPERLINK("http://exon.niaid.nih.gov/transcriptome/C_felis/S1/links/cluster/cf-5-36-asb70-50-Id-CLTL23.txt", 2)</f>
        <v>2</v>
      </c>
      <c r="ED12" s="4">
        <f>HYPERLINK("http://exon.niaid.nih.gov/transcriptome/C_felis/S1/links/cluster/cf-5-36-asb75-50-Id-CLU19.txt", 19)</f>
        <v>19</v>
      </c>
      <c r="EE12">
        <f>HYPERLINK("http://exon.niaid.nih.gov/transcriptome/C_felis/S1/links/cluster/cf-5-36-asb75-50-Id-CLTL19.txt", 2)</f>
        <v>2</v>
      </c>
      <c r="EF12" s="4">
        <f>HYPERLINK("http://exon.niaid.nih.gov/transcriptome/C_felis/S1/links/cluster/cf-5-36-asb80-50-Id-CLU12.txt", 12)</f>
        <v>12</v>
      </c>
      <c r="EG12">
        <f>HYPERLINK("http://exon.niaid.nih.gov/transcriptome/C_felis/S1/links/cluster/cf-5-36-asb80-50-Id-CLTL12.txt", 2)</f>
        <v>2</v>
      </c>
      <c r="EH12" s="4">
        <f>HYPERLINK("http://exon.niaid.nih.gov/transcriptome/C_felis/S1/links/cluster/cf-5-36-asb90-50-Id-CLU6.txt", 6)</f>
        <v>6</v>
      </c>
      <c r="EI12">
        <f>HYPERLINK("http://exon.niaid.nih.gov/transcriptome/C_felis/S1/links/cluster/cf-5-36-asb90-50-Id-CLTL6.txt", 2)</f>
        <v>2</v>
      </c>
      <c r="EJ12" s="4">
        <v>393</v>
      </c>
      <c r="EK12">
        <v>1</v>
      </c>
    </row>
    <row r="13" spans="1:141" x14ac:dyDescent="0.2">
      <c r="A13" t="str">
        <f>HYPERLINK("http://exon.niaid.nih.gov/transcriptome/C_felis/S1/links/cf/cf-contig_510.txt","cf-contig_510")</f>
        <v>cf-contig_510</v>
      </c>
      <c r="B13">
        <v>1</v>
      </c>
      <c r="C13" s="10" t="s">
        <v>4607</v>
      </c>
      <c r="D13">
        <v>1</v>
      </c>
      <c r="E13" t="str">
        <f>HYPERLINK("http://exon.niaid.nih.gov/transcriptome/C_felis/S1/links/cf/cf-5-36-asb-510.txt","Contig-510")</f>
        <v>Contig-510</v>
      </c>
      <c r="F13" t="str">
        <f>HYPERLINK("http://exon.niaid.nih.gov/transcriptome/C_felis/S1/links/cf/cf-5-36-510-CLU.txt","Contig510")</f>
        <v>Contig510</v>
      </c>
      <c r="G13" t="str">
        <f>HYPERLINK("http://exon.niaid.nih.gov/transcriptome/C_felis/S1/links/cf/cf-5-36-510-qual.txt","64.9")</f>
        <v>64.9</v>
      </c>
      <c r="H13" t="s">
        <v>11</v>
      </c>
      <c r="I13">
        <v>70</v>
      </c>
      <c r="J13">
        <v>557</v>
      </c>
      <c r="K13" t="s">
        <v>12</v>
      </c>
      <c r="L13">
        <v>1</v>
      </c>
      <c r="M13" t="s">
        <v>523</v>
      </c>
      <c r="N13">
        <v>557</v>
      </c>
      <c r="O13">
        <v>576</v>
      </c>
      <c r="P13">
        <v>318</v>
      </c>
      <c r="Q13" t="s">
        <v>1329</v>
      </c>
      <c r="R13">
        <v>3</v>
      </c>
      <c r="S13" s="7" t="str">
        <f>HYPERLINK("http://exon.niaid.nih.gov/transcriptome/C_felis/S1/links/Sigp/CF-CONTIG_510-SigP.txt","Cyt")</f>
        <v>Cyt</v>
      </c>
      <c r="U13">
        <v>1</v>
      </c>
      <c r="V13" s="4">
        <f>HYPERLINK("http://exon.niaid.nih.gov/transcriptome/C_felis/S1/links/cluster/cf-5-36-asb30-50-Id-CLU72.txt", 72)</f>
        <v>72</v>
      </c>
      <c r="W13">
        <f>HYPERLINK("http://exon.niaid.nih.gov/transcriptome/C_felis/S1/links/cluster/cf-5-36-asb30-50-Id-CLTL72.txt", 2)</f>
        <v>2</v>
      </c>
      <c r="X13" s="4">
        <f>HYPERLINK("http://exon.niaid.nih.gov/transcriptome/C_felis/S1/links/cluster/cf-5-36-asb35-50-Id-CLU64.txt", 64)</f>
        <v>64</v>
      </c>
      <c r="Y13">
        <f>HYPERLINK("http://exon.niaid.nih.gov/transcriptome/C_felis/S1/links/cluster/cf-5-36-asb35-50-Id-CLTL64.txt", 2)</f>
        <v>2</v>
      </c>
      <c r="Z13" s="4">
        <f>HYPERLINK("http://exon.niaid.nih.gov/transcriptome/C_felis/S1/links/cluster/cf-5-36-asb40-50-Id-CLU59.txt", 59)</f>
        <v>59</v>
      </c>
      <c r="AA13">
        <f>HYPERLINK("http://exon.niaid.nih.gov/transcriptome/C_felis/S1/links/cluster/cf-5-36-asb40-50-Id-CLTL59.txt", 2)</f>
        <v>2</v>
      </c>
      <c r="AB13" s="4" t="str">
        <f>HYPERLINK("http://exon.niaid.nih.gov/transcriptome/C_felis/S1/links/XC-ASB/cf-contig_19-XC-ASB.txt","XC-contig_2")</f>
        <v>XC-contig_2</v>
      </c>
      <c r="AC13">
        <v>5.0000000000000004E-6</v>
      </c>
      <c r="AD13" s="10" t="s">
        <v>4607</v>
      </c>
      <c r="AE13" t="s">
        <v>4599</v>
      </c>
      <c r="AF13" t="str">
        <f>HYPERLINK("http://exon.niaid.nih.gov/transcriptome/C_felis/S1/links/NR/cf-contig_510-NR.txt","NR")</f>
        <v>NR</v>
      </c>
      <c r="AG13" s="5">
        <v>4.0000000000000003E-18</v>
      </c>
      <c r="AH13">
        <v>25.3</v>
      </c>
      <c r="AI13" s="4" t="str">
        <f>HYPERLINK("http://exon.niaid.nih.gov/transcriptome/C_felis/S1/links/NR/cf-contig_510-NR.txt","secreted salivary protein")</f>
        <v>secreted salivary protein</v>
      </c>
      <c r="AJ13" t="str">
        <f>HYPERLINK("http://www.ncbi.nlm.nih.gov/sutils/blink.cgi?pid=121511926","4E-018")</f>
        <v>4E-018</v>
      </c>
      <c r="AK13" t="str">
        <f>HYPERLINK("http://www.ncbi.nlm.nih.gov/protein/121511926","gi|121511926")</f>
        <v>gi|121511926</v>
      </c>
      <c r="AL13">
        <v>95.5</v>
      </c>
      <c r="AM13">
        <v>92</v>
      </c>
      <c r="AN13">
        <v>391</v>
      </c>
      <c r="AO13">
        <v>44</v>
      </c>
      <c r="AP13">
        <v>24</v>
      </c>
      <c r="AQ13">
        <v>55</v>
      </c>
      <c r="AR13">
        <v>0</v>
      </c>
      <c r="AS13">
        <v>299</v>
      </c>
      <c r="AT13">
        <v>15</v>
      </c>
      <c r="AU13">
        <v>1</v>
      </c>
      <c r="AV13">
        <v>3</v>
      </c>
      <c r="AW13" t="s">
        <v>12</v>
      </c>
      <c r="AY13" t="s">
        <v>1676</v>
      </c>
      <c r="AZ13" t="s">
        <v>1717</v>
      </c>
      <c r="BA13" s="4" t="str">
        <f>HYPERLINK("http://exon.niaid.nih.gov/transcriptome/C_felis/S1/links/SWISSP/cf-contig_510-SWISSP.txt","Testicular acid phosphatase homolog")</f>
        <v>Testicular acid phosphatase homolog</v>
      </c>
      <c r="BB13" t="str">
        <f>HYPERLINK("http://www.uniprot.org/uniprot/Q3KQG9","0.33")</f>
        <v>0.33</v>
      </c>
      <c r="BC13" t="s">
        <v>1951</v>
      </c>
      <c r="BD13">
        <v>35</v>
      </c>
      <c r="BE13">
        <v>43</v>
      </c>
      <c r="BF13">
        <v>420</v>
      </c>
      <c r="BG13">
        <v>36</v>
      </c>
      <c r="BH13">
        <v>10</v>
      </c>
      <c r="BI13">
        <v>28</v>
      </c>
      <c r="BJ13">
        <v>0</v>
      </c>
      <c r="BK13">
        <v>302</v>
      </c>
      <c r="BL13">
        <v>66</v>
      </c>
      <c r="BM13">
        <v>1</v>
      </c>
      <c r="BN13">
        <v>3</v>
      </c>
      <c r="BO13" t="s">
        <v>12</v>
      </c>
      <c r="BQ13" t="s">
        <v>1676</v>
      </c>
      <c r="BR13" t="s">
        <v>1832</v>
      </c>
      <c r="BS13" s="4" t="str">
        <f>HYPERLINK("http://exon.niaid.nih.gov/transcriptome/C_felis/S1/links/CDD/cf-contig_510-CDD.txt","PRK05474")</f>
        <v>PRK05474</v>
      </c>
      <c r="BT13" t="str">
        <f>HYPERLINK("http://www.ncbi.nlm.nih.gov/Structure/cdd/cddsrv.cgi?uid=PRK05474&amp;version=v4.0","0.11")</f>
        <v>0.11</v>
      </c>
      <c r="BU13" t="s">
        <v>3539</v>
      </c>
      <c r="BV13" s="4" t="s">
        <v>42</v>
      </c>
      <c r="BW13" t="s">
        <v>42</v>
      </c>
      <c r="BX13" t="s">
        <v>42</v>
      </c>
      <c r="BY13" t="s">
        <v>42</v>
      </c>
      <c r="BZ13" t="s">
        <v>42</v>
      </c>
      <c r="CA13" t="s">
        <v>42</v>
      </c>
      <c r="CB13" t="s">
        <v>42</v>
      </c>
      <c r="CC13" t="s">
        <v>42</v>
      </c>
      <c r="CD13" t="s">
        <v>42</v>
      </c>
      <c r="CE13" t="s">
        <v>42</v>
      </c>
      <c r="CF13" t="s">
        <v>42</v>
      </c>
      <c r="CG13" t="s">
        <v>42</v>
      </c>
      <c r="CH13" t="s">
        <v>42</v>
      </c>
      <c r="CI13" t="s">
        <v>42</v>
      </c>
      <c r="CJ13" t="s">
        <v>42</v>
      </c>
      <c r="CK13" t="s">
        <v>42</v>
      </c>
      <c r="CL13" t="s">
        <v>42</v>
      </c>
      <c r="CM13" t="s">
        <v>42</v>
      </c>
      <c r="CN13" t="s">
        <v>42</v>
      </c>
      <c r="CO13" t="s">
        <v>42</v>
      </c>
      <c r="CP13" t="s">
        <v>42</v>
      </c>
      <c r="CQ13" t="s">
        <v>42</v>
      </c>
      <c r="CR13" t="s">
        <v>42</v>
      </c>
      <c r="CS13" s="4" t="str">
        <f>HYPERLINK("http://exon.niaid.nih.gov/transcriptome/C_felis/S1/links/KOG/cf-contig_510-KOG.txt","Lysosomal &amp; prostatic acid phosphatases")</f>
        <v>Lysosomal &amp; prostatic acid phosphatases</v>
      </c>
      <c r="CT13" t="str">
        <f>HYPERLINK("http://www.ncbi.nlm.nih.gov/COG/grace/shokog.cgi?KOG3720","3E-008")</f>
        <v>3E-008</v>
      </c>
      <c r="CU13" t="s">
        <v>1761</v>
      </c>
      <c r="CV13" s="4" t="str">
        <f>HYPERLINK("http://exon.niaid.nih.gov/transcriptome/C_felis/S1/links/PFAM/cf-contig_510-PFAM.txt","DIE2_ALG10")</f>
        <v>DIE2_ALG10</v>
      </c>
      <c r="CW13" t="str">
        <f>HYPERLINK("http://pfam.sanger.ac.uk/family?acc=PF04922","0.085")</f>
        <v>0.085</v>
      </c>
      <c r="CX13" s="4" t="str">
        <f>HYPERLINK("http://exon.niaid.nih.gov/transcriptome/C_felis/S1/links/SMART/cf-contig_510-SMART.txt","HLH")</f>
        <v>HLH</v>
      </c>
      <c r="CY13" t="str">
        <f>HYPERLINK("http://smart.embl-heidelberg.de/smart/do_annotation.pl?DOMAIN=HLH&amp;BLAST=DUMMY","0.16")</f>
        <v>0.16</v>
      </c>
      <c r="CZ13" s="4" t="s">
        <v>42</v>
      </c>
      <c r="DA13" t="s">
        <v>42</v>
      </c>
      <c r="DB13" t="s">
        <v>42</v>
      </c>
      <c r="DC13" t="s">
        <v>42</v>
      </c>
      <c r="DD13" t="s">
        <v>42</v>
      </c>
      <c r="DE13" t="s">
        <v>42</v>
      </c>
      <c r="DF13" t="s">
        <v>42</v>
      </c>
      <c r="DG13" t="s">
        <v>42</v>
      </c>
      <c r="DH13" s="4" t="s">
        <v>42</v>
      </c>
      <c r="DI13" t="s">
        <v>42</v>
      </c>
      <c r="DJ13" s="4" t="s">
        <v>42</v>
      </c>
      <c r="DK13" t="s">
        <v>42</v>
      </c>
      <c r="DL13" s="4">
        <f>HYPERLINK("http://exon.niaid.nih.gov/transcriptome/C_felis/S1/links/cluster/cf-5-36-asb30-50-Id-CLU72.txt", 72)</f>
        <v>72</v>
      </c>
      <c r="DM13">
        <f>HYPERLINK("http://exon.niaid.nih.gov/transcriptome/C_felis/S1/links/cluster/cf-5-36-asb30-50-Id-CLTL72.txt", 2)</f>
        <v>2</v>
      </c>
      <c r="DN13" s="4">
        <f>HYPERLINK("http://exon.niaid.nih.gov/transcriptome/C_felis/S1/links/cluster/cf-5-36-asb35-50-Id-CLU64.txt", 64)</f>
        <v>64</v>
      </c>
      <c r="DO13">
        <f>HYPERLINK("http://exon.niaid.nih.gov/transcriptome/C_felis/S1/links/cluster/cf-5-36-asb35-50-Id-CLTL64.txt", 2)</f>
        <v>2</v>
      </c>
      <c r="DP13" s="4">
        <f>HYPERLINK("http://exon.niaid.nih.gov/transcriptome/C_felis/S1/links/cluster/cf-5-36-asb40-50-Id-CLU59.txt", 59)</f>
        <v>59</v>
      </c>
      <c r="DQ13">
        <f>HYPERLINK("http://exon.niaid.nih.gov/transcriptome/C_felis/S1/links/cluster/cf-5-36-asb40-50-Id-CLTL59.txt", 2)</f>
        <v>2</v>
      </c>
      <c r="DR13" s="4">
        <f>HYPERLINK("http://exon.niaid.nih.gov/transcriptome/C_felis/S1/links/cluster/cf-5-36-asb45-50-Id-CLU49.txt", 49)</f>
        <v>49</v>
      </c>
      <c r="DS13">
        <f>HYPERLINK("http://exon.niaid.nih.gov/transcriptome/C_felis/S1/links/cluster/cf-5-36-asb45-50-Id-CLTL49.txt", 2)</f>
        <v>2</v>
      </c>
      <c r="DT13" s="4">
        <f>HYPERLINK("http://exon.niaid.nih.gov/transcriptome/C_felis/S1/links/cluster/cf-5-36-asb50-50-Id-CLU42.txt", 42)</f>
        <v>42</v>
      </c>
      <c r="DU13">
        <f>HYPERLINK("http://exon.niaid.nih.gov/transcriptome/C_felis/S1/links/cluster/cf-5-36-asb50-50-Id-CLTL42.txt", 2)</f>
        <v>2</v>
      </c>
      <c r="DV13" s="4">
        <f>HYPERLINK("http://exon.niaid.nih.gov/transcriptome/C_felis/S1/links/cluster/cf-5-36-asb55-50-Id-CLU38.txt", 38)</f>
        <v>38</v>
      </c>
      <c r="DW13">
        <f>HYPERLINK("http://exon.niaid.nih.gov/transcriptome/C_felis/S1/links/cluster/cf-5-36-asb55-50-Id-CLTL38.txt", 2)</f>
        <v>2</v>
      </c>
      <c r="DX13" s="4">
        <f>HYPERLINK("http://exon.niaid.nih.gov/transcriptome/C_felis/S1/links/cluster/cf-5-36-asb60-50-Id-CLU34.txt", 34)</f>
        <v>34</v>
      </c>
      <c r="DY13">
        <f>HYPERLINK("http://exon.niaid.nih.gov/transcriptome/C_felis/S1/links/cluster/cf-5-36-asb60-50-Id-CLTL34.txt", 2)</f>
        <v>2</v>
      </c>
      <c r="DZ13" s="4">
        <f>HYPERLINK("http://exon.niaid.nih.gov/transcriptome/C_felis/S1/links/cluster/cf-5-36-asb65-50-Id-CLU28.txt", 28)</f>
        <v>28</v>
      </c>
      <c r="EA13">
        <f>HYPERLINK("http://exon.niaid.nih.gov/transcriptome/C_felis/S1/links/cluster/cf-5-36-asb65-50-Id-CLTL28.txt", 2)</f>
        <v>2</v>
      </c>
      <c r="EB13" s="4">
        <f>HYPERLINK("http://exon.niaid.nih.gov/transcriptome/C_felis/S1/links/cluster/cf-5-36-asb70-50-Id-CLU23.txt", 23)</f>
        <v>23</v>
      </c>
      <c r="EC13">
        <f>HYPERLINK("http://exon.niaid.nih.gov/transcriptome/C_felis/S1/links/cluster/cf-5-36-asb70-50-Id-CLTL23.txt", 2)</f>
        <v>2</v>
      </c>
      <c r="ED13" s="4">
        <f>HYPERLINK("http://exon.niaid.nih.gov/transcriptome/C_felis/S1/links/cluster/cf-5-36-asb75-50-Id-CLU19.txt", 19)</f>
        <v>19</v>
      </c>
      <c r="EE13">
        <f>HYPERLINK("http://exon.niaid.nih.gov/transcriptome/C_felis/S1/links/cluster/cf-5-36-asb75-50-Id-CLTL19.txt", 2)</f>
        <v>2</v>
      </c>
      <c r="EF13" s="4">
        <f>HYPERLINK("http://exon.niaid.nih.gov/transcriptome/C_felis/S1/links/cluster/cf-5-36-asb80-50-Id-CLU12.txt", 12)</f>
        <v>12</v>
      </c>
      <c r="EG13">
        <f>HYPERLINK("http://exon.niaid.nih.gov/transcriptome/C_felis/S1/links/cluster/cf-5-36-asb80-50-Id-CLTL12.txt", 2)</f>
        <v>2</v>
      </c>
      <c r="EH13" s="4">
        <f>HYPERLINK("http://exon.niaid.nih.gov/transcriptome/C_felis/S1/links/cluster/cf-5-36-asb90-50-Id-CLU6.txt", 6)</f>
        <v>6</v>
      </c>
      <c r="EI13">
        <f>HYPERLINK("http://exon.niaid.nih.gov/transcriptome/C_felis/S1/links/cluster/cf-5-36-asb90-50-Id-CLTL6.txt", 2)</f>
        <v>2</v>
      </c>
      <c r="EJ13" s="4">
        <v>510</v>
      </c>
      <c r="EK13">
        <v>1</v>
      </c>
    </row>
    <row r="14" spans="1:141" x14ac:dyDescent="0.2">
      <c r="A14" t="str">
        <f>HYPERLINK("http://exon.niaid.nih.gov/transcriptome/C_felis/S1/links/cf/cf-contig_47.txt","cf-contig_47")</f>
        <v>cf-contig_47</v>
      </c>
      <c r="B14">
        <v>17</v>
      </c>
      <c r="C14" s="10" t="s">
        <v>4607</v>
      </c>
      <c r="D14">
        <v>17</v>
      </c>
      <c r="E14" t="str">
        <f>HYPERLINK("http://exon.niaid.nih.gov/transcriptome/C_felis/S1/links/cf/cf-5-36-asb-47.txt","Contig-47")</f>
        <v>Contig-47</v>
      </c>
      <c r="F14" t="str">
        <f>HYPERLINK("http://exon.niaid.nih.gov/transcriptome/C_felis/S1/links/cf/cf-5-36-47-CLU.txt","Contig47")</f>
        <v>Contig47</v>
      </c>
      <c r="G14" t="str">
        <f>HYPERLINK("http://exon.niaid.nih.gov/transcriptome/C_felis/S1/links/cf/cf-5-36-47-qual.txt","88.1")</f>
        <v>88.1</v>
      </c>
      <c r="H14" t="s">
        <v>11</v>
      </c>
      <c r="I14">
        <v>67.2</v>
      </c>
      <c r="J14">
        <v>895</v>
      </c>
      <c r="K14" t="s">
        <v>12</v>
      </c>
      <c r="L14">
        <v>17</v>
      </c>
      <c r="M14" t="s">
        <v>60</v>
      </c>
      <c r="N14">
        <v>895</v>
      </c>
      <c r="O14">
        <v>915</v>
      </c>
      <c r="P14">
        <v>771</v>
      </c>
      <c r="Q14" t="s">
        <v>869</v>
      </c>
      <c r="R14">
        <v>3</v>
      </c>
      <c r="S14" s="7" t="str">
        <f>HYPERLINK("http://exon.niaid.nih.gov/transcriptome/C_felis/S1/links/Sigp/CF-CONTIG_47-SigP.txt","Cyt")</f>
        <v>Cyt</v>
      </c>
      <c r="U14">
        <v>17</v>
      </c>
      <c r="V14" s="4">
        <f>HYPERLINK("http://exon.niaid.nih.gov/transcriptome/C_felis/S1/links/cluster/cf-5-36-asb30-50-Id-CLU14.txt", 14)</f>
        <v>14</v>
      </c>
      <c r="W14">
        <f>HYPERLINK("http://exon.niaid.nih.gov/transcriptome/C_felis/S1/links/cluster/cf-5-36-asb30-50-Id-CLTL14.txt", 3)</f>
        <v>3</v>
      </c>
      <c r="X14" s="4">
        <f>HYPERLINK("http://exon.niaid.nih.gov/transcriptome/C_felis/S1/links/cluster/cf-5-36-asb35-50-Id-CLU12.txt", 12)</f>
        <v>12</v>
      </c>
      <c r="Y14">
        <f>HYPERLINK("http://exon.niaid.nih.gov/transcriptome/C_felis/S1/links/cluster/cf-5-36-asb35-50-Id-CLTL12.txt", 3)</f>
        <v>3</v>
      </c>
      <c r="Z14" s="4">
        <f>HYPERLINK("http://exon.niaid.nih.gov/transcriptome/C_felis/S1/links/cluster/cf-5-36-asb40-50-Id-CLU12.txt", 12)</f>
        <v>12</v>
      </c>
      <c r="AA14">
        <f>HYPERLINK("http://exon.niaid.nih.gov/transcriptome/C_felis/S1/links/cluster/cf-5-36-asb40-50-Id-CLTL12.txt", 3)</f>
        <v>3</v>
      </c>
      <c r="AB14" s="4" t="str">
        <f>HYPERLINK("http://exon.niaid.nih.gov/transcriptome/C_felis/S1/links/XC-ASB/cf-contig_564-XC-ASB.txt","XC-contig_93")</f>
        <v>XC-contig_93</v>
      </c>
      <c r="AC14">
        <v>7.0000000000000001E-3</v>
      </c>
      <c r="AD14" s="10" t="s">
        <v>4607</v>
      </c>
      <c r="AE14" t="s">
        <v>4599</v>
      </c>
      <c r="AF14" t="str">
        <f>HYPERLINK("http://exon.niaid.nih.gov/transcriptome/C_felis/S1/links/NR/cf-contig_47-NR.txt","NR")</f>
        <v>NR</v>
      </c>
      <c r="AG14" s="5">
        <v>7.9999999999999998E-47</v>
      </c>
      <c r="AH14">
        <v>67.3</v>
      </c>
      <c r="AI14" s="4" t="str">
        <f>HYPERLINK("http://exon.niaid.nih.gov/transcriptome/C_felis/S1/links/NR/cf-contig_47-NR.txt","truncated secreted salivary acid phosphatase")</f>
        <v>truncated secreted salivary acid phosphatase</v>
      </c>
      <c r="AJ14" t="str">
        <f>HYPERLINK("http://www.ncbi.nlm.nih.gov/sutils/blink.cgi?pid=121511916","8E-047")</f>
        <v>8E-047</v>
      </c>
      <c r="AK14" t="str">
        <f>HYPERLINK("http://www.ncbi.nlm.nih.gov/protein/121511916","gi|121511916")</f>
        <v>gi|121511916</v>
      </c>
      <c r="AL14">
        <v>192</v>
      </c>
      <c r="AM14">
        <v>250</v>
      </c>
      <c r="AN14">
        <v>374</v>
      </c>
      <c r="AO14">
        <v>36</v>
      </c>
      <c r="AP14">
        <v>67</v>
      </c>
      <c r="AQ14">
        <v>160</v>
      </c>
      <c r="AR14">
        <v>2</v>
      </c>
      <c r="AS14">
        <v>123</v>
      </c>
      <c r="AT14">
        <v>18</v>
      </c>
      <c r="AU14">
        <v>1</v>
      </c>
      <c r="AV14">
        <v>3</v>
      </c>
      <c r="AW14" t="s">
        <v>12</v>
      </c>
      <c r="AY14" t="s">
        <v>1676</v>
      </c>
      <c r="AZ14" t="s">
        <v>1717</v>
      </c>
      <c r="BA14" s="4" t="str">
        <f>HYPERLINK("http://exon.niaid.nih.gov/transcriptome/C_felis/S1/links/SWISSP/cf-contig_47-SWISSP.txt","Lysosomal acid phosphatase")</f>
        <v>Lysosomal acid phosphatase</v>
      </c>
      <c r="BB14" t="str">
        <f>HYPERLINK("http://www.uniprot.org/uniprot/B1H1P9","0.005")</f>
        <v>0.005</v>
      </c>
      <c r="BC14" t="s">
        <v>1831</v>
      </c>
      <c r="BD14">
        <v>42.4</v>
      </c>
      <c r="BE14">
        <v>217</v>
      </c>
      <c r="BF14">
        <v>432</v>
      </c>
      <c r="BG14">
        <v>23</v>
      </c>
      <c r="BH14">
        <v>50</v>
      </c>
      <c r="BI14">
        <v>190</v>
      </c>
      <c r="BJ14">
        <v>16</v>
      </c>
      <c r="BK14">
        <v>145</v>
      </c>
      <c r="BL14">
        <v>30</v>
      </c>
      <c r="BM14">
        <v>1</v>
      </c>
      <c r="BN14">
        <v>3</v>
      </c>
      <c r="BO14" t="s">
        <v>12</v>
      </c>
      <c r="BQ14" t="s">
        <v>1676</v>
      </c>
      <c r="BR14" t="s">
        <v>1832</v>
      </c>
      <c r="BS14" s="4" t="str">
        <f>HYPERLINK("http://exon.niaid.nih.gov/transcriptome/C_felis/S1/links/CDD/cf-contig_47-CDD.txt","His_Phos_2")</f>
        <v>His_Phos_2</v>
      </c>
      <c r="BT14" t="str">
        <f>HYPERLINK("http://www.ncbi.nlm.nih.gov/Structure/cdd/cddsrv.cgi?uid=pfam00328&amp;version=v4.0","1E-005")</f>
        <v>1E-005</v>
      </c>
      <c r="BU14" t="s">
        <v>1833</v>
      </c>
      <c r="BV14" s="4" t="s">
        <v>1834</v>
      </c>
      <c r="BW14">
        <f>HYPERLINK("http://exon.niaid.nih.gov/transcriptome/C_felis/S1/links/GO/cf-contig_47-GO.txt",0.0000007)</f>
        <v>6.9999999999999997E-7</v>
      </c>
      <c r="BX14" t="str">
        <f>HYPERLINK("http://amigo.geneontology.org/cgi-bin/amigo/term_details?term=GO:0003993","GO:0003993")</f>
        <v>GO:0003993</v>
      </c>
      <c r="BY14" t="s">
        <v>1835</v>
      </c>
      <c r="BZ14" t="s">
        <v>1836</v>
      </c>
      <c r="CA14" t="s">
        <v>1837</v>
      </c>
      <c r="CB14" t="str">
        <f>HYPERLINK("http://www.genome.jp/dbget-bin/www_bfind_sub?mode=bfind&amp;max_hit=1000&amp;dbkey=kegg&amp;keywords=EC:3.1.3.2","EC:3.1.3.2")</f>
        <v>EC:3.1.3.2</v>
      </c>
      <c r="CD14">
        <v>6.9999999999999994E-5</v>
      </c>
      <c r="CE14" t="str">
        <f>HYPERLINK("http://amigo.geneontology.org/cgi-bin/amigo/term_details?term=GO:0005575","GO:0005575")</f>
        <v>GO:0005575</v>
      </c>
      <c r="CF14" t="s">
        <v>1838</v>
      </c>
      <c r="CG14" t="s">
        <v>1839</v>
      </c>
      <c r="CH14" t="s">
        <v>1840</v>
      </c>
      <c r="CI14" t="s">
        <v>42</v>
      </c>
      <c r="CK14">
        <v>6.9999999999999994E-5</v>
      </c>
      <c r="CL14" t="s">
        <v>42</v>
      </c>
      <c r="CM14" t="s">
        <v>42</v>
      </c>
      <c r="CN14" t="s">
        <v>42</v>
      </c>
      <c r="CO14" t="s">
        <v>42</v>
      </c>
      <c r="CQ14" t="s">
        <v>42</v>
      </c>
      <c r="CR14" t="s">
        <v>42</v>
      </c>
      <c r="CS14" s="4" t="str">
        <f>HYPERLINK("http://exon.niaid.nih.gov/transcriptome/C_felis/S1/links/KOG/cf-contig_47-KOG.txt","Lysosomal &amp; prostatic acid phosphatases")</f>
        <v>Lysosomal &amp; prostatic acid phosphatases</v>
      </c>
      <c r="CT14" t="str">
        <f>HYPERLINK("http://www.ncbi.nlm.nih.gov/COG/grace/shokog.cgi?KOG3720","2E-010")</f>
        <v>2E-010</v>
      </c>
      <c r="CU14" t="s">
        <v>1761</v>
      </c>
      <c r="CV14" s="4" t="str">
        <f>HYPERLINK("http://exon.niaid.nih.gov/transcriptome/C_felis/S1/links/PFAM/cf-contig_47-PFAM.txt","His_Phos_2")</f>
        <v>His_Phos_2</v>
      </c>
      <c r="CW14" t="str">
        <f>HYPERLINK("http://pfam.sanger.ac.uk/family?acc=PF00328","2E-006")</f>
        <v>2E-006</v>
      </c>
      <c r="CX14" s="4" t="str">
        <f>HYPERLINK("http://exon.niaid.nih.gov/transcriptome/C_felis/S1/links/SMART/cf-contig_47-SMART.txt","TLC")</f>
        <v>TLC</v>
      </c>
      <c r="CY14" t="str">
        <f>HYPERLINK("http://smart.embl-heidelberg.de/smart/do_annotation.pl?DOMAIN=TLC&amp;BLAST=DUMMY","0.18")</f>
        <v>0.18</v>
      </c>
      <c r="CZ14" s="4" t="s">
        <v>42</v>
      </c>
      <c r="DA14" t="s">
        <v>42</v>
      </c>
      <c r="DB14" t="s">
        <v>42</v>
      </c>
      <c r="DC14" t="s">
        <v>42</v>
      </c>
      <c r="DD14" t="s">
        <v>42</v>
      </c>
      <c r="DE14" t="s">
        <v>42</v>
      </c>
      <c r="DF14" t="s">
        <v>42</v>
      </c>
      <c r="DG14" t="s">
        <v>42</v>
      </c>
      <c r="DH14" s="4" t="s">
        <v>42</v>
      </c>
      <c r="DI14" t="s">
        <v>42</v>
      </c>
      <c r="DJ14" s="4" t="s">
        <v>42</v>
      </c>
      <c r="DK14" t="s">
        <v>42</v>
      </c>
      <c r="DL14" s="4">
        <f>HYPERLINK("http://exon.niaid.nih.gov/transcriptome/C_felis/S1/links/cluster/cf-5-36-asb30-50-Id-CLU14.txt", 14)</f>
        <v>14</v>
      </c>
      <c r="DM14">
        <f>HYPERLINK("http://exon.niaid.nih.gov/transcriptome/C_felis/S1/links/cluster/cf-5-36-asb30-50-Id-CLTL14.txt", 3)</f>
        <v>3</v>
      </c>
      <c r="DN14" s="4">
        <f>HYPERLINK("http://exon.niaid.nih.gov/transcriptome/C_felis/S1/links/cluster/cf-5-36-asb35-50-Id-CLU12.txt", 12)</f>
        <v>12</v>
      </c>
      <c r="DO14">
        <f>HYPERLINK("http://exon.niaid.nih.gov/transcriptome/C_felis/S1/links/cluster/cf-5-36-asb35-50-Id-CLTL12.txt", 3)</f>
        <v>3</v>
      </c>
      <c r="DP14" s="4">
        <f>HYPERLINK("http://exon.niaid.nih.gov/transcriptome/C_felis/S1/links/cluster/cf-5-36-asb40-50-Id-CLU12.txt", 12)</f>
        <v>12</v>
      </c>
      <c r="DQ14">
        <f>HYPERLINK("http://exon.niaid.nih.gov/transcriptome/C_felis/S1/links/cluster/cf-5-36-asb40-50-Id-CLTL12.txt", 3)</f>
        <v>3</v>
      </c>
      <c r="DR14" s="4">
        <f>HYPERLINK("http://exon.niaid.nih.gov/transcriptome/C_felis/S1/links/cluster/cf-5-36-asb45-50-Id-CLU10.txt", 10)</f>
        <v>10</v>
      </c>
      <c r="DS14">
        <f>HYPERLINK("http://exon.niaid.nih.gov/transcriptome/C_felis/S1/links/cluster/cf-5-36-asb45-50-Id-CLTL10.txt", 3)</f>
        <v>3</v>
      </c>
      <c r="DT14" s="4">
        <f>HYPERLINK("http://exon.niaid.nih.gov/transcriptome/C_felis/S1/links/cluster/cf-5-36-asb50-50-Id-CLU17.txt", 17)</f>
        <v>17</v>
      </c>
      <c r="DU14">
        <f>HYPERLINK("http://exon.niaid.nih.gov/transcriptome/C_felis/S1/links/cluster/cf-5-36-asb50-50-Id-CLTL17.txt", 2)</f>
        <v>2</v>
      </c>
      <c r="DV14" s="4">
        <v>70</v>
      </c>
      <c r="DW14">
        <v>1</v>
      </c>
      <c r="DX14" s="4">
        <v>65</v>
      </c>
      <c r="DY14">
        <v>1</v>
      </c>
      <c r="DZ14" s="4">
        <v>63</v>
      </c>
      <c r="EA14">
        <v>1</v>
      </c>
      <c r="EB14" s="4">
        <v>63</v>
      </c>
      <c r="EC14">
        <v>1</v>
      </c>
      <c r="ED14" s="4">
        <v>64</v>
      </c>
      <c r="EE14">
        <v>1</v>
      </c>
      <c r="EF14" s="4">
        <v>59</v>
      </c>
      <c r="EG14">
        <v>1</v>
      </c>
      <c r="EH14" s="4">
        <v>49</v>
      </c>
      <c r="EI14">
        <v>1</v>
      </c>
      <c r="EJ14" s="4">
        <v>47</v>
      </c>
      <c r="EK14">
        <v>1</v>
      </c>
    </row>
    <row r="15" spans="1:141" x14ac:dyDescent="0.2">
      <c r="A15" t="str">
        <f>HYPERLINK("http://exon.niaid.nih.gov/transcriptome/C_felis/S1/links/cf/cf-contig_48.txt","cf-contig_48")</f>
        <v>cf-contig_48</v>
      </c>
      <c r="B15">
        <v>5</v>
      </c>
      <c r="C15" s="10" t="s">
        <v>4607</v>
      </c>
      <c r="D15">
        <v>5</v>
      </c>
      <c r="E15" t="str">
        <f>HYPERLINK("http://exon.niaid.nih.gov/transcriptome/C_felis/S1/links/cf/cf-5-36-asb-48.txt","Contig-48")</f>
        <v>Contig-48</v>
      </c>
      <c r="F15" t="str">
        <f>HYPERLINK("http://exon.niaid.nih.gov/transcriptome/C_felis/S1/links/cf/cf-5-36-48-CLU.txt","Contig48")</f>
        <v>Contig48</v>
      </c>
      <c r="G15" t="str">
        <f>HYPERLINK("http://exon.niaid.nih.gov/transcriptome/C_felis/S1/links/cf/cf-5-36-48-qual.txt","91.5")</f>
        <v>91.5</v>
      </c>
      <c r="H15" t="s">
        <v>11</v>
      </c>
      <c r="I15">
        <v>69.400000000000006</v>
      </c>
      <c r="J15">
        <v>461</v>
      </c>
      <c r="K15" t="s">
        <v>12</v>
      </c>
      <c r="L15">
        <v>5</v>
      </c>
      <c r="M15" t="s">
        <v>61</v>
      </c>
      <c r="N15">
        <v>469</v>
      </c>
      <c r="O15">
        <v>480</v>
      </c>
      <c r="P15">
        <v>339</v>
      </c>
      <c r="Q15" t="s">
        <v>870</v>
      </c>
      <c r="R15">
        <v>1</v>
      </c>
      <c r="S15" s="7" t="str">
        <f>HYPERLINK("http://exon.niaid.nih.gov/transcriptome/C_felis/S1/links/Sigp/CF-CONTIG_48-SigP.txt","Cyt")</f>
        <v>Cyt</v>
      </c>
      <c r="U15">
        <v>5</v>
      </c>
      <c r="V15" s="4">
        <f>HYPERLINK("http://exon.niaid.nih.gov/transcriptome/C_felis/S1/links/cluster/cf-5-36-asb30-50-Id-CLU14.txt", 14)</f>
        <v>14</v>
      </c>
      <c r="W15">
        <f>HYPERLINK("http://exon.niaid.nih.gov/transcriptome/C_felis/S1/links/cluster/cf-5-36-asb30-50-Id-CLTL14.txt", 3)</f>
        <v>3</v>
      </c>
      <c r="X15" s="4">
        <f>HYPERLINK("http://exon.niaid.nih.gov/transcriptome/C_felis/S1/links/cluster/cf-5-36-asb35-50-Id-CLU12.txt", 12)</f>
        <v>12</v>
      </c>
      <c r="Y15">
        <f>HYPERLINK("http://exon.niaid.nih.gov/transcriptome/C_felis/S1/links/cluster/cf-5-36-asb35-50-Id-CLTL12.txt", 3)</f>
        <v>3</v>
      </c>
      <c r="Z15" s="4">
        <f>HYPERLINK("http://exon.niaid.nih.gov/transcriptome/C_felis/S1/links/cluster/cf-5-36-asb40-50-Id-CLU12.txt", 12)</f>
        <v>12</v>
      </c>
      <c r="AA15">
        <f>HYPERLINK("http://exon.niaid.nih.gov/transcriptome/C_felis/S1/links/cluster/cf-5-36-asb40-50-Id-CLTL12.txt", 3)</f>
        <v>3</v>
      </c>
      <c r="AB15" s="4" t="str">
        <f>HYPERLINK("http://exon.niaid.nih.gov/transcriptome/C_felis/S1/links/XC-ASB/cf-contig_760-XC-ASB.txt","XC-contig_158")</f>
        <v>XC-contig_158</v>
      </c>
      <c r="AC15">
        <v>5.6000000000000001E-2</v>
      </c>
      <c r="AD15" s="10" t="s">
        <v>4607</v>
      </c>
      <c r="AE15" t="s">
        <v>4599</v>
      </c>
      <c r="AF15" t="str">
        <f>HYPERLINK("http://exon.niaid.nih.gov/transcriptome/C_felis/S1/links/NR/cf-contig_48-NR.txt","NR")</f>
        <v>NR</v>
      </c>
      <c r="AG15" s="5">
        <v>2E-19</v>
      </c>
      <c r="AH15">
        <v>45.1</v>
      </c>
      <c r="AI15" s="4" t="str">
        <f>HYPERLINK("http://exon.niaid.nih.gov/transcriptome/C_felis/S1/links/NR/cf-contig_48-NR.txt","truncated secreted salivary acid phosphatase")</f>
        <v>truncated secreted salivary acid phosphatase</v>
      </c>
      <c r="AJ15" t="str">
        <f>HYPERLINK("http://www.ncbi.nlm.nih.gov/sutils/blink.cgi?pid=121511922","2E-019")</f>
        <v>2E-019</v>
      </c>
      <c r="AK15" t="str">
        <f>HYPERLINK("http://www.ncbi.nlm.nih.gov/protein/121511922","gi|121511922")</f>
        <v>gi|121511922</v>
      </c>
      <c r="AL15">
        <v>99.4</v>
      </c>
      <c r="AM15">
        <v>110</v>
      </c>
      <c r="AN15">
        <v>246</v>
      </c>
      <c r="AO15">
        <v>41</v>
      </c>
      <c r="AP15">
        <v>45</v>
      </c>
      <c r="AQ15">
        <v>65</v>
      </c>
      <c r="AR15">
        <v>0</v>
      </c>
      <c r="AS15">
        <v>135</v>
      </c>
      <c r="AT15">
        <v>1</v>
      </c>
      <c r="AU15">
        <v>1</v>
      </c>
      <c r="AV15">
        <v>1</v>
      </c>
      <c r="AW15" t="s">
        <v>12</v>
      </c>
      <c r="AY15" t="s">
        <v>1676</v>
      </c>
      <c r="AZ15" t="s">
        <v>1717</v>
      </c>
      <c r="BA15" s="4" t="str">
        <f>HYPERLINK("http://exon.niaid.nih.gov/transcriptome/C_felis/S1/links/SWISSP/cf-contig_48-SWISSP.txt","Prostatic acid phosphatase")</f>
        <v>Prostatic acid phosphatase</v>
      </c>
      <c r="BB15" t="str">
        <f>HYPERLINK("http://www.uniprot.org/uniprot/P20646","0.033")</f>
        <v>0.033</v>
      </c>
      <c r="BC15" t="s">
        <v>1841</v>
      </c>
      <c r="BD15">
        <v>37.700000000000003</v>
      </c>
      <c r="BE15">
        <v>54</v>
      </c>
      <c r="BF15">
        <v>381</v>
      </c>
      <c r="BG15">
        <v>30</v>
      </c>
      <c r="BH15">
        <v>14</v>
      </c>
      <c r="BI15">
        <v>38</v>
      </c>
      <c r="BJ15">
        <v>0</v>
      </c>
      <c r="BK15">
        <v>305</v>
      </c>
      <c r="BL15">
        <v>124</v>
      </c>
      <c r="BM15">
        <v>1</v>
      </c>
      <c r="BN15">
        <v>1</v>
      </c>
      <c r="BO15" t="s">
        <v>12</v>
      </c>
      <c r="BQ15" t="s">
        <v>1676</v>
      </c>
      <c r="BR15" t="s">
        <v>1684</v>
      </c>
      <c r="BS15" s="4" t="str">
        <f>HYPERLINK("http://exon.niaid.nih.gov/transcriptome/C_felis/S1/links/CDD/cf-contig_48-CDD.txt","DltB")</f>
        <v>DltB</v>
      </c>
      <c r="BT15" t="str">
        <f>HYPERLINK("http://www.ncbi.nlm.nih.gov/Structure/cdd/cddsrv.cgi?uid=COG1696&amp;version=v4.0","0.16")</f>
        <v>0.16</v>
      </c>
      <c r="BU15" t="s">
        <v>1842</v>
      </c>
      <c r="BV15" s="4" t="s">
        <v>42</v>
      </c>
      <c r="BW15" t="s">
        <v>42</v>
      </c>
      <c r="BX15" t="s">
        <v>42</v>
      </c>
      <c r="BY15" t="s">
        <v>42</v>
      </c>
      <c r="BZ15" t="s">
        <v>42</v>
      </c>
      <c r="CA15" t="s">
        <v>42</v>
      </c>
      <c r="CB15" t="s">
        <v>42</v>
      </c>
      <c r="CC15" t="s">
        <v>42</v>
      </c>
      <c r="CD15" t="s">
        <v>42</v>
      </c>
      <c r="CE15" t="s">
        <v>42</v>
      </c>
      <c r="CF15" t="s">
        <v>42</v>
      </c>
      <c r="CG15" t="s">
        <v>42</v>
      </c>
      <c r="CH15" t="s">
        <v>42</v>
      </c>
      <c r="CI15" t="s">
        <v>42</v>
      </c>
      <c r="CJ15" t="s">
        <v>42</v>
      </c>
      <c r="CK15" t="s">
        <v>42</v>
      </c>
      <c r="CL15" t="s">
        <v>42</v>
      </c>
      <c r="CM15" t="s">
        <v>42</v>
      </c>
      <c r="CN15" t="s">
        <v>42</v>
      </c>
      <c r="CO15" t="s">
        <v>42</v>
      </c>
      <c r="CP15" t="s">
        <v>42</v>
      </c>
      <c r="CQ15" t="s">
        <v>42</v>
      </c>
      <c r="CR15" t="s">
        <v>42</v>
      </c>
      <c r="CS15" s="4" t="str">
        <f>HYPERLINK("http://exon.niaid.nih.gov/transcriptome/C_felis/S1/links/KOG/cf-contig_48-KOG.txt","Lysosomal &amp; prostatic acid phosphatases")</f>
        <v>Lysosomal &amp; prostatic acid phosphatases</v>
      </c>
      <c r="CT15" t="str">
        <f>HYPERLINK("http://www.ncbi.nlm.nih.gov/COG/grace/shokog.cgi?KOG3720","7E-006")</f>
        <v>7E-006</v>
      </c>
      <c r="CU15" t="s">
        <v>1761</v>
      </c>
      <c r="CV15" s="4" t="str">
        <f>HYPERLINK("http://exon.niaid.nih.gov/transcriptome/C_felis/S1/links/PFAM/cf-contig_48-PFAM.txt","Anoctamin")</f>
        <v>Anoctamin</v>
      </c>
      <c r="CW15" t="str">
        <f>HYPERLINK("http://pfam.sanger.ac.uk/family?acc=PF04547","0.040")</f>
        <v>0.040</v>
      </c>
      <c r="CX15" s="4" t="str">
        <f>HYPERLINK("http://exon.niaid.nih.gov/transcriptome/C_felis/S1/links/SMART/cf-contig_48-SMART.txt","LysM")</f>
        <v>LysM</v>
      </c>
      <c r="CY15" t="str">
        <f>HYPERLINK("http://smart.embl-heidelberg.de/smart/do_annotation.pl?DOMAIN=LysM&amp;BLAST=DUMMY","0.19")</f>
        <v>0.19</v>
      </c>
      <c r="CZ15" s="4" t="s">
        <v>42</v>
      </c>
      <c r="DA15" t="s">
        <v>42</v>
      </c>
      <c r="DB15" t="s">
        <v>42</v>
      </c>
      <c r="DC15" t="s">
        <v>42</v>
      </c>
      <c r="DD15" t="s">
        <v>42</v>
      </c>
      <c r="DE15" t="s">
        <v>42</v>
      </c>
      <c r="DF15" t="s">
        <v>42</v>
      </c>
      <c r="DG15" t="s">
        <v>42</v>
      </c>
      <c r="DH15" s="4" t="s">
        <v>42</v>
      </c>
      <c r="DI15" t="s">
        <v>42</v>
      </c>
      <c r="DJ15" s="4" t="s">
        <v>42</v>
      </c>
      <c r="DK15" t="s">
        <v>42</v>
      </c>
      <c r="DL15" s="4">
        <f>HYPERLINK("http://exon.niaid.nih.gov/transcriptome/C_felis/S1/links/cluster/cf-5-36-asb30-50-Id-CLU14.txt", 14)</f>
        <v>14</v>
      </c>
      <c r="DM15">
        <f>HYPERLINK("http://exon.niaid.nih.gov/transcriptome/C_felis/S1/links/cluster/cf-5-36-asb30-50-Id-CLTL14.txt", 3)</f>
        <v>3</v>
      </c>
      <c r="DN15" s="4">
        <f>HYPERLINK("http://exon.niaid.nih.gov/transcriptome/C_felis/S1/links/cluster/cf-5-36-asb35-50-Id-CLU12.txt", 12)</f>
        <v>12</v>
      </c>
      <c r="DO15">
        <f>HYPERLINK("http://exon.niaid.nih.gov/transcriptome/C_felis/S1/links/cluster/cf-5-36-asb35-50-Id-CLTL12.txt", 3)</f>
        <v>3</v>
      </c>
      <c r="DP15" s="4">
        <f>HYPERLINK("http://exon.niaid.nih.gov/transcriptome/C_felis/S1/links/cluster/cf-5-36-asb40-50-Id-CLU12.txt", 12)</f>
        <v>12</v>
      </c>
      <c r="DQ15">
        <f>HYPERLINK("http://exon.niaid.nih.gov/transcriptome/C_felis/S1/links/cluster/cf-5-36-asb40-50-Id-CLTL12.txt", 3)</f>
        <v>3</v>
      </c>
      <c r="DR15" s="4">
        <f>HYPERLINK("http://exon.niaid.nih.gov/transcriptome/C_felis/S1/links/cluster/cf-5-36-asb45-50-Id-CLU10.txt", 10)</f>
        <v>10</v>
      </c>
      <c r="DS15">
        <f>HYPERLINK("http://exon.niaid.nih.gov/transcriptome/C_felis/S1/links/cluster/cf-5-36-asb45-50-Id-CLTL10.txt", 3)</f>
        <v>3</v>
      </c>
      <c r="DT15" s="4">
        <f>HYPERLINK("http://exon.niaid.nih.gov/transcriptome/C_felis/S1/links/cluster/cf-5-36-asb50-50-Id-CLU17.txt", 17)</f>
        <v>17</v>
      </c>
      <c r="DU15">
        <f>HYPERLINK("http://exon.niaid.nih.gov/transcriptome/C_felis/S1/links/cluster/cf-5-36-asb50-50-Id-CLTL17.txt", 2)</f>
        <v>2</v>
      </c>
      <c r="DV15" s="4">
        <v>71</v>
      </c>
      <c r="DW15">
        <v>1</v>
      </c>
      <c r="DX15" s="4">
        <v>66</v>
      </c>
      <c r="DY15">
        <v>1</v>
      </c>
      <c r="DZ15" s="4">
        <v>64</v>
      </c>
      <c r="EA15">
        <v>1</v>
      </c>
      <c r="EB15" s="4">
        <v>64</v>
      </c>
      <c r="EC15">
        <v>1</v>
      </c>
      <c r="ED15" s="4">
        <v>65</v>
      </c>
      <c r="EE15">
        <v>1</v>
      </c>
      <c r="EF15" s="4">
        <v>60</v>
      </c>
      <c r="EG15">
        <v>1</v>
      </c>
      <c r="EH15" s="4">
        <v>50</v>
      </c>
      <c r="EI15">
        <v>1</v>
      </c>
      <c r="EJ15" s="4">
        <v>48</v>
      </c>
      <c r="EK15">
        <v>1</v>
      </c>
    </row>
    <row r="16" spans="1:141" x14ac:dyDescent="0.2">
      <c r="A16" t="str">
        <f>HYPERLINK("http://exon.niaid.nih.gov/transcriptome/C_felis/S1/links/cf/cf-contig_49.txt","cf-contig_49")</f>
        <v>cf-contig_49</v>
      </c>
      <c r="B16">
        <v>1</v>
      </c>
      <c r="C16" s="10" t="s">
        <v>4607</v>
      </c>
      <c r="D16">
        <v>1</v>
      </c>
      <c r="E16" t="str">
        <f>HYPERLINK("http://exon.niaid.nih.gov/transcriptome/C_felis/S1/links/cf/cf-5-36-asb-49.txt","Contig-49")</f>
        <v>Contig-49</v>
      </c>
      <c r="F16" t="str">
        <f>HYPERLINK("http://exon.niaid.nih.gov/transcriptome/C_felis/S1/links/cf/cf-5-36-49-CLU.txt","Contig49")</f>
        <v>Contig49</v>
      </c>
      <c r="G16" t="str">
        <f>HYPERLINK("http://exon.niaid.nih.gov/transcriptome/C_felis/S1/links/cf/cf-5-36-49-qual.txt","57.7")</f>
        <v>57.7</v>
      </c>
      <c r="H16" t="s">
        <v>11</v>
      </c>
      <c r="I16">
        <v>66.3</v>
      </c>
      <c r="J16">
        <v>867</v>
      </c>
      <c r="K16" t="s">
        <v>12</v>
      </c>
      <c r="L16">
        <v>1</v>
      </c>
      <c r="M16" t="s">
        <v>62</v>
      </c>
      <c r="N16">
        <v>867</v>
      </c>
      <c r="O16">
        <v>886</v>
      </c>
      <c r="P16">
        <v>765</v>
      </c>
      <c r="Q16" t="s">
        <v>871</v>
      </c>
      <c r="R16">
        <v>3</v>
      </c>
      <c r="S16" s="7" t="str">
        <f>HYPERLINK("http://exon.niaid.nih.gov/transcriptome/C_felis/S1/links/Sigp/CF-CONTIG_49-SigP.txt","Cyt")</f>
        <v>Cyt</v>
      </c>
      <c r="U16">
        <v>1</v>
      </c>
      <c r="V16" s="4">
        <f>HYPERLINK("http://exon.niaid.nih.gov/transcriptome/C_felis/S1/links/cluster/cf-5-36-asb30-50-Id-CLU14.txt", 14)</f>
        <v>14</v>
      </c>
      <c r="W16">
        <f>HYPERLINK("http://exon.niaid.nih.gov/transcriptome/C_felis/S1/links/cluster/cf-5-36-asb30-50-Id-CLTL14.txt", 3)</f>
        <v>3</v>
      </c>
      <c r="X16" s="4">
        <f>HYPERLINK("http://exon.niaid.nih.gov/transcriptome/C_felis/S1/links/cluster/cf-5-36-asb35-50-Id-CLU12.txt", 12)</f>
        <v>12</v>
      </c>
      <c r="Y16">
        <f>HYPERLINK("http://exon.niaid.nih.gov/transcriptome/C_felis/S1/links/cluster/cf-5-36-asb35-50-Id-CLTL12.txt", 3)</f>
        <v>3</v>
      </c>
      <c r="Z16" s="4">
        <f>HYPERLINK("http://exon.niaid.nih.gov/transcriptome/C_felis/S1/links/cluster/cf-5-36-asb40-50-Id-CLU12.txt", 12)</f>
        <v>12</v>
      </c>
      <c r="AA16">
        <f>HYPERLINK("http://exon.niaid.nih.gov/transcriptome/C_felis/S1/links/cluster/cf-5-36-asb40-50-Id-CLTL12.txt", 3)</f>
        <v>3</v>
      </c>
      <c r="AB16" s="4" t="str">
        <f>HYPERLINK("http://exon.niaid.nih.gov/transcriptome/C_felis/S1/links/XC-ASB/cf-contig_792-XC-ASB.txt","XC-contig_32")</f>
        <v>XC-contig_32</v>
      </c>
      <c r="AC16">
        <v>0.22</v>
      </c>
      <c r="AD16" s="10" t="s">
        <v>4607</v>
      </c>
      <c r="AE16" t="s">
        <v>4599</v>
      </c>
      <c r="AF16" t="str">
        <f>HYPERLINK("http://exon.niaid.nih.gov/transcriptome/C_felis/S1/links/NR/cf-contig_49-NR.txt","NR")</f>
        <v>NR</v>
      </c>
      <c r="AG16" s="5">
        <v>2.0000000000000001E-42</v>
      </c>
      <c r="AH16">
        <v>68.900000000000006</v>
      </c>
      <c r="AI16" s="4" t="str">
        <f>HYPERLINK("http://exon.niaid.nih.gov/transcriptome/C_felis/S1/links/NR/cf-contig_49-NR.txt","truncated secreted salivary acid phosphatase")</f>
        <v>truncated secreted salivary acid phosphatase</v>
      </c>
      <c r="AJ16" t="str">
        <f>HYPERLINK("http://www.ncbi.nlm.nih.gov/sutils/blink.cgi?pid=121511916","2E-042")</f>
        <v>2E-042</v>
      </c>
      <c r="AK16" t="str">
        <f>HYPERLINK("http://www.ncbi.nlm.nih.gov/protein/121511916","gi|121511916")</f>
        <v>gi|121511916</v>
      </c>
      <c r="AL16">
        <v>177</v>
      </c>
      <c r="AM16">
        <v>251</v>
      </c>
      <c r="AN16">
        <v>374</v>
      </c>
      <c r="AO16">
        <v>35</v>
      </c>
      <c r="AP16">
        <v>67</v>
      </c>
      <c r="AQ16">
        <v>166</v>
      </c>
      <c r="AR16">
        <v>6</v>
      </c>
      <c r="AS16">
        <v>122</v>
      </c>
      <c r="AT16">
        <v>6</v>
      </c>
      <c r="AU16">
        <v>1</v>
      </c>
      <c r="AV16">
        <v>3</v>
      </c>
      <c r="AW16" t="s">
        <v>12</v>
      </c>
      <c r="AY16" t="s">
        <v>1676</v>
      </c>
      <c r="AZ16" t="s">
        <v>1717</v>
      </c>
      <c r="BA16" s="4" t="str">
        <f>HYPERLINK("http://exon.niaid.nih.gov/transcriptome/C_felis/S1/links/SWISSP/cf-contig_49-SWISSP.txt","Lysosomal acid phosphatase")</f>
        <v>Lysosomal acid phosphatase</v>
      </c>
      <c r="BB16" t="str">
        <f>HYPERLINK("http://www.uniprot.org/uniprot/B1H1P9","1E-005")</f>
        <v>1E-005</v>
      </c>
      <c r="BC16" t="s">
        <v>1831</v>
      </c>
      <c r="BD16">
        <v>51.2</v>
      </c>
      <c r="BE16">
        <v>213</v>
      </c>
      <c r="BF16">
        <v>432</v>
      </c>
      <c r="BG16">
        <v>23</v>
      </c>
      <c r="BH16">
        <v>50</v>
      </c>
      <c r="BI16">
        <v>182</v>
      </c>
      <c r="BJ16">
        <v>9</v>
      </c>
      <c r="BK16">
        <v>161</v>
      </c>
      <c r="BL16">
        <v>72</v>
      </c>
      <c r="BM16">
        <v>1</v>
      </c>
      <c r="BN16">
        <v>3</v>
      </c>
      <c r="BO16" t="s">
        <v>12</v>
      </c>
      <c r="BQ16" t="s">
        <v>1676</v>
      </c>
      <c r="BR16" t="s">
        <v>1832</v>
      </c>
      <c r="BS16" s="4" t="str">
        <f>HYPERLINK("http://exon.niaid.nih.gov/transcriptome/C_felis/S1/links/CDD/cf-contig_49-CDD.txt","HP_HAP_like")</f>
        <v>HP_HAP_like</v>
      </c>
      <c r="BT16" t="str">
        <f>HYPERLINK("http://www.ncbi.nlm.nih.gov/Structure/cdd/cddsrv.cgi?uid=cd07061&amp;version=v4.0","0.031")</f>
        <v>0.031</v>
      </c>
      <c r="BU16" t="s">
        <v>1843</v>
      </c>
      <c r="BV16" s="4" t="s">
        <v>1844</v>
      </c>
      <c r="BW16">
        <f>HYPERLINK("http://exon.niaid.nih.gov/transcriptome/C_felis/S1/links/GO/cf-contig_49-GO.txt",0.00001)</f>
        <v>1.0000000000000001E-5</v>
      </c>
      <c r="BX16" t="str">
        <f>HYPERLINK("http://amigo.geneontology.org/cgi-bin/amigo/term_details?term=GO:0003993","GO:0003993")</f>
        <v>GO:0003993</v>
      </c>
      <c r="BY16" t="s">
        <v>1835</v>
      </c>
      <c r="BZ16" t="s">
        <v>1836</v>
      </c>
      <c r="CA16" t="s">
        <v>1837</v>
      </c>
      <c r="CB16" t="str">
        <f>HYPERLINK("http://www.genome.jp/dbget-bin/www_bfind_sub?mode=bfind&amp;max_hit=1000&amp;dbkey=kegg&amp;keywords=EC:3.1.3.2","EC:3.1.3.2")</f>
        <v>EC:3.1.3.2</v>
      </c>
      <c r="CD16">
        <v>1.0000000000000001E-5</v>
      </c>
      <c r="CE16" t="str">
        <f>HYPERLINK("http://amigo.geneontology.org/cgi-bin/amigo/term_details?term=GO:0005575","GO:0005575")</f>
        <v>GO:0005575</v>
      </c>
      <c r="CF16" t="s">
        <v>1838</v>
      </c>
      <c r="CG16" t="s">
        <v>1839</v>
      </c>
      <c r="CH16" t="s">
        <v>1840</v>
      </c>
      <c r="CI16" t="s">
        <v>42</v>
      </c>
      <c r="CK16">
        <v>1.0000000000000001E-5</v>
      </c>
      <c r="CL16" t="s">
        <v>42</v>
      </c>
      <c r="CM16" t="s">
        <v>42</v>
      </c>
      <c r="CN16" t="s">
        <v>42</v>
      </c>
      <c r="CO16" t="s">
        <v>42</v>
      </c>
      <c r="CQ16" t="s">
        <v>42</v>
      </c>
      <c r="CR16" t="s">
        <v>42</v>
      </c>
      <c r="CS16" s="4" t="str">
        <f>HYPERLINK("http://exon.niaid.nih.gov/transcriptome/C_felis/S1/links/KOG/cf-contig_49-KOG.txt","Lysosomal &amp; prostatic acid phosphatases")</f>
        <v>Lysosomal &amp; prostatic acid phosphatases</v>
      </c>
      <c r="CT16" t="str">
        <f>HYPERLINK("http://www.ncbi.nlm.nih.gov/COG/grace/shokog.cgi?KOG3720","8E-014")</f>
        <v>8E-014</v>
      </c>
      <c r="CU16" t="s">
        <v>1761</v>
      </c>
      <c r="CV16" s="4" t="str">
        <f>HYPERLINK("http://exon.niaid.nih.gov/transcriptome/C_felis/S1/links/PFAM/cf-contig_49-PFAM.txt","7TM_GPCR_Srz")</f>
        <v>7TM_GPCR_Srz</v>
      </c>
      <c r="CW16" t="str">
        <f>HYPERLINK("http://pfam.sanger.ac.uk/family?acc=PF10325","0.039")</f>
        <v>0.039</v>
      </c>
      <c r="CX16" s="4" t="str">
        <f>HYPERLINK("http://exon.niaid.nih.gov/transcriptome/C_felis/S1/links/SMART/cf-contig_49-SMART.txt","LITAF")</f>
        <v>LITAF</v>
      </c>
      <c r="CY16" t="str">
        <f>HYPERLINK("http://smart.embl-heidelberg.de/smart/do_annotation.pl?DOMAIN=LITAF&amp;BLAST=DUMMY","0.047")</f>
        <v>0.047</v>
      </c>
      <c r="CZ16" s="4" t="s">
        <v>42</v>
      </c>
      <c r="DA16" t="s">
        <v>42</v>
      </c>
      <c r="DB16" t="s">
        <v>42</v>
      </c>
      <c r="DC16" t="s">
        <v>42</v>
      </c>
      <c r="DD16" t="s">
        <v>42</v>
      </c>
      <c r="DE16" t="s">
        <v>42</v>
      </c>
      <c r="DF16" t="s">
        <v>42</v>
      </c>
      <c r="DG16" t="s">
        <v>42</v>
      </c>
      <c r="DH16" s="4" t="s">
        <v>42</v>
      </c>
      <c r="DI16" t="s">
        <v>42</v>
      </c>
      <c r="DJ16" s="4" t="s">
        <v>42</v>
      </c>
      <c r="DK16" t="s">
        <v>42</v>
      </c>
      <c r="DL16" s="4">
        <f>HYPERLINK("http://exon.niaid.nih.gov/transcriptome/C_felis/S1/links/cluster/cf-5-36-asb30-50-Id-CLU14.txt", 14)</f>
        <v>14</v>
      </c>
      <c r="DM16">
        <f>HYPERLINK("http://exon.niaid.nih.gov/transcriptome/C_felis/S1/links/cluster/cf-5-36-asb30-50-Id-CLTL14.txt", 3)</f>
        <v>3</v>
      </c>
      <c r="DN16" s="4">
        <f>HYPERLINK("http://exon.niaid.nih.gov/transcriptome/C_felis/S1/links/cluster/cf-5-36-asb35-50-Id-CLU12.txt", 12)</f>
        <v>12</v>
      </c>
      <c r="DO16">
        <f>HYPERLINK("http://exon.niaid.nih.gov/transcriptome/C_felis/S1/links/cluster/cf-5-36-asb35-50-Id-CLTL12.txt", 3)</f>
        <v>3</v>
      </c>
      <c r="DP16" s="4">
        <f>HYPERLINK("http://exon.niaid.nih.gov/transcriptome/C_felis/S1/links/cluster/cf-5-36-asb40-50-Id-CLU12.txt", 12)</f>
        <v>12</v>
      </c>
      <c r="DQ16">
        <f>HYPERLINK("http://exon.niaid.nih.gov/transcriptome/C_felis/S1/links/cluster/cf-5-36-asb40-50-Id-CLTL12.txt", 3)</f>
        <v>3</v>
      </c>
      <c r="DR16" s="4">
        <f>HYPERLINK("http://exon.niaid.nih.gov/transcriptome/C_felis/S1/links/cluster/cf-5-36-asb45-50-Id-CLU10.txt", 10)</f>
        <v>10</v>
      </c>
      <c r="DS16">
        <f>HYPERLINK("http://exon.niaid.nih.gov/transcriptome/C_felis/S1/links/cluster/cf-5-36-asb45-50-Id-CLTL10.txt", 3)</f>
        <v>3</v>
      </c>
      <c r="DT16" s="4">
        <v>73</v>
      </c>
      <c r="DU16">
        <v>1</v>
      </c>
      <c r="DV16" s="4">
        <v>72</v>
      </c>
      <c r="DW16">
        <v>1</v>
      </c>
      <c r="DX16" s="4">
        <v>67</v>
      </c>
      <c r="DY16">
        <v>1</v>
      </c>
      <c r="DZ16" s="4">
        <v>65</v>
      </c>
      <c r="EA16">
        <v>1</v>
      </c>
      <c r="EB16" s="4">
        <v>65</v>
      </c>
      <c r="EC16">
        <v>1</v>
      </c>
      <c r="ED16" s="4">
        <v>66</v>
      </c>
      <c r="EE16">
        <v>1</v>
      </c>
      <c r="EF16" s="4">
        <v>61</v>
      </c>
      <c r="EG16">
        <v>1</v>
      </c>
      <c r="EH16" s="4">
        <v>51</v>
      </c>
      <c r="EI16">
        <v>1</v>
      </c>
      <c r="EJ16" s="4">
        <v>49</v>
      </c>
      <c r="EK16">
        <v>1</v>
      </c>
    </row>
    <row r="17" spans="1:141" x14ac:dyDescent="0.2">
      <c r="A17" t="str">
        <f>HYPERLINK("http://exon.niaid.nih.gov/transcriptome/C_felis/S1/links/cf/cf-contig_123.txt","cf-contig_123")</f>
        <v>cf-contig_123</v>
      </c>
      <c r="B17">
        <v>7</v>
      </c>
      <c r="C17" s="10" t="s">
        <v>4607</v>
      </c>
      <c r="D17">
        <v>7</v>
      </c>
      <c r="E17" t="str">
        <f>HYPERLINK("http://exon.niaid.nih.gov/transcriptome/C_felis/S1/links/cf/cf-5-36-asb-123.txt","Contig-123")</f>
        <v>Contig-123</v>
      </c>
      <c r="F17" t="str">
        <f>HYPERLINK("http://exon.niaid.nih.gov/transcriptome/C_felis/S1/links/cf/cf-5-36-123-CLU.txt","Contig123")</f>
        <v>Contig123</v>
      </c>
      <c r="G17" t="str">
        <f>HYPERLINK("http://exon.niaid.nih.gov/transcriptome/C_felis/S1/links/cf/cf-5-36-123-qual.txt","82.7")</f>
        <v>82.7</v>
      </c>
      <c r="H17" t="s">
        <v>11</v>
      </c>
      <c r="I17">
        <v>70</v>
      </c>
      <c r="J17">
        <v>801</v>
      </c>
      <c r="K17" t="s">
        <v>12</v>
      </c>
      <c r="L17">
        <v>7</v>
      </c>
      <c r="M17" t="s">
        <v>136</v>
      </c>
      <c r="N17">
        <v>815</v>
      </c>
      <c r="O17">
        <v>820</v>
      </c>
      <c r="P17">
        <v>621</v>
      </c>
      <c r="Q17" t="s">
        <v>943</v>
      </c>
      <c r="R17">
        <v>1</v>
      </c>
      <c r="S17" s="7" t="str">
        <f>HYPERLINK("http://exon.niaid.nih.gov/transcriptome/C_felis/S1/links/Sigp/CF-CONTIG_123-SigP.txt","Cyt")</f>
        <v>Cyt</v>
      </c>
      <c r="U17">
        <v>7</v>
      </c>
      <c r="V17" s="4">
        <f>HYPERLINK("http://exon.niaid.nih.gov/transcriptome/C_felis/S1/links/cluster/cf-5-36-asb30-50-Id-CLU18.txt", 18)</f>
        <v>18</v>
      </c>
      <c r="W17">
        <f>HYPERLINK("http://exon.niaid.nih.gov/transcriptome/C_felis/S1/links/cluster/cf-5-36-asb30-50-Id-CLTL18.txt", 3)</f>
        <v>3</v>
      </c>
      <c r="X17" s="4">
        <f>HYPERLINK("http://exon.niaid.nih.gov/transcriptome/C_felis/S1/links/cluster/cf-5-36-asb35-50-Id-CLU17.txt", 17)</f>
        <v>17</v>
      </c>
      <c r="Y17">
        <f>HYPERLINK("http://exon.niaid.nih.gov/transcriptome/C_felis/S1/links/cluster/cf-5-36-asb35-50-Id-CLTL17.txt", 3)</f>
        <v>3</v>
      </c>
      <c r="Z17" s="4">
        <f>HYPERLINK("http://exon.niaid.nih.gov/transcriptome/C_felis/S1/links/cluster/cf-5-36-asb40-50-Id-CLU16.txt", 16)</f>
        <v>16</v>
      </c>
      <c r="AA17">
        <f>HYPERLINK("http://exon.niaid.nih.gov/transcriptome/C_felis/S1/links/cluster/cf-5-36-asb40-50-Id-CLTL16.txt", 3)</f>
        <v>3</v>
      </c>
      <c r="AB17" s="4" t="str">
        <f>HYPERLINK("http://exon.niaid.nih.gov/transcriptome/C_felis/S1/links/XC-ASB/cf-contig_54-XC-ASB.txt","XC-contig_95")</f>
        <v>XC-contig_95</v>
      </c>
      <c r="AC17">
        <v>3E-10</v>
      </c>
      <c r="AD17" s="10" t="s">
        <v>4607</v>
      </c>
      <c r="AE17" t="s">
        <v>4641</v>
      </c>
      <c r="AF17" t="str">
        <f>HYPERLINK("http://exon.niaid.nih.gov/transcriptome/C_felis/S1/links/KOG/cf-contig_123-KOG.txt","KOG")</f>
        <v>KOG</v>
      </c>
      <c r="AG17" s="5">
        <v>1.9999999999999999E-20</v>
      </c>
      <c r="AH17">
        <v>48.4</v>
      </c>
      <c r="AI17" s="4" t="str">
        <f>HYPERLINK("http://exon.niaid.nih.gov/transcriptome/C_felis/S1/links/NR/cf-contig_123-NR.txt","Testicular acid phosphatase-like protein")</f>
        <v>Testicular acid phosphatase-like protein</v>
      </c>
      <c r="AJ17" t="str">
        <f>HYPERLINK("http://www.ncbi.nlm.nih.gov/sutils/blink.cgi?pid=307172361","9E-015")</f>
        <v>9E-015</v>
      </c>
      <c r="AK17" t="str">
        <f>HYPERLINK("http://www.ncbi.nlm.nih.gov/protein/307172361","gi|307172361")</f>
        <v>gi|307172361</v>
      </c>
      <c r="AL17">
        <v>85.5</v>
      </c>
      <c r="AM17">
        <v>167</v>
      </c>
      <c r="AN17">
        <v>382</v>
      </c>
      <c r="AO17">
        <v>30</v>
      </c>
      <c r="AP17">
        <v>44</v>
      </c>
      <c r="AQ17">
        <v>127</v>
      </c>
      <c r="AR17">
        <v>2</v>
      </c>
      <c r="AS17">
        <v>194</v>
      </c>
      <c r="AT17">
        <v>43</v>
      </c>
      <c r="AU17">
        <v>1</v>
      </c>
      <c r="AV17">
        <v>1</v>
      </c>
      <c r="AW17" t="s">
        <v>12</v>
      </c>
      <c r="AY17" t="s">
        <v>1676</v>
      </c>
      <c r="AZ17" t="s">
        <v>2133</v>
      </c>
      <c r="BA17" s="4" t="str">
        <f>HYPERLINK("http://exon.niaid.nih.gov/transcriptome/C_felis/S1/links/SWISSP/cf-contig_123-SWISSP.txt","Venom acid phosphatase Acph-1")</f>
        <v>Venom acid phosphatase Acph-1</v>
      </c>
      <c r="BB17" t="str">
        <f>HYPERLINK("http://www.uniprot.org/uniprot/Q5BLY5","1E-011")</f>
        <v>1E-011</v>
      </c>
      <c r="BC17" t="s">
        <v>2134</v>
      </c>
      <c r="BD17">
        <v>70.900000000000006</v>
      </c>
      <c r="BE17">
        <v>172</v>
      </c>
      <c r="BF17">
        <v>388</v>
      </c>
      <c r="BG17">
        <v>29</v>
      </c>
      <c r="BH17">
        <v>45</v>
      </c>
      <c r="BI17">
        <v>133</v>
      </c>
      <c r="BJ17">
        <v>5</v>
      </c>
      <c r="BK17">
        <v>181</v>
      </c>
      <c r="BL17">
        <v>28</v>
      </c>
      <c r="BM17">
        <v>1</v>
      </c>
      <c r="BN17">
        <v>1</v>
      </c>
      <c r="BO17" t="s">
        <v>12</v>
      </c>
      <c r="BQ17" t="s">
        <v>1676</v>
      </c>
      <c r="BR17" t="s">
        <v>2135</v>
      </c>
      <c r="BS17" s="4" t="str">
        <f>HYPERLINK("http://exon.niaid.nih.gov/transcriptome/C_felis/S1/links/CDD/cf-contig_123-CDD.txt","His_Phos_2")</f>
        <v>His_Phos_2</v>
      </c>
      <c r="BT17" t="str">
        <f>HYPERLINK("http://www.ncbi.nlm.nih.gov/Structure/cdd/cddsrv.cgi?uid=pfam00328&amp;version=v4.0","6E-016")</f>
        <v>6E-016</v>
      </c>
      <c r="BU17" t="s">
        <v>2136</v>
      </c>
      <c r="BV17" s="4" t="s">
        <v>2137</v>
      </c>
      <c r="BW17">
        <f>HYPERLINK("http://exon.niaid.nih.gov/transcriptome/C_felis/S1/links/GO/cf-contig_123-GO.txt",0.0000000000002)</f>
        <v>2.0000000000000001E-13</v>
      </c>
      <c r="BX17" t="str">
        <f>HYPERLINK("http://amigo.geneontology.org/cgi-bin/amigo/term_details?term=GO:0003993","GO:0003993")</f>
        <v>GO:0003993</v>
      </c>
      <c r="BY17" t="s">
        <v>1835</v>
      </c>
      <c r="BZ17" t="s">
        <v>1836</v>
      </c>
      <c r="CA17" t="s">
        <v>1837</v>
      </c>
      <c r="CB17" t="str">
        <f>HYPERLINK("http://www.genome.jp/dbget-bin/www_bfind_sub?mode=bfind&amp;max_hit=1000&amp;dbkey=kegg&amp;keywords=EC:3.1.3.2","EC:3.1.3.2")</f>
        <v>EC:3.1.3.2</v>
      </c>
      <c r="CD17">
        <v>1.9999999999999999E-6</v>
      </c>
      <c r="CE17" t="s">
        <v>42</v>
      </c>
      <c r="CF17" t="s">
        <v>42</v>
      </c>
      <c r="CG17" t="s">
        <v>42</v>
      </c>
      <c r="CH17" t="s">
        <v>42</v>
      </c>
      <c r="CJ17" t="s">
        <v>42</v>
      </c>
      <c r="CK17" t="s">
        <v>42</v>
      </c>
      <c r="CL17" t="s">
        <v>42</v>
      </c>
      <c r="CM17" t="s">
        <v>42</v>
      </c>
      <c r="CN17" t="s">
        <v>42</v>
      </c>
      <c r="CO17" t="s">
        <v>42</v>
      </c>
      <c r="CQ17" t="s">
        <v>42</v>
      </c>
      <c r="CR17" t="s">
        <v>42</v>
      </c>
      <c r="CS17" s="4" t="str">
        <f>HYPERLINK("http://exon.niaid.nih.gov/transcriptome/C_felis/S1/links/KOG/cf-contig_123-KOG.txt","Lysosomal &amp; prostatic acid phosphatases")</f>
        <v>Lysosomal &amp; prostatic acid phosphatases</v>
      </c>
      <c r="CT17" t="str">
        <f>HYPERLINK("http://www.ncbi.nlm.nih.gov/COG/grace/shokog.cgi?KOG3720","2E-020")</f>
        <v>2E-020</v>
      </c>
      <c r="CU17" t="s">
        <v>1761</v>
      </c>
      <c r="CV17" s="4" t="str">
        <f>HYPERLINK("http://exon.niaid.nih.gov/transcriptome/C_felis/S1/links/PFAM/cf-contig_123-PFAM.txt","His_Phos_2")</f>
        <v>His_Phos_2</v>
      </c>
      <c r="CW17" t="str">
        <f>HYPERLINK("http://pfam.sanger.ac.uk/family?acc=PF00328","1E-016")</f>
        <v>1E-016</v>
      </c>
      <c r="CX17" s="4" t="str">
        <f>HYPERLINK("http://exon.niaid.nih.gov/transcriptome/C_felis/S1/links/SMART/cf-contig_123-SMART.txt","AdoHcyase")</f>
        <v>AdoHcyase</v>
      </c>
      <c r="CY17" t="str">
        <f>HYPERLINK("http://smart.embl-heidelberg.de/smart/do_annotation.pl?DOMAIN=AdoHcyase&amp;BLAST=DUMMY","0.013")</f>
        <v>0.013</v>
      </c>
      <c r="CZ17" s="4" t="s">
        <v>42</v>
      </c>
      <c r="DA17" t="s">
        <v>42</v>
      </c>
      <c r="DB17" t="s">
        <v>42</v>
      </c>
      <c r="DC17" t="s">
        <v>42</v>
      </c>
      <c r="DD17" t="s">
        <v>42</v>
      </c>
      <c r="DE17" t="s">
        <v>42</v>
      </c>
      <c r="DF17" t="s">
        <v>42</v>
      </c>
      <c r="DG17" t="s">
        <v>42</v>
      </c>
      <c r="DH17" s="4" t="s">
        <v>42</v>
      </c>
      <c r="DI17" t="s">
        <v>42</v>
      </c>
      <c r="DJ17" s="4" t="s">
        <v>42</v>
      </c>
      <c r="DK17" t="s">
        <v>42</v>
      </c>
      <c r="DL17" s="4">
        <f>HYPERLINK("http://exon.niaid.nih.gov/transcriptome/C_felis/S1/links/cluster/cf-5-36-asb30-50-Id-CLU18.txt", 18)</f>
        <v>18</v>
      </c>
      <c r="DM17">
        <f>HYPERLINK("http://exon.niaid.nih.gov/transcriptome/C_felis/S1/links/cluster/cf-5-36-asb30-50-Id-CLTL18.txt", 3)</f>
        <v>3</v>
      </c>
      <c r="DN17" s="4">
        <f>HYPERLINK("http://exon.niaid.nih.gov/transcriptome/C_felis/S1/links/cluster/cf-5-36-asb35-50-Id-CLU17.txt", 17)</f>
        <v>17</v>
      </c>
      <c r="DO17">
        <f>HYPERLINK("http://exon.niaid.nih.gov/transcriptome/C_felis/S1/links/cluster/cf-5-36-asb35-50-Id-CLTL17.txt", 3)</f>
        <v>3</v>
      </c>
      <c r="DP17" s="4">
        <f>HYPERLINK("http://exon.niaid.nih.gov/transcriptome/C_felis/S1/links/cluster/cf-5-36-asb40-50-Id-CLU16.txt", 16)</f>
        <v>16</v>
      </c>
      <c r="DQ17">
        <f>HYPERLINK("http://exon.niaid.nih.gov/transcriptome/C_felis/S1/links/cluster/cf-5-36-asb40-50-Id-CLTL16.txt", 3)</f>
        <v>3</v>
      </c>
      <c r="DR17" s="4">
        <v>115</v>
      </c>
      <c r="DS17">
        <v>1</v>
      </c>
      <c r="DT17" s="4">
        <v>113</v>
      </c>
      <c r="DU17">
        <v>1</v>
      </c>
      <c r="DV17" s="4">
        <v>122</v>
      </c>
      <c r="DW17">
        <v>1</v>
      </c>
      <c r="DX17" s="4">
        <v>124</v>
      </c>
      <c r="DY17">
        <v>1</v>
      </c>
      <c r="DZ17" s="4">
        <v>124</v>
      </c>
      <c r="EA17">
        <v>1</v>
      </c>
      <c r="EB17" s="4">
        <v>127</v>
      </c>
      <c r="EC17">
        <v>1</v>
      </c>
      <c r="ED17" s="4">
        <v>128</v>
      </c>
      <c r="EE17">
        <v>1</v>
      </c>
      <c r="EF17" s="4">
        <v>125</v>
      </c>
      <c r="EG17">
        <v>1</v>
      </c>
      <c r="EH17" s="4">
        <v>122</v>
      </c>
      <c r="EI17">
        <v>1</v>
      </c>
      <c r="EJ17" s="4">
        <v>123</v>
      </c>
      <c r="EK17">
        <v>1</v>
      </c>
    </row>
    <row r="18" spans="1:141" x14ac:dyDescent="0.2">
      <c r="A18" t="str">
        <f>HYPERLINK("http://exon.niaid.nih.gov/transcriptome/C_felis/S1/links/cf/cf-contig_148.txt","cf-contig_148")</f>
        <v>cf-contig_148</v>
      </c>
      <c r="B18">
        <v>2</v>
      </c>
      <c r="C18" s="10" t="s">
        <v>4607</v>
      </c>
      <c r="D18">
        <v>2</v>
      </c>
      <c r="E18" t="str">
        <f>HYPERLINK("http://exon.niaid.nih.gov/transcriptome/C_felis/S1/links/cf/cf-5-36-asb-148.txt","Contig-148")</f>
        <v>Contig-148</v>
      </c>
      <c r="F18" t="str">
        <f>HYPERLINK("http://exon.niaid.nih.gov/transcriptome/C_felis/S1/links/cf/cf-5-36-148-CLU.txt","Contig148")</f>
        <v>Contig148</v>
      </c>
      <c r="G18" t="str">
        <f>HYPERLINK("http://exon.niaid.nih.gov/transcriptome/C_felis/S1/links/cf/cf-5-36-148-qual.txt","74.4")</f>
        <v>74.4</v>
      </c>
      <c r="H18" t="s">
        <v>11</v>
      </c>
      <c r="I18">
        <v>74.599999999999994</v>
      </c>
      <c r="J18">
        <v>453</v>
      </c>
      <c r="K18" t="s">
        <v>12</v>
      </c>
      <c r="L18">
        <v>2</v>
      </c>
      <c r="M18" t="s">
        <v>161</v>
      </c>
      <c r="N18">
        <v>472</v>
      </c>
      <c r="O18">
        <v>472</v>
      </c>
      <c r="P18">
        <v>285</v>
      </c>
      <c r="Q18" t="s">
        <v>968</v>
      </c>
      <c r="R18">
        <v>1</v>
      </c>
      <c r="S18" s="7" t="s">
        <v>4585</v>
      </c>
      <c r="U18">
        <v>2</v>
      </c>
      <c r="V18" s="4">
        <f>HYPERLINK("http://exon.niaid.nih.gov/transcriptome/C_felis/S1/links/cluster/cf-5-36-asb30-50-Id-CLU18.txt", 18)</f>
        <v>18</v>
      </c>
      <c r="W18">
        <f>HYPERLINK("http://exon.niaid.nih.gov/transcriptome/C_felis/S1/links/cluster/cf-5-36-asb30-50-Id-CLTL18.txt", 3)</f>
        <v>3</v>
      </c>
      <c r="X18" s="4">
        <f>HYPERLINK("http://exon.niaid.nih.gov/transcriptome/C_felis/S1/links/cluster/cf-5-36-asb35-50-Id-CLU17.txt", 17)</f>
        <v>17</v>
      </c>
      <c r="Y18">
        <f>HYPERLINK("http://exon.niaid.nih.gov/transcriptome/C_felis/S1/links/cluster/cf-5-36-asb35-50-Id-CLTL17.txt", 3)</f>
        <v>3</v>
      </c>
      <c r="Z18" s="4">
        <f>HYPERLINK("http://exon.niaid.nih.gov/transcriptome/C_felis/S1/links/cluster/cf-5-36-asb40-50-Id-CLU16.txt", 16)</f>
        <v>16</v>
      </c>
      <c r="AA18">
        <f>HYPERLINK("http://exon.niaid.nih.gov/transcriptome/C_felis/S1/links/cluster/cf-5-36-asb40-50-Id-CLTL16.txt", 3)</f>
        <v>3</v>
      </c>
      <c r="AB18" s="4" t="str">
        <f>HYPERLINK("http://exon.niaid.nih.gov/transcriptome/C_felis/S1/links/XC-ASB/cf-contig_169-XC-ASB.txt","XC-contig_78")</f>
        <v>XC-contig_78</v>
      </c>
      <c r="AC18">
        <v>2.9999999999999997E-4</v>
      </c>
      <c r="AD18" s="10" t="s">
        <v>4607</v>
      </c>
      <c r="AE18" t="s">
        <v>4641</v>
      </c>
      <c r="AF18" t="str">
        <f>HYPERLINK("http://exon.niaid.nih.gov/transcriptome/C_felis/S1/links/KOG/cf-contig_148-KOG.txt","KOG")</f>
        <v>KOG</v>
      </c>
      <c r="AG18">
        <v>3.0000000000000001E-6</v>
      </c>
      <c r="AH18">
        <v>18</v>
      </c>
      <c r="AI18" s="4" t="str">
        <f>HYPERLINK("http://exon.niaid.nih.gov/transcriptome/C_felis/S1/links/NR/cf-contig_148-NR.txt","hypothetical protein TRIADDRAFT_52339")</f>
        <v>hypothetical protein TRIADDRAFT_52339</v>
      </c>
      <c r="AJ18" t="str">
        <f>HYPERLINK("http://www.ncbi.nlm.nih.gov/sutils/blink.cgi?pid=195996575","3E-004")</f>
        <v>3E-004</v>
      </c>
      <c r="AK18" t="str">
        <f>HYPERLINK("http://www.ncbi.nlm.nih.gov/protein/195996575","gi|195996575")</f>
        <v>gi|195996575</v>
      </c>
      <c r="AL18">
        <v>48.9</v>
      </c>
      <c r="AM18">
        <v>69</v>
      </c>
      <c r="AN18">
        <v>317</v>
      </c>
      <c r="AO18">
        <v>31</v>
      </c>
      <c r="AP18">
        <v>22</v>
      </c>
      <c r="AQ18">
        <v>51</v>
      </c>
      <c r="AR18">
        <v>1</v>
      </c>
      <c r="AS18">
        <v>248</v>
      </c>
      <c r="AT18">
        <v>61</v>
      </c>
      <c r="AU18">
        <v>1</v>
      </c>
      <c r="AV18">
        <v>1</v>
      </c>
      <c r="AW18" t="s">
        <v>12</v>
      </c>
      <c r="AY18" t="s">
        <v>1676</v>
      </c>
      <c r="AZ18" t="s">
        <v>2236</v>
      </c>
      <c r="BA18" s="4" t="str">
        <f>HYPERLINK("http://exon.niaid.nih.gov/transcriptome/C_felis/S1/links/SWISSP/cf-contig_148-SWISSP.txt","Testicular acid phosphatase homolog")</f>
        <v>Testicular acid phosphatase homolog</v>
      </c>
      <c r="BB18" t="str">
        <f>HYPERLINK("http://www.uniprot.org/uniprot/Q3KQG9","0.025")</f>
        <v>0.025</v>
      </c>
      <c r="BC18" t="s">
        <v>1951</v>
      </c>
      <c r="BD18">
        <v>38.1</v>
      </c>
      <c r="BE18">
        <v>66</v>
      </c>
      <c r="BF18">
        <v>420</v>
      </c>
      <c r="BG18">
        <v>32</v>
      </c>
      <c r="BH18">
        <v>16</v>
      </c>
      <c r="BI18">
        <v>47</v>
      </c>
      <c r="BJ18">
        <v>2</v>
      </c>
      <c r="BK18">
        <v>304</v>
      </c>
      <c r="BL18">
        <v>61</v>
      </c>
      <c r="BM18">
        <v>1</v>
      </c>
      <c r="BN18">
        <v>1</v>
      </c>
      <c r="BO18" t="s">
        <v>12</v>
      </c>
      <c r="BQ18" t="s">
        <v>1676</v>
      </c>
      <c r="BR18" t="s">
        <v>1832</v>
      </c>
      <c r="BS18" s="4" t="str">
        <f>HYPERLINK("http://exon.niaid.nih.gov/transcriptome/C_felis/S1/links/CDD/cf-contig_148-CDD.txt","ND4")</f>
        <v>ND4</v>
      </c>
      <c r="BT18" t="str">
        <f>HYPERLINK("http://www.ncbi.nlm.nih.gov/Structure/cdd/cddsrv.cgi?uid=MTH00094&amp;version=v4.0","8E-006")</f>
        <v>8E-006</v>
      </c>
      <c r="BU18" t="s">
        <v>2237</v>
      </c>
      <c r="BV18" s="4" t="s">
        <v>42</v>
      </c>
      <c r="BW18" t="s">
        <v>42</v>
      </c>
      <c r="BX18" t="s">
        <v>42</v>
      </c>
      <c r="BY18" t="s">
        <v>42</v>
      </c>
      <c r="BZ18" t="s">
        <v>42</v>
      </c>
      <c r="CA18" t="s">
        <v>42</v>
      </c>
      <c r="CB18" t="s">
        <v>42</v>
      </c>
      <c r="CC18" t="s">
        <v>42</v>
      </c>
      <c r="CD18" t="s">
        <v>42</v>
      </c>
      <c r="CE18" t="s">
        <v>42</v>
      </c>
      <c r="CF18" t="s">
        <v>42</v>
      </c>
      <c r="CG18" t="s">
        <v>42</v>
      </c>
      <c r="CH18" t="s">
        <v>42</v>
      </c>
      <c r="CI18" t="s">
        <v>42</v>
      </c>
      <c r="CJ18" t="s">
        <v>42</v>
      </c>
      <c r="CK18" t="s">
        <v>42</v>
      </c>
      <c r="CL18" t="s">
        <v>42</v>
      </c>
      <c r="CM18" t="s">
        <v>42</v>
      </c>
      <c r="CN18" t="s">
        <v>42</v>
      </c>
      <c r="CO18" t="s">
        <v>42</v>
      </c>
      <c r="CP18" t="s">
        <v>42</v>
      </c>
      <c r="CQ18" t="s">
        <v>42</v>
      </c>
      <c r="CR18" t="s">
        <v>42</v>
      </c>
      <c r="CS18" s="4" t="str">
        <f>HYPERLINK("http://exon.niaid.nih.gov/transcriptome/C_felis/S1/links/KOG/cf-contig_148-KOG.txt","Lysosomal &amp; prostatic acid phosphatases")</f>
        <v>Lysosomal &amp; prostatic acid phosphatases</v>
      </c>
      <c r="CT18" t="str">
        <f>HYPERLINK("http://www.ncbi.nlm.nih.gov/COG/grace/shokog.cgi?KOG3720","3E-006")</f>
        <v>3E-006</v>
      </c>
      <c r="CU18" t="s">
        <v>1761</v>
      </c>
      <c r="CV18" s="4" t="str">
        <f>HYPERLINK("http://exon.niaid.nih.gov/transcriptome/C_felis/S1/links/PFAM/cf-contig_148-PFAM.txt","His_Phos_2")</f>
        <v>His_Phos_2</v>
      </c>
      <c r="CW18" t="str">
        <f>HYPERLINK("http://pfam.sanger.ac.uk/family?acc=PF00328","7E-005")</f>
        <v>7E-005</v>
      </c>
      <c r="CX18" s="4" t="str">
        <f>HYPERLINK("http://exon.niaid.nih.gov/transcriptome/C_felis/S1/links/SMART/cf-contig_148-SMART.txt","AgrB")</f>
        <v>AgrB</v>
      </c>
      <c r="CY18" t="str">
        <f>HYPERLINK("http://smart.embl-heidelberg.de/smart/do_annotation.pl?DOMAIN=AgrB&amp;BLAST=DUMMY","0.004")</f>
        <v>0.004</v>
      </c>
      <c r="CZ18" s="4" t="s">
        <v>42</v>
      </c>
      <c r="DA18" t="s">
        <v>42</v>
      </c>
      <c r="DB18" t="s">
        <v>42</v>
      </c>
      <c r="DC18" t="s">
        <v>42</v>
      </c>
      <c r="DD18" t="s">
        <v>42</v>
      </c>
      <c r="DE18" t="s">
        <v>42</v>
      </c>
      <c r="DF18" t="s">
        <v>42</v>
      </c>
      <c r="DG18" t="s">
        <v>42</v>
      </c>
      <c r="DH18" s="4" t="s">
        <v>42</v>
      </c>
      <c r="DI18" t="s">
        <v>42</v>
      </c>
      <c r="DJ18" s="4" t="s">
        <v>42</v>
      </c>
      <c r="DK18" t="s">
        <v>42</v>
      </c>
      <c r="DL18" s="4">
        <f>HYPERLINK("http://exon.niaid.nih.gov/transcriptome/C_felis/S1/links/cluster/cf-5-36-asb30-50-Id-CLU18.txt", 18)</f>
        <v>18</v>
      </c>
      <c r="DM18">
        <f>HYPERLINK("http://exon.niaid.nih.gov/transcriptome/C_felis/S1/links/cluster/cf-5-36-asb30-50-Id-CLTL18.txt", 3)</f>
        <v>3</v>
      </c>
      <c r="DN18" s="4">
        <f>HYPERLINK("http://exon.niaid.nih.gov/transcriptome/C_felis/S1/links/cluster/cf-5-36-asb35-50-Id-CLU17.txt", 17)</f>
        <v>17</v>
      </c>
      <c r="DO18">
        <f>HYPERLINK("http://exon.niaid.nih.gov/transcriptome/C_felis/S1/links/cluster/cf-5-36-asb35-50-Id-CLTL17.txt", 3)</f>
        <v>3</v>
      </c>
      <c r="DP18" s="4">
        <f>HYPERLINK("http://exon.niaid.nih.gov/transcriptome/C_felis/S1/links/cluster/cf-5-36-asb40-50-Id-CLU16.txt", 16)</f>
        <v>16</v>
      </c>
      <c r="DQ18">
        <f>HYPERLINK("http://exon.niaid.nih.gov/transcriptome/C_felis/S1/links/cluster/cf-5-36-asb40-50-Id-CLTL16.txt", 3)</f>
        <v>3</v>
      </c>
      <c r="DR18" s="4">
        <v>130</v>
      </c>
      <c r="DS18">
        <v>1</v>
      </c>
      <c r="DT18" s="4">
        <v>129</v>
      </c>
      <c r="DU18">
        <v>1</v>
      </c>
      <c r="DV18" s="4">
        <v>139</v>
      </c>
      <c r="DW18">
        <v>1</v>
      </c>
      <c r="DX18" s="4">
        <v>141</v>
      </c>
      <c r="DY18">
        <v>1</v>
      </c>
      <c r="DZ18" s="4">
        <v>141</v>
      </c>
      <c r="EA18">
        <v>1</v>
      </c>
      <c r="EB18" s="4">
        <v>146</v>
      </c>
      <c r="EC18">
        <v>1</v>
      </c>
      <c r="ED18" s="4">
        <v>147</v>
      </c>
      <c r="EE18">
        <v>1</v>
      </c>
      <c r="EF18" s="4">
        <v>146</v>
      </c>
      <c r="EG18">
        <v>1</v>
      </c>
      <c r="EH18" s="4">
        <v>145</v>
      </c>
      <c r="EI18">
        <v>1</v>
      </c>
      <c r="EJ18" s="4">
        <v>148</v>
      </c>
      <c r="EK18">
        <v>1</v>
      </c>
    </row>
    <row r="19" spans="1:141" x14ac:dyDescent="0.2">
      <c r="A19" t="str">
        <f>HYPERLINK("http://exon.niaid.nih.gov/transcriptome/C_felis/S1/links/cf/cf-contig_79.txt","cf-contig_79")</f>
        <v>cf-contig_79</v>
      </c>
      <c r="B19">
        <v>13</v>
      </c>
      <c r="C19" s="10" t="s">
        <v>4607</v>
      </c>
      <c r="D19">
        <v>13</v>
      </c>
      <c r="E19" t="str">
        <f>HYPERLINK("http://exon.niaid.nih.gov/transcriptome/C_felis/S1/links/cf/cf-5-36-asb-79.txt","Contig-79")</f>
        <v>Contig-79</v>
      </c>
      <c r="F19" t="str">
        <f>HYPERLINK("http://exon.niaid.nih.gov/transcriptome/C_felis/S1/links/cf/cf-5-36-79-CLU.txt","Contig79")</f>
        <v>Contig79</v>
      </c>
      <c r="G19" t="str">
        <f>HYPERLINK("http://exon.niaid.nih.gov/transcriptome/C_felis/S1/links/cf/cf-5-36-79-qual.txt","86.8")</f>
        <v>86.8</v>
      </c>
      <c r="H19" t="s">
        <v>11</v>
      </c>
      <c r="I19">
        <v>68.3</v>
      </c>
      <c r="J19">
        <v>956</v>
      </c>
      <c r="K19" t="s">
        <v>12</v>
      </c>
      <c r="L19">
        <v>13</v>
      </c>
      <c r="M19" t="s">
        <v>92</v>
      </c>
      <c r="N19">
        <v>956</v>
      </c>
      <c r="O19">
        <v>991</v>
      </c>
      <c r="P19">
        <v>813</v>
      </c>
      <c r="Q19" t="s">
        <v>899</v>
      </c>
      <c r="R19">
        <v>1</v>
      </c>
      <c r="S19" s="7" t="str">
        <f>HYPERLINK("http://exon.niaid.nih.gov/transcriptome/C_felis/S1/links/Sigp/CF-CONTIG_79-SigP.txt","Cyt")</f>
        <v>Cyt</v>
      </c>
      <c r="U19">
        <v>13</v>
      </c>
      <c r="V19" s="4">
        <f>HYPERLINK("http://exon.niaid.nih.gov/transcriptome/C_felis/S1/links/cluster/cf-5-36-asb30-50-Id-CLU33.txt", 33)</f>
        <v>33</v>
      </c>
      <c r="W19">
        <f>HYPERLINK("http://exon.niaid.nih.gov/transcriptome/C_felis/S1/links/cluster/cf-5-36-asb30-50-Id-CLTL33.txt", 2)</f>
        <v>2</v>
      </c>
      <c r="X19" s="4">
        <v>106</v>
      </c>
      <c r="Y19">
        <v>1</v>
      </c>
      <c r="Z19" s="4">
        <v>101</v>
      </c>
      <c r="AA19">
        <v>1</v>
      </c>
      <c r="AB19" s="4" t="str">
        <f>HYPERLINK("http://exon.niaid.nih.gov/transcriptome/C_felis/S1/links/XC-ASB/cf-contig_766-XC-ASB.txt","XC-contig_7")</f>
        <v>XC-contig_7</v>
      </c>
      <c r="AC19">
        <v>4.9999999999999998E-24</v>
      </c>
      <c r="AD19" s="10" t="s">
        <v>4607</v>
      </c>
      <c r="AE19" t="s">
        <v>4599</v>
      </c>
      <c r="AF19" t="str">
        <f>HYPERLINK("http://exon.niaid.nih.gov/transcriptome/C_felis/S1/links/NR/cf-contig_79-NR.txt","NR")</f>
        <v>NR</v>
      </c>
      <c r="AG19" s="5">
        <v>3E-68</v>
      </c>
      <c r="AH19">
        <v>71.599999999999994</v>
      </c>
      <c r="AI19" s="4" t="str">
        <f>HYPERLINK("http://exon.niaid.nih.gov/transcriptome/C_felis/S1/links/NR/cf-contig_79-NR.txt","truncated secreted salivary acid phosphatase")</f>
        <v>truncated secreted salivary acid phosphatase</v>
      </c>
      <c r="AJ19" t="str">
        <f>HYPERLINK("http://www.ncbi.nlm.nih.gov/sutils/blink.cgi?pid=121511916","3E-068")</f>
        <v>3E-068</v>
      </c>
      <c r="AK19" t="str">
        <f>HYPERLINK("http://www.ncbi.nlm.nih.gov/protein/121511916","gi|121511916")</f>
        <v>gi|121511916</v>
      </c>
      <c r="AL19">
        <v>263</v>
      </c>
      <c r="AM19">
        <v>266</v>
      </c>
      <c r="AN19">
        <v>374</v>
      </c>
      <c r="AO19">
        <v>44</v>
      </c>
      <c r="AP19">
        <v>71</v>
      </c>
      <c r="AQ19">
        <v>148</v>
      </c>
      <c r="AR19">
        <v>0</v>
      </c>
      <c r="AS19">
        <v>107</v>
      </c>
      <c r="AT19">
        <v>7</v>
      </c>
      <c r="AU19">
        <v>1</v>
      </c>
      <c r="AV19">
        <v>1</v>
      </c>
      <c r="AW19" t="s">
        <v>12</v>
      </c>
      <c r="AY19" t="s">
        <v>1676</v>
      </c>
      <c r="AZ19" t="s">
        <v>1717</v>
      </c>
      <c r="BA19" s="4" t="str">
        <f>HYPERLINK("http://exon.niaid.nih.gov/transcriptome/C_felis/S1/links/SWISSP/cf-contig_79-SWISSP.txt","Testicular acid phosphatase homolog")</f>
        <v>Testicular acid phosphatase homolog</v>
      </c>
      <c r="BB19" t="str">
        <f>HYPERLINK("http://www.uniprot.org/uniprot/Q3KQG9","0.002")</f>
        <v>0.002</v>
      </c>
      <c r="BC19" t="s">
        <v>1951</v>
      </c>
      <c r="BD19">
        <v>43.9</v>
      </c>
      <c r="BE19">
        <v>184</v>
      </c>
      <c r="BF19">
        <v>420</v>
      </c>
      <c r="BG19">
        <v>25</v>
      </c>
      <c r="BH19">
        <v>44</v>
      </c>
      <c r="BI19">
        <v>147</v>
      </c>
      <c r="BJ19">
        <v>14</v>
      </c>
      <c r="BK19">
        <v>147</v>
      </c>
      <c r="BL19">
        <v>97</v>
      </c>
      <c r="BM19">
        <v>1</v>
      </c>
      <c r="BN19">
        <v>1</v>
      </c>
      <c r="BO19" t="s">
        <v>12</v>
      </c>
      <c r="BQ19" t="s">
        <v>1676</v>
      </c>
      <c r="BR19" t="s">
        <v>1832</v>
      </c>
      <c r="BS19" s="4" t="str">
        <f>HYPERLINK("http://exon.niaid.nih.gov/transcriptome/C_felis/S1/links/CDD/cf-contig_79-CDD.txt","His_Phos_2")</f>
        <v>His_Phos_2</v>
      </c>
      <c r="BT19" t="str">
        <f>HYPERLINK("http://www.ncbi.nlm.nih.gov/Structure/cdd/cddsrv.cgi?uid=pfam00328&amp;version=v4.0","3E-004")</f>
        <v>3E-004</v>
      </c>
      <c r="BU19" t="s">
        <v>1952</v>
      </c>
      <c r="BV19" s="4" t="s">
        <v>1844</v>
      </c>
      <c r="BW19">
        <f>HYPERLINK("http://exon.niaid.nih.gov/transcriptome/C_felis/S1/links/GO/cf-contig_79-GO.txt",0.0000001)</f>
        <v>9.9999999999999995E-8</v>
      </c>
      <c r="BX19" t="str">
        <f>HYPERLINK("http://amigo.geneontology.org/cgi-bin/amigo/term_details?term=GO:0003993","GO:0003993")</f>
        <v>GO:0003993</v>
      </c>
      <c r="BY19" t="s">
        <v>1835</v>
      </c>
      <c r="BZ19" t="s">
        <v>1836</v>
      </c>
      <c r="CA19" t="s">
        <v>1837</v>
      </c>
      <c r="CB19" t="str">
        <f>HYPERLINK("http://www.genome.jp/dbget-bin/www_bfind_sub?mode=bfind&amp;max_hit=1000&amp;dbkey=kegg&amp;keywords=EC:3.1.3.2","EC:3.1.3.2")</f>
        <v>EC:3.1.3.2</v>
      </c>
      <c r="CD19">
        <v>9.9999999999999995E-8</v>
      </c>
      <c r="CE19" t="str">
        <f>HYPERLINK("http://amigo.geneontology.org/cgi-bin/amigo/term_details?term=GO:0005575","GO:0005575")</f>
        <v>GO:0005575</v>
      </c>
      <c r="CF19" t="s">
        <v>1838</v>
      </c>
      <c r="CG19" t="s">
        <v>1839</v>
      </c>
      <c r="CH19" t="s">
        <v>1840</v>
      </c>
      <c r="CI19" t="s">
        <v>42</v>
      </c>
      <c r="CK19">
        <v>9.9999999999999995E-8</v>
      </c>
      <c r="CL19" t="s">
        <v>42</v>
      </c>
      <c r="CM19" t="s">
        <v>42</v>
      </c>
      <c r="CN19" t="s">
        <v>42</v>
      </c>
      <c r="CO19" t="s">
        <v>42</v>
      </c>
      <c r="CQ19" t="s">
        <v>42</v>
      </c>
      <c r="CR19" t="s">
        <v>42</v>
      </c>
      <c r="CS19" s="4" t="str">
        <f>HYPERLINK("http://exon.niaid.nih.gov/transcriptome/C_felis/S1/links/KOG/cf-contig_79-KOG.txt","Lysosomal &amp; prostatic acid phosphatases")</f>
        <v>Lysosomal &amp; prostatic acid phosphatases</v>
      </c>
      <c r="CT19" t="str">
        <f>HYPERLINK("http://www.ncbi.nlm.nih.gov/COG/grace/shokog.cgi?KOG3720","1E-009")</f>
        <v>1E-009</v>
      </c>
      <c r="CU19" t="s">
        <v>1761</v>
      </c>
      <c r="CV19" s="4" t="str">
        <f>HYPERLINK("http://exon.niaid.nih.gov/transcriptome/C_felis/S1/links/PFAM/cf-contig_79-PFAM.txt","His_Phos_2")</f>
        <v>His_Phos_2</v>
      </c>
      <c r="CW19" t="str">
        <f>HYPERLINK("http://pfam.sanger.ac.uk/family?acc=PF00328","6E-005")</f>
        <v>6E-005</v>
      </c>
      <c r="CX19" s="4" t="str">
        <f>HYPERLINK("http://exon.niaid.nih.gov/transcriptome/C_felis/S1/links/SMART/cf-contig_79-SMART.txt","Alpha_kinase")</f>
        <v>Alpha_kinase</v>
      </c>
      <c r="CY19" t="str">
        <f>HYPERLINK("http://smart.embl-heidelberg.de/smart/do_annotation.pl?DOMAIN=Alpha_kinase&amp;BLAST=DUMMY","0.25")</f>
        <v>0.25</v>
      </c>
      <c r="CZ19" s="4" t="s">
        <v>42</v>
      </c>
      <c r="DA19" t="s">
        <v>42</v>
      </c>
      <c r="DB19" t="s">
        <v>42</v>
      </c>
      <c r="DC19" t="s">
        <v>42</v>
      </c>
      <c r="DD19" t="s">
        <v>42</v>
      </c>
      <c r="DE19" t="s">
        <v>42</v>
      </c>
      <c r="DF19" t="s">
        <v>42</v>
      </c>
      <c r="DG19" t="s">
        <v>42</v>
      </c>
      <c r="DH19" s="4" t="s">
        <v>42</v>
      </c>
      <c r="DI19" t="s">
        <v>42</v>
      </c>
      <c r="DJ19" s="4" t="s">
        <v>42</v>
      </c>
      <c r="DK19" t="s">
        <v>42</v>
      </c>
      <c r="DL19" s="4">
        <f>HYPERLINK("http://exon.niaid.nih.gov/transcriptome/C_felis/S1/links/cluster/cf-5-36-asb30-50-Id-CLU33.txt", 33)</f>
        <v>33</v>
      </c>
      <c r="DM19">
        <f>HYPERLINK("http://exon.niaid.nih.gov/transcriptome/C_felis/S1/links/cluster/cf-5-36-asb30-50-Id-CLTL33.txt", 2)</f>
        <v>2</v>
      </c>
      <c r="DN19" s="4">
        <v>106</v>
      </c>
      <c r="DO19">
        <v>1</v>
      </c>
      <c r="DP19" s="4">
        <v>101</v>
      </c>
      <c r="DQ19">
        <v>1</v>
      </c>
      <c r="DR19" s="4">
        <v>92</v>
      </c>
      <c r="DS19">
        <v>1</v>
      </c>
      <c r="DT19" s="4">
        <v>86</v>
      </c>
      <c r="DU19">
        <v>1</v>
      </c>
      <c r="DV19" s="4">
        <v>91</v>
      </c>
      <c r="DW19">
        <v>1</v>
      </c>
      <c r="DX19" s="4">
        <v>90</v>
      </c>
      <c r="DY19">
        <v>1</v>
      </c>
      <c r="DZ19" s="4">
        <v>88</v>
      </c>
      <c r="EA19">
        <v>1</v>
      </c>
      <c r="EB19" s="4">
        <v>88</v>
      </c>
      <c r="EC19">
        <v>1</v>
      </c>
      <c r="ED19" s="4">
        <v>89</v>
      </c>
      <c r="EE19">
        <v>1</v>
      </c>
      <c r="EF19" s="4">
        <v>86</v>
      </c>
      <c r="EG19">
        <v>1</v>
      </c>
      <c r="EH19" s="4">
        <v>81</v>
      </c>
      <c r="EI19">
        <v>1</v>
      </c>
      <c r="EJ19" s="4">
        <v>79</v>
      </c>
      <c r="EK19">
        <v>1</v>
      </c>
    </row>
    <row r="20" spans="1:141" x14ac:dyDescent="0.2">
      <c r="A20" t="str">
        <f>HYPERLINK("http://exon.niaid.nih.gov/transcriptome/C_felis/S1/links/cf/cf-contig_261.txt","cf-contig_261")</f>
        <v>cf-contig_261</v>
      </c>
      <c r="B20">
        <v>1</v>
      </c>
      <c r="C20" s="10" t="s">
        <v>4607</v>
      </c>
      <c r="D20">
        <v>1</v>
      </c>
      <c r="E20" t="str">
        <f>HYPERLINK("http://exon.niaid.nih.gov/transcriptome/C_felis/S1/links/cf/cf-5-36-asb-261.txt","Contig-261")</f>
        <v>Contig-261</v>
      </c>
      <c r="F20" t="str">
        <f>HYPERLINK("http://exon.niaid.nih.gov/transcriptome/C_felis/S1/links/cf/cf-5-36-261-CLU.txt","Contig261")</f>
        <v>Contig261</v>
      </c>
      <c r="G20" t="str">
        <f>HYPERLINK("http://exon.niaid.nih.gov/transcriptome/C_felis/S1/links/cf/cf-5-36-261-qual.txt","60.8")</f>
        <v>60.8</v>
      </c>
      <c r="H20" t="s">
        <v>11</v>
      </c>
      <c r="I20">
        <v>70.599999999999994</v>
      </c>
      <c r="J20">
        <v>631</v>
      </c>
      <c r="K20" t="s">
        <v>12</v>
      </c>
      <c r="L20">
        <v>1</v>
      </c>
      <c r="M20" t="s">
        <v>274</v>
      </c>
      <c r="N20">
        <v>631</v>
      </c>
      <c r="O20">
        <v>650</v>
      </c>
      <c r="P20">
        <v>480</v>
      </c>
      <c r="Q20" t="s">
        <v>1081</v>
      </c>
      <c r="R20">
        <v>3</v>
      </c>
      <c r="S20" s="7" t="str">
        <f>HYPERLINK("http://exon.niaid.nih.gov/transcriptome/C_felis/S1/links/Sigp/CF-CONTIG_261-SigP.txt","Cyt")</f>
        <v>Cyt</v>
      </c>
      <c r="U20">
        <v>1</v>
      </c>
      <c r="V20" s="4">
        <f>HYPERLINK("http://exon.niaid.nih.gov/transcriptome/C_felis/S1/links/cluster/cf-5-36-asb30-50-Id-CLU33.txt", 33)</f>
        <v>33</v>
      </c>
      <c r="W20">
        <f>HYPERLINK("http://exon.niaid.nih.gov/transcriptome/C_felis/S1/links/cluster/cf-5-36-asb30-50-Id-CLTL33.txt", 2)</f>
        <v>2</v>
      </c>
      <c r="X20" s="4">
        <v>212</v>
      </c>
      <c r="Y20">
        <v>1</v>
      </c>
      <c r="Z20" s="4">
        <v>210</v>
      </c>
      <c r="AA20">
        <v>1</v>
      </c>
      <c r="AB20" s="4" t="str">
        <f>HYPERLINK("http://exon.niaid.nih.gov/transcriptome/C_felis/S1/links/XC-ASB/cf-contig_358-XC-ASB.txt","XC-contig_27")</f>
        <v>XC-contig_27</v>
      </c>
      <c r="AC20">
        <v>2.0000000000000002E-15</v>
      </c>
      <c r="AD20" s="10" t="s">
        <v>4607</v>
      </c>
      <c r="AE20" t="s">
        <v>4599</v>
      </c>
      <c r="AF20" t="str">
        <f>HYPERLINK("http://exon.niaid.nih.gov/transcriptome/C_felis/S1/links/NR/cf-contig_261-NR.txt","NR")</f>
        <v>NR</v>
      </c>
      <c r="AG20" s="5">
        <v>1.9999999999999999E-39</v>
      </c>
      <c r="AH20">
        <v>42.7</v>
      </c>
      <c r="AI20" s="4" t="str">
        <f>HYPERLINK("http://exon.niaid.nih.gov/transcriptome/C_felis/S1/links/NR/cf-contig_261-NR.txt","truncated secreted salivary acid phosphatase")</f>
        <v>truncated secreted salivary acid phosphatase</v>
      </c>
      <c r="AJ20" t="str">
        <f>HYPERLINK("http://www.ncbi.nlm.nih.gov/sutils/blink.cgi?pid=121511916","2E-039")</f>
        <v>2E-039</v>
      </c>
      <c r="AK20" t="str">
        <f>HYPERLINK("http://www.ncbi.nlm.nih.gov/protein/121511916","gi|121511916")</f>
        <v>gi|121511916</v>
      </c>
      <c r="AL20">
        <v>166</v>
      </c>
      <c r="AM20">
        <v>158</v>
      </c>
      <c r="AN20">
        <v>374</v>
      </c>
      <c r="AO20">
        <v>48</v>
      </c>
      <c r="AP20">
        <v>43</v>
      </c>
      <c r="AQ20">
        <v>83</v>
      </c>
      <c r="AR20">
        <v>0</v>
      </c>
      <c r="AS20">
        <v>215</v>
      </c>
      <c r="AT20">
        <v>3</v>
      </c>
      <c r="AU20">
        <v>1</v>
      </c>
      <c r="AV20">
        <v>3</v>
      </c>
      <c r="AW20" t="s">
        <v>12</v>
      </c>
      <c r="AY20" t="s">
        <v>1676</v>
      </c>
      <c r="AZ20" t="s">
        <v>1717</v>
      </c>
      <c r="BA20" s="4" t="str">
        <f>HYPERLINK("http://exon.niaid.nih.gov/transcriptome/C_felis/S1/links/SWISSP/cf-contig_261-SWISSP.txt","Prostatic acid phosphatase")</f>
        <v>Prostatic acid phosphatase</v>
      </c>
      <c r="BB20" t="str">
        <f>HYPERLINK("http://www.uniprot.org/uniprot/P15309","0.93")</f>
        <v>0.93</v>
      </c>
      <c r="BC20" t="s">
        <v>2631</v>
      </c>
      <c r="BD20">
        <v>33.9</v>
      </c>
      <c r="BE20">
        <v>128</v>
      </c>
      <c r="BF20">
        <v>386</v>
      </c>
      <c r="BG20">
        <v>21</v>
      </c>
      <c r="BH20">
        <v>33</v>
      </c>
      <c r="BI20">
        <v>117</v>
      </c>
      <c r="BJ20">
        <v>3</v>
      </c>
      <c r="BK20">
        <v>239</v>
      </c>
      <c r="BL20">
        <v>21</v>
      </c>
      <c r="BM20">
        <v>1</v>
      </c>
      <c r="BN20">
        <v>3</v>
      </c>
      <c r="BO20" t="s">
        <v>12</v>
      </c>
      <c r="BQ20" t="s">
        <v>1676</v>
      </c>
      <c r="BR20" t="s">
        <v>1690</v>
      </c>
      <c r="BS20" s="4" t="str">
        <f>HYPERLINK("http://exon.niaid.nih.gov/transcriptome/C_felis/S1/links/CDD/cf-contig_261-CDD.txt","Srg")</f>
        <v>Srg</v>
      </c>
      <c r="BT20" t="str">
        <f>HYPERLINK("http://www.ncbi.nlm.nih.gov/Structure/cdd/cddsrv.cgi?uid=pfam02118&amp;version=v4.0","0.16")</f>
        <v>0.16</v>
      </c>
      <c r="BU20" t="s">
        <v>2632</v>
      </c>
      <c r="BV20" s="4" t="s">
        <v>42</v>
      </c>
      <c r="BW20" t="s">
        <v>42</v>
      </c>
      <c r="BX20" t="s">
        <v>42</v>
      </c>
      <c r="BY20" t="s">
        <v>42</v>
      </c>
      <c r="BZ20" t="s">
        <v>42</v>
      </c>
      <c r="CA20" t="s">
        <v>42</v>
      </c>
      <c r="CB20" t="s">
        <v>42</v>
      </c>
      <c r="CC20" t="s">
        <v>42</v>
      </c>
      <c r="CD20" t="s">
        <v>42</v>
      </c>
      <c r="CE20" t="s">
        <v>42</v>
      </c>
      <c r="CF20" t="s">
        <v>42</v>
      </c>
      <c r="CG20" t="s">
        <v>42</v>
      </c>
      <c r="CH20" t="s">
        <v>42</v>
      </c>
      <c r="CI20" t="s">
        <v>42</v>
      </c>
      <c r="CJ20" t="s">
        <v>42</v>
      </c>
      <c r="CK20" t="s">
        <v>42</v>
      </c>
      <c r="CL20" t="s">
        <v>42</v>
      </c>
      <c r="CM20" t="s">
        <v>42</v>
      </c>
      <c r="CN20" t="s">
        <v>42</v>
      </c>
      <c r="CO20" t="s">
        <v>42</v>
      </c>
      <c r="CP20" t="s">
        <v>42</v>
      </c>
      <c r="CQ20" t="s">
        <v>42</v>
      </c>
      <c r="CR20" t="s">
        <v>42</v>
      </c>
      <c r="CS20" s="4" t="str">
        <f>HYPERLINK("http://exon.niaid.nih.gov/transcriptome/C_felis/S1/links/KOG/cf-contig_261-KOG.txt","Lysosomal &amp; prostatic acid phosphatases")</f>
        <v>Lysosomal &amp; prostatic acid phosphatases</v>
      </c>
      <c r="CT20" t="str">
        <f>HYPERLINK("http://www.ncbi.nlm.nih.gov/COG/grace/shokog.cgi?KOG3720","4E-009")</f>
        <v>4E-009</v>
      </c>
      <c r="CU20" t="s">
        <v>1761</v>
      </c>
      <c r="CV20" s="4" t="str">
        <f>HYPERLINK("http://exon.niaid.nih.gov/transcriptome/C_felis/S1/links/PFAM/cf-contig_261-PFAM.txt","Srg")</f>
        <v>Srg</v>
      </c>
      <c r="CW20" t="str">
        <f>HYPERLINK("http://pfam.sanger.ac.uk/family?acc=PF02118","0.032")</f>
        <v>0.032</v>
      </c>
      <c r="CX20" s="4" t="str">
        <f>HYPERLINK("http://exon.niaid.nih.gov/transcriptome/C_felis/S1/links/SMART/cf-contig_261-SMART.txt","SERPIN")</f>
        <v>SERPIN</v>
      </c>
      <c r="CY20" t="str">
        <f>HYPERLINK("http://smart.embl-heidelberg.de/smart/do_annotation.pl?DOMAIN=SERPIN&amp;BLAST=DUMMY","0.38")</f>
        <v>0.38</v>
      </c>
      <c r="CZ20" s="4" t="s">
        <v>42</v>
      </c>
      <c r="DA20" t="s">
        <v>42</v>
      </c>
      <c r="DB20" t="s">
        <v>42</v>
      </c>
      <c r="DC20" t="s">
        <v>42</v>
      </c>
      <c r="DD20" t="s">
        <v>42</v>
      </c>
      <c r="DE20" t="s">
        <v>42</v>
      </c>
      <c r="DF20" t="s">
        <v>42</v>
      </c>
      <c r="DG20" t="s">
        <v>42</v>
      </c>
      <c r="DH20" s="4" t="s">
        <v>42</v>
      </c>
      <c r="DI20" t="s">
        <v>42</v>
      </c>
      <c r="DJ20" s="4" t="s">
        <v>42</v>
      </c>
      <c r="DK20" t="s">
        <v>42</v>
      </c>
      <c r="DL20" s="4">
        <f>HYPERLINK("http://exon.niaid.nih.gov/transcriptome/C_felis/S1/links/cluster/cf-5-36-asb30-50-Id-CLU33.txt", 33)</f>
        <v>33</v>
      </c>
      <c r="DM20">
        <f>HYPERLINK("http://exon.niaid.nih.gov/transcriptome/C_felis/S1/links/cluster/cf-5-36-asb30-50-Id-CLTL33.txt", 2)</f>
        <v>2</v>
      </c>
      <c r="DN20" s="4">
        <v>212</v>
      </c>
      <c r="DO20">
        <v>1</v>
      </c>
      <c r="DP20" s="4">
        <v>210</v>
      </c>
      <c r="DQ20">
        <v>1</v>
      </c>
      <c r="DR20" s="4">
        <v>219</v>
      </c>
      <c r="DS20">
        <v>1</v>
      </c>
      <c r="DT20" s="4">
        <v>225</v>
      </c>
      <c r="DU20">
        <v>1</v>
      </c>
      <c r="DV20" s="4">
        <v>237</v>
      </c>
      <c r="DW20">
        <v>1</v>
      </c>
      <c r="DX20" s="4">
        <v>239</v>
      </c>
      <c r="DY20">
        <v>1</v>
      </c>
      <c r="DZ20" s="4">
        <v>243</v>
      </c>
      <c r="EA20">
        <v>1</v>
      </c>
      <c r="EB20" s="4">
        <v>248</v>
      </c>
      <c r="EC20">
        <v>1</v>
      </c>
      <c r="ED20" s="4">
        <v>251</v>
      </c>
      <c r="EE20">
        <v>1</v>
      </c>
      <c r="EF20" s="4">
        <v>254</v>
      </c>
      <c r="EG20">
        <v>1</v>
      </c>
      <c r="EH20" s="4">
        <v>256</v>
      </c>
      <c r="EI20">
        <v>1</v>
      </c>
      <c r="EJ20" s="4">
        <v>261</v>
      </c>
      <c r="EK20">
        <v>1</v>
      </c>
    </row>
    <row r="21" spans="1:141" x14ac:dyDescent="0.2">
      <c r="A21" t="str">
        <f>HYPERLINK("http://exon.niaid.nih.gov/transcriptome/C_felis/S1/links/cf/cf-contig_220.txt","cf-contig_220")</f>
        <v>cf-contig_220</v>
      </c>
      <c r="B21">
        <v>3</v>
      </c>
      <c r="C21" s="10" t="s">
        <v>4607</v>
      </c>
      <c r="D21">
        <v>3</v>
      </c>
      <c r="E21" t="str">
        <f>HYPERLINK("http://exon.niaid.nih.gov/transcriptome/C_felis/S1/links/cf/cf-5-36-asb-220.txt","Contig-220")</f>
        <v>Contig-220</v>
      </c>
      <c r="F21" t="str">
        <f>HYPERLINK("http://exon.niaid.nih.gov/transcriptome/C_felis/S1/links/cf/cf-5-36-220-CLU.txt","Contig220")</f>
        <v>Contig220</v>
      </c>
      <c r="G21" t="str">
        <f>HYPERLINK("http://exon.niaid.nih.gov/transcriptome/C_felis/S1/links/cf/cf-5-36-220-qual.txt","76.1")</f>
        <v>76.1</v>
      </c>
      <c r="H21">
        <v>0.3</v>
      </c>
      <c r="I21">
        <v>69.5</v>
      </c>
      <c r="J21">
        <v>777</v>
      </c>
      <c r="K21" t="s">
        <v>12</v>
      </c>
      <c r="L21">
        <v>3</v>
      </c>
      <c r="M21" t="s">
        <v>233</v>
      </c>
      <c r="N21">
        <v>799</v>
      </c>
      <c r="O21">
        <v>796</v>
      </c>
      <c r="P21">
        <v>654</v>
      </c>
      <c r="Q21" t="s">
        <v>1040</v>
      </c>
      <c r="R21">
        <v>1</v>
      </c>
      <c r="S21" s="7" t="str">
        <f>HYPERLINK("http://exon.niaid.nih.gov/transcriptome/C_felis/S1/links/Sigp/CF-CONTIG_220-SigP.txt","Cyt")</f>
        <v>Cyt</v>
      </c>
      <c r="U21">
        <v>3</v>
      </c>
      <c r="V21" s="4">
        <v>178</v>
      </c>
      <c r="W21">
        <v>1</v>
      </c>
      <c r="X21" s="4">
        <v>181</v>
      </c>
      <c r="Y21">
        <v>1</v>
      </c>
      <c r="Z21" s="4">
        <v>179</v>
      </c>
      <c r="AA21">
        <v>1</v>
      </c>
      <c r="AB21" s="4" t="str">
        <f>HYPERLINK("http://exon.niaid.nih.gov/transcriptome/C_felis/S1/links/XC-ASB/cf-contig_13-XC-ASB.txt","XC-contig_2")</f>
        <v>XC-contig_2</v>
      </c>
      <c r="AC21">
        <v>6E-9</v>
      </c>
      <c r="AD21" s="10" t="s">
        <v>4607</v>
      </c>
      <c r="AE21" t="s">
        <v>4641</v>
      </c>
      <c r="AF21" t="str">
        <f>HYPERLINK("http://exon.niaid.nih.gov/transcriptome/C_felis/S1/links/KOG/cf-contig_220-KOG.txt","KOG")</f>
        <v>KOG</v>
      </c>
      <c r="AG21">
        <v>6E-9</v>
      </c>
      <c r="AH21">
        <v>45</v>
      </c>
      <c r="AI21" s="4" t="str">
        <f>HYPERLINK("http://exon.niaid.nih.gov/transcriptome/C_felis/S1/links/NR/cf-contig_220-NR.txt","venom acid phosphatase Acph-1-like")</f>
        <v>venom acid phosphatase Acph-1-like</v>
      </c>
      <c r="AJ21" t="str">
        <f>HYPERLINK("http://www.ncbi.nlm.nih.gov/sutils/blink.cgi?pid=328782963","1E-006")</f>
        <v>1E-006</v>
      </c>
      <c r="AK21" t="str">
        <f>HYPERLINK("http://www.ncbi.nlm.nih.gov/protein/328782963","gi|328782963")</f>
        <v>gi|328782963</v>
      </c>
      <c r="AL21">
        <v>58.5</v>
      </c>
      <c r="AM21">
        <v>145</v>
      </c>
      <c r="AN21">
        <v>363</v>
      </c>
      <c r="AO21">
        <v>25</v>
      </c>
      <c r="AP21">
        <v>40</v>
      </c>
      <c r="AQ21">
        <v>119</v>
      </c>
      <c r="AR21">
        <v>0</v>
      </c>
      <c r="AS21">
        <v>161</v>
      </c>
      <c r="AT21">
        <v>64</v>
      </c>
      <c r="AU21">
        <v>1</v>
      </c>
      <c r="AV21">
        <v>1</v>
      </c>
      <c r="AW21" t="s">
        <v>12</v>
      </c>
      <c r="AY21" t="s">
        <v>1676</v>
      </c>
      <c r="AZ21" t="s">
        <v>2135</v>
      </c>
      <c r="BA21" s="4" t="str">
        <f>HYPERLINK("http://exon.niaid.nih.gov/transcriptome/C_felis/S1/links/SWISSP/cf-contig_220-SWISSP.txt","Testicular acid phosphatase homolog")</f>
        <v>Testicular acid phosphatase homolog</v>
      </c>
      <c r="BB21" t="str">
        <f>HYPERLINK("http://www.uniprot.org/uniprot/Q3KQG9","0.16")</f>
        <v>0.16</v>
      </c>
      <c r="BC21" t="s">
        <v>1951</v>
      </c>
      <c r="BD21">
        <v>37</v>
      </c>
      <c r="BE21">
        <v>142</v>
      </c>
      <c r="BF21">
        <v>420</v>
      </c>
      <c r="BG21">
        <v>23</v>
      </c>
      <c r="BH21">
        <v>34</v>
      </c>
      <c r="BI21">
        <v>118</v>
      </c>
      <c r="BJ21">
        <v>3</v>
      </c>
      <c r="BK21">
        <v>202</v>
      </c>
      <c r="BL21">
        <v>121</v>
      </c>
      <c r="BM21">
        <v>1</v>
      </c>
      <c r="BN21">
        <v>1</v>
      </c>
      <c r="BO21" t="s">
        <v>12</v>
      </c>
      <c r="BQ21" t="s">
        <v>1676</v>
      </c>
      <c r="BR21" t="s">
        <v>1832</v>
      </c>
      <c r="BS21" s="4" t="str">
        <f>HYPERLINK("http://exon.niaid.nih.gov/transcriptome/C_felis/S1/links/CDD/cf-contig_220-CDD.txt","Srg")</f>
        <v>Srg</v>
      </c>
      <c r="BT21" t="str">
        <f>HYPERLINK("http://www.ncbi.nlm.nih.gov/Structure/cdd/cddsrv.cgi?uid=pfam02118&amp;version=v4.0","0.009")</f>
        <v>0.009</v>
      </c>
      <c r="BU21" t="s">
        <v>2483</v>
      </c>
      <c r="BV21" s="4" t="s">
        <v>42</v>
      </c>
      <c r="BW21" t="s">
        <v>42</v>
      </c>
      <c r="BX21" t="s">
        <v>42</v>
      </c>
      <c r="BY21" t="s">
        <v>42</v>
      </c>
      <c r="BZ21" t="s">
        <v>42</v>
      </c>
      <c r="CA21" t="s">
        <v>42</v>
      </c>
      <c r="CB21" t="s">
        <v>42</v>
      </c>
      <c r="CC21" t="s">
        <v>42</v>
      </c>
      <c r="CD21" t="s">
        <v>42</v>
      </c>
      <c r="CE21" t="s">
        <v>42</v>
      </c>
      <c r="CF21" t="s">
        <v>42</v>
      </c>
      <c r="CG21" t="s">
        <v>42</v>
      </c>
      <c r="CH21" t="s">
        <v>42</v>
      </c>
      <c r="CI21" t="s">
        <v>42</v>
      </c>
      <c r="CJ21" t="s">
        <v>42</v>
      </c>
      <c r="CK21" t="s">
        <v>42</v>
      </c>
      <c r="CL21" t="s">
        <v>42</v>
      </c>
      <c r="CM21" t="s">
        <v>42</v>
      </c>
      <c r="CN21" t="s">
        <v>42</v>
      </c>
      <c r="CO21" t="s">
        <v>42</v>
      </c>
      <c r="CP21" t="s">
        <v>42</v>
      </c>
      <c r="CQ21" t="s">
        <v>42</v>
      </c>
      <c r="CR21" t="s">
        <v>42</v>
      </c>
      <c r="CS21" s="4" t="str">
        <f>HYPERLINK("http://exon.niaid.nih.gov/transcriptome/C_felis/S1/links/KOG/cf-contig_220-KOG.txt","Lysosomal &amp; prostatic acid phosphatases")</f>
        <v>Lysosomal &amp; prostatic acid phosphatases</v>
      </c>
      <c r="CT21" t="str">
        <f>HYPERLINK("http://www.ncbi.nlm.nih.gov/COG/grace/shokog.cgi?KOG3720","6E-009")</f>
        <v>6E-009</v>
      </c>
      <c r="CU21" t="s">
        <v>1761</v>
      </c>
      <c r="CV21" s="4" t="str">
        <f>HYPERLINK("http://exon.niaid.nih.gov/transcriptome/C_felis/S1/links/PFAM/cf-contig_220-PFAM.txt","Srg")</f>
        <v>Srg</v>
      </c>
      <c r="CW21" t="str">
        <f>HYPERLINK("http://pfam.sanger.ac.uk/family?acc=PF02118","0.002")</f>
        <v>0.002</v>
      </c>
      <c r="CX21" s="4" t="str">
        <f>HYPERLINK("http://exon.niaid.nih.gov/transcriptome/C_felis/S1/links/SMART/cf-contig_220-SMART.txt","AgrB")</f>
        <v>AgrB</v>
      </c>
      <c r="CY21" t="str">
        <f>HYPERLINK("http://smart.embl-heidelberg.de/smart/do_annotation.pl?DOMAIN=AgrB&amp;BLAST=DUMMY","0.059")</f>
        <v>0.059</v>
      </c>
      <c r="CZ21" s="4" t="s">
        <v>42</v>
      </c>
      <c r="DA21" t="s">
        <v>42</v>
      </c>
      <c r="DB21" t="s">
        <v>42</v>
      </c>
      <c r="DC21" t="s">
        <v>42</v>
      </c>
      <c r="DD21" t="s">
        <v>42</v>
      </c>
      <c r="DE21" t="s">
        <v>42</v>
      </c>
      <c r="DF21" t="s">
        <v>42</v>
      </c>
      <c r="DG21" t="s">
        <v>42</v>
      </c>
      <c r="DH21" s="4" t="s">
        <v>42</v>
      </c>
      <c r="DI21" t="s">
        <v>42</v>
      </c>
      <c r="DJ21" s="4" t="s">
        <v>42</v>
      </c>
      <c r="DK21" t="s">
        <v>42</v>
      </c>
      <c r="DL21" s="4">
        <v>178</v>
      </c>
      <c r="DM21">
        <v>1</v>
      </c>
      <c r="DN21" s="4">
        <v>181</v>
      </c>
      <c r="DO21">
        <v>1</v>
      </c>
      <c r="DP21" s="4">
        <v>179</v>
      </c>
      <c r="DQ21">
        <v>1</v>
      </c>
      <c r="DR21" s="4">
        <v>182</v>
      </c>
      <c r="DS21">
        <v>1</v>
      </c>
      <c r="DT21" s="4">
        <v>186</v>
      </c>
      <c r="DU21">
        <v>1</v>
      </c>
      <c r="DV21" s="4">
        <v>198</v>
      </c>
      <c r="DW21">
        <v>1</v>
      </c>
      <c r="DX21" s="4">
        <v>200</v>
      </c>
      <c r="DY21">
        <v>1</v>
      </c>
      <c r="DZ21" s="4">
        <v>202</v>
      </c>
      <c r="EA21">
        <v>1</v>
      </c>
      <c r="EB21" s="4">
        <v>207</v>
      </c>
      <c r="EC21">
        <v>1</v>
      </c>
      <c r="ED21" s="4">
        <v>210</v>
      </c>
      <c r="EE21">
        <v>1</v>
      </c>
      <c r="EF21" s="4">
        <v>213</v>
      </c>
      <c r="EG21">
        <v>1</v>
      </c>
      <c r="EH21" s="4">
        <v>215</v>
      </c>
      <c r="EI21">
        <v>1</v>
      </c>
      <c r="EJ21" s="4">
        <v>220</v>
      </c>
      <c r="EK21">
        <v>1</v>
      </c>
    </row>
    <row r="22" spans="1:141" x14ac:dyDescent="0.2">
      <c r="A22" t="str">
        <f>HYPERLINK("http://exon.niaid.nih.gov/transcriptome/C_felis/S1/links/cf/cf-contig_246.txt","cf-contig_246")</f>
        <v>cf-contig_246</v>
      </c>
      <c r="B22">
        <v>1</v>
      </c>
      <c r="C22" s="10" t="s">
        <v>4607</v>
      </c>
      <c r="D22">
        <v>1</v>
      </c>
      <c r="E22" t="str">
        <f>HYPERLINK("http://exon.niaid.nih.gov/transcriptome/C_felis/S1/links/cf/cf-5-36-asb-246.txt","Contig-246")</f>
        <v>Contig-246</v>
      </c>
      <c r="F22" t="str">
        <f>HYPERLINK("http://exon.niaid.nih.gov/transcriptome/C_felis/S1/links/cf/cf-5-36-246-CLU.txt","Contig246")</f>
        <v>Contig246</v>
      </c>
      <c r="G22" t="str">
        <f>HYPERLINK("http://exon.niaid.nih.gov/transcriptome/C_felis/S1/links/cf/cf-5-36-246-qual.txt","26.1")</f>
        <v>26.1</v>
      </c>
      <c r="H22" t="s">
        <v>11</v>
      </c>
      <c r="I22">
        <v>70.5</v>
      </c>
      <c r="J22">
        <v>868</v>
      </c>
      <c r="K22" t="s">
        <v>12</v>
      </c>
      <c r="L22">
        <v>1</v>
      </c>
      <c r="M22" t="s">
        <v>259</v>
      </c>
      <c r="N22">
        <v>868</v>
      </c>
      <c r="O22">
        <v>887</v>
      </c>
      <c r="P22">
        <v>684</v>
      </c>
      <c r="Q22" t="s">
        <v>1066</v>
      </c>
      <c r="R22">
        <v>2</v>
      </c>
      <c r="S22" s="7" t="str">
        <f>HYPERLINK("http://exon.niaid.nih.gov/transcriptome/C_felis/S1/links/Sigp/CF-CONTIG_246-SigP.txt","Anch")</f>
        <v>Anch</v>
      </c>
      <c r="U22">
        <v>1</v>
      </c>
      <c r="V22" s="4">
        <v>194</v>
      </c>
      <c r="W22">
        <v>1</v>
      </c>
      <c r="X22" s="4">
        <v>197</v>
      </c>
      <c r="Y22">
        <v>1</v>
      </c>
      <c r="Z22" s="4">
        <v>195</v>
      </c>
      <c r="AA22">
        <v>1</v>
      </c>
      <c r="AB22" s="4" t="str">
        <f>HYPERLINK("http://exon.niaid.nih.gov/transcriptome/C_felis/S1/links/XC-ASB/cf-contig_14-XC-ASB.txt","XC-contig_2")</f>
        <v>XC-contig_2</v>
      </c>
      <c r="AC22">
        <v>4.0000000000000002E-9</v>
      </c>
      <c r="AD22" s="10" t="s">
        <v>4607</v>
      </c>
      <c r="AE22" t="s">
        <v>4715</v>
      </c>
      <c r="AF22" t="str">
        <f>HYPERLINK("http://exon.niaid.nih.gov/transcriptome/C_felis/S1/links/KOG/cf-contig_246-KOG.txt","KOG")</f>
        <v>KOG</v>
      </c>
      <c r="AG22">
        <v>6E-9</v>
      </c>
      <c r="AH22">
        <v>48.9</v>
      </c>
      <c r="AI22" s="4" t="str">
        <f>HYPERLINK("http://exon.niaid.nih.gov/transcriptome/C_felis/S1/links/NR/cf-contig_246-NR.txt","secreted salivary acid phosphatase")</f>
        <v>secreted salivary acid phosphatase</v>
      </c>
      <c r="AJ22" t="str">
        <f>HYPERLINK("http://www.ncbi.nlm.nih.gov/sutils/blink.cgi?pid=121511918","4E-005")</f>
        <v>4E-005</v>
      </c>
      <c r="AK22" t="str">
        <f>HYPERLINK("http://www.ncbi.nlm.nih.gov/protein/121511918","gi|121511918")</f>
        <v>gi|121511918</v>
      </c>
      <c r="AL22">
        <v>53.5</v>
      </c>
      <c r="AM22">
        <v>192</v>
      </c>
      <c r="AN22">
        <v>380</v>
      </c>
      <c r="AO22">
        <v>21</v>
      </c>
      <c r="AP22">
        <v>51</v>
      </c>
      <c r="AQ22">
        <v>152</v>
      </c>
      <c r="AR22">
        <v>11</v>
      </c>
      <c r="AS22">
        <v>182</v>
      </c>
      <c r="AT22">
        <v>230</v>
      </c>
      <c r="AU22">
        <v>1</v>
      </c>
      <c r="AV22">
        <v>2</v>
      </c>
      <c r="AW22" t="s">
        <v>12</v>
      </c>
      <c r="AY22" t="s">
        <v>1676</v>
      </c>
      <c r="AZ22" t="s">
        <v>1717</v>
      </c>
      <c r="BA22" s="4" t="str">
        <f>HYPERLINK("http://exon.niaid.nih.gov/transcriptome/C_felis/S1/links/SWISSP/cf-contig_246-SWISSP.txt","Prostatic acid phosphatase")</f>
        <v>Prostatic acid phosphatase</v>
      </c>
      <c r="BB22" t="str">
        <f>HYPERLINK("http://www.uniprot.org/uniprot/Q8CE08","5E-004")</f>
        <v>5E-004</v>
      </c>
      <c r="BC22" t="s">
        <v>2598</v>
      </c>
      <c r="BD22">
        <v>45.4</v>
      </c>
      <c r="BE22">
        <v>142</v>
      </c>
      <c r="BF22">
        <v>381</v>
      </c>
      <c r="BG22">
        <v>21</v>
      </c>
      <c r="BH22">
        <v>38</v>
      </c>
      <c r="BI22">
        <v>120</v>
      </c>
      <c r="BJ22">
        <v>3</v>
      </c>
      <c r="BK22">
        <v>222</v>
      </c>
      <c r="BL22">
        <v>302</v>
      </c>
      <c r="BM22">
        <v>1</v>
      </c>
      <c r="BN22">
        <v>2</v>
      </c>
      <c r="BO22" t="s">
        <v>12</v>
      </c>
      <c r="BQ22" t="s">
        <v>1676</v>
      </c>
      <c r="BR22" t="s">
        <v>1705</v>
      </c>
      <c r="BS22" s="4" t="str">
        <f>HYPERLINK("http://exon.niaid.nih.gov/transcriptome/C_felis/S1/links/CDD/cf-contig_246-CDD.txt","PRK15294")</f>
        <v>PRK15294</v>
      </c>
      <c r="BT22" t="str">
        <f>HYPERLINK("http://www.ncbi.nlm.nih.gov/Structure/cdd/cddsrv.cgi?uid=PRK15294&amp;version=v4.0","0.17")</f>
        <v>0.17</v>
      </c>
      <c r="BU22" t="s">
        <v>2599</v>
      </c>
      <c r="BV22" s="4" t="s">
        <v>42</v>
      </c>
      <c r="BW22" t="s">
        <v>42</v>
      </c>
      <c r="BX22" t="s">
        <v>42</v>
      </c>
      <c r="BY22" t="s">
        <v>42</v>
      </c>
      <c r="BZ22" t="s">
        <v>42</v>
      </c>
      <c r="CA22" t="s">
        <v>42</v>
      </c>
      <c r="CB22" t="s">
        <v>42</v>
      </c>
      <c r="CC22" t="s">
        <v>42</v>
      </c>
      <c r="CD22" t="s">
        <v>42</v>
      </c>
      <c r="CE22" t="s">
        <v>42</v>
      </c>
      <c r="CF22" t="s">
        <v>42</v>
      </c>
      <c r="CG22" t="s">
        <v>42</v>
      </c>
      <c r="CH22" t="s">
        <v>42</v>
      </c>
      <c r="CI22" t="s">
        <v>42</v>
      </c>
      <c r="CJ22" t="s">
        <v>42</v>
      </c>
      <c r="CK22" t="s">
        <v>42</v>
      </c>
      <c r="CL22" t="s">
        <v>42</v>
      </c>
      <c r="CM22" t="s">
        <v>42</v>
      </c>
      <c r="CN22" t="s">
        <v>42</v>
      </c>
      <c r="CO22" t="s">
        <v>42</v>
      </c>
      <c r="CP22" t="s">
        <v>42</v>
      </c>
      <c r="CQ22" t="s">
        <v>42</v>
      </c>
      <c r="CR22" t="s">
        <v>42</v>
      </c>
      <c r="CS22" s="4" t="str">
        <f>HYPERLINK("http://exon.niaid.nih.gov/transcriptome/C_felis/S1/links/KOG/cf-contig_246-KOG.txt","Lysosomal &amp; prostatic acid phosphatases")</f>
        <v>Lysosomal &amp; prostatic acid phosphatases</v>
      </c>
      <c r="CT22" t="str">
        <f>HYPERLINK("http://www.ncbi.nlm.nih.gov/COG/grace/shokog.cgi?KOG3720","6E-009")</f>
        <v>6E-009</v>
      </c>
      <c r="CU22" t="s">
        <v>1761</v>
      </c>
      <c r="CV22" s="4" t="str">
        <f>HYPERLINK("http://exon.niaid.nih.gov/transcriptome/C_felis/S1/links/PFAM/cf-contig_246-PFAM.txt","Mem_trans")</f>
        <v>Mem_trans</v>
      </c>
      <c r="CW22" t="str">
        <f>HYPERLINK("http://pfam.sanger.ac.uk/family?acc=PF03547","0.038")</f>
        <v>0.038</v>
      </c>
      <c r="CX22" s="4" t="str">
        <f>HYPERLINK("http://exon.niaid.nih.gov/transcriptome/C_felis/S1/links/SMART/cf-contig_246-SMART.txt","HOLI")</f>
        <v>HOLI</v>
      </c>
      <c r="CY22" t="str">
        <f>HYPERLINK("http://smart.embl-heidelberg.de/smart/do_annotation.pl?DOMAIN=HOLI&amp;BLAST=DUMMY","0.13")</f>
        <v>0.13</v>
      </c>
      <c r="CZ22" s="4" t="s">
        <v>42</v>
      </c>
      <c r="DA22" t="s">
        <v>42</v>
      </c>
      <c r="DB22" t="s">
        <v>42</v>
      </c>
      <c r="DC22" t="s">
        <v>42</v>
      </c>
      <c r="DD22" t="s">
        <v>42</v>
      </c>
      <c r="DE22" t="s">
        <v>42</v>
      </c>
      <c r="DF22" t="s">
        <v>42</v>
      </c>
      <c r="DG22" t="s">
        <v>42</v>
      </c>
      <c r="DH22" s="4" t="s">
        <v>42</v>
      </c>
      <c r="DI22" t="s">
        <v>42</v>
      </c>
      <c r="DJ22" s="4" t="s">
        <v>42</v>
      </c>
      <c r="DK22" t="s">
        <v>42</v>
      </c>
      <c r="DL22" s="4">
        <v>194</v>
      </c>
      <c r="DM22">
        <v>1</v>
      </c>
      <c r="DN22" s="4">
        <v>197</v>
      </c>
      <c r="DO22">
        <v>1</v>
      </c>
      <c r="DP22" s="4">
        <v>195</v>
      </c>
      <c r="DQ22">
        <v>1</v>
      </c>
      <c r="DR22" s="4">
        <v>204</v>
      </c>
      <c r="DS22">
        <v>1</v>
      </c>
      <c r="DT22" s="4">
        <v>210</v>
      </c>
      <c r="DU22">
        <v>1</v>
      </c>
      <c r="DV22" s="4">
        <v>222</v>
      </c>
      <c r="DW22">
        <v>1</v>
      </c>
      <c r="DX22" s="4">
        <v>224</v>
      </c>
      <c r="DY22">
        <v>1</v>
      </c>
      <c r="DZ22" s="4">
        <v>228</v>
      </c>
      <c r="EA22">
        <v>1</v>
      </c>
      <c r="EB22" s="4">
        <v>233</v>
      </c>
      <c r="EC22">
        <v>1</v>
      </c>
      <c r="ED22" s="4">
        <v>236</v>
      </c>
      <c r="EE22">
        <v>1</v>
      </c>
      <c r="EF22" s="4">
        <v>239</v>
      </c>
      <c r="EG22">
        <v>1</v>
      </c>
      <c r="EH22" s="4">
        <v>241</v>
      </c>
      <c r="EI22">
        <v>1</v>
      </c>
      <c r="EJ22" s="4">
        <v>246</v>
      </c>
      <c r="EK22">
        <v>1</v>
      </c>
    </row>
    <row r="23" spans="1:141" x14ac:dyDescent="0.2">
      <c r="A23" t="str">
        <f>HYPERLINK("http://exon.niaid.nih.gov/transcriptome/C_felis/S1/links/cf/cf-contig_370.txt","cf-contig_370")</f>
        <v>cf-contig_370</v>
      </c>
      <c r="B23">
        <v>1</v>
      </c>
      <c r="C23" s="10" t="s">
        <v>4607</v>
      </c>
      <c r="D23">
        <v>1</v>
      </c>
      <c r="E23" t="str">
        <f>HYPERLINK("http://exon.niaid.nih.gov/transcriptome/C_felis/S1/links/cf/cf-5-36-asb-370.txt","Contig-370")</f>
        <v>Contig-370</v>
      </c>
      <c r="F23" t="str">
        <f>HYPERLINK("http://exon.niaid.nih.gov/transcriptome/C_felis/S1/links/cf/cf-5-36-370-CLU.txt","Contig370")</f>
        <v>Contig370</v>
      </c>
      <c r="G23" t="str">
        <f>HYPERLINK("http://exon.niaid.nih.gov/transcriptome/C_felis/S1/links/cf/cf-5-36-370-qual.txt","63.7")</f>
        <v>63.7</v>
      </c>
      <c r="H23" t="s">
        <v>11</v>
      </c>
      <c r="I23">
        <v>72.3</v>
      </c>
      <c r="J23">
        <v>462</v>
      </c>
      <c r="K23" t="s">
        <v>12</v>
      </c>
      <c r="L23">
        <v>1</v>
      </c>
      <c r="M23" t="s">
        <v>383</v>
      </c>
      <c r="N23">
        <v>462</v>
      </c>
      <c r="O23">
        <v>481</v>
      </c>
      <c r="P23">
        <v>393</v>
      </c>
      <c r="Q23" t="s">
        <v>1190</v>
      </c>
      <c r="R23">
        <v>2</v>
      </c>
      <c r="S23" s="7" t="s">
        <v>4585</v>
      </c>
      <c r="U23">
        <v>1</v>
      </c>
      <c r="V23" s="4">
        <v>299</v>
      </c>
      <c r="W23">
        <v>1</v>
      </c>
      <c r="X23" s="4">
        <v>306</v>
      </c>
      <c r="Y23">
        <v>1</v>
      </c>
      <c r="Z23" s="4">
        <v>307</v>
      </c>
      <c r="AA23">
        <v>1</v>
      </c>
      <c r="AB23" s="4" t="str">
        <f>HYPERLINK("http://exon.niaid.nih.gov/transcriptome/C_felis/S1/links/XC-ASB/cf-contig_47-XC-ASB.txt","XC-contig_7")</f>
        <v>XC-contig_7</v>
      </c>
      <c r="AC23">
        <v>3.0000000000000002E-53</v>
      </c>
      <c r="AD23" s="10" t="s">
        <v>4607</v>
      </c>
      <c r="AE23" t="s">
        <v>4641</v>
      </c>
      <c r="AF23" t="str">
        <f>HYPERLINK("http://exon.niaid.nih.gov/transcriptome/C_felis/S1/links/KOG/cf-contig_370-KOG.txt","KOG")</f>
        <v>KOG</v>
      </c>
      <c r="AG23">
        <v>6.0000000000000002E-6</v>
      </c>
      <c r="AH23">
        <v>28.4</v>
      </c>
      <c r="AI23" s="4" t="str">
        <f>HYPERLINK("http://exon.niaid.nih.gov/transcriptome/C_felis/S1/links/NR/cf-contig_370-NR.txt","venom acid phosphatase Acph-1-like")</f>
        <v>venom acid phosphatase Acph-1-like</v>
      </c>
      <c r="AJ23" t="str">
        <f>HYPERLINK("http://www.ncbi.nlm.nih.gov/sutils/blink.cgi?pid=328790726","0.007")</f>
        <v>0.007</v>
      </c>
      <c r="AK23" t="str">
        <f>HYPERLINK("http://www.ncbi.nlm.nih.gov/protein/328790726","gi|328790726")</f>
        <v>gi|328790726</v>
      </c>
      <c r="AL23">
        <v>44.3</v>
      </c>
      <c r="AM23">
        <v>98</v>
      </c>
      <c r="AN23">
        <v>361</v>
      </c>
      <c r="AO23">
        <v>27</v>
      </c>
      <c r="AP23">
        <v>27</v>
      </c>
      <c r="AQ23">
        <v>82</v>
      </c>
      <c r="AR23">
        <v>0</v>
      </c>
      <c r="AS23">
        <v>249</v>
      </c>
      <c r="AT23">
        <v>5</v>
      </c>
      <c r="AU23">
        <v>1</v>
      </c>
      <c r="AV23">
        <v>2</v>
      </c>
      <c r="AW23" t="s">
        <v>12</v>
      </c>
      <c r="AY23" t="s">
        <v>1676</v>
      </c>
      <c r="AZ23" t="s">
        <v>2135</v>
      </c>
      <c r="BA23" s="4" t="str">
        <f>HYPERLINK("http://exon.niaid.nih.gov/transcriptome/C_felis/S1/links/SWISSP/cf-contig_370-SWISSP.txt","DNA-directed RNA polymerase subunit beta'")</f>
        <v>DNA-directed RNA polymerase subunit beta'</v>
      </c>
      <c r="BB23" t="str">
        <f>HYPERLINK("http://www.uniprot.org/uniprot/A1QZH6","0.28")</f>
        <v>0.28</v>
      </c>
      <c r="BC23" t="s">
        <v>2973</v>
      </c>
      <c r="BD23">
        <v>34.700000000000003</v>
      </c>
      <c r="BE23">
        <v>60</v>
      </c>
      <c r="BF23">
        <v>1377</v>
      </c>
      <c r="BG23">
        <v>37</v>
      </c>
      <c r="BH23">
        <v>4</v>
      </c>
      <c r="BI23">
        <v>38</v>
      </c>
      <c r="BJ23">
        <v>0</v>
      </c>
      <c r="BK23">
        <v>246</v>
      </c>
      <c r="BL23">
        <v>2</v>
      </c>
      <c r="BM23">
        <v>1</v>
      </c>
      <c r="BN23">
        <v>2</v>
      </c>
      <c r="BO23" t="s">
        <v>12</v>
      </c>
      <c r="BQ23" t="s">
        <v>1676</v>
      </c>
      <c r="BR23" t="s">
        <v>2974</v>
      </c>
      <c r="BS23" s="4" t="str">
        <f>HYPERLINK("http://exon.niaid.nih.gov/transcriptome/C_felis/S1/links/CDD/cf-contig_370-CDD.txt","PRK07668")</f>
        <v>PRK07668</v>
      </c>
      <c r="BT23" t="str">
        <f>HYPERLINK("http://www.ncbi.nlm.nih.gov/Structure/cdd/cddsrv.cgi?uid=PRK07668&amp;version=v4.0","0.011")</f>
        <v>0.011</v>
      </c>
      <c r="BU23" t="s">
        <v>2975</v>
      </c>
      <c r="BV23" s="4" t="s">
        <v>42</v>
      </c>
      <c r="BW23" t="s">
        <v>42</v>
      </c>
      <c r="BX23" t="s">
        <v>42</v>
      </c>
      <c r="BY23" t="s">
        <v>42</v>
      </c>
      <c r="BZ23" t="s">
        <v>42</v>
      </c>
      <c r="CA23" t="s">
        <v>42</v>
      </c>
      <c r="CB23" t="s">
        <v>42</v>
      </c>
      <c r="CC23" t="s">
        <v>42</v>
      </c>
      <c r="CD23" t="s">
        <v>42</v>
      </c>
      <c r="CE23" t="s">
        <v>42</v>
      </c>
      <c r="CF23" t="s">
        <v>42</v>
      </c>
      <c r="CG23" t="s">
        <v>42</v>
      </c>
      <c r="CH23" t="s">
        <v>42</v>
      </c>
      <c r="CI23" t="s">
        <v>42</v>
      </c>
      <c r="CJ23" t="s">
        <v>42</v>
      </c>
      <c r="CK23" t="s">
        <v>42</v>
      </c>
      <c r="CL23" t="s">
        <v>42</v>
      </c>
      <c r="CM23" t="s">
        <v>42</v>
      </c>
      <c r="CN23" t="s">
        <v>42</v>
      </c>
      <c r="CO23" t="s">
        <v>42</v>
      </c>
      <c r="CP23" t="s">
        <v>42</v>
      </c>
      <c r="CQ23" t="s">
        <v>42</v>
      </c>
      <c r="CR23" t="s">
        <v>42</v>
      </c>
      <c r="CS23" s="4" t="str">
        <f>HYPERLINK("http://exon.niaid.nih.gov/transcriptome/C_felis/S1/links/KOG/cf-contig_370-KOG.txt","Lysosomal &amp; prostatic acid phosphatases")</f>
        <v>Lysosomal &amp; prostatic acid phosphatases</v>
      </c>
      <c r="CT23" t="str">
        <f>HYPERLINK("http://www.ncbi.nlm.nih.gov/COG/grace/shokog.cgi?KOG3720","6E-006")</f>
        <v>6E-006</v>
      </c>
      <c r="CU23" t="s">
        <v>1761</v>
      </c>
      <c r="CV23" s="4" t="str">
        <f>HYPERLINK("http://exon.niaid.nih.gov/transcriptome/C_felis/S1/links/PFAM/cf-contig_370-PFAM.txt","GpcrRhopsn4")</f>
        <v>GpcrRhopsn4</v>
      </c>
      <c r="CW23" t="str">
        <f>HYPERLINK("http://pfam.sanger.ac.uk/family?acc=PF10192","0.006")</f>
        <v>0.006</v>
      </c>
      <c r="CX23" s="4" t="str">
        <f>HYPERLINK("http://exon.niaid.nih.gov/transcriptome/C_felis/S1/links/SMART/cf-contig_370-SMART.txt","ZnF_CHCC")</f>
        <v>ZnF_CHCC</v>
      </c>
      <c r="CY23" t="str">
        <f>HYPERLINK("http://smart.embl-heidelberg.de/smart/do_annotation.pl?DOMAIN=ZnF_CHCC&amp;BLAST=DUMMY","0.015")</f>
        <v>0.015</v>
      </c>
      <c r="CZ23" s="4" t="s">
        <v>42</v>
      </c>
      <c r="DA23" t="s">
        <v>42</v>
      </c>
      <c r="DB23" t="s">
        <v>42</v>
      </c>
      <c r="DC23" t="s">
        <v>42</v>
      </c>
      <c r="DD23" t="s">
        <v>42</v>
      </c>
      <c r="DE23" t="s">
        <v>42</v>
      </c>
      <c r="DF23" t="s">
        <v>42</v>
      </c>
      <c r="DG23" t="s">
        <v>42</v>
      </c>
      <c r="DH23" s="4" t="s">
        <v>42</v>
      </c>
      <c r="DI23" t="s">
        <v>42</v>
      </c>
      <c r="DJ23" s="4" t="s">
        <v>42</v>
      </c>
      <c r="DK23" t="s">
        <v>42</v>
      </c>
      <c r="DL23" s="4">
        <v>299</v>
      </c>
      <c r="DM23">
        <v>1</v>
      </c>
      <c r="DN23" s="4">
        <v>306</v>
      </c>
      <c r="DO23">
        <v>1</v>
      </c>
      <c r="DP23" s="4">
        <v>307</v>
      </c>
      <c r="DQ23">
        <v>1</v>
      </c>
      <c r="DR23" s="4">
        <v>318</v>
      </c>
      <c r="DS23">
        <v>1</v>
      </c>
      <c r="DT23" s="4">
        <v>328</v>
      </c>
      <c r="DU23">
        <v>1</v>
      </c>
      <c r="DV23" s="4">
        <v>341</v>
      </c>
      <c r="DW23">
        <v>1</v>
      </c>
      <c r="DX23" s="4">
        <v>344</v>
      </c>
      <c r="DY23">
        <v>1</v>
      </c>
      <c r="DZ23" s="4">
        <v>349</v>
      </c>
      <c r="EA23">
        <v>1</v>
      </c>
      <c r="EB23" s="4">
        <v>354</v>
      </c>
      <c r="EC23">
        <v>1</v>
      </c>
      <c r="ED23" s="4">
        <v>358</v>
      </c>
      <c r="EE23">
        <v>1</v>
      </c>
      <c r="EF23" s="4">
        <v>363</v>
      </c>
      <c r="EG23">
        <v>1</v>
      </c>
      <c r="EH23" s="4">
        <v>365</v>
      </c>
      <c r="EI23">
        <v>1</v>
      </c>
      <c r="EJ23" s="4">
        <v>370</v>
      </c>
      <c r="EK23">
        <v>1</v>
      </c>
    </row>
    <row r="24" spans="1:141" x14ac:dyDescent="0.2">
      <c r="A24" t="str">
        <f>HYPERLINK("http://exon.niaid.nih.gov/transcriptome/C_felis/S1/links/cf/cf-contig_609.txt","cf-contig_609")</f>
        <v>cf-contig_609</v>
      </c>
      <c r="B24">
        <v>1</v>
      </c>
      <c r="C24" s="10" t="s">
        <v>4607</v>
      </c>
      <c r="D24">
        <v>1</v>
      </c>
      <c r="E24" t="str">
        <f>HYPERLINK("http://exon.niaid.nih.gov/transcriptome/C_felis/S1/links/cf/cf-5-36-asb-609.txt","Contig-609")</f>
        <v>Contig-609</v>
      </c>
      <c r="F24" t="str">
        <f>HYPERLINK("http://exon.niaid.nih.gov/transcriptome/C_felis/S1/links/cf/cf-5-36-609-CLU.txt","Contig609")</f>
        <v>Contig609</v>
      </c>
      <c r="G24" t="str">
        <f>HYPERLINK("http://exon.niaid.nih.gov/transcriptome/C_felis/S1/links/cf/cf-5-36-609-qual.txt","42.7")</f>
        <v>42.7</v>
      </c>
      <c r="H24" t="s">
        <v>11</v>
      </c>
      <c r="I24">
        <v>67.7</v>
      </c>
      <c r="J24">
        <v>566</v>
      </c>
      <c r="K24" t="s">
        <v>12</v>
      </c>
      <c r="L24">
        <v>1</v>
      </c>
      <c r="M24" t="s">
        <v>622</v>
      </c>
      <c r="N24">
        <v>566</v>
      </c>
      <c r="O24">
        <v>585</v>
      </c>
      <c r="P24">
        <v>333</v>
      </c>
      <c r="Q24" t="s">
        <v>1428</v>
      </c>
      <c r="R24">
        <v>3</v>
      </c>
      <c r="S24" s="7" t="str">
        <f>HYPERLINK("http://exon.niaid.nih.gov/transcriptome/C_felis/S1/links/Sigp/CF-CONTIG_609-SigP.txt","Cyt")</f>
        <v>Cyt</v>
      </c>
      <c r="U24">
        <v>1</v>
      </c>
      <c r="V24" s="4">
        <v>495</v>
      </c>
      <c r="W24">
        <v>1</v>
      </c>
      <c r="X24" s="4">
        <v>507</v>
      </c>
      <c r="Y24">
        <v>1</v>
      </c>
      <c r="Z24" s="4">
        <v>517</v>
      </c>
      <c r="AA24">
        <v>1</v>
      </c>
      <c r="AB24" s="4" t="str">
        <f>HYPERLINK("http://exon.niaid.nih.gov/transcriptome/C_felis/S1/links/XC-ASB/cf-contig_83-XC-ASB.txt","XC-contig_150")</f>
        <v>XC-contig_150</v>
      </c>
      <c r="AC24">
        <v>1E-3</v>
      </c>
      <c r="AD24" s="10" t="s">
        <v>4607</v>
      </c>
      <c r="AE24" t="s">
        <v>4599</v>
      </c>
      <c r="AF24" t="str">
        <f>HYPERLINK("http://exon.niaid.nih.gov/transcriptome/C_felis/S1/links/NR/cf-contig_609-NR.txt","NR")</f>
        <v>NR</v>
      </c>
      <c r="AG24">
        <v>2E-8</v>
      </c>
      <c r="AH24">
        <v>16.899999999999999</v>
      </c>
      <c r="AI24" s="4" t="str">
        <f>HYPERLINK("http://exon.niaid.nih.gov/transcriptome/C_felis/S1/links/NR/cf-contig_609-NR.txt","secreted acid phosphatase")</f>
        <v>secreted acid phosphatase</v>
      </c>
      <c r="AJ24" t="str">
        <f>HYPERLINK("http://www.ncbi.nlm.nih.gov/sutils/blink.cgi?pid=121511904","2E-008")</f>
        <v>2E-008</v>
      </c>
      <c r="AK24" t="str">
        <f>HYPERLINK("http://www.ncbi.nlm.nih.gov/protein/121511904","gi|121511904")</f>
        <v>gi|121511904</v>
      </c>
      <c r="AL24">
        <v>63.5</v>
      </c>
      <c r="AM24">
        <v>71</v>
      </c>
      <c r="AN24">
        <v>436</v>
      </c>
      <c r="AO24">
        <v>37</v>
      </c>
      <c r="AP24">
        <v>17</v>
      </c>
      <c r="AQ24">
        <v>46</v>
      </c>
      <c r="AR24">
        <v>0</v>
      </c>
      <c r="AS24">
        <v>362</v>
      </c>
      <c r="AT24">
        <v>183</v>
      </c>
      <c r="AU24">
        <v>1</v>
      </c>
      <c r="AV24">
        <v>3</v>
      </c>
      <c r="AW24" t="s">
        <v>12</v>
      </c>
      <c r="AY24" t="s">
        <v>1676</v>
      </c>
      <c r="AZ24" t="s">
        <v>1717</v>
      </c>
      <c r="BA24" s="4" t="str">
        <f>HYPERLINK("http://exon.niaid.nih.gov/transcriptome/C_felis/S1/links/SWISSP/cf-contig_609-SWISSP.txt","Putative acid phosphatase 5")</f>
        <v>Putative acid phosphatase 5</v>
      </c>
      <c r="BB24" t="str">
        <f>HYPERLINK("http://www.uniprot.org/uniprot/Q10944","1.3")</f>
        <v>1.3</v>
      </c>
      <c r="BC24" t="s">
        <v>3920</v>
      </c>
      <c r="BD24">
        <v>33.1</v>
      </c>
      <c r="BE24">
        <v>73</v>
      </c>
      <c r="BF24">
        <v>422</v>
      </c>
      <c r="BG24">
        <v>27</v>
      </c>
      <c r="BH24">
        <v>18</v>
      </c>
      <c r="BI24">
        <v>57</v>
      </c>
      <c r="BJ24">
        <v>1</v>
      </c>
      <c r="BK24">
        <v>297</v>
      </c>
      <c r="BL24">
        <v>198</v>
      </c>
      <c r="BM24">
        <v>1</v>
      </c>
      <c r="BN24">
        <v>3</v>
      </c>
      <c r="BO24" t="s">
        <v>12</v>
      </c>
      <c r="BQ24" t="s">
        <v>1676</v>
      </c>
      <c r="BR24" t="s">
        <v>1735</v>
      </c>
      <c r="BS24" s="4" t="str">
        <f>HYPERLINK("http://exon.niaid.nih.gov/transcriptome/C_felis/S1/links/CDD/cf-contig_609-CDD.txt","TBCC")</f>
        <v>TBCC</v>
      </c>
      <c r="BT24" t="str">
        <f>HYPERLINK("http://www.ncbi.nlm.nih.gov/Structure/cdd/cddsrv.cgi?uid=pfam07986&amp;version=v4.0","0.58")</f>
        <v>0.58</v>
      </c>
      <c r="BU24" t="s">
        <v>3921</v>
      </c>
      <c r="BV24" s="4" t="s">
        <v>42</v>
      </c>
      <c r="BW24" t="s">
        <v>42</v>
      </c>
      <c r="BX24" t="s">
        <v>42</v>
      </c>
      <c r="BY24" t="s">
        <v>42</v>
      </c>
      <c r="BZ24" t="s">
        <v>42</v>
      </c>
      <c r="CA24" t="s">
        <v>42</v>
      </c>
      <c r="CB24" t="s">
        <v>42</v>
      </c>
      <c r="CC24" t="s">
        <v>42</v>
      </c>
      <c r="CD24" t="s">
        <v>42</v>
      </c>
      <c r="CE24" t="s">
        <v>42</v>
      </c>
      <c r="CF24" t="s">
        <v>42</v>
      </c>
      <c r="CG24" t="s">
        <v>42</v>
      </c>
      <c r="CH24" t="s">
        <v>42</v>
      </c>
      <c r="CI24" t="s">
        <v>42</v>
      </c>
      <c r="CJ24" t="s">
        <v>42</v>
      </c>
      <c r="CK24" t="s">
        <v>42</v>
      </c>
      <c r="CL24" t="s">
        <v>42</v>
      </c>
      <c r="CM24" t="s">
        <v>42</v>
      </c>
      <c r="CN24" t="s">
        <v>42</v>
      </c>
      <c r="CO24" t="s">
        <v>42</v>
      </c>
      <c r="CP24" t="s">
        <v>42</v>
      </c>
      <c r="CQ24" t="s">
        <v>42</v>
      </c>
      <c r="CR24" t="s">
        <v>42</v>
      </c>
      <c r="CS24" s="4" t="str">
        <f>HYPERLINK("http://exon.niaid.nih.gov/transcriptome/C_felis/S1/links/KOG/cf-contig_609-KOG.txt","Uridine permease/thiamine transporter/allantoin transport")</f>
        <v>Uridine permease/thiamine transporter/allantoin transport</v>
      </c>
      <c r="CT24" t="str">
        <f>HYPERLINK("http://www.ncbi.nlm.nih.gov/COG/grace/shokog.cgi?KOG2466","0.82")</f>
        <v>0.82</v>
      </c>
      <c r="CU24" t="s">
        <v>3922</v>
      </c>
      <c r="CV24" s="4" t="str">
        <f>HYPERLINK("http://exon.niaid.nih.gov/transcriptome/C_felis/S1/links/PFAM/cf-contig_609-PFAM.txt","TBCC")</f>
        <v>TBCC</v>
      </c>
      <c r="CW24" t="str">
        <f>HYPERLINK("http://pfam.sanger.ac.uk/family?acc=PF07986","0.12")</f>
        <v>0.12</v>
      </c>
      <c r="CX24" s="4" t="str">
        <f>HYPERLINK("http://exon.niaid.nih.gov/transcriptome/C_felis/S1/links/SMART/cf-contig_609-SMART.txt","PKS_ER")</f>
        <v>PKS_ER</v>
      </c>
      <c r="CY24" t="str">
        <f>HYPERLINK("http://smart.embl-heidelberg.de/smart/do_annotation.pl?DOMAIN=PKS_ER&amp;BLAST=DUMMY","0.29")</f>
        <v>0.29</v>
      </c>
      <c r="CZ24" s="4" t="s">
        <v>42</v>
      </c>
      <c r="DA24" t="s">
        <v>42</v>
      </c>
      <c r="DB24" t="s">
        <v>42</v>
      </c>
      <c r="DC24" t="s">
        <v>42</v>
      </c>
      <c r="DD24" t="s">
        <v>42</v>
      </c>
      <c r="DE24" t="s">
        <v>42</v>
      </c>
      <c r="DF24" t="s">
        <v>42</v>
      </c>
      <c r="DG24" t="s">
        <v>42</v>
      </c>
      <c r="DH24" s="4" t="s">
        <v>42</v>
      </c>
      <c r="DI24" t="s">
        <v>42</v>
      </c>
      <c r="DJ24" s="4" t="s">
        <v>42</v>
      </c>
      <c r="DK24" t="s">
        <v>42</v>
      </c>
      <c r="DL24" s="4">
        <v>495</v>
      </c>
      <c r="DM24">
        <v>1</v>
      </c>
      <c r="DN24" s="4">
        <v>507</v>
      </c>
      <c r="DO24">
        <v>1</v>
      </c>
      <c r="DP24" s="4">
        <v>517</v>
      </c>
      <c r="DQ24">
        <v>1</v>
      </c>
      <c r="DR24" s="4">
        <v>536</v>
      </c>
      <c r="DS24">
        <v>1</v>
      </c>
      <c r="DT24" s="4">
        <v>548</v>
      </c>
      <c r="DU24">
        <v>1</v>
      </c>
      <c r="DV24" s="4">
        <v>562</v>
      </c>
      <c r="DW24">
        <v>1</v>
      </c>
      <c r="DX24" s="4">
        <v>571</v>
      </c>
      <c r="DY24">
        <v>1</v>
      </c>
      <c r="DZ24" s="4">
        <v>579</v>
      </c>
      <c r="EA24">
        <v>1</v>
      </c>
      <c r="EB24" s="4">
        <v>584</v>
      </c>
      <c r="EC24">
        <v>1</v>
      </c>
      <c r="ED24" s="4">
        <v>588</v>
      </c>
      <c r="EE24">
        <v>1</v>
      </c>
      <c r="EF24" s="4">
        <v>594</v>
      </c>
      <c r="EG24">
        <v>1</v>
      </c>
      <c r="EH24" s="4">
        <v>602</v>
      </c>
      <c r="EI24">
        <v>1</v>
      </c>
      <c r="EJ24" s="4">
        <v>609</v>
      </c>
      <c r="EK24">
        <v>1</v>
      </c>
    </row>
    <row r="25" spans="1:141" x14ac:dyDescent="0.2">
      <c r="A25" t="str">
        <f>HYPERLINK("http://exon.niaid.nih.gov/transcriptome/C_felis/S1/links/cf/cf-contig_50.txt","cf-contig_50")</f>
        <v>cf-contig_50</v>
      </c>
      <c r="B25">
        <v>20</v>
      </c>
      <c r="C25" s="10" t="s">
        <v>4607</v>
      </c>
      <c r="D25">
        <v>20</v>
      </c>
      <c r="E25" t="str">
        <f>HYPERLINK("http://exon.niaid.nih.gov/transcriptome/C_felis/S1/links/cf/cf-5-36-asb-50.txt","Contig-50")</f>
        <v>Contig-50</v>
      </c>
      <c r="F25" t="str">
        <f>HYPERLINK("http://exon.niaid.nih.gov/transcriptome/C_felis/S1/links/cf/cf-5-36-50-CLU.txt","Contig50")</f>
        <v>Contig50</v>
      </c>
      <c r="G25" t="str">
        <f>HYPERLINK("http://exon.niaid.nih.gov/transcriptome/C_felis/S1/links/cf/cf-5-36-50-qual.txt","92.7")</f>
        <v>92.7</v>
      </c>
      <c r="H25" t="s">
        <v>11</v>
      </c>
      <c r="I25">
        <v>67.2</v>
      </c>
      <c r="J25">
        <v>574</v>
      </c>
      <c r="K25" t="s">
        <v>12</v>
      </c>
      <c r="L25">
        <v>20</v>
      </c>
      <c r="M25" t="s">
        <v>63</v>
      </c>
      <c r="N25">
        <v>573</v>
      </c>
      <c r="O25">
        <v>607</v>
      </c>
      <c r="P25">
        <v>504</v>
      </c>
      <c r="Q25" t="s">
        <v>872</v>
      </c>
      <c r="R25">
        <v>1</v>
      </c>
      <c r="S25" s="7" t="str">
        <f>HYPERLINK("http://exon.niaid.nih.gov/transcriptome/C_felis/S1/links/Sigp/CF-CONTIG_50-SigP.txt","Cyt")</f>
        <v>Cyt</v>
      </c>
      <c r="U25">
        <v>20</v>
      </c>
      <c r="V25" s="4">
        <v>105</v>
      </c>
      <c r="W25">
        <v>1</v>
      </c>
      <c r="X25" s="4">
        <v>97</v>
      </c>
      <c r="Y25">
        <v>1</v>
      </c>
      <c r="Z25" s="4">
        <v>90</v>
      </c>
      <c r="AA25">
        <v>1</v>
      </c>
      <c r="AB25" s="4" t="str">
        <f>HYPERLINK("http://exon.niaid.nih.gov/transcriptome/C_felis/S1/links/XC-ASB/cf-contig_40-XC-ASB.txt","XC-contig_169")</f>
        <v>XC-contig_169</v>
      </c>
      <c r="AC25">
        <v>2.9999999999999999E-21</v>
      </c>
      <c r="AD25" s="10" t="s">
        <v>4607</v>
      </c>
      <c r="AE25" t="s">
        <v>4599</v>
      </c>
      <c r="AF25" t="str">
        <f>HYPERLINK("http://exon.niaid.nih.gov/transcriptome/C_felis/S1/links/NR/cf-contig_50-NR.txt","NR")</f>
        <v>NR</v>
      </c>
      <c r="AG25" s="5">
        <v>6.0000000000000003E-73</v>
      </c>
      <c r="AH25">
        <v>100</v>
      </c>
      <c r="AI25" s="4" t="str">
        <f>HYPERLINK("http://exon.niaid.nih.gov/transcriptome/C_felis/S1/links/NR/cf-contig_50-NR.txt","truncated salivary phosphatase")</f>
        <v>truncated salivary phosphatase</v>
      </c>
      <c r="AJ25" t="str">
        <f>HYPERLINK("http://www.ncbi.nlm.nih.gov/sutils/blink.cgi?pid=121511984","6E-073")</f>
        <v>6E-073</v>
      </c>
      <c r="AK25" t="str">
        <f>HYPERLINK("http://www.ncbi.nlm.nih.gov/protein/121511984","gi|121511984")</f>
        <v>gi|121511984</v>
      </c>
      <c r="AL25">
        <v>277</v>
      </c>
      <c r="AM25">
        <v>152</v>
      </c>
      <c r="AN25">
        <v>153</v>
      </c>
      <c r="AO25">
        <v>84</v>
      </c>
      <c r="AP25">
        <v>100</v>
      </c>
      <c r="AQ25">
        <v>23</v>
      </c>
      <c r="AR25">
        <v>0</v>
      </c>
      <c r="AS25">
        <v>1</v>
      </c>
      <c r="AT25">
        <v>46</v>
      </c>
      <c r="AU25">
        <v>1</v>
      </c>
      <c r="AV25">
        <v>1</v>
      </c>
      <c r="AW25" t="s">
        <v>12</v>
      </c>
      <c r="AY25" t="s">
        <v>1676</v>
      </c>
      <c r="AZ25" t="s">
        <v>1717</v>
      </c>
      <c r="BA25" s="4" t="str">
        <f>HYPERLINK("http://exon.niaid.nih.gov/transcriptome/C_felis/S1/links/SWISSP/cf-contig_50-SWISSP.txt","Lysophosphatidic acid phosphatase type 6")</f>
        <v>Lysophosphatidic acid phosphatase type 6</v>
      </c>
      <c r="BB25" t="str">
        <f>HYPERLINK("http://www.uniprot.org/uniprot/Q8BP40","0.48")</f>
        <v>0.48</v>
      </c>
      <c r="BC25" t="s">
        <v>1845</v>
      </c>
      <c r="BD25">
        <v>34.700000000000003</v>
      </c>
      <c r="BE25">
        <v>99</v>
      </c>
      <c r="BF25">
        <v>418</v>
      </c>
      <c r="BG25">
        <v>27</v>
      </c>
      <c r="BH25">
        <v>24</v>
      </c>
      <c r="BI25">
        <v>87</v>
      </c>
      <c r="BJ25">
        <v>2</v>
      </c>
      <c r="BK25">
        <v>303</v>
      </c>
      <c r="BL25">
        <v>127</v>
      </c>
      <c r="BM25">
        <v>1</v>
      </c>
      <c r="BN25">
        <v>1</v>
      </c>
      <c r="BO25" t="s">
        <v>12</v>
      </c>
      <c r="BQ25" t="s">
        <v>1676</v>
      </c>
      <c r="BR25" t="s">
        <v>1705</v>
      </c>
      <c r="BS25" s="4" t="str">
        <f>HYPERLINK("http://exon.niaid.nih.gov/transcriptome/C_felis/S1/links/CDD/cf-contig_50-CDD.txt","PRK11107")</f>
        <v>PRK11107</v>
      </c>
      <c r="BT25" t="str">
        <f>HYPERLINK("http://www.ncbi.nlm.nih.gov/Structure/cdd/cddsrv.cgi?uid=PRK11107&amp;version=v4.0","0.71")</f>
        <v>0.71</v>
      </c>
      <c r="BU25" t="s">
        <v>1846</v>
      </c>
      <c r="BV25" s="4" t="s">
        <v>42</v>
      </c>
      <c r="BW25" t="s">
        <v>42</v>
      </c>
      <c r="BX25" t="s">
        <v>42</v>
      </c>
      <c r="BY25" t="s">
        <v>42</v>
      </c>
      <c r="BZ25" t="s">
        <v>42</v>
      </c>
      <c r="CA25" t="s">
        <v>42</v>
      </c>
      <c r="CB25" t="s">
        <v>42</v>
      </c>
      <c r="CC25" t="s">
        <v>42</v>
      </c>
      <c r="CD25" t="s">
        <v>42</v>
      </c>
      <c r="CE25" t="s">
        <v>42</v>
      </c>
      <c r="CF25" t="s">
        <v>42</v>
      </c>
      <c r="CG25" t="s">
        <v>42</v>
      </c>
      <c r="CH25" t="s">
        <v>42</v>
      </c>
      <c r="CI25" t="s">
        <v>42</v>
      </c>
      <c r="CJ25" t="s">
        <v>42</v>
      </c>
      <c r="CK25" t="s">
        <v>42</v>
      </c>
      <c r="CL25" t="s">
        <v>42</v>
      </c>
      <c r="CM25" t="s">
        <v>42</v>
      </c>
      <c r="CN25" t="s">
        <v>42</v>
      </c>
      <c r="CO25" t="s">
        <v>42</v>
      </c>
      <c r="CP25" t="s">
        <v>42</v>
      </c>
      <c r="CQ25" t="s">
        <v>42</v>
      </c>
      <c r="CR25" t="s">
        <v>42</v>
      </c>
      <c r="CS25" s="4" t="str">
        <f>HYPERLINK("http://exon.niaid.nih.gov/transcriptome/C_felis/S1/links/KOG/cf-contig_50-KOG.txt","Lysosomal &amp; prostatic acid phosphatases")</f>
        <v>Lysosomal &amp; prostatic acid phosphatases</v>
      </c>
      <c r="CT25" t="str">
        <f>HYPERLINK("http://www.ncbi.nlm.nih.gov/COG/grace/shokog.cgi?KOG3720","5E-005")</f>
        <v>5E-005</v>
      </c>
      <c r="CU25" t="s">
        <v>1761</v>
      </c>
      <c r="CV25" s="4" t="str">
        <f>HYPERLINK("http://exon.niaid.nih.gov/transcriptome/C_felis/S1/links/PFAM/cf-contig_50-PFAM.txt","RFC1")</f>
        <v>RFC1</v>
      </c>
      <c r="CW25" t="str">
        <f>HYPERLINK("http://pfam.sanger.ac.uk/family?acc=PF08519","0.27")</f>
        <v>0.27</v>
      </c>
      <c r="CX25" s="4" t="str">
        <f>HYPERLINK("http://exon.niaid.nih.gov/transcriptome/C_felis/S1/links/SMART/cf-contig_50-SMART.txt","DM9")</f>
        <v>DM9</v>
      </c>
      <c r="CY25" t="str">
        <f>HYPERLINK("http://smart.embl-heidelberg.de/smart/do_annotation.pl?DOMAIN=DM9&amp;BLAST=DUMMY","0.38")</f>
        <v>0.38</v>
      </c>
      <c r="CZ25" s="4" t="s">
        <v>42</v>
      </c>
      <c r="DA25" t="s">
        <v>42</v>
      </c>
      <c r="DB25" t="s">
        <v>42</v>
      </c>
      <c r="DC25" t="s">
        <v>42</v>
      </c>
      <c r="DD25" t="s">
        <v>42</v>
      </c>
      <c r="DE25" t="s">
        <v>42</v>
      </c>
      <c r="DF25" t="s">
        <v>42</v>
      </c>
      <c r="DG25" t="s">
        <v>42</v>
      </c>
      <c r="DH25" s="4" t="s">
        <v>42</v>
      </c>
      <c r="DI25" t="s">
        <v>42</v>
      </c>
      <c r="DJ25" s="4" t="s">
        <v>42</v>
      </c>
      <c r="DK25" t="s">
        <v>42</v>
      </c>
      <c r="DL25" s="4">
        <v>105</v>
      </c>
      <c r="DM25">
        <v>1</v>
      </c>
      <c r="DN25" s="4">
        <v>97</v>
      </c>
      <c r="DO25">
        <v>1</v>
      </c>
      <c r="DP25" s="4">
        <v>90</v>
      </c>
      <c r="DQ25">
        <v>1</v>
      </c>
      <c r="DR25" s="4">
        <v>81</v>
      </c>
      <c r="DS25">
        <v>1</v>
      </c>
      <c r="DT25" s="4">
        <v>74</v>
      </c>
      <c r="DU25">
        <v>1</v>
      </c>
      <c r="DV25" s="4">
        <v>73</v>
      </c>
      <c r="DW25">
        <v>1</v>
      </c>
      <c r="DX25" s="4">
        <v>68</v>
      </c>
      <c r="DY25">
        <v>1</v>
      </c>
      <c r="DZ25" s="4">
        <v>66</v>
      </c>
      <c r="EA25">
        <v>1</v>
      </c>
      <c r="EB25" s="4">
        <v>66</v>
      </c>
      <c r="EC25">
        <v>1</v>
      </c>
      <c r="ED25" s="4">
        <v>67</v>
      </c>
      <c r="EE25">
        <v>1</v>
      </c>
      <c r="EF25" s="4">
        <v>62</v>
      </c>
      <c r="EG25">
        <v>1</v>
      </c>
      <c r="EH25" s="4">
        <v>52</v>
      </c>
      <c r="EI25">
        <v>1</v>
      </c>
      <c r="EJ25" s="4">
        <v>50</v>
      </c>
      <c r="EK25">
        <v>1</v>
      </c>
    </row>
    <row r="26" spans="1:141" s="6" customFormat="1" x14ac:dyDescent="0.2">
      <c r="A26" s="12" t="s">
        <v>4926</v>
      </c>
      <c r="D26" s="6">
        <f>SUM(D27:D29)</f>
        <v>13</v>
      </c>
    </row>
    <row r="27" spans="1:141" x14ac:dyDescent="0.2">
      <c r="A27" t="str">
        <f>HYPERLINK("http://exon.niaid.nih.gov/transcriptome/C_felis/S1/links/cf/cf-contig_80.txt","cf-contig_80")</f>
        <v>cf-contig_80</v>
      </c>
      <c r="B27">
        <v>10</v>
      </c>
      <c r="C27" s="10" t="s">
        <v>4617</v>
      </c>
      <c r="D27">
        <v>10</v>
      </c>
      <c r="E27" t="str">
        <f>HYPERLINK("http://exon.niaid.nih.gov/transcriptome/C_felis/S1/links/cf/cf-5-36-asb-80.txt","Contig-80")</f>
        <v>Contig-80</v>
      </c>
      <c r="F27" t="str">
        <f>HYPERLINK("http://exon.niaid.nih.gov/transcriptome/C_felis/S1/links/cf/cf-5-36-80-CLU.txt","Contig80")</f>
        <v>Contig80</v>
      </c>
      <c r="G27" t="str">
        <f>HYPERLINK("http://exon.niaid.nih.gov/transcriptome/C_felis/S1/links/cf/cf-5-36-80-qual.txt","92.8")</f>
        <v>92.8</v>
      </c>
      <c r="H27" t="s">
        <v>11</v>
      </c>
      <c r="I27">
        <v>67.900000000000006</v>
      </c>
      <c r="J27">
        <v>452</v>
      </c>
      <c r="K27" t="s">
        <v>12</v>
      </c>
      <c r="L27">
        <v>10</v>
      </c>
      <c r="M27" t="s">
        <v>93</v>
      </c>
      <c r="N27">
        <v>460</v>
      </c>
      <c r="O27">
        <v>471</v>
      </c>
      <c r="P27">
        <v>381</v>
      </c>
      <c r="Q27" t="s">
        <v>900</v>
      </c>
      <c r="R27">
        <v>3</v>
      </c>
      <c r="S27" s="7" t="str">
        <f>HYPERLINK("http://exon.niaid.nih.gov/transcriptome/C_felis/S1/links/Sigp/CF-CONTIG_80-SigP.txt","Cyt")</f>
        <v>Cyt</v>
      </c>
      <c r="U27">
        <v>10</v>
      </c>
      <c r="V27" s="4">
        <f>HYPERLINK("http://exon.niaid.nih.gov/transcriptome/C_felis/S1/links/cluster/cf-5-36-asb30-50-Id-CLU34.txt", 34)</f>
        <v>34</v>
      </c>
      <c r="W27">
        <f>HYPERLINK("http://exon.niaid.nih.gov/transcriptome/C_felis/S1/links/cluster/cf-5-36-asb30-50-Id-CLTL34.txt", 2)</f>
        <v>2</v>
      </c>
      <c r="X27" s="4">
        <f>HYPERLINK("http://exon.niaid.nih.gov/transcriptome/C_felis/S1/links/cluster/cf-5-36-asb35-50-Id-CLU27.txt", 27)</f>
        <v>27</v>
      </c>
      <c r="Y27">
        <f>HYPERLINK("http://exon.niaid.nih.gov/transcriptome/C_felis/S1/links/cluster/cf-5-36-asb35-50-Id-CLTL27.txt", 2)</f>
        <v>2</v>
      </c>
      <c r="Z27" s="4">
        <f>HYPERLINK("http://exon.niaid.nih.gov/transcriptome/C_felis/S1/links/cluster/cf-5-36-asb40-50-Id-CLU25.txt", 25)</f>
        <v>25</v>
      </c>
      <c r="AA27">
        <f>HYPERLINK("http://exon.niaid.nih.gov/transcriptome/C_felis/S1/links/cluster/cf-5-36-asb40-50-Id-CLTL25.txt", 2)</f>
        <v>2</v>
      </c>
      <c r="AB27" s="4" t="str">
        <f>HYPERLINK("http://exon.niaid.nih.gov/transcriptome/C_felis/S1/links/XC-ASB/cf-contig_29-XC-ASB.txt","XC-contig_169")</f>
        <v>XC-contig_169</v>
      </c>
      <c r="AC27">
        <v>7.0000000000000005E-8</v>
      </c>
      <c r="AD27" s="10" t="s">
        <v>4617</v>
      </c>
      <c r="AE27" t="s">
        <v>4599</v>
      </c>
      <c r="AF27" t="str">
        <f>HYPERLINK("http://exon.niaid.nih.gov/transcriptome/C_felis/S1/links/NR/cf-contig_80-NR.txt","NR")</f>
        <v>NR</v>
      </c>
      <c r="AG27">
        <v>9.9999999999999994E-12</v>
      </c>
      <c r="AH27">
        <v>21</v>
      </c>
      <c r="AI27" s="4" t="str">
        <f>HYPERLINK("http://exon.niaid.nih.gov/transcriptome/C_felis/S1/links/NR/cf-contig_80-NR.txt","putative salivary apyrase")</f>
        <v>putative salivary apyrase</v>
      </c>
      <c r="AJ27" t="str">
        <f>HYPERLINK("http://www.ncbi.nlm.nih.gov/sutils/blink.cgi?pid=121512034","1E-011")</f>
        <v>1E-011</v>
      </c>
      <c r="AK27" t="str">
        <f>HYPERLINK("http://www.ncbi.nlm.nih.gov/protein/121512034","gi|121512034")</f>
        <v>gi|121512034</v>
      </c>
      <c r="AL27">
        <v>73.599999999999994</v>
      </c>
      <c r="AM27">
        <v>91</v>
      </c>
      <c r="AN27">
        <v>437</v>
      </c>
      <c r="AO27">
        <v>41</v>
      </c>
      <c r="AP27">
        <v>21</v>
      </c>
      <c r="AQ27">
        <v>54</v>
      </c>
      <c r="AR27">
        <v>8</v>
      </c>
      <c r="AS27">
        <v>336</v>
      </c>
      <c r="AT27">
        <v>6</v>
      </c>
      <c r="AU27">
        <v>1</v>
      </c>
      <c r="AV27">
        <v>3</v>
      </c>
      <c r="AW27" t="s">
        <v>12</v>
      </c>
      <c r="AY27" t="s">
        <v>1676</v>
      </c>
      <c r="AZ27" t="s">
        <v>1717</v>
      </c>
      <c r="BA27" s="4" t="str">
        <f>HYPERLINK("http://exon.niaid.nih.gov/transcriptome/C_felis/S1/links/SWISSP/cf-contig_80-SWISSP.txt","Ectonucleoside triphosphate diphosphohydrolase 5")</f>
        <v>Ectonucleoside triphosphate diphosphohydrolase 5</v>
      </c>
      <c r="BB27" t="str">
        <f>HYPERLINK("http://www.uniprot.org/uniprot/E1C1L6","7E-005")</f>
        <v>7E-005</v>
      </c>
      <c r="BC27" t="s">
        <v>1953</v>
      </c>
      <c r="BD27">
        <v>46.6</v>
      </c>
      <c r="BE27">
        <v>48</v>
      </c>
      <c r="BF27">
        <v>428</v>
      </c>
      <c r="BG27">
        <v>38</v>
      </c>
      <c r="BH27">
        <v>11</v>
      </c>
      <c r="BI27">
        <v>30</v>
      </c>
      <c r="BJ27">
        <v>0</v>
      </c>
      <c r="BK27">
        <v>370</v>
      </c>
      <c r="BL27">
        <v>45</v>
      </c>
      <c r="BM27">
        <v>1</v>
      </c>
      <c r="BN27">
        <v>3</v>
      </c>
      <c r="BO27" t="s">
        <v>12</v>
      </c>
      <c r="BQ27" t="s">
        <v>1676</v>
      </c>
      <c r="BR27" t="s">
        <v>1809</v>
      </c>
      <c r="BS27" s="4" t="str">
        <f>HYPERLINK("http://exon.niaid.nih.gov/transcriptome/C_felis/S1/links/CDD/cf-contig_80-CDD.txt","ND1")</f>
        <v>ND1</v>
      </c>
      <c r="BT27" t="str">
        <f>HYPERLINK("http://www.ncbi.nlm.nih.gov/Structure/cdd/cddsrv.cgi?uid=MTH00090&amp;version=v4.0","0.006")</f>
        <v>0.006</v>
      </c>
      <c r="BU27" t="s">
        <v>1954</v>
      </c>
      <c r="BV27" s="4" t="s">
        <v>1955</v>
      </c>
      <c r="BW27">
        <f>HYPERLINK("http://exon.niaid.nih.gov/transcriptome/C_felis/S1/links/GO/cf-contig_80-GO.txt",0.00000000001)</f>
        <v>9.9999999999999994E-12</v>
      </c>
      <c r="BX27" t="str">
        <f>HYPERLINK("http://amigo.geneontology.org/cgi-bin/amigo/term_details?term=GO:0004382","GO:0004382")</f>
        <v>GO:0004382</v>
      </c>
      <c r="BY27" t="s">
        <v>1956</v>
      </c>
      <c r="BZ27" t="s">
        <v>1957</v>
      </c>
      <c r="CA27" t="s">
        <v>1958</v>
      </c>
      <c r="CB27" t="str">
        <f>HYPERLINK("http://www.genome.jp/dbget-bin/www_bfind_sub?mode=bfind&amp;max_hit=1000&amp;dbkey=kegg&amp;keywords=EC:3.6.1.42","EC:3.6.1.42")</f>
        <v>EC:3.6.1.42</v>
      </c>
      <c r="CD27">
        <v>6.0000000000000002E-5</v>
      </c>
      <c r="CE27" t="str">
        <f>HYPERLINK("http://amigo.geneontology.org/cgi-bin/amigo/term_details?term=GO:0005783","GO:0005783")</f>
        <v>GO:0005783</v>
      </c>
      <c r="CF27" t="s">
        <v>1959</v>
      </c>
      <c r="CG27" t="s">
        <v>1960</v>
      </c>
      <c r="CH27" t="s">
        <v>1961</v>
      </c>
      <c r="CI27" t="s">
        <v>42</v>
      </c>
      <c r="CK27">
        <v>6.0000000000000002E-5</v>
      </c>
      <c r="CL27" t="str">
        <f>HYPERLINK("http://amigo.geneontology.org/cgi-bin/amigo/term_details?term=GO:0006096","GO:0006096")</f>
        <v>GO:0006096</v>
      </c>
      <c r="CM27" t="s">
        <v>1962</v>
      </c>
      <c r="CN27" t="s">
        <v>1963</v>
      </c>
      <c r="CO27" t="s">
        <v>1964</v>
      </c>
      <c r="CP27" t="s">
        <v>42</v>
      </c>
      <c r="CR27">
        <v>6.0000000000000002E-5</v>
      </c>
      <c r="CS27" s="4" t="str">
        <f>HYPERLINK("http://exon.niaid.nih.gov/transcriptome/C_felis/S1/links/KOG/cf-contig_80-KOG.txt","Nucleoside phosphatase")</f>
        <v>Nucleoside phosphatase</v>
      </c>
      <c r="CT27" t="str">
        <f>HYPERLINK("http://www.ncbi.nlm.nih.gov/COG/grace/shokog.cgi?KOG1385","9E-009")</f>
        <v>9E-009</v>
      </c>
      <c r="CU27" t="s">
        <v>1896</v>
      </c>
      <c r="CV27" s="4" t="str">
        <f>HYPERLINK("http://exon.niaid.nih.gov/transcriptome/C_felis/S1/links/PFAM/cf-contig_80-PFAM.txt","GDA1_CD39")</f>
        <v>GDA1_CD39</v>
      </c>
      <c r="CW27" t="str">
        <f>HYPERLINK("http://pfam.sanger.ac.uk/family?acc=PF01150","0.002")</f>
        <v>0.002</v>
      </c>
      <c r="CX27" s="4" t="str">
        <f>HYPERLINK("http://exon.niaid.nih.gov/transcriptome/C_felis/S1/links/SMART/cf-contig_80-SMART.txt","AgrB")</f>
        <v>AgrB</v>
      </c>
      <c r="CY27" t="str">
        <f>HYPERLINK("http://smart.embl-heidelberg.de/smart/do_annotation.pl?DOMAIN=AgrB&amp;BLAST=DUMMY","0.036")</f>
        <v>0.036</v>
      </c>
      <c r="CZ27" s="4" t="s">
        <v>42</v>
      </c>
      <c r="DA27" t="s">
        <v>42</v>
      </c>
      <c r="DB27" t="s">
        <v>42</v>
      </c>
      <c r="DC27" t="s">
        <v>42</v>
      </c>
      <c r="DD27" t="s">
        <v>42</v>
      </c>
      <c r="DE27" t="s">
        <v>42</v>
      </c>
      <c r="DF27" t="s">
        <v>42</v>
      </c>
      <c r="DG27" t="s">
        <v>42</v>
      </c>
      <c r="DH27" s="4" t="s">
        <v>42</v>
      </c>
      <c r="DI27" t="s">
        <v>42</v>
      </c>
      <c r="DJ27" s="4" t="s">
        <v>42</v>
      </c>
      <c r="DK27" t="s">
        <v>42</v>
      </c>
      <c r="DL27" s="4">
        <f>HYPERLINK("http://exon.niaid.nih.gov/transcriptome/C_felis/S1/links/cluster/cf-5-36-asb30-50-Id-CLU34.txt", 34)</f>
        <v>34</v>
      </c>
      <c r="DM27">
        <f>HYPERLINK("http://exon.niaid.nih.gov/transcriptome/C_felis/S1/links/cluster/cf-5-36-asb30-50-Id-CLTL34.txt", 2)</f>
        <v>2</v>
      </c>
      <c r="DN27" s="4">
        <f>HYPERLINK("http://exon.niaid.nih.gov/transcriptome/C_felis/S1/links/cluster/cf-5-36-asb35-50-Id-CLU27.txt", 27)</f>
        <v>27</v>
      </c>
      <c r="DO27">
        <f>HYPERLINK("http://exon.niaid.nih.gov/transcriptome/C_felis/S1/links/cluster/cf-5-36-asb35-50-Id-CLTL27.txt", 2)</f>
        <v>2</v>
      </c>
      <c r="DP27" s="4">
        <f>HYPERLINK("http://exon.niaid.nih.gov/transcriptome/C_felis/S1/links/cluster/cf-5-36-asb40-50-Id-CLU25.txt", 25)</f>
        <v>25</v>
      </c>
      <c r="DQ27">
        <f>HYPERLINK("http://exon.niaid.nih.gov/transcriptome/C_felis/S1/links/cluster/cf-5-36-asb40-50-Id-CLTL25.txt", 2)</f>
        <v>2</v>
      </c>
      <c r="DR27" s="4">
        <f>HYPERLINK("http://exon.niaid.nih.gov/transcriptome/C_felis/S1/links/cluster/cf-5-36-asb45-50-Id-CLU23.txt", 23)</f>
        <v>23</v>
      </c>
      <c r="DS27">
        <f>HYPERLINK("http://exon.niaid.nih.gov/transcriptome/C_felis/S1/links/cluster/cf-5-36-asb45-50-Id-CLTL23.txt", 2)</f>
        <v>2</v>
      </c>
      <c r="DT27" s="4">
        <v>87</v>
      </c>
      <c r="DU27">
        <v>1</v>
      </c>
      <c r="DV27" s="4">
        <v>92</v>
      </c>
      <c r="DW27">
        <v>1</v>
      </c>
      <c r="DX27" s="4">
        <v>91</v>
      </c>
      <c r="DY27">
        <v>1</v>
      </c>
      <c r="DZ27" s="4">
        <v>89</v>
      </c>
      <c r="EA27">
        <v>1</v>
      </c>
      <c r="EB27" s="4">
        <v>89</v>
      </c>
      <c r="EC27">
        <v>1</v>
      </c>
      <c r="ED27" s="4">
        <v>90</v>
      </c>
      <c r="EE27">
        <v>1</v>
      </c>
      <c r="EF27" s="4">
        <v>87</v>
      </c>
      <c r="EG27">
        <v>1</v>
      </c>
      <c r="EH27" s="4">
        <v>82</v>
      </c>
      <c r="EI27">
        <v>1</v>
      </c>
      <c r="EJ27" s="4">
        <v>80</v>
      </c>
      <c r="EK27">
        <v>1</v>
      </c>
    </row>
    <row r="28" spans="1:141" x14ac:dyDescent="0.2">
      <c r="A28" t="str">
        <f>HYPERLINK("http://exon.niaid.nih.gov/transcriptome/C_felis/S1/links/cf/cf-contig_81.txt","cf-contig_81")</f>
        <v>cf-contig_81</v>
      </c>
      <c r="B28">
        <v>2</v>
      </c>
      <c r="C28" s="10" t="s">
        <v>4617</v>
      </c>
      <c r="D28">
        <v>2</v>
      </c>
      <c r="E28" t="str">
        <f>HYPERLINK("http://exon.niaid.nih.gov/transcriptome/C_felis/S1/links/cf/cf-5-36-asb-81.txt","Contig-81")</f>
        <v>Contig-81</v>
      </c>
      <c r="F28" t="str">
        <f>HYPERLINK("http://exon.niaid.nih.gov/transcriptome/C_felis/S1/links/cf/cf-5-36-81-CLU.txt","Contig81")</f>
        <v>Contig81</v>
      </c>
      <c r="G28" t="str">
        <f>HYPERLINK("http://exon.niaid.nih.gov/transcriptome/C_felis/S1/links/cf/cf-5-36-81-qual.txt","73.2")</f>
        <v>73.2</v>
      </c>
      <c r="H28" t="s">
        <v>11</v>
      </c>
      <c r="I28">
        <v>69</v>
      </c>
      <c r="J28">
        <v>443</v>
      </c>
      <c r="K28" t="s">
        <v>12</v>
      </c>
      <c r="L28">
        <v>2</v>
      </c>
      <c r="M28" t="s">
        <v>94</v>
      </c>
      <c r="N28">
        <v>443</v>
      </c>
      <c r="O28">
        <v>462</v>
      </c>
      <c r="P28">
        <v>372</v>
      </c>
      <c r="Q28" t="s">
        <v>901</v>
      </c>
      <c r="R28">
        <v>3</v>
      </c>
      <c r="S28" s="7" t="str">
        <f>HYPERLINK("http://exon.niaid.nih.gov/transcriptome/C_felis/S1/links/Sigp/CF-CONTIG_81-SigP.txt","Cyt")</f>
        <v>Cyt</v>
      </c>
      <c r="U28">
        <v>2</v>
      </c>
      <c r="V28" s="4">
        <f>HYPERLINK("http://exon.niaid.nih.gov/transcriptome/C_felis/S1/links/cluster/cf-5-36-asb30-50-Id-CLU34.txt", 34)</f>
        <v>34</v>
      </c>
      <c r="W28">
        <f>HYPERLINK("http://exon.niaid.nih.gov/transcriptome/C_felis/S1/links/cluster/cf-5-36-asb30-50-Id-CLTL34.txt", 2)</f>
        <v>2</v>
      </c>
      <c r="X28" s="4">
        <f>HYPERLINK("http://exon.niaid.nih.gov/transcriptome/C_felis/S1/links/cluster/cf-5-36-asb35-50-Id-CLU27.txt", 27)</f>
        <v>27</v>
      </c>
      <c r="Y28">
        <f>HYPERLINK("http://exon.niaid.nih.gov/transcriptome/C_felis/S1/links/cluster/cf-5-36-asb35-50-Id-CLTL27.txt", 2)</f>
        <v>2</v>
      </c>
      <c r="Z28" s="4">
        <f>HYPERLINK("http://exon.niaid.nih.gov/transcriptome/C_felis/S1/links/cluster/cf-5-36-asb40-50-Id-CLU25.txt", 25)</f>
        <v>25</v>
      </c>
      <c r="AA28">
        <f>HYPERLINK("http://exon.niaid.nih.gov/transcriptome/C_felis/S1/links/cluster/cf-5-36-asb40-50-Id-CLTL25.txt", 2)</f>
        <v>2</v>
      </c>
      <c r="AB28" s="4" t="str">
        <f>HYPERLINK("http://exon.niaid.nih.gov/transcriptome/C_felis/S1/links/XC-ASB/cf-contig_63-XC-ASB.txt","XC-contig_169")</f>
        <v>XC-contig_169</v>
      </c>
      <c r="AC28">
        <v>7.0000000000000005E-8</v>
      </c>
      <c r="AD28" s="10" t="s">
        <v>4617</v>
      </c>
      <c r="AE28" t="s">
        <v>4599</v>
      </c>
      <c r="AF28" t="str">
        <f>HYPERLINK("http://exon.niaid.nih.gov/transcriptome/C_felis/S1/links/NR/cf-contig_81-NR.txt","NR")</f>
        <v>NR</v>
      </c>
      <c r="AG28">
        <v>7.0000000000000004E-11</v>
      </c>
      <c r="AH28">
        <v>15</v>
      </c>
      <c r="AI28" s="4" t="str">
        <f>HYPERLINK("http://exon.niaid.nih.gov/transcriptome/C_felis/S1/links/NR/cf-contig_81-NR.txt","putative salivary apyrase")</f>
        <v>putative salivary apyrase</v>
      </c>
      <c r="AJ28" t="str">
        <f>HYPERLINK("http://www.ncbi.nlm.nih.gov/sutils/blink.cgi?pid=121512034","7E-011")</f>
        <v>7E-011</v>
      </c>
      <c r="AK28" t="str">
        <f>HYPERLINK("http://www.ncbi.nlm.nih.gov/protein/121512034","gi|121512034")</f>
        <v>gi|121512034</v>
      </c>
      <c r="AL28">
        <v>70.900000000000006</v>
      </c>
      <c r="AM28">
        <v>65</v>
      </c>
      <c r="AN28">
        <v>437</v>
      </c>
      <c r="AO28">
        <v>50</v>
      </c>
      <c r="AP28">
        <v>15</v>
      </c>
      <c r="AQ28">
        <v>33</v>
      </c>
      <c r="AR28">
        <v>0</v>
      </c>
      <c r="AS28">
        <v>362</v>
      </c>
      <c r="AT28">
        <v>69</v>
      </c>
      <c r="AU28">
        <v>1</v>
      </c>
      <c r="AV28">
        <v>3</v>
      </c>
      <c r="AW28" t="s">
        <v>12</v>
      </c>
      <c r="AY28" t="s">
        <v>1676</v>
      </c>
      <c r="AZ28" t="s">
        <v>1717</v>
      </c>
      <c r="BA28" s="4" t="str">
        <f>HYPERLINK("http://exon.niaid.nih.gov/transcriptome/C_felis/S1/links/SWISSP/cf-contig_81-SWISSP.txt","Ectonucleoside triphosphate diphosphohydrolase 5")</f>
        <v>Ectonucleoside triphosphate diphosphohydrolase 5</v>
      </c>
      <c r="BB28" t="str">
        <f>HYPERLINK("http://www.uniprot.org/uniprot/E1C1L6","2E-004")</f>
        <v>2E-004</v>
      </c>
      <c r="BC28" t="s">
        <v>1953</v>
      </c>
      <c r="BD28">
        <v>44.7</v>
      </c>
      <c r="BE28">
        <v>48</v>
      </c>
      <c r="BF28">
        <v>428</v>
      </c>
      <c r="BG28">
        <v>38</v>
      </c>
      <c r="BH28">
        <v>11</v>
      </c>
      <c r="BI28">
        <v>30</v>
      </c>
      <c r="BJ28">
        <v>0</v>
      </c>
      <c r="BK28">
        <v>370</v>
      </c>
      <c r="BL28">
        <v>54</v>
      </c>
      <c r="BM28">
        <v>1</v>
      </c>
      <c r="BN28">
        <v>3</v>
      </c>
      <c r="BO28" t="s">
        <v>12</v>
      </c>
      <c r="BQ28" t="s">
        <v>1676</v>
      </c>
      <c r="BR28" t="s">
        <v>1809</v>
      </c>
      <c r="BS28" s="4" t="str">
        <f>HYPERLINK("http://exon.niaid.nih.gov/transcriptome/C_felis/S1/links/CDD/cf-contig_81-CDD.txt","GDA1_CD39")</f>
        <v>GDA1_CD39</v>
      </c>
      <c r="BT28" t="str">
        <f>HYPERLINK("http://www.ncbi.nlm.nih.gov/Structure/cdd/cddsrv.cgi?uid=pfam01150&amp;version=v4.0","0.030")</f>
        <v>0.030</v>
      </c>
      <c r="BU28" t="s">
        <v>1965</v>
      </c>
      <c r="BV28" s="4" t="s">
        <v>1955</v>
      </c>
      <c r="BW28">
        <f>HYPERLINK("http://exon.niaid.nih.gov/transcriptome/C_felis/S1/links/GO/cf-contig_81-GO.txt",0.00000000008)</f>
        <v>7.9999999999999995E-11</v>
      </c>
      <c r="BX28" t="str">
        <f>HYPERLINK("http://amigo.geneontology.org/cgi-bin/amigo/term_details?term=GO:0004382","GO:0004382")</f>
        <v>GO:0004382</v>
      </c>
      <c r="BY28" t="s">
        <v>1956</v>
      </c>
      <c r="BZ28" t="s">
        <v>1957</v>
      </c>
      <c r="CA28" t="s">
        <v>1958</v>
      </c>
      <c r="CB28" t="str">
        <f>HYPERLINK("http://www.genome.jp/dbget-bin/www_bfind_sub?mode=bfind&amp;max_hit=1000&amp;dbkey=kegg&amp;keywords=EC:3.6.1.42","EC:3.6.1.42")</f>
        <v>EC:3.6.1.42</v>
      </c>
      <c r="CD28">
        <v>7.9999999999999995E-11</v>
      </c>
      <c r="CE28" t="str">
        <f>HYPERLINK("http://amigo.geneontology.org/cgi-bin/amigo/term_details?term=GO:0005737","GO:0005737")</f>
        <v>GO:0005737</v>
      </c>
      <c r="CF28" t="s">
        <v>1966</v>
      </c>
      <c r="CG28" t="s">
        <v>1967</v>
      </c>
      <c r="CH28" t="s">
        <v>42</v>
      </c>
      <c r="CI28" t="s">
        <v>42</v>
      </c>
      <c r="CK28">
        <v>7.9999999999999995E-11</v>
      </c>
      <c r="CL28" t="s">
        <v>42</v>
      </c>
      <c r="CM28" t="s">
        <v>42</v>
      </c>
      <c r="CN28" t="s">
        <v>42</v>
      </c>
      <c r="CO28" t="s">
        <v>42</v>
      </c>
      <c r="CQ28" t="s">
        <v>42</v>
      </c>
      <c r="CR28" t="s">
        <v>42</v>
      </c>
      <c r="CS28" s="4" t="str">
        <f>HYPERLINK("http://exon.niaid.nih.gov/transcriptome/C_felis/S1/links/KOG/cf-contig_81-KOG.txt","Nucleoside phosphatase")</f>
        <v>Nucleoside phosphatase</v>
      </c>
      <c r="CT28" t="str">
        <f>HYPERLINK("http://www.ncbi.nlm.nih.gov/COG/grace/shokog.cgi?KOG1385","7E-008")</f>
        <v>7E-008</v>
      </c>
      <c r="CU28" t="s">
        <v>1896</v>
      </c>
      <c r="CV28" s="4" t="str">
        <f>HYPERLINK("http://exon.niaid.nih.gov/transcriptome/C_felis/S1/links/PFAM/cf-contig_81-PFAM.txt","GDA1_CD39")</f>
        <v>GDA1_CD39</v>
      </c>
      <c r="CW28" t="str">
        <f>HYPERLINK("http://pfam.sanger.ac.uk/family?acc=PF01150","0.007")</f>
        <v>0.007</v>
      </c>
      <c r="CX28" s="4" t="str">
        <f>HYPERLINK("http://exon.niaid.nih.gov/transcriptome/C_felis/S1/links/SMART/cf-contig_81-SMART.txt","AgrB")</f>
        <v>AgrB</v>
      </c>
      <c r="CY28" t="str">
        <f>HYPERLINK("http://smart.embl-heidelberg.de/smart/do_annotation.pl?DOMAIN=AgrB&amp;BLAST=DUMMY","0.100")</f>
        <v>0.100</v>
      </c>
      <c r="CZ28" s="4" t="s">
        <v>42</v>
      </c>
      <c r="DA28" t="s">
        <v>42</v>
      </c>
      <c r="DB28" t="s">
        <v>42</v>
      </c>
      <c r="DC28" t="s">
        <v>42</v>
      </c>
      <c r="DD28" t="s">
        <v>42</v>
      </c>
      <c r="DE28" t="s">
        <v>42</v>
      </c>
      <c r="DF28" t="s">
        <v>42</v>
      </c>
      <c r="DG28" t="s">
        <v>42</v>
      </c>
      <c r="DH28" s="4" t="s">
        <v>42</v>
      </c>
      <c r="DI28" t="s">
        <v>42</v>
      </c>
      <c r="DJ28" s="4" t="s">
        <v>42</v>
      </c>
      <c r="DK28" t="s">
        <v>42</v>
      </c>
      <c r="DL28" s="4">
        <f>HYPERLINK("http://exon.niaid.nih.gov/transcriptome/C_felis/S1/links/cluster/cf-5-36-asb30-50-Id-CLU34.txt", 34)</f>
        <v>34</v>
      </c>
      <c r="DM28">
        <f>HYPERLINK("http://exon.niaid.nih.gov/transcriptome/C_felis/S1/links/cluster/cf-5-36-asb30-50-Id-CLTL34.txt", 2)</f>
        <v>2</v>
      </c>
      <c r="DN28" s="4">
        <f>HYPERLINK("http://exon.niaid.nih.gov/transcriptome/C_felis/S1/links/cluster/cf-5-36-asb35-50-Id-CLU27.txt", 27)</f>
        <v>27</v>
      </c>
      <c r="DO28">
        <f>HYPERLINK("http://exon.niaid.nih.gov/transcriptome/C_felis/S1/links/cluster/cf-5-36-asb35-50-Id-CLTL27.txt", 2)</f>
        <v>2</v>
      </c>
      <c r="DP28" s="4">
        <f>HYPERLINK("http://exon.niaid.nih.gov/transcriptome/C_felis/S1/links/cluster/cf-5-36-asb40-50-Id-CLU25.txt", 25)</f>
        <v>25</v>
      </c>
      <c r="DQ28">
        <f>HYPERLINK("http://exon.niaid.nih.gov/transcriptome/C_felis/S1/links/cluster/cf-5-36-asb40-50-Id-CLTL25.txt", 2)</f>
        <v>2</v>
      </c>
      <c r="DR28" s="4">
        <f>HYPERLINK("http://exon.niaid.nih.gov/transcriptome/C_felis/S1/links/cluster/cf-5-36-asb45-50-Id-CLU23.txt", 23)</f>
        <v>23</v>
      </c>
      <c r="DS28">
        <f>HYPERLINK("http://exon.niaid.nih.gov/transcriptome/C_felis/S1/links/cluster/cf-5-36-asb45-50-Id-CLTL23.txt", 2)</f>
        <v>2</v>
      </c>
      <c r="DT28" s="4">
        <v>88</v>
      </c>
      <c r="DU28">
        <v>1</v>
      </c>
      <c r="DV28" s="4">
        <v>93</v>
      </c>
      <c r="DW28">
        <v>1</v>
      </c>
      <c r="DX28" s="4">
        <v>92</v>
      </c>
      <c r="DY28">
        <v>1</v>
      </c>
      <c r="DZ28" s="4">
        <v>90</v>
      </c>
      <c r="EA28">
        <v>1</v>
      </c>
      <c r="EB28" s="4">
        <v>90</v>
      </c>
      <c r="EC28">
        <v>1</v>
      </c>
      <c r="ED28" s="4">
        <v>91</v>
      </c>
      <c r="EE28">
        <v>1</v>
      </c>
      <c r="EF28" s="4">
        <v>88</v>
      </c>
      <c r="EG28">
        <v>1</v>
      </c>
      <c r="EH28" s="4">
        <v>83</v>
      </c>
      <c r="EI28">
        <v>1</v>
      </c>
      <c r="EJ28" s="4">
        <v>81</v>
      </c>
      <c r="EK28">
        <v>1</v>
      </c>
    </row>
    <row r="29" spans="1:141" x14ac:dyDescent="0.2">
      <c r="A29" t="str">
        <f>HYPERLINK("http://exon.niaid.nih.gov/transcriptome/C_felis/S1/links/cf/cf-contig_653.txt","cf-contig_653")</f>
        <v>cf-contig_653</v>
      </c>
      <c r="B29">
        <v>1</v>
      </c>
      <c r="C29" s="10" t="s">
        <v>4617</v>
      </c>
      <c r="D29">
        <v>1</v>
      </c>
      <c r="E29" t="str">
        <f>HYPERLINK("http://exon.niaid.nih.gov/transcriptome/C_felis/S1/links/cf/cf-5-36-asb-653.txt","Contig-653")</f>
        <v>Contig-653</v>
      </c>
      <c r="F29" t="str">
        <f>HYPERLINK("http://exon.niaid.nih.gov/transcriptome/C_felis/S1/links/cf/cf-5-36-653-CLU.txt","Contig653")</f>
        <v>Contig653</v>
      </c>
      <c r="G29" t="str">
        <f>HYPERLINK("http://exon.niaid.nih.gov/transcriptome/C_felis/S1/links/cf/cf-5-36-653-qual.txt","63.")</f>
        <v>63.</v>
      </c>
      <c r="H29" t="s">
        <v>11</v>
      </c>
      <c r="I29">
        <v>68.3</v>
      </c>
      <c r="J29">
        <v>545</v>
      </c>
      <c r="K29" t="s">
        <v>12</v>
      </c>
      <c r="L29">
        <v>1</v>
      </c>
      <c r="M29" t="s">
        <v>666</v>
      </c>
      <c r="N29">
        <v>545</v>
      </c>
      <c r="O29">
        <v>564</v>
      </c>
      <c r="P29">
        <v>417</v>
      </c>
      <c r="Q29" t="s">
        <v>1472</v>
      </c>
      <c r="R29">
        <v>2</v>
      </c>
      <c r="S29" s="7" t="str">
        <f>HYPERLINK("http://exon.niaid.nih.gov/transcriptome/C_felis/S1/links/Sigp/CF-CONTIG_653-SigP.txt","Cyt")</f>
        <v>Cyt</v>
      </c>
      <c r="U29">
        <v>1</v>
      </c>
      <c r="V29" s="4">
        <v>534</v>
      </c>
      <c r="W29">
        <v>1</v>
      </c>
      <c r="X29" s="4">
        <v>546</v>
      </c>
      <c r="Y29">
        <v>1</v>
      </c>
      <c r="Z29" s="4">
        <v>558</v>
      </c>
      <c r="AA29">
        <v>1</v>
      </c>
      <c r="AB29" s="4" t="str">
        <f>HYPERLINK("http://exon.niaid.nih.gov/transcriptome/C_felis/S1/links/XC-ASB/cf-contig_208-XC-ASB.txt","XC-contig_206")</f>
        <v>XC-contig_206</v>
      </c>
      <c r="AC29">
        <v>2.0000000000000002E-5</v>
      </c>
      <c r="AD29" s="10" t="s">
        <v>4617</v>
      </c>
      <c r="AE29" t="s">
        <v>4599</v>
      </c>
      <c r="AF29" t="str">
        <f>HYPERLINK("http://exon.niaid.nih.gov/transcriptome/C_felis/S1/links/NR/cf-contig_653-NR.txt","NR")</f>
        <v>NR</v>
      </c>
      <c r="AG29" s="5">
        <v>1.9999999999999999E-38</v>
      </c>
      <c r="AH29">
        <v>31.5</v>
      </c>
      <c r="AI29" s="4" t="str">
        <f>HYPERLINK("http://exon.niaid.nih.gov/transcriptome/C_felis/S1/links/NR/cf-contig_653-NR.txt","putative salivary apyrase")</f>
        <v>putative salivary apyrase</v>
      </c>
      <c r="AJ29" t="str">
        <f>HYPERLINK("http://www.ncbi.nlm.nih.gov/sutils/blink.cgi?pid=121512034","2E-038")</f>
        <v>2E-038</v>
      </c>
      <c r="AK29" t="str">
        <f>HYPERLINK("http://www.ncbi.nlm.nih.gov/protein/121512034","gi|121512034")</f>
        <v>gi|121512034</v>
      </c>
      <c r="AL29">
        <v>162</v>
      </c>
      <c r="AM29">
        <v>137</v>
      </c>
      <c r="AN29">
        <v>437</v>
      </c>
      <c r="AO29">
        <v>60</v>
      </c>
      <c r="AP29">
        <v>32</v>
      </c>
      <c r="AQ29">
        <v>54</v>
      </c>
      <c r="AR29">
        <v>6</v>
      </c>
      <c r="AS29">
        <v>296</v>
      </c>
      <c r="AT29">
        <v>38</v>
      </c>
      <c r="AU29">
        <v>1</v>
      </c>
      <c r="AV29">
        <v>2</v>
      </c>
      <c r="AW29" t="s">
        <v>12</v>
      </c>
      <c r="AX29">
        <v>0.73</v>
      </c>
      <c r="AY29" t="s">
        <v>1676</v>
      </c>
      <c r="AZ29" t="s">
        <v>1717</v>
      </c>
      <c r="BA29" s="4" t="str">
        <f>HYPERLINK("http://exon.niaid.nih.gov/transcriptome/C_felis/S1/links/SWISSP/cf-contig_653-SWISSP.txt","Ectonucleoside triphosphate diphosphohydrolase 5")</f>
        <v>Ectonucleoside triphosphate diphosphohydrolase 5</v>
      </c>
      <c r="BB29" t="str">
        <f>HYPERLINK("http://www.uniprot.org/uniprot/E1C1L6","1E-009")</f>
        <v>1E-009</v>
      </c>
      <c r="BC29" t="s">
        <v>1953</v>
      </c>
      <c r="BD29">
        <v>62.8</v>
      </c>
      <c r="BE29">
        <v>90</v>
      </c>
      <c r="BF29">
        <v>428</v>
      </c>
      <c r="BG29">
        <v>39</v>
      </c>
      <c r="BH29">
        <v>21</v>
      </c>
      <c r="BI29">
        <v>55</v>
      </c>
      <c r="BJ29">
        <v>1</v>
      </c>
      <c r="BK29">
        <v>328</v>
      </c>
      <c r="BL29">
        <v>83</v>
      </c>
      <c r="BM29">
        <v>1</v>
      </c>
      <c r="BN29">
        <v>2</v>
      </c>
      <c r="BO29" t="s">
        <v>12</v>
      </c>
      <c r="BQ29" t="s">
        <v>1676</v>
      </c>
      <c r="BR29" t="s">
        <v>1809</v>
      </c>
      <c r="BS29" s="4" t="str">
        <f>HYPERLINK("http://exon.niaid.nih.gov/transcriptome/C_felis/S1/links/CDD/cf-contig_653-CDD.txt","GDA1_CD39")</f>
        <v>GDA1_CD39</v>
      </c>
      <c r="BT29" t="str">
        <f>HYPERLINK("http://www.ncbi.nlm.nih.gov/Structure/cdd/cddsrv.cgi?uid=pfam01150&amp;version=v4.0","2E-007")</f>
        <v>2E-007</v>
      </c>
      <c r="BU29" t="s">
        <v>4065</v>
      </c>
      <c r="BV29" s="4" t="s">
        <v>1955</v>
      </c>
      <c r="BW29">
        <f>HYPERLINK("http://exon.niaid.nih.gov/transcriptome/C_felis/S1/links/GO/cf-contig_653-GO.txt",0.000000000000000009)</f>
        <v>8.9999999999999999E-18</v>
      </c>
      <c r="BX29" t="str">
        <f>HYPERLINK("http://amigo.geneontology.org/cgi-bin/amigo/term_details?term=GO:0004382","GO:0004382")</f>
        <v>GO:0004382</v>
      </c>
      <c r="BY29" t="s">
        <v>1956</v>
      </c>
      <c r="BZ29" t="s">
        <v>1957</v>
      </c>
      <c r="CA29" t="s">
        <v>1958</v>
      </c>
      <c r="CB29" t="str">
        <f>HYPERLINK("http://www.genome.jp/dbget-bin/www_bfind_sub?mode=bfind&amp;max_hit=1000&amp;dbkey=kegg&amp;keywords=EC:3.6.1.42","EC:3.6.1.42")</f>
        <v>EC:3.6.1.42</v>
      </c>
      <c r="CD29">
        <v>1.0000000000000001E-9</v>
      </c>
      <c r="CE29" t="str">
        <f>HYPERLINK("http://amigo.geneontology.org/cgi-bin/amigo/term_details?term=GO:0005783","GO:0005783")</f>
        <v>GO:0005783</v>
      </c>
      <c r="CF29" t="s">
        <v>1959</v>
      </c>
      <c r="CG29" t="s">
        <v>1960</v>
      </c>
      <c r="CH29" t="s">
        <v>1961</v>
      </c>
      <c r="CI29" t="s">
        <v>42</v>
      </c>
      <c r="CK29">
        <v>1.0000000000000001E-9</v>
      </c>
      <c r="CL29" t="str">
        <f>HYPERLINK("http://amigo.geneontology.org/cgi-bin/amigo/term_details?term=GO:0006096","GO:0006096")</f>
        <v>GO:0006096</v>
      </c>
      <c r="CM29" t="s">
        <v>1962</v>
      </c>
      <c r="CN29" t="s">
        <v>1963</v>
      </c>
      <c r="CO29" t="s">
        <v>1964</v>
      </c>
      <c r="CP29" t="s">
        <v>42</v>
      </c>
      <c r="CR29">
        <v>1.0000000000000001E-9</v>
      </c>
      <c r="CS29" s="4" t="str">
        <f>HYPERLINK("http://exon.niaid.nih.gov/transcriptome/C_felis/S1/links/KOG/cf-contig_653-KOG.txt","Nucleoside phosphatase")</f>
        <v>Nucleoside phosphatase</v>
      </c>
      <c r="CT29" t="str">
        <f>HYPERLINK("http://www.ncbi.nlm.nih.gov/COG/grace/shokog.cgi?KOG1385","1E-017")</f>
        <v>1E-017</v>
      </c>
      <c r="CU29" t="s">
        <v>1896</v>
      </c>
      <c r="CV29" s="4" t="str">
        <f>HYPERLINK("http://exon.niaid.nih.gov/transcriptome/C_felis/S1/links/PFAM/cf-contig_653-PFAM.txt","GDA1_CD39")</f>
        <v>GDA1_CD39</v>
      </c>
      <c r="CW29" t="str">
        <f>HYPERLINK("http://pfam.sanger.ac.uk/family?acc=PF01150","3E-008")</f>
        <v>3E-008</v>
      </c>
      <c r="CX29" s="4" t="str">
        <f>HYPERLINK("http://exon.niaid.nih.gov/transcriptome/C_felis/S1/links/SMART/cf-contig_653-SMART.txt","HTTM")</f>
        <v>HTTM</v>
      </c>
      <c r="CY29" t="str">
        <f>HYPERLINK("http://smart.embl-heidelberg.de/smart/do_annotation.pl?DOMAIN=HTTM&amp;BLAST=DUMMY","0.097")</f>
        <v>0.097</v>
      </c>
      <c r="CZ29" s="4" t="s">
        <v>42</v>
      </c>
      <c r="DA29" t="s">
        <v>42</v>
      </c>
      <c r="DB29" t="s">
        <v>42</v>
      </c>
      <c r="DC29" t="s">
        <v>42</v>
      </c>
      <c r="DD29" t="s">
        <v>42</v>
      </c>
      <c r="DE29" t="s">
        <v>42</v>
      </c>
      <c r="DF29" t="s">
        <v>42</v>
      </c>
      <c r="DG29" t="s">
        <v>42</v>
      </c>
      <c r="DH29" s="4" t="s">
        <v>42</v>
      </c>
      <c r="DI29" t="s">
        <v>42</v>
      </c>
      <c r="DJ29" s="4" t="s">
        <v>42</v>
      </c>
      <c r="DK29" t="s">
        <v>42</v>
      </c>
      <c r="DL29" s="4">
        <v>534</v>
      </c>
      <c r="DM29">
        <v>1</v>
      </c>
      <c r="DN29" s="4">
        <v>546</v>
      </c>
      <c r="DO29">
        <v>1</v>
      </c>
      <c r="DP29" s="4">
        <v>558</v>
      </c>
      <c r="DQ29">
        <v>1</v>
      </c>
      <c r="DR29" s="4">
        <v>578</v>
      </c>
      <c r="DS29">
        <v>1</v>
      </c>
      <c r="DT29" s="4">
        <v>591</v>
      </c>
      <c r="DU29">
        <v>1</v>
      </c>
      <c r="DV29" s="4">
        <v>605</v>
      </c>
      <c r="DW29">
        <v>1</v>
      </c>
      <c r="DX29" s="4">
        <v>614</v>
      </c>
      <c r="DY29">
        <v>1</v>
      </c>
      <c r="DZ29" s="4">
        <v>623</v>
      </c>
      <c r="EA29">
        <v>1</v>
      </c>
      <c r="EB29" s="4">
        <v>628</v>
      </c>
      <c r="EC29">
        <v>1</v>
      </c>
      <c r="ED29" s="4">
        <v>632</v>
      </c>
      <c r="EE29">
        <v>1</v>
      </c>
      <c r="EF29" s="4">
        <v>638</v>
      </c>
      <c r="EG29">
        <v>1</v>
      </c>
      <c r="EH29" s="4">
        <v>646</v>
      </c>
      <c r="EI29">
        <v>1</v>
      </c>
      <c r="EJ29" s="4">
        <v>653</v>
      </c>
      <c r="EK29">
        <v>1</v>
      </c>
    </row>
    <row r="30" spans="1:141" s="6" customFormat="1" x14ac:dyDescent="0.2">
      <c r="A30" s="12" t="s">
        <v>4927</v>
      </c>
      <c r="D30" s="6">
        <v>2</v>
      </c>
    </row>
    <row r="31" spans="1:141" x14ac:dyDescent="0.2">
      <c r="A31" t="str">
        <f>HYPERLINK("http://exon.niaid.nih.gov/transcriptome/C_felis/S1/links/cf/cf-contig_791.txt","cf-contig_791")</f>
        <v>cf-contig_791</v>
      </c>
      <c r="B31">
        <v>1</v>
      </c>
      <c r="C31" s="10" t="s">
        <v>4877</v>
      </c>
      <c r="D31">
        <v>1</v>
      </c>
      <c r="E31" t="str">
        <f>HYPERLINK("http://exon.niaid.nih.gov/transcriptome/C_felis/S1/links/cf/cf-5-36-asb-791.txt","Contig-791")</f>
        <v>Contig-791</v>
      </c>
      <c r="F31" t="str">
        <f>HYPERLINK("http://exon.niaid.nih.gov/transcriptome/C_felis/S1/links/cf/cf-5-36-791-CLU.txt","Contig791")</f>
        <v>Contig791</v>
      </c>
      <c r="G31" t="str">
        <f>HYPERLINK("http://exon.niaid.nih.gov/transcriptome/C_felis/S1/links/cf/cf-5-36-791-qual.txt","64.3")</f>
        <v>64.3</v>
      </c>
      <c r="H31" t="s">
        <v>11</v>
      </c>
      <c r="I31">
        <v>69.5</v>
      </c>
      <c r="J31">
        <v>322</v>
      </c>
      <c r="K31" t="s">
        <v>12</v>
      </c>
      <c r="L31">
        <v>1</v>
      </c>
      <c r="M31" t="s">
        <v>804</v>
      </c>
      <c r="N31">
        <v>322</v>
      </c>
      <c r="O31">
        <v>341</v>
      </c>
      <c r="P31">
        <v>222</v>
      </c>
      <c r="Q31" t="s">
        <v>1610</v>
      </c>
      <c r="R31">
        <v>1</v>
      </c>
      <c r="S31" s="7" t="str">
        <f>HYPERLINK("http://exon.niaid.nih.gov/transcriptome/C_felis/S1/links/Sigp/CF-CONTIG_791-SigP.txt","Cyt")</f>
        <v>Cyt</v>
      </c>
      <c r="U31">
        <v>1</v>
      </c>
      <c r="V31" s="4">
        <f>HYPERLINK("http://exon.niaid.nih.gov/transcriptome/C_felis/S1/links/cluster/cf-5-36-asb30-50-Id-CLU97.txt", 97)</f>
        <v>97</v>
      </c>
      <c r="W31">
        <f>HYPERLINK("http://exon.niaid.nih.gov/transcriptome/C_felis/S1/links/cluster/cf-5-36-asb30-50-Id-CLTL97.txt", 2)</f>
        <v>2</v>
      </c>
      <c r="X31" s="4">
        <f>HYPERLINK("http://exon.niaid.nih.gov/transcriptome/C_felis/S1/links/cluster/cf-5-36-asb35-50-Id-CLU89.txt", 89)</f>
        <v>89</v>
      </c>
      <c r="Y31">
        <f>HYPERLINK("http://exon.niaid.nih.gov/transcriptome/C_felis/S1/links/cluster/cf-5-36-asb35-50-Id-CLTL89.txt", 2)</f>
        <v>2</v>
      </c>
      <c r="Z31" s="4">
        <f>HYPERLINK("http://exon.niaid.nih.gov/transcriptome/C_felis/S1/links/cluster/cf-5-36-asb40-50-Id-CLU80.txt", 80)</f>
        <v>80</v>
      </c>
      <c r="AA31">
        <f>HYPERLINK("http://exon.niaid.nih.gov/transcriptome/C_felis/S1/links/cluster/cf-5-36-asb40-50-Id-CLTL80.txt", 2)</f>
        <v>2</v>
      </c>
      <c r="AB31" s="4" t="str">
        <f>HYPERLINK("http://exon.niaid.nih.gov/transcriptome/C_felis/S1/links/XC-ASB/cf-contig_37-XC-ASB.txt","XC-contig_169")</f>
        <v>XC-contig_169</v>
      </c>
      <c r="AC31">
        <v>4.9999999999999999E-17</v>
      </c>
      <c r="AD31" s="10" t="s">
        <v>4877</v>
      </c>
      <c r="AE31" t="s">
        <v>4599</v>
      </c>
      <c r="AF31" t="str">
        <f>HYPERLINK("http://exon.niaid.nih.gov/transcriptome/C_felis/S1/links/NR/cf-contig_791-NR.txt","NR")</f>
        <v>NR</v>
      </c>
      <c r="AG31">
        <v>3.0000000000000001E-5</v>
      </c>
      <c r="AH31">
        <v>47</v>
      </c>
      <c r="AI31" s="4" t="str">
        <f>HYPERLINK("http://exon.niaid.nih.gov/transcriptome/C_felis/S1/links/NR/cf-contig_791-NR.txt","5'-nucleotidase")</f>
        <v>5'-nucleotidase</v>
      </c>
      <c r="AJ31" t="str">
        <f>HYPERLINK("http://www.ncbi.nlm.nih.gov/sutils/blink.cgi?pid=353590529","3E-005")</f>
        <v>3E-005</v>
      </c>
      <c r="AK31" t="str">
        <f>HYPERLINK("http://www.ncbi.nlm.nih.gov/protein/353590529","gi|353590529")</f>
        <v>gi|353590529</v>
      </c>
      <c r="AL31">
        <v>52.4</v>
      </c>
      <c r="AM31">
        <v>56</v>
      </c>
      <c r="AN31">
        <v>120</v>
      </c>
      <c r="AO31">
        <v>40</v>
      </c>
      <c r="AP31">
        <v>48</v>
      </c>
      <c r="AQ31">
        <v>34</v>
      </c>
      <c r="AR31">
        <v>0</v>
      </c>
      <c r="AS31">
        <v>57</v>
      </c>
      <c r="AT31">
        <v>10</v>
      </c>
      <c r="AU31">
        <v>1</v>
      </c>
      <c r="AV31">
        <v>1</v>
      </c>
      <c r="AW31" t="s">
        <v>12</v>
      </c>
      <c r="AY31" t="s">
        <v>1676</v>
      </c>
      <c r="AZ31" t="s">
        <v>4532</v>
      </c>
      <c r="BA31" s="4" t="str">
        <f>HYPERLINK("http://exon.niaid.nih.gov/transcriptome/C_felis/S1/links/SWISSP/cf-contig_791-SWISSP.txt","Apyrase")</f>
        <v>Apyrase</v>
      </c>
      <c r="BB31" t="str">
        <f>HYPERLINK("http://www.uniprot.org/uniprot/P50635","0.19")</f>
        <v>0.19</v>
      </c>
      <c r="BC31" t="s">
        <v>4533</v>
      </c>
      <c r="BD31">
        <v>34.700000000000003</v>
      </c>
      <c r="BE31">
        <v>44</v>
      </c>
      <c r="BF31">
        <v>562</v>
      </c>
      <c r="BG31">
        <v>34</v>
      </c>
      <c r="BH31">
        <v>8</v>
      </c>
      <c r="BI31">
        <v>31</v>
      </c>
      <c r="BJ31">
        <v>0</v>
      </c>
      <c r="BK31">
        <v>501</v>
      </c>
      <c r="BL31">
        <v>16</v>
      </c>
      <c r="BM31">
        <v>1</v>
      </c>
      <c r="BN31">
        <v>1</v>
      </c>
      <c r="BO31" t="s">
        <v>12</v>
      </c>
      <c r="BQ31" t="s">
        <v>1676</v>
      </c>
      <c r="BR31" t="s">
        <v>2267</v>
      </c>
      <c r="BS31" s="4" t="str">
        <f>HYPERLINK("http://exon.niaid.nih.gov/transcriptome/C_felis/S1/links/CDD/cf-contig_791-CDD.txt","ushA")</f>
        <v>ushA</v>
      </c>
      <c r="BT31" t="str">
        <f>HYPERLINK("http://www.ncbi.nlm.nih.gov/Structure/cdd/cddsrv.cgi?uid=PRK09558&amp;version=v4.0","2E-005")</f>
        <v>2E-005</v>
      </c>
      <c r="BU31" t="s">
        <v>4534</v>
      </c>
      <c r="BV31" s="4" t="s">
        <v>42</v>
      </c>
      <c r="BW31" t="s">
        <v>42</v>
      </c>
      <c r="BX31" t="s">
        <v>42</v>
      </c>
      <c r="BY31" t="s">
        <v>42</v>
      </c>
      <c r="BZ31" t="s">
        <v>42</v>
      </c>
      <c r="CA31" t="s">
        <v>42</v>
      </c>
      <c r="CB31" t="s">
        <v>42</v>
      </c>
      <c r="CC31" t="s">
        <v>42</v>
      </c>
      <c r="CD31" t="s">
        <v>42</v>
      </c>
      <c r="CE31" t="s">
        <v>42</v>
      </c>
      <c r="CF31" t="s">
        <v>42</v>
      </c>
      <c r="CG31" t="s">
        <v>42</v>
      </c>
      <c r="CH31" t="s">
        <v>42</v>
      </c>
      <c r="CI31" t="s">
        <v>42</v>
      </c>
      <c r="CJ31" t="s">
        <v>42</v>
      </c>
      <c r="CK31" t="s">
        <v>42</v>
      </c>
      <c r="CL31" t="s">
        <v>42</v>
      </c>
      <c r="CM31" t="s">
        <v>42</v>
      </c>
      <c r="CN31" t="s">
        <v>42</v>
      </c>
      <c r="CO31" t="s">
        <v>42</v>
      </c>
      <c r="CP31" t="s">
        <v>42</v>
      </c>
      <c r="CQ31" t="s">
        <v>42</v>
      </c>
      <c r="CR31" t="s">
        <v>42</v>
      </c>
      <c r="CS31" s="4" t="str">
        <f>HYPERLINK("http://exon.niaid.nih.gov/transcriptome/C_felis/S1/links/KOG/cf-contig_791-KOG.txt","Glycinamide ribonucleotide synthetase (GARS)/Aminoimidazole ribonucleotide synthetase (AIRS)")</f>
        <v>Glycinamide ribonucleotide synthetase (GARS)/Aminoimidazole ribonucleotide synthetase (AIRS)</v>
      </c>
      <c r="CT31" t="str">
        <f>HYPERLINK("http://www.ncbi.nlm.nih.gov/COG/grace/shokog.cgi?KOG0237","0.59")</f>
        <v>0.59</v>
      </c>
      <c r="CU31" t="s">
        <v>1896</v>
      </c>
      <c r="CV31" s="4" t="str">
        <f>HYPERLINK("http://exon.niaid.nih.gov/transcriptome/C_felis/S1/links/PFAM/cf-contig_791-PFAM.txt","5_nucleotid_C")</f>
        <v>5_nucleotid_C</v>
      </c>
      <c r="CW31" t="str">
        <f>HYPERLINK("http://pfam.sanger.ac.uk/family?acc=PF02872","0.001")</f>
        <v>0.001</v>
      </c>
      <c r="CX31" s="4" t="str">
        <f>HYPERLINK("http://exon.niaid.nih.gov/transcriptome/C_felis/S1/links/SMART/cf-contig_791-SMART.txt","GRAM")</f>
        <v>GRAM</v>
      </c>
      <c r="CY31" t="str">
        <f>HYPERLINK("http://smart.embl-heidelberg.de/smart/do_annotation.pl?DOMAIN=GRAM&amp;BLAST=DUMMY","0.071")</f>
        <v>0.071</v>
      </c>
      <c r="CZ31" s="4" t="s">
        <v>42</v>
      </c>
      <c r="DA31" t="s">
        <v>42</v>
      </c>
      <c r="DB31" t="s">
        <v>42</v>
      </c>
      <c r="DC31" t="s">
        <v>42</v>
      </c>
      <c r="DD31" t="s">
        <v>42</v>
      </c>
      <c r="DE31" t="s">
        <v>42</v>
      </c>
      <c r="DF31" t="s">
        <v>42</v>
      </c>
      <c r="DG31" t="s">
        <v>42</v>
      </c>
      <c r="DH31" s="4" t="s">
        <v>42</v>
      </c>
      <c r="DI31" t="s">
        <v>42</v>
      </c>
      <c r="DJ31" s="4" t="s">
        <v>42</v>
      </c>
      <c r="DK31" t="s">
        <v>42</v>
      </c>
      <c r="DL31" s="4">
        <f>HYPERLINK("http://exon.niaid.nih.gov/transcriptome/C_felis/S1/links/cluster/cf-5-36-asb30-50-Id-CLU97.txt", 97)</f>
        <v>97</v>
      </c>
      <c r="DM31">
        <f>HYPERLINK("http://exon.niaid.nih.gov/transcriptome/C_felis/S1/links/cluster/cf-5-36-asb30-50-Id-CLTL97.txt", 2)</f>
        <v>2</v>
      </c>
      <c r="DN31" s="4">
        <f>HYPERLINK("http://exon.niaid.nih.gov/transcriptome/C_felis/S1/links/cluster/cf-5-36-asb35-50-Id-CLU89.txt", 89)</f>
        <v>89</v>
      </c>
      <c r="DO31">
        <f>HYPERLINK("http://exon.niaid.nih.gov/transcriptome/C_felis/S1/links/cluster/cf-5-36-asb35-50-Id-CLTL89.txt", 2)</f>
        <v>2</v>
      </c>
      <c r="DP31" s="4">
        <f>HYPERLINK("http://exon.niaid.nih.gov/transcriptome/C_felis/S1/links/cluster/cf-5-36-asb40-50-Id-CLU80.txt", 80)</f>
        <v>80</v>
      </c>
      <c r="DQ31">
        <f>HYPERLINK("http://exon.niaid.nih.gov/transcriptome/C_felis/S1/links/cluster/cf-5-36-asb40-50-Id-CLTL80.txt", 2)</f>
        <v>2</v>
      </c>
      <c r="DR31" s="4">
        <f>HYPERLINK("http://exon.niaid.nih.gov/transcriptome/C_felis/S1/links/cluster/cf-5-36-asb45-50-Id-CLU67.txt", 67)</f>
        <v>67</v>
      </c>
      <c r="DS31">
        <f>HYPERLINK("http://exon.niaid.nih.gov/transcriptome/C_felis/S1/links/cluster/cf-5-36-asb45-50-Id-CLTL67.txt", 2)</f>
        <v>2</v>
      </c>
      <c r="DT31" s="4">
        <f>HYPERLINK("http://exon.niaid.nih.gov/transcriptome/C_felis/S1/links/cluster/cf-5-36-asb50-50-Id-CLU58.txt", 58)</f>
        <v>58</v>
      </c>
      <c r="DU31">
        <f>HYPERLINK("http://exon.niaid.nih.gov/transcriptome/C_felis/S1/links/cluster/cf-5-36-asb50-50-Id-CLTL58.txt", 2)</f>
        <v>2</v>
      </c>
      <c r="DV31" s="4">
        <f>HYPERLINK("http://exon.niaid.nih.gov/transcriptome/C_felis/S1/links/cluster/cf-5-36-asb55-50-Id-CLU53.txt", 53)</f>
        <v>53</v>
      </c>
      <c r="DW31">
        <f>HYPERLINK("http://exon.niaid.nih.gov/transcriptome/C_felis/S1/links/cluster/cf-5-36-asb55-50-Id-CLTL53.txt", 2)</f>
        <v>2</v>
      </c>
      <c r="DX31" s="4">
        <f>HYPERLINK("http://exon.niaid.nih.gov/transcriptome/C_felis/S1/links/cluster/cf-5-36-asb60-50-Id-CLU43.txt", 43)</f>
        <v>43</v>
      </c>
      <c r="DY31">
        <f>HYPERLINK("http://exon.niaid.nih.gov/transcriptome/C_felis/S1/links/cluster/cf-5-36-asb60-50-Id-CLTL43.txt", 2)</f>
        <v>2</v>
      </c>
      <c r="DZ31" s="4">
        <v>751</v>
      </c>
      <c r="EA31">
        <v>1</v>
      </c>
      <c r="EB31" s="4">
        <v>758</v>
      </c>
      <c r="EC31">
        <v>1</v>
      </c>
      <c r="ED31" s="4">
        <v>763</v>
      </c>
      <c r="EE31">
        <v>1</v>
      </c>
      <c r="EF31" s="4">
        <v>770</v>
      </c>
      <c r="EG31">
        <v>1</v>
      </c>
      <c r="EH31" s="4">
        <v>782</v>
      </c>
      <c r="EI31">
        <v>1</v>
      </c>
      <c r="EJ31" s="4">
        <v>791</v>
      </c>
      <c r="EK31">
        <v>1</v>
      </c>
    </row>
    <row r="32" spans="1:141" x14ac:dyDescent="0.2">
      <c r="A32" t="str">
        <f>HYPERLINK("http://exon.niaid.nih.gov/transcriptome/C_felis/S1/links/cf/cf-contig_806.txt","cf-contig_806")</f>
        <v>cf-contig_806</v>
      </c>
      <c r="B32">
        <v>1</v>
      </c>
      <c r="C32" s="10" t="s">
        <v>4877</v>
      </c>
      <c r="D32">
        <v>1</v>
      </c>
      <c r="E32" t="str">
        <f>HYPERLINK("http://exon.niaid.nih.gov/transcriptome/C_felis/S1/links/cf/cf-5-36-asb-806.txt","Contig-806")</f>
        <v>Contig-806</v>
      </c>
      <c r="F32" t="str">
        <f>HYPERLINK("http://exon.niaid.nih.gov/transcriptome/C_felis/S1/links/cf/cf-5-36-806-CLU.txt","Contig806")</f>
        <v>Contig806</v>
      </c>
      <c r="G32" t="str">
        <f>HYPERLINK("http://exon.niaid.nih.gov/transcriptome/C_felis/S1/links/cf/cf-5-36-806-qual.txt","58.6")</f>
        <v>58.6</v>
      </c>
      <c r="H32" t="s">
        <v>11</v>
      </c>
      <c r="I32">
        <v>65.5</v>
      </c>
      <c r="J32">
        <v>288</v>
      </c>
      <c r="K32" t="s">
        <v>12</v>
      </c>
      <c r="L32">
        <v>1</v>
      </c>
      <c r="M32" t="s">
        <v>819</v>
      </c>
      <c r="N32">
        <v>288</v>
      </c>
      <c r="O32">
        <v>307</v>
      </c>
      <c r="P32">
        <v>264</v>
      </c>
      <c r="Q32" t="s">
        <v>1625</v>
      </c>
      <c r="R32">
        <v>3</v>
      </c>
      <c r="S32" s="7" t="str">
        <f>HYPERLINK("http://exon.niaid.nih.gov/transcriptome/C_felis/S1/links/Sigp/CF-CONTIG_806-SigP.txt","Cyt")</f>
        <v>Cyt</v>
      </c>
      <c r="U32">
        <v>1</v>
      </c>
      <c r="V32" s="4">
        <f>HYPERLINK("http://exon.niaid.nih.gov/transcriptome/C_felis/S1/links/cluster/cf-5-36-asb30-50-Id-CLU97.txt", 97)</f>
        <v>97</v>
      </c>
      <c r="W32">
        <f>HYPERLINK("http://exon.niaid.nih.gov/transcriptome/C_felis/S1/links/cluster/cf-5-36-asb30-50-Id-CLTL97.txt", 2)</f>
        <v>2</v>
      </c>
      <c r="X32" s="4">
        <f>HYPERLINK("http://exon.niaid.nih.gov/transcriptome/C_felis/S1/links/cluster/cf-5-36-asb35-50-Id-CLU89.txt", 89)</f>
        <v>89</v>
      </c>
      <c r="Y32">
        <f>HYPERLINK("http://exon.niaid.nih.gov/transcriptome/C_felis/S1/links/cluster/cf-5-36-asb35-50-Id-CLTL89.txt", 2)</f>
        <v>2</v>
      </c>
      <c r="Z32" s="4">
        <f>HYPERLINK("http://exon.niaid.nih.gov/transcriptome/C_felis/S1/links/cluster/cf-5-36-asb40-50-Id-CLU80.txt", 80)</f>
        <v>80</v>
      </c>
      <c r="AA32">
        <f>HYPERLINK("http://exon.niaid.nih.gov/transcriptome/C_felis/S1/links/cluster/cf-5-36-asb40-50-Id-CLTL80.txt", 2)</f>
        <v>2</v>
      </c>
      <c r="AB32" s="4" t="str">
        <f>HYPERLINK("http://exon.niaid.nih.gov/transcriptome/C_felis/S1/links/XC-ASB/cf-contig_39-XC-ASB.txt","XC-contig_169")</f>
        <v>XC-contig_169</v>
      </c>
      <c r="AC32">
        <v>2.9999999999999999E-21</v>
      </c>
      <c r="AD32" s="10" t="s">
        <v>4877</v>
      </c>
      <c r="AE32" t="s">
        <v>4599</v>
      </c>
      <c r="AF32" t="str">
        <f>HYPERLINK("http://exon.niaid.nih.gov/transcriptome/C_felis/S1/links/NR/cf-contig_806-NR.txt","NR")</f>
        <v>NR</v>
      </c>
      <c r="AG32">
        <v>3.0000000000000001E-6</v>
      </c>
      <c r="AH32">
        <v>50</v>
      </c>
      <c r="AI32" s="4" t="str">
        <f>HYPERLINK("http://exon.niaid.nih.gov/transcriptome/C_felis/S1/links/NR/cf-contig_806-NR.txt","5'-nucleotidase")</f>
        <v>5'-nucleotidase</v>
      </c>
      <c r="AJ32" t="str">
        <f>HYPERLINK("http://www.ncbi.nlm.nih.gov/sutils/blink.cgi?pid=353590529","3E-006")</f>
        <v>3E-006</v>
      </c>
      <c r="AK32" t="str">
        <f>HYPERLINK("http://www.ncbi.nlm.nih.gov/protein/353590529","gi|353590529")</f>
        <v>gi|353590529</v>
      </c>
      <c r="AL32">
        <v>55.5</v>
      </c>
      <c r="AM32">
        <v>59</v>
      </c>
      <c r="AN32">
        <v>120</v>
      </c>
      <c r="AO32">
        <v>40</v>
      </c>
      <c r="AP32">
        <v>50</v>
      </c>
      <c r="AQ32">
        <v>36</v>
      </c>
      <c r="AR32">
        <v>0</v>
      </c>
      <c r="AS32">
        <v>54</v>
      </c>
      <c r="AT32">
        <v>45</v>
      </c>
      <c r="AU32">
        <v>1</v>
      </c>
      <c r="AV32">
        <v>3</v>
      </c>
      <c r="AW32" t="s">
        <v>12</v>
      </c>
      <c r="AY32" t="s">
        <v>1676</v>
      </c>
      <c r="AZ32" t="s">
        <v>4532</v>
      </c>
      <c r="BA32" s="4" t="str">
        <f>HYPERLINK("http://exon.niaid.nih.gov/transcriptome/C_felis/S1/links/SWISSP/cf-contig_806-SWISSP.txt","Trifunctional nucleotide phosphoesterase protein YfkN")</f>
        <v>Trifunctional nucleotide phosphoesterase protein YfkN</v>
      </c>
      <c r="BB32" t="str">
        <f>HYPERLINK("http://www.uniprot.org/uniprot/O34313","0.067")</f>
        <v>0.067</v>
      </c>
      <c r="BC32" t="s">
        <v>4579</v>
      </c>
      <c r="BD32">
        <v>36.200000000000003</v>
      </c>
      <c r="BE32">
        <v>65</v>
      </c>
      <c r="BF32">
        <v>1462</v>
      </c>
      <c r="BG32">
        <v>26</v>
      </c>
      <c r="BH32">
        <v>5</v>
      </c>
      <c r="BI32">
        <v>49</v>
      </c>
      <c r="BJ32">
        <v>0</v>
      </c>
      <c r="BK32">
        <v>1107</v>
      </c>
      <c r="BL32">
        <v>21</v>
      </c>
      <c r="BM32">
        <v>1</v>
      </c>
      <c r="BN32">
        <v>3</v>
      </c>
      <c r="BO32" t="s">
        <v>12</v>
      </c>
      <c r="BQ32" t="s">
        <v>1676</v>
      </c>
      <c r="BR32" t="s">
        <v>1739</v>
      </c>
      <c r="BS32" s="4" t="str">
        <f>HYPERLINK("http://exon.niaid.nih.gov/transcriptome/C_felis/S1/links/CDD/cf-contig_806-CDD.txt","ushA")</f>
        <v>ushA</v>
      </c>
      <c r="BT32" t="str">
        <f>HYPERLINK("http://www.ncbi.nlm.nih.gov/Structure/cdd/cddsrv.cgi?uid=PRK09558&amp;version=v4.0","2E-005")</f>
        <v>2E-005</v>
      </c>
      <c r="BU32" t="s">
        <v>4580</v>
      </c>
      <c r="BV32" s="4" t="s">
        <v>42</v>
      </c>
      <c r="BW32" t="s">
        <v>42</v>
      </c>
      <c r="BX32" t="s">
        <v>42</v>
      </c>
      <c r="BY32" t="s">
        <v>42</v>
      </c>
      <c r="BZ32" t="s">
        <v>42</v>
      </c>
      <c r="CA32" t="s">
        <v>42</v>
      </c>
      <c r="CB32" t="s">
        <v>42</v>
      </c>
      <c r="CC32" t="s">
        <v>42</v>
      </c>
      <c r="CD32" t="s">
        <v>42</v>
      </c>
      <c r="CE32" t="s">
        <v>42</v>
      </c>
      <c r="CF32" t="s">
        <v>42</v>
      </c>
      <c r="CG32" t="s">
        <v>42</v>
      </c>
      <c r="CH32" t="s">
        <v>42</v>
      </c>
      <c r="CI32" t="s">
        <v>42</v>
      </c>
      <c r="CJ32" t="s">
        <v>42</v>
      </c>
      <c r="CK32" t="s">
        <v>42</v>
      </c>
      <c r="CL32" t="s">
        <v>42</v>
      </c>
      <c r="CM32" t="s">
        <v>42</v>
      </c>
      <c r="CN32" t="s">
        <v>42</v>
      </c>
      <c r="CO32" t="s">
        <v>42</v>
      </c>
      <c r="CP32" t="s">
        <v>42</v>
      </c>
      <c r="CQ32" t="s">
        <v>42</v>
      </c>
      <c r="CR32" t="s">
        <v>42</v>
      </c>
      <c r="CS32" s="4" t="str">
        <f>HYPERLINK("http://exon.niaid.nih.gov/transcriptome/C_felis/S1/links/KOG/cf-contig_806-KOG.txt","Glycinamide ribonucleotide synthetase (GARS)/Aminoimidazole ribonucleotide synthetase (AIRS)")</f>
        <v>Glycinamide ribonucleotide synthetase (GARS)/Aminoimidazole ribonucleotide synthetase (AIRS)</v>
      </c>
      <c r="CT32" t="str">
        <f>HYPERLINK("http://www.ncbi.nlm.nih.gov/COG/grace/shokog.cgi?KOG0237","0.47")</f>
        <v>0.47</v>
      </c>
      <c r="CU32" t="s">
        <v>1896</v>
      </c>
      <c r="CV32" s="4" t="str">
        <f>HYPERLINK("http://exon.niaid.nih.gov/transcriptome/C_felis/S1/links/PFAM/cf-contig_806-PFAM.txt","5_nucleotid_C")</f>
        <v>5_nucleotid_C</v>
      </c>
      <c r="CW32" t="str">
        <f>HYPERLINK("http://pfam.sanger.ac.uk/family?acc=PF02872","8E-004")</f>
        <v>8E-004</v>
      </c>
      <c r="CX32" s="4" t="str">
        <f>HYPERLINK("http://exon.niaid.nih.gov/transcriptome/C_felis/S1/links/SMART/cf-contig_806-SMART.txt","TOP2c")</f>
        <v>TOP2c</v>
      </c>
      <c r="CY32" t="str">
        <f>HYPERLINK("http://smart.embl-heidelberg.de/smart/do_annotation.pl?DOMAIN=TOP2c&amp;BLAST=DUMMY","0.16")</f>
        <v>0.16</v>
      </c>
      <c r="CZ32" s="4" t="s">
        <v>42</v>
      </c>
      <c r="DA32" t="s">
        <v>42</v>
      </c>
      <c r="DB32" t="s">
        <v>42</v>
      </c>
      <c r="DC32" t="s">
        <v>42</v>
      </c>
      <c r="DD32" t="s">
        <v>42</v>
      </c>
      <c r="DE32" t="s">
        <v>42</v>
      </c>
      <c r="DF32" t="s">
        <v>42</v>
      </c>
      <c r="DG32" t="s">
        <v>42</v>
      </c>
      <c r="DH32" s="4" t="s">
        <v>42</v>
      </c>
      <c r="DI32" t="s">
        <v>42</v>
      </c>
      <c r="DJ32" s="4" t="s">
        <v>42</v>
      </c>
      <c r="DK32" t="s">
        <v>42</v>
      </c>
      <c r="DL32" s="4">
        <f>HYPERLINK("http://exon.niaid.nih.gov/transcriptome/C_felis/S1/links/cluster/cf-5-36-asb30-50-Id-CLU97.txt", 97)</f>
        <v>97</v>
      </c>
      <c r="DM32">
        <f>HYPERLINK("http://exon.niaid.nih.gov/transcriptome/C_felis/S1/links/cluster/cf-5-36-asb30-50-Id-CLTL97.txt", 2)</f>
        <v>2</v>
      </c>
      <c r="DN32" s="4">
        <f>HYPERLINK("http://exon.niaid.nih.gov/transcriptome/C_felis/S1/links/cluster/cf-5-36-asb35-50-Id-CLU89.txt", 89)</f>
        <v>89</v>
      </c>
      <c r="DO32">
        <f>HYPERLINK("http://exon.niaid.nih.gov/transcriptome/C_felis/S1/links/cluster/cf-5-36-asb35-50-Id-CLTL89.txt", 2)</f>
        <v>2</v>
      </c>
      <c r="DP32" s="4">
        <f>HYPERLINK("http://exon.niaid.nih.gov/transcriptome/C_felis/S1/links/cluster/cf-5-36-asb40-50-Id-CLU80.txt", 80)</f>
        <v>80</v>
      </c>
      <c r="DQ32">
        <f>HYPERLINK("http://exon.niaid.nih.gov/transcriptome/C_felis/S1/links/cluster/cf-5-36-asb40-50-Id-CLTL80.txt", 2)</f>
        <v>2</v>
      </c>
      <c r="DR32" s="4">
        <f>HYPERLINK("http://exon.niaid.nih.gov/transcriptome/C_felis/S1/links/cluster/cf-5-36-asb45-50-Id-CLU67.txt", 67)</f>
        <v>67</v>
      </c>
      <c r="DS32">
        <f>HYPERLINK("http://exon.niaid.nih.gov/transcriptome/C_felis/S1/links/cluster/cf-5-36-asb45-50-Id-CLTL67.txt", 2)</f>
        <v>2</v>
      </c>
      <c r="DT32" s="4">
        <f>HYPERLINK("http://exon.niaid.nih.gov/transcriptome/C_felis/S1/links/cluster/cf-5-36-asb50-50-Id-CLU58.txt", 58)</f>
        <v>58</v>
      </c>
      <c r="DU32">
        <f>HYPERLINK("http://exon.niaid.nih.gov/transcriptome/C_felis/S1/links/cluster/cf-5-36-asb50-50-Id-CLTL58.txt", 2)</f>
        <v>2</v>
      </c>
      <c r="DV32" s="4">
        <f>HYPERLINK("http://exon.niaid.nih.gov/transcriptome/C_felis/S1/links/cluster/cf-5-36-asb55-50-Id-CLU53.txt", 53)</f>
        <v>53</v>
      </c>
      <c r="DW32">
        <f>HYPERLINK("http://exon.niaid.nih.gov/transcriptome/C_felis/S1/links/cluster/cf-5-36-asb55-50-Id-CLTL53.txt", 2)</f>
        <v>2</v>
      </c>
      <c r="DX32" s="4">
        <f>HYPERLINK("http://exon.niaid.nih.gov/transcriptome/C_felis/S1/links/cluster/cf-5-36-asb60-50-Id-CLU43.txt", 43)</f>
        <v>43</v>
      </c>
      <c r="DY32">
        <f>HYPERLINK("http://exon.niaid.nih.gov/transcriptome/C_felis/S1/links/cluster/cf-5-36-asb60-50-Id-CLTL43.txt", 2)</f>
        <v>2</v>
      </c>
      <c r="DZ32" s="4">
        <v>766</v>
      </c>
      <c r="EA32">
        <v>1</v>
      </c>
      <c r="EB32" s="4">
        <v>773</v>
      </c>
      <c r="EC32">
        <v>1</v>
      </c>
      <c r="ED32" s="4">
        <v>778</v>
      </c>
      <c r="EE32">
        <v>1</v>
      </c>
      <c r="EF32" s="4">
        <v>785</v>
      </c>
      <c r="EG32">
        <v>1</v>
      </c>
      <c r="EH32" s="4">
        <v>797</v>
      </c>
      <c r="EI32">
        <v>1</v>
      </c>
      <c r="EJ32" s="4">
        <v>806</v>
      </c>
      <c r="EK32">
        <v>1</v>
      </c>
    </row>
    <row r="33" spans="1:141" s="6" customFormat="1" x14ac:dyDescent="0.2">
      <c r="A33" s="12" t="s">
        <v>4905</v>
      </c>
      <c r="D33" s="6">
        <f>SUM(D34:D37)</f>
        <v>16</v>
      </c>
    </row>
    <row r="34" spans="1:141" x14ac:dyDescent="0.2">
      <c r="A34" t="str">
        <f>HYPERLINK("http://exon.niaid.nih.gov/transcriptome/C_felis/S1/links/cf/cf-contig_60.txt","cf-contig_60")</f>
        <v>cf-contig_60</v>
      </c>
      <c r="B34">
        <v>6</v>
      </c>
      <c r="C34" s="10" t="s">
        <v>4613</v>
      </c>
      <c r="D34">
        <v>6</v>
      </c>
      <c r="E34" t="str">
        <f>HYPERLINK("http://exon.niaid.nih.gov/transcriptome/C_felis/S1/links/cf/cf-5-36-asb-60.txt","Contig-60")</f>
        <v>Contig-60</v>
      </c>
      <c r="F34" t="str">
        <f>HYPERLINK("http://exon.niaid.nih.gov/transcriptome/C_felis/S1/links/cf/cf-5-36-60-CLU.txt","Contig60")</f>
        <v>Contig60</v>
      </c>
      <c r="G34" t="str">
        <f>HYPERLINK("http://exon.niaid.nih.gov/transcriptome/C_felis/S1/links/cf/cf-5-36-60-qual.txt","94.3")</f>
        <v>94.3</v>
      </c>
      <c r="H34" t="s">
        <v>11</v>
      </c>
      <c r="I34">
        <v>63.2</v>
      </c>
      <c r="J34">
        <v>402</v>
      </c>
      <c r="K34" t="s">
        <v>12</v>
      </c>
      <c r="L34">
        <v>6</v>
      </c>
      <c r="M34" t="s">
        <v>73</v>
      </c>
      <c r="N34">
        <v>469</v>
      </c>
      <c r="O34">
        <v>421</v>
      </c>
      <c r="P34">
        <v>291</v>
      </c>
      <c r="Q34" t="s">
        <v>882</v>
      </c>
      <c r="R34">
        <v>1</v>
      </c>
      <c r="S34" s="7" t="str">
        <f>HYPERLINK("http://exon.niaid.nih.gov/transcriptome/C_felis/S1/links/Sigp/CF-CONTIG_60-SigP.txt","Cyt")</f>
        <v>Cyt</v>
      </c>
      <c r="U34">
        <v>6</v>
      </c>
      <c r="V34" s="4">
        <f>HYPERLINK("http://exon.niaid.nih.gov/transcriptome/C_felis/S1/links/cluster/cf-5-36-asb30-50-Id-CLU7.txt", 7)</f>
        <v>7</v>
      </c>
      <c r="W34">
        <f>HYPERLINK("http://exon.niaid.nih.gov/transcriptome/C_felis/S1/links/cluster/cf-5-36-asb30-50-Id-CLTL7.txt", 4)</f>
        <v>4</v>
      </c>
      <c r="X34" s="4">
        <f>HYPERLINK("http://exon.niaid.nih.gov/transcriptome/C_felis/S1/links/cluster/cf-5-36-asb35-50-Id-CLU7.txt", 7)</f>
        <v>7</v>
      </c>
      <c r="Y34">
        <f>HYPERLINK("http://exon.niaid.nih.gov/transcriptome/C_felis/S1/links/cluster/cf-5-36-asb35-50-Id-CLTL7.txt", 4)</f>
        <v>4</v>
      </c>
      <c r="Z34" s="4">
        <f>HYPERLINK("http://exon.niaid.nih.gov/transcriptome/C_felis/S1/links/cluster/cf-5-36-asb40-50-Id-CLU5.txt", 5)</f>
        <v>5</v>
      </c>
      <c r="AA34">
        <f>HYPERLINK("http://exon.niaid.nih.gov/transcriptome/C_felis/S1/links/cluster/cf-5-36-asb40-50-Id-CLTL5.txt", 4)</f>
        <v>4</v>
      </c>
      <c r="AB34" s="4" t="str">
        <f>HYPERLINK("http://exon.niaid.nih.gov/transcriptome/C_felis/S1/links/XC-ASB/cf-contig_5-XC-ASB.txt","XC-contig_43")</f>
        <v>XC-contig_43</v>
      </c>
      <c r="AC34">
        <v>2.9999999999999997E-4</v>
      </c>
      <c r="AD34" s="10" t="s">
        <v>4613</v>
      </c>
      <c r="AE34" t="s">
        <v>4889</v>
      </c>
      <c r="AF34" t="str">
        <f>HYPERLINK("http://exon.niaid.nih.gov/transcriptome/C_felis/S1/links/KOG/cf-contig_60-KOG.txt","KOG")</f>
        <v>KOG</v>
      </c>
      <c r="AG34" s="5">
        <v>8.9999999999999996E-17</v>
      </c>
      <c r="AH34">
        <v>18</v>
      </c>
      <c r="AI34" s="4" t="str">
        <f>HYPERLINK("http://exon.niaid.nih.gov/transcriptome/C_felis/S1/links/NR/cf-contig_60-NR.txt","adenosine deaminase CECR1-like")</f>
        <v>adenosine deaminase CECR1-like</v>
      </c>
      <c r="AJ34" t="str">
        <f>HYPERLINK("http://www.ncbi.nlm.nih.gov/sutils/blink.cgi?pid=345479107","4E-015")</f>
        <v>4E-015</v>
      </c>
      <c r="AK34" t="str">
        <f>HYPERLINK("http://www.ncbi.nlm.nih.gov/protein/345479107","gi|345479107")</f>
        <v>gi|345479107</v>
      </c>
      <c r="AL34">
        <v>85.1</v>
      </c>
      <c r="AM34">
        <v>69</v>
      </c>
      <c r="AN34">
        <v>505</v>
      </c>
      <c r="AO34">
        <v>51</v>
      </c>
      <c r="AP34">
        <v>14</v>
      </c>
      <c r="AQ34">
        <v>34</v>
      </c>
      <c r="AR34">
        <v>0</v>
      </c>
      <c r="AS34">
        <v>434</v>
      </c>
      <c r="AT34">
        <v>7</v>
      </c>
      <c r="AU34">
        <v>1</v>
      </c>
      <c r="AV34">
        <v>1</v>
      </c>
      <c r="AW34" t="s">
        <v>12</v>
      </c>
      <c r="AY34" t="s">
        <v>1676</v>
      </c>
      <c r="AZ34" t="s">
        <v>1897</v>
      </c>
      <c r="BA34" s="4" t="str">
        <f>HYPERLINK("http://exon.niaid.nih.gov/transcriptome/C_felis/S1/links/SWISSP/cf-contig_60-SWISSP.txt","Adenosine deaminase CECR1")</f>
        <v>Adenosine deaminase CECR1</v>
      </c>
      <c r="BB34" t="str">
        <f>HYPERLINK("http://www.uniprot.org/uniprot/Q9NZK5","9E-015")</f>
        <v>9E-015</v>
      </c>
      <c r="BC34" t="s">
        <v>1885</v>
      </c>
      <c r="BD34">
        <v>79</v>
      </c>
      <c r="BE34">
        <v>67</v>
      </c>
      <c r="BF34">
        <v>511</v>
      </c>
      <c r="BG34">
        <v>50</v>
      </c>
      <c r="BH34">
        <v>13</v>
      </c>
      <c r="BI34">
        <v>34</v>
      </c>
      <c r="BJ34">
        <v>0</v>
      </c>
      <c r="BK34">
        <v>441</v>
      </c>
      <c r="BL34">
        <v>7</v>
      </c>
      <c r="BM34">
        <v>1</v>
      </c>
      <c r="BN34">
        <v>1</v>
      </c>
      <c r="BO34" t="s">
        <v>12</v>
      </c>
      <c r="BQ34" t="s">
        <v>1676</v>
      </c>
      <c r="BR34" t="s">
        <v>1690</v>
      </c>
      <c r="BS34" s="4" t="str">
        <f>HYPERLINK("http://exon.niaid.nih.gov/transcriptome/C_felis/S1/links/CDD/cf-contig_60-CDD.txt","adm_rel")</f>
        <v>adm_rel</v>
      </c>
      <c r="BT34" t="str">
        <f>HYPERLINK("http://www.ncbi.nlm.nih.gov/Structure/cdd/cddsrv.cgi?uid=TIGR01431&amp;version=v4.0","1E-020")</f>
        <v>1E-020</v>
      </c>
      <c r="BU34" t="s">
        <v>1898</v>
      </c>
      <c r="BV34" s="4" t="s">
        <v>1887</v>
      </c>
      <c r="BW34">
        <f>HYPERLINK("http://exon.niaid.nih.gov/transcriptome/C_felis/S1/links/GO/cf-contig_60-GO.txt",0.000000000000007)</f>
        <v>7.0000000000000001E-15</v>
      </c>
      <c r="BX34" t="str">
        <f>HYPERLINK("http://amigo.geneontology.org/cgi-bin/amigo/term_details?term=GO:0019239","GO:0019239")</f>
        <v>GO:0019239</v>
      </c>
      <c r="BY34" t="s">
        <v>1888</v>
      </c>
      <c r="BZ34" t="s">
        <v>1889</v>
      </c>
      <c r="CA34" t="s">
        <v>42</v>
      </c>
      <c r="CB34" t="s">
        <v>42</v>
      </c>
      <c r="CD34">
        <v>7.0000000000000001E-15</v>
      </c>
      <c r="CE34" t="str">
        <f>HYPERLINK("http://amigo.geneontology.org/cgi-bin/amigo/term_details?term=GO:0005615","GO:0005615")</f>
        <v>GO:0005615</v>
      </c>
      <c r="CF34" t="s">
        <v>1890</v>
      </c>
      <c r="CG34" t="s">
        <v>1891</v>
      </c>
      <c r="CH34" t="s">
        <v>1892</v>
      </c>
      <c r="CI34" t="s">
        <v>42</v>
      </c>
      <c r="CK34">
        <v>7.0000000000000001E-15</v>
      </c>
      <c r="CL34" t="str">
        <f>HYPERLINK("http://amigo.geneontology.org/cgi-bin/amigo/term_details?term=GO:0009168","GO:0009168")</f>
        <v>GO:0009168</v>
      </c>
      <c r="CM34" t="s">
        <v>1893</v>
      </c>
      <c r="CN34" t="s">
        <v>1894</v>
      </c>
      <c r="CO34" t="s">
        <v>1895</v>
      </c>
      <c r="CP34" t="s">
        <v>42</v>
      </c>
      <c r="CR34">
        <v>7.0000000000000001E-15</v>
      </c>
      <c r="CS34" s="4" t="str">
        <f>HYPERLINK("http://exon.niaid.nih.gov/transcriptome/C_felis/S1/links/KOG/cf-contig_60-KOG.txt","Adenine deaminase/adenosine deaminase")</f>
        <v>Adenine deaminase/adenosine deaminase</v>
      </c>
      <c r="CT34" t="str">
        <f>HYPERLINK("http://www.ncbi.nlm.nih.gov/COG/grace/shokog.cgi?KOG1097","9E-017")</f>
        <v>9E-017</v>
      </c>
      <c r="CU34" t="s">
        <v>1896</v>
      </c>
      <c r="CV34" s="4" t="str">
        <f>HYPERLINK("http://exon.niaid.nih.gov/transcriptome/C_felis/S1/links/PFAM/cf-contig_60-PFAM.txt","A_deaminase")</f>
        <v>A_deaminase</v>
      </c>
      <c r="CW34" t="str">
        <f>HYPERLINK("http://pfam.sanger.ac.uk/family?acc=PF00962","2E-004")</f>
        <v>2E-004</v>
      </c>
      <c r="CX34" s="4" t="str">
        <f>HYPERLINK("http://exon.niaid.nih.gov/transcriptome/C_felis/S1/links/SMART/cf-contig_60-SMART.txt","HTTM")</f>
        <v>HTTM</v>
      </c>
      <c r="CY34" t="str">
        <f>HYPERLINK("http://smart.embl-heidelberg.de/smart/do_annotation.pl?DOMAIN=HTTM&amp;BLAST=DUMMY","0.006")</f>
        <v>0.006</v>
      </c>
      <c r="CZ34" s="4" t="s">
        <v>42</v>
      </c>
      <c r="DA34" t="s">
        <v>42</v>
      </c>
      <c r="DB34" t="s">
        <v>42</v>
      </c>
      <c r="DC34" t="s">
        <v>42</v>
      </c>
      <c r="DD34" t="s">
        <v>42</v>
      </c>
      <c r="DE34" t="s">
        <v>42</v>
      </c>
      <c r="DF34" t="s">
        <v>42</v>
      </c>
      <c r="DG34" t="s">
        <v>42</v>
      </c>
      <c r="DH34" s="4" t="s">
        <v>42</v>
      </c>
      <c r="DI34" t="s">
        <v>42</v>
      </c>
      <c r="DJ34" s="4" t="s">
        <v>42</v>
      </c>
      <c r="DK34" t="s">
        <v>42</v>
      </c>
      <c r="DL34" s="4">
        <f>HYPERLINK("http://exon.niaid.nih.gov/transcriptome/C_felis/S1/links/cluster/cf-5-36-asb30-50-Id-CLU7.txt", 7)</f>
        <v>7</v>
      </c>
      <c r="DM34">
        <f>HYPERLINK("http://exon.niaid.nih.gov/transcriptome/C_felis/S1/links/cluster/cf-5-36-asb30-50-Id-CLTL7.txt", 4)</f>
        <v>4</v>
      </c>
      <c r="DN34" s="4">
        <f>HYPERLINK("http://exon.niaid.nih.gov/transcriptome/C_felis/S1/links/cluster/cf-5-36-asb35-50-Id-CLU7.txt", 7)</f>
        <v>7</v>
      </c>
      <c r="DO34">
        <f>HYPERLINK("http://exon.niaid.nih.gov/transcriptome/C_felis/S1/links/cluster/cf-5-36-asb35-50-Id-CLTL7.txt", 4)</f>
        <v>4</v>
      </c>
      <c r="DP34" s="4">
        <f>HYPERLINK("http://exon.niaid.nih.gov/transcriptome/C_felis/S1/links/cluster/cf-5-36-asb40-50-Id-CLU5.txt", 5)</f>
        <v>5</v>
      </c>
      <c r="DQ34">
        <f>HYPERLINK("http://exon.niaid.nih.gov/transcriptome/C_felis/S1/links/cluster/cf-5-36-asb40-50-Id-CLTL5.txt", 4)</f>
        <v>4</v>
      </c>
      <c r="DR34" s="4">
        <f>HYPERLINK("http://exon.niaid.nih.gov/transcriptome/C_felis/S1/links/cluster/cf-5-36-asb45-50-Id-CLU5.txt", 5)</f>
        <v>5</v>
      </c>
      <c r="DS34">
        <f>HYPERLINK("http://exon.niaid.nih.gov/transcriptome/C_felis/S1/links/cluster/cf-5-36-asb45-50-Id-CLTL5.txt", 4)</f>
        <v>4</v>
      </c>
      <c r="DT34" s="4">
        <f>HYPERLINK("http://exon.niaid.nih.gov/transcriptome/C_felis/S1/links/cluster/cf-5-36-asb50-50-Id-CLU5.txt", 5)</f>
        <v>5</v>
      </c>
      <c r="DU34">
        <f>HYPERLINK("http://exon.niaid.nih.gov/transcriptome/C_felis/S1/links/cluster/cf-5-36-asb50-50-Id-CLTL5.txt", 4)</f>
        <v>4</v>
      </c>
      <c r="DV34" s="4">
        <f>HYPERLINK("http://exon.niaid.nih.gov/transcriptome/C_felis/S1/links/cluster/cf-5-36-asb55-50-Id-CLU3.txt", 3)</f>
        <v>3</v>
      </c>
      <c r="DW34">
        <f>HYPERLINK("http://exon.niaid.nih.gov/transcriptome/C_felis/S1/links/cluster/cf-5-36-asb55-50-Id-CLTL3.txt", 4)</f>
        <v>4</v>
      </c>
      <c r="DX34" s="4">
        <f>HYPERLINK("http://exon.niaid.nih.gov/transcriptome/C_felis/S1/links/cluster/cf-5-36-asb60-50-Id-CLU16.txt", 16)</f>
        <v>16</v>
      </c>
      <c r="DY34">
        <f>HYPERLINK("http://exon.niaid.nih.gov/transcriptome/C_felis/S1/links/cluster/cf-5-36-asb60-50-Id-CLTL16.txt", 2)</f>
        <v>2</v>
      </c>
      <c r="DZ34" s="4">
        <f>HYPERLINK("http://exon.niaid.nih.gov/transcriptome/C_felis/S1/links/cluster/cf-5-36-asb65-50-Id-CLU14.txt", 14)</f>
        <v>14</v>
      </c>
      <c r="EA34">
        <f>HYPERLINK("http://exon.niaid.nih.gov/transcriptome/C_felis/S1/links/cluster/cf-5-36-asb65-50-Id-CLTL14.txt", 2)</f>
        <v>2</v>
      </c>
      <c r="EB34" s="4">
        <f>HYPERLINK("http://exon.niaid.nih.gov/transcriptome/C_felis/S1/links/cluster/cf-5-36-asb70-50-Id-CLU10.txt", 10)</f>
        <v>10</v>
      </c>
      <c r="EC34">
        <f>HYPERLINK("http://exon.niaid.nih.gov/transcriptome/C_felis/S1/links/cluster/cf-5-36-asb70-50-Id-CLTL10.txt", 2)</f>
        <v>2</v>
      </c>
      <c r="ED34" s="4">
        <f>HYPERLINK("http://exon.niaid.nih.gov/transcriptome/C_felis/S1/links/cluster/cf-5-36-asb75-50-Id-CLU8.txt", 8)</f>
        <v>8</v>
      </c>
      <c r="EE34">
        <f>HYPERLINK("http://exon.niaid.nih.gov/transcriptome/C_felis/S1/links/cluster/cf-5-36-asb75-50-Id-CLTL8.txt", 2)</f>
        <v>2</v>
      </c>
      <c r="EF34" s="4">
        <f>HYPERLINK("http://exon.niaid.nih.gov/transcriptome/C_felis/S1/links/cluster/cf-5-36-asb80-50-Id-CLU7.txt", 7)</f>
        <v>7</v>
      </c>
      <c r="EG34">
        <f>HYPERLINK("http://exon.niaid.nih.gov/transcriptome/C_felis/S1/links/cluster/cf-5-36-asb80-50-Id-CLTL7.txt", 2)</f>
        <v>2</v>
      </c>
      <c r="EH34" s="4">
        <v>62</v>
      </c>
      <c r="EI34">
        <v>1</v>
      </c>
      <c r="EJ34" s="4">
        <v>60</v>
      </c>
      <c r="EK34">
        <v>1</v>
      </c>
    </row>
    <row r="35" spans="1:141" x14ac:dyDescent="0.2">
      <c r="A35" t="str">
        <f>HYPERLINK("http://exon.niaid.nih.gov/transcriptome/C_felis/S1/links/cf/cf-contig_61.txt","cf-contig_61")</f>
        <v>cf-contig_61</v>
      </c>
      <c r="B35">
        <v>1</v>
      </c>
      <c r="C35" s="10" t="s">
        <v>4613</v>
      </c>
      <c r="D35">
        <v>1</v>
      </c>
      <c r="E35" t="str">
        <f>HYPERLINK("http://exon.niaid.nih.gov/transcriptome/C_felis/S1/links/cf/cf-5-36-asb-61.txt","Contig-61")</f>
        <v>Contig-61</v>
      </c>
      <c r="F35" t="str">
        <f>HYPERLINK("http://exon.niaid.nih.gov/transcriptome/C_felis/S1/links/cf/cf-5-36-61-CLU.txt","Contig61")</f>
        <v>Contig61</v>
      </c>
      <c r="G35" t="str">
        <f>HYPERLINK("http://exon.niaid.nih.gov/transcriptome/C_felis/S1/links/cf/cf-5-36-61-qual.txt","43.2")</f>
        <v>43.2</v>
      </c>
      <c r="H35" t="s">
        <v>11</v>
      </c>
      <c r="I35">
        <v>58.6</v>
      </c>
      <c r="J35">
        <v>684</v>
      </c>
      <c r="K35" t="s">
        <v>12</v>
      </c>
      <c r="L35">
        <v>1</v>
      </c>
      <c r="M35" t="s">
        <v>74</v>
      </c>
      <c r="N35">
        <v>684</v>
      </c>
      <c r="O35">
        <v>703</v>
      </c>
      <c r="P35">
        <v>459</v>
      </c>
      <c r="Q35" t="s">
        <v>883</v>
      </c>
      <c r="R35">
        <v>3</v>
      </c>
      <c r="S35" s="7" t="str">
        <f>HYPERLINK("http://exon.niaid.nih.gov/transcriptome/C_felis/S1/links/Sigp/CF-CONTIG_61-SigP.txt","Cyt")</f>
        <v>Cyt</v>
      </c>
      <c r="U35">
        <v>1</v>
      </c>
      <c r="V35" s="4">
        <f>HYPERLINK("http://exon.niaid.nih.gov/transcriptome/C_felis/S1/links/cluster/cf-5-36-asb30-50-Id-CLU7.txt", 7)</f>
        <v>7</v>
      </c>
      <c r="W35">
        <f>HYPERLINK("http://exon.niaid.nih.gov/transcriptome/C_felis/S1/links/cluster/cf-5-36-asb30-50-Id-CLTL7.txt", 4)</f>
        <v>4</v>
      </c>
      <c r="X35" s="4">
        <f>HYPERLINK("http://exon.niaid.nih.gov/transcriptome/C_felis/S1/links/cluster/cf-5-36-asb35-50-Id-CLU7.txt", 7)</f>
        <v>7</v>
      </c>
      <c r="Y35">
        <f>HYPERLINK("http://exon.niaid.nih.gov/transcriptome/C_felis/S1/links/cluster/cf-5-36-asb35-50-Id-CLTL7.txt", 4)</f>
        <v>4</v>
      </c>
      <c r="Z35" s="4">
        <f>HYPERLINK("http://exon.niaid.nih.gov/transcriptome/C_felis/S1/links/cluster/cf-5-36-asb40-50-Id-CLU5.txt", 5)</f>
        <v>5</v>
      </c>
      <c r="AA35">
        <f>HYPERLINK("http://exon.niaid.nih.gov/transcriptome/C_felis/S1/links/cluster/cf-5-36-asb40-50-Id-CLTL5.txt", 4)</f>
        <v>4</v>
      </c>
      <c r="AB35" s="4" t="str">
        <f>HYPERLINK("http://exon.niaid.nih.gov/transcriptome/C_felis/S1/links/XC-ASB/cf-contig_6-XC-ASB.txt","XC-contig_43")</f>
        <v>XC-contig_43</v>
      </c>
      <c r="AC35">
        <v>8.0000000000000004E-4</v>
      </c>
      <c r="AD35" s="10" t="s">
        <v>4613</v>
      </c>
      <c r="AE35" t="s">
        <v>4889</v>
      </c>
      <c r="AF35" t="str">
        <f>HYPERLINK("http://exon.niaid.nih.gov/transcriptome/C_felis/S1/links/KOG/cf-contig_61-KOG.txt","KOG")</f>
        <v>KOG</v>
      </c>
      <c r="AG35" s="5">
        <v>2E-16</v>
      </c>
      <c r="AH35">
        <v>18</v>
      </c>
      <c r="AI35" s="4" t="str">
        <f>HYPERLINK("http://exon.niaid.nih.gov/transcriptome/C_felis/S1/links/NR/cf-contig_61-NR.txt","adenosine deaminase CECR1-like")</f>
        <v>adenosine deaminase CECR1-like</v>
      </c>
      <c r="AJ35" t="str">
        <f>HYPERLINK("http://www.ncbi.nlm.nih.gov/sutils/blink.cgi?pid=345479107","9E-015")</f>
        <v>9E-015</v>
      </c>
      <c r="AK35" t="str">
        <f>HYPERLINK("http://www.ncbi.nlm.nih.gov/protein/345479107","gi|345479107")</f>
        <v>gi|345479107</v>
      </c>
      <c r="AL35">
        <v>85.1</v>
      </c>
      <c r="AM35">
        <v>69</v>
      </c>
      <c r="AN35">
        <v>505</v>
      </c>
      <c r="AO35">
        <v>51</v>
      </c>
      <c r="AP35">
        <v>14</v>
      </c>
      <c r="AQ35">
        <v>34</v>
      </c>
      <c r="AR35">
        <v>0</v>
      </c>
      <c r="AS35">
        <v>434</v>
      </c>
      <c r="AT35">
        <v>289</v>
      </c>
      <c r="AU35">
        <v>1</v>
      </c>
      <c r="AV35">
        <v>1</v>
      </c>
      <c r="AW35" t="s">
        <v>12</v>
      </c>
      <c r="AY35" t="s">
        <v>1676</v>
      </c>
      <c r="AZ35" t="s">
        <v>1897</v>
      </c>
      <c r="BA35" s="4" t="str">
        <f>HYPERLINK("http://exon.niaid.nih.gov/transcriptome/C_felis/S1/links/SWISSP/cf-contig_61-SWISSP.txt","Adenosine deaminase CECR1")</f>
        <v>Adenosine deaminase CECR1</v>
      </c>
      <c r="BB35" t="str">
        <f>HYPERLINK("http://www.uniprot.org/uniprot/Q9NZK5","3E-014")</f>
        <v>3E-014</v>
      </c>
      <c r="BC35" t="s">
        <v>1885</v>
      </c>
      <c r="BD35">
        <v>79</v>
      </c>
      <c r="BE35">
        <v>67</v>
      </c>
      <c r="BF35">
        <v>511</v>
      </c>
      <c r="BG35">
        <v>50</v>
      </c>
      <c r="BH35">
        <v>13</v>
      </c>
      <c r="BI35">
        <v>34</v>
      </c>
      <c r="BJ35">
        <v>0</v>
      </c>
      <c r="BK35">
        <v>441</v>
      </c>
      <c r="BL35">
        <v>289</v>
      </c>
      <c r="BM35">
        <v>1</v>
      </c>
      <c r="BN35">
        <v>1</v>
      </c>
      <c r="BO35" t="s">
        <v>12</v>
      </c>
      <c r="BQ35" t="s">
        <v>1676</v>
      </c>
      <c r="BR35" t="s">
        <v>1690</v>
      </c>
      <c r="BS35" s="4" t="str">
        <f>HYPERLINK("http://exon.niaid.nih.gov/transcriptome/C_felis/S1/links/CDD/cf-contig_61-CDD.txt","adm_rel")</f>
        <v>adm_rel</v>
      </c>
      <c r="BT35" t="str">
        <f>HYPERLINK("http://www.ncbi.nlm.nih.gov/Structure/cdd/cddsrv.cgi?uid=TIGR01431&amp;version=v4.0","3E-020")</f>
        <v>3E-020</v>
      </c>
      <c r="BU35" t="s">
        <v>1899</v>
      </c>
      <c r="BV35" s="4" t="s">
        <v>1887</v>
      </c>
      <c r="BW35">
        <f>HYPERLINK("http://exon.niaid.nih.gov/transcriptome/C_felis/S1/links/GO/cf-contig_61-GO.txt",0.00000000000002)</f>
        <v>2E-14</v>
      </c>
      <c r="BX35" t="str">
        <f>HYPERLINK("http://amigo.geneontology.org/cgi-bin/amigo/term_details?term=GO:0019239","GO:0019239")</f>
        <v>GO:0019239</v>
      </c>
      <c r="BY35" t="s">
        <v>1888</v>
      </c>
      <c r="BZ35" t="s">
        <v>1889</v>
      </c>
      <c r="CA35" t="s">
        <v>42</v>
      </c>
      <c r="CB35" t="s">
        <v>42</v>
      </c>
      <c r="CD35">
        <v>2E-14</v>
      </c>
      <c r="CE35" t="str">
        <f>HYPERLINK("http://amigo.geneontology.org/cgi-bin/amigo/term_details?term=GO:0005615","GO:0005615")</f>
        <v>GO:0005615</v>
      </c>
      <c r="CF35" t="s">
        <v>1890</v>
      </c>
      <c r="CG35" t="s">
        <v>1891</v>
      </c>
      <c r="CH35" t="s">
        <v>1892</v>
      </c>
      <c r="CI35" t="s">
        <v>42</v>
      </c>
      <c r="CK35">
        <v>2E-14</v>
      </c>
      <c r="CL35" t="str">
        <f>HYPERLINK("http://amigo.geneontology.org/cgi-bin/amigo/term_details?term=GO:0009168","GO:0009168")</f>
        <v>GO:0009168</v>
      </c>
      <c r="CM35" t="s">
        <v>1893</v>
      </c>
      <c r="CN35" t="s">
        <v>1894</v>
      </c>
      <c r="CO35" t="s">
        <v>1895</v>
      </c>
      <c r="CP35" t="s">
        <v>42</v>
      </c>
      <c r="CR35">
        <v>2E-14</v>
      </c>
      <c r="CS35" s="4" t="str">
        <f>HYPERLINK("http://exon.niaid.nih.gov/transcriptome/C_felis/S1/links/KOG/cf-contig_61-KOG.txt","Adenine deaminase/adenosine deaminase")</f>
        <v>Adenine deaminase/adenosine deaminase</v>
      </c>
      <c r="CT35" t="str">
        <f>HYPERLINK("http://www.ncbi.nlm.nih.gov/COG/grace/shokog.cgi?KOG1097","2E-016")</f>
        <v>2E-016</v>
      </c>
      <c r="CU35" t="s">
        <v>1896</v>
      </c>
      <c r="CV35" s="4" t="str">
        <f>HYPERLINK("http://exon.niaid.nih.gov/transcriptome/C_felis/S1/links/PFAM/cf-contig_61-PFAM.txt","A_deaminase")</f>
        <v>A_deaminase</v>
      </c>
      <c r="CW35" t="str">
        <f>HYPERLINK("http://pfam.sanger.ac.uk/family?acc=PF00962","5E-004")</f>
        <v>5E-004</v>
      </c>
      <c r="CX35" s="4" t="str">
        <f>HYPERLINK("http://exon.niaid.nih.gov/transcriptome/C_felis/S1/links/SMART/cf-contig_61-SMART.txt","DENN")</f>
        <v>DENN</v>
      </c>
      <c r="CY35" t="str">
        <f>HYPERLINK("http://smart.embl-heidelberg.de/smart/do_annotation.pl?DOMAIN=DENN&amp;BLAST=DUMMY","0.053")</f>
        <v>0.053</v>
      </c>
      <c r="CZ35" s="4" t="s">
        <v>42</v>
      </c>
      <c r="DA35" t="s">
        <v>42</v>
      </c>
      <c r="DB35" t="s">
        <v>42</v>
      </c>
      <c r="DC35" t="s">
        <v>42</v>
      </c>
      <c r="DD35" t="s">
        <v>42</v>
      </c>
      <c r="DE35" t="s">
        <v>42</v>
      </c>
      <c r="DF35" t="s">
        <v>42</v>
      </c>
      <c r="DG35" t="s">
        <v>42</v>
      </c>
      <c r="DH35" s="4" t="s">
        <v>42</v>
      </c>
      <c r="DI35" t="s">
        <v>42</v>
      </c>
      <c r="DJ35" s="4" t="s">
        <v>42</v>
      </c>
      <c r="DK35" t="s">
        <v>42</v>
      </c>
      <c r="DL35" s="4">
        <f>HYPERLINK("http://exon.niaid.nih.gov/transcriptome/C_felis/S1/links/cluster/cf-5-36-asb30-50-Id-CLU7.txt", 7)</f>
        <v>7</v>
      </c>
      <c r="DM35">
        <f>HYPERLINK("http://exon.niaid.nih.gov/transcriptome/C_felis/S1/links/cluster/cf-5-36-asb30-50-Id-CLTL7.txt", 4)</f>
        <v>4</v>
      </c>
      <c r="DN35" s="4">
        <f>HYPERLINK("http://exon.niaid.nih.gov/transcriptome/C_felis/S1/links/cluster/cf-5-36-asb35-50-Id-CLU7.txt", 7)</f>
        <v>7</v>
      </c>
      <c r="DO35">
        <f>HYPERLINK("http://exon.niaid.nih.gov/transcriptome/C_felis/S1/links/cluster/cf-5-36-asb35-50-Id-CLTL7.txt", 4)</f>
        <v>4</v>
      </c>
      <c r="DP35" s="4">
        <f>HYPERLINK("http://exon.niaid.nih.gov/transcriptome/C_felis/S1/links/cluster/cf-5-36-asb40-50-Id-CLU5.txt", 5)</f>
        <v>5</v>
      </c>
      <c r="DQ35">
        <f>HYPERLINK("http://exon.niaid.nih.gov/transcriptome/C_felis/S1/links/cluster/cf-5-36-asb40-50-Id-CLTL5.txt", 4)</f>
        <v>4</v>
      </c>
      <c r="DR35" s="4">
        <f>HYPERLINK("http://exon.niaid.nih.gov/transcriptome/C_felis/S1/links/cluster/cf-5-36-asb45-50-Id-CLU5.txt", 5)</f>
        <v>5</v>
      </c>
      <c r="DS35">
        <f>HYPERLINK("http://exon.niaid.nih.gov/transcriptome/C_felis/S1/links/cluster/cf-5-36-asb45-50-Id-CLTL5.txt", 4)</f>
        <v>4</v>
      </c>
      <c r="DT35" s="4">
        <f>HYPERLINK("http://exon.niaid.nih.gov/transcriptome/C_felis/S1/links/cluster/cf-5-36-asb50-50-Id-CLU5.txt", 5)</f>
        <v>5</v>
      </c>
      <c r="DU35">
        <f>HYPERLINK("http://exon.niaid.nih.gov/transcriptome/C_felis/S1/links/cluster/cf-5-36-asb50-50-Id-CLTL5.txt", 4)</f>
        <v>4</v>
      </c>
      <c r="DV35" s="4">
        <f>HYPERLINK("http://exon.niaid.nih.gov/transcriptome/C_felis/S1/links/cluster/cf-5-36-asb55-50-Id-CLU3.txt", 3)</f>
        <v>3</v>
      </c>
      <c r="DW35">
        <f>HYPERLINK("http://exon.niaid.nih.gov/transcriptome/C_felis/S1/links/cluster/cf-5-36-asb55-50-Id-CLTL3.txt", 4)</f>
        <v>4</v>
      </c>
      <c r="DX35" s="4">
        <v>77</v>
      </c>
      <c r="DY35">
        <v>1</v>
      </c>
      <c r="DZ35" s="4">
        <v>75</v>
      </c>
      <c r="EA35">
        <v>1</v>
      </c>
      <c r="EB35" s="4">
        <v>75</v>
      </c>
      <c r="EC35">
        <v>1</v>
      </c>
      <c r="ED35" s="4">
        <v>76</v>
      </c>
      <c r="EE35">
        <v>1</v>
      </c>
      <c r="EF35" s="4">
        <v>71</v>
      </c>
      <c r="EG35">
        <v>1</v>
      </c>
      <c r="EH35" s="4">
        <v>63</v>
      </c>
      <c r="EI35">
        <v>1</v>
      </c>
      <c r="EJ35" s="4">
        <v>61</v>
      </c>
      <c r="EK35">
        <v>1</v>
      </c>
    </row>
    <row r="36" spans="1:141" x14ac:dyDescent="0.2">
      <c r="A36" t="str">
        <f>HYPERLINK("http://exon.niaid.nih.gov/transcriptome/C_felis/S1/links/cf/cf-contig_59.txt","cf-contig_59")</f>
        <v>cf-contig_59</v>
      </c>
      <c r="B36">
        <v>8</v>
      </c>
      <c r="C36" s="10" t="s">
        <v>4611</v>
      </c>
      <c r="D36">
        <v>8</v>
      </c>
      <c r="E36" t="str">
        <f>HYPERLINK("http://exon.niaid.nih.gov/transcriptome/C_felis/S1/links/cf/cf-5-36-asb-59.txt","Contig-59")</f>
        <v>Contig-59</v>
      </c>
      <c r="F36" t="str">
        <f>HYPERLINK("http://exon.niaid.nih.gov/transcriptome/C_felis/S1/links/cf/cf-5-36-59-CLU.txt","Contig59")</f>
        <v>Contig59</v>
      </c>
      <c r="G36" t="str">
        <f>HYPERLINK("http://exon.niaid.nih.gov/transcriptome/C_felis/S1/links/cf/cf-5-36-59-qual.txt","78.1")</f>
        <v>78.1</v>
      </c>
      <c r="H36" t="s">
        <v>11</v>
      </c>
      <c r="I36">
        <v>63.8</v>
      </c>
      <c r="J36">
        <v>387</v>
      </c>
      <c r="K36" t="s">
        <v>12</v>
      </c>
      <c r="L36">
        <v>8</v>
      </c>
      <c r="M36" t="s">
        <v>72</v>
      </c>
      <c r="N36">
        <v>388</v>
      </c>
      <c r="O36">
        <v>406</v>
      </c>
      <c r="P36">
        <v>276</v>
      </c>
      <c r="Q36" t="s">
        <v>881</v>
      </c>
      <c r="R36">
        <v>1</v>
      </c>
      <c r="S36" s="7" t="str">
        <f>HYPERLINK("http://exon.niaid.nih.gov/transcriptome/C_felis/S1/links/Sigp/CF-CONTIG_59-SigP.txt","Cyt")</f>
        <v>Cyt</v>
      </c>
      <c r="U36">
        <v>8</v>
      </c>
      <c r="V36" s="4">
        <f>HYPERLINK("http://exon.niaid.nih.gov/transcriptome/C_felis/S1/links/cluster/cf-5-36-asb30-50-Id-CLU7.txt", 7)</f>
        <v>7</v>
      </c>
      <c r="W36">
        <f>HYPERLINK("http://exon.niaid.nih.gov/transcriptome/C_felis/S1/links/cluster/cf-5-36-asb30-50-Id-CLTL7.txt", 4)</f>
        <v>4</v>
      </c>
      <c r="X36" s="4">
        <f>HYPERLINK("http://exon.niaid.nih.gov/transcriptome/C_felis/S1/links/cluster/cf-5-36-asb35-50-Id-CLU7.txt", 7)</f>
        <v>7</v>
      </c>
      <c r="Y36">
        <f>HYPERLINK("http://exon.niaid.nih.gov/transcriptome/C_felis/S1/links/cluster/cf-5-36-asb35-50-Id-CLTL7.txt", 4)</f>
        <v>4</v>
      </c>
      <c r="Z36" s="4">
        <f>HYPERLINK("http://exon.niaid.nih.gov/transcriptome/C_felis/S1/links/cluster/cf-5-36-asb40-50-Id-CLU5.txt", 5)</f>
        <v>5</v>
      </c>
      <c r="AA36">
        <f>HYPERLINK("http://exon.niaid.nih.gov/transcriptome/C_felis/S1/links/cluster/cf-5-36-asb40-50-Id-CLTL5.txt", 4)</f>
        <v>4</v>
      </c>
      <c r="AB36" s="4" t="str">
        <f>HYPERLINK("http://exon.niaid.nih.gov/transcriptome/C_felis/S1/links/XC-ASB/cf-contig_7-XC-ASB.txt","XC-contig_206")</f>
        <v>XC-contig_206</v>
      </c>
      <c r="AC36">
        <v>2.0000000000000002E-5</v>
      </c>
      <c r="AD36" s="10" t="s">
        <v>4611</v>
      </c>
      <c r="AE36" t="s">
        <v>4612</v>
      </c>
      <c r="AF36" t="str">
        <f>HYPERLINK("http://exon.niaid.nih.gov/transcriptome/C_felis/S1/links/GO/cf-contig_59-GO.txt","GO")</f>
        <v>GO</v>
      </c>
      <c r="AG36">
        <v>9.9999999999999998E-13</v>
      </c>
      <c r="AH36">
        <v>12.1</v>
      </c>
      <c r="AI36" s="4" t="str">
        <f>HYPERLINK("http://exon.niaid.nih.gov/transcriptome/C_felis/S1/links/NR/cf-contig_59-NR.txt","adenosine deaminase CECR1-like")</f>
        <v>adenosine deaminase CECR1-like</v>
      </c>
      <c r="AJ36" t="str">
        <f>HYPERLINK("http://www.ncbi.nlm.nih.gov/sutils/blink.cgi?pid=334348144","1E-012")</f>
        <v>1E-012</v>
      </c>
      <c r="AK36" t="str">
        <f>HYPERLINK("http://www.ncbi.nlm.nih.gov/protein/334348144","gi|334348144")</f>
        <v>gi|334348144</v>
      </c>
      <c r="AL36">
        <v>77</v>
      </c>
      <c r="AM36">
        <v>65</v>
      </c>
      <c r="AN36">
        <v>513</v>
      </c>
      <c r="AO36">
        <v>51</v>
      </c>
      <c r="AP36">
        <v>13</v>
      </c>
      <c r="AQ36">
        <v>32</v>
      </c>
      <c r="AR36">
        <v>0</v>
      </c>
      <c r="AS36">
        <v>446</v>
      </c>
      <c r="AT36">
        <v>10</v>
      </c>
      <c r="AU36">
        <v>1</v>
      </c>
      <c r="AV36">
        <v>1</v>
      </c>
      <c r="AW36" t="s">
        <v>12</v>
      </c>
      <c r="AY36" t="s">
        <v>1676</v>
      </c>
      <c r="AZ36" t="s">
        <v>1884</v>
      </c>
      <c r="BA36" s="4" t="str">
        <f>HYPERLINK("http://exon.niaid.nih.gov/transcriptome/C_felis/S1/links/SWISSP/cf-contig_59-SWISSP.txt","Adenosine deaminase CECR1")</f>
        <v>Adenosine deaminase CECR1</v>
      </c>
      <c r="BB36" t="str">
        <f>HYPERLINK("http://www.uniprot.org/uniprot/Q9NZK5","2E-012")</f>
        <v>2E-012</v>
      </c>
      <c r="BC36" t="s">
        <v>1885</v>
      </c>
      <c r="BD36">
        <v>71.2</v>
      </c>
      <c r="BE36">
        <v>61</v>
      </c>
      <c r="BF36">
        <v>511</v>
      </c>
      <c r="BG36">
        <v>50</v>
      </c>
      <c r="BH36">
        <v>12</v>
      </c>
      <c r="BI36">
        <v>31</v>
      </c>
      <c r="BJ36">
        <v>0</v>
      </c>
      <c r="BK36">
        <v>447</v>
      </c>
      <c r="BL36">
        <v>10</v>
      </c>
      <c r="BM36">
        <v>1</v>
      </c>
      <c r="BN36">
        <v>1</v>
      </c>
      <c r="BO36" t="s">
        <v>12</v>
      </c>
      <c r="BQ36" t="s">
        <v>1676</v>
      </c>
      <c r="BR36" t="s">
        <v>1690</v>
      </c>
      <c r="BS36" s="4" t="str">
        <f>HYPERLINK("http://exon.niaid.nih.gov/transcriptome/C_felis/S1/links/CDD/cf-contig_59-CDD.txt","adm_rel")</f>
        <v>adm_rel</v>
      </c>
      <c r="BT36" t="str">
        <f>HYPERLINK("http://www.ncbi.nlm.nih.gov/Structure/cdd/cddsrv.cgi?uid=TIGR01431&amp;version=v4.0","7E-016")</f>
        <v>7E-016</v>
      </c>
      <c r="BU36" t="s">
        <v>1886</v>
      </c>
      <c r="BV36" s="4" t="s">
        <v>1887</v>
      </c>
      <c r="BW36">
        <f>HYPERLINK("http://exon.niaid.nih.gov/transcriptome/C_felis/S1/links/GO/cf-contig_59-GO.txt",0.000000000001)</f>
        <v>9.9999999999999998E-13</v>
      </c>
      <c r="BX36" t="str">
        <f>HYPERLINK("http://amigo.geneontology.org/cgi-bin/amigo/term_details?term=GO:0019239","GO:0019239")</f>
        <v>GO:0019239</v>
      </c>
      <c r="BY36" t="s">
        <v>1888</v>
      </c>
      <c r="BZ36" t="s">
        <v>1889</v>
      </c>
      <c r="CA36" t="s">
        <v>42</v>
      </c>
      <c r="CB36" t="s">
        <v>42</v>
      </c>
      <c r="CD36">
        <v>9.9999999999999998E-13</v>
      </c>
      <c r="CE36" t="str">
        <f>HYPERLINK("http://amigo.geneontology.org/cgi-bin/amigo/term_details?term=GO:0005615","GO:0005615")</f>
        <v>GO:0005615</v>
      </c>
      <c r="CF36" t="s">
        <v>1890</v>
      </c>
      <c r="CG36" t="s">
        <v>1891</v>
      </c>
      <c r="CH36" t="s">
        <v>1892</v>
      </c>
      <c r="CI36" t="s">
        <v>42</v>
      </c>
      <c r="CK36">
        <v>9.9999999999999998E-13</v>
      </c>
      <c r="CL36" t="str">
        <f>HYPERLINK("http://amigo.geneontology.org/cgi-bin/amigo/term_details?term=GO:0009168","GO:0009168")</f>
        <v>GO:0009168</v>
      </c>
      <c r="CM36" t="s">
        <v>1893</v>
      </c>
      <c r="CN36" t="s">
        <v>1894</v>
      </c>
      <c r="CO36" t="s">
        <v>1895</v>
      </c>
      <c r="CP36" t="s">
        <v>42</v>
      </c>
      <c r="CR36">
        <v>9.9999999999999998E-13</v>
      </c>
      <c r="CS36" s="4" t="str">
        <f>HYPERLINK("http://exon.niaid.nih.gov/transcriptome/C_felis/S1/links/KOG/cf-contig_59-KOG.txt","Adenine deaminase/adenosine deaminase")</f>
        <v>Adenine deaminase/adenosine deaminase</v>
      </c>
      <c r="CT36" t="str">
        <f>HYPERLINK("http://www.ncbi.nlm.nih.gov/COG/grace/shokog.cgi?KOG1097","3E-012")</f>
        <v>3E-012</v>
      </c>
      <c r="CU36" t="s">
        <v>1896</v>
      </c>
      <c r="CV36" s="4" t="str">
        <f>HYPERLINK("http://exon.niaid.nih.gov/transcriptome/C_felis/S1/links/PFAM/cf-contig_59-PFAM.txt","DUF3796")</f>
        <v>DUF3796</v>
      </c>
      <c r="CW36" t="str">
        <f>HYPERLINK("http://pfam.sanger.ac.uk/family?acc=PF12676","0.005")</f>
        <v>0.005</v>
      </c>
      <c r="CX36" s="4" t="str">
        <f>HYPERLINK("http://exon.niaid.nih.gov/transcriptome/C_felis/S1/links/SMART/cf-contig_59-SMART.txt","DM3")</f>
        <v>DM3</v>
      </c>
      <c r="CY36" t="str">
        <f>HYPERLINK("http://smart.embl-heidelberg.de/smart/do_annotation.pl?DOMAIN=DM3&amp;BLAST=DUMMY","0.024")</f>
        <v>0.024</v>
      </c>
      <c r="CZ36" s="4" t="s">
        <v>42</v>
      </c>
      <c r="DA36" t="s">
        <v>42</v>
      </c>
      <c r="DB36" t="s">
        <v>42</v>
      </c>
      <c r="DC36" t="s">
        <v>42</v>
      </c>
      <c r="DD36" t="s">
        <v>42</v>
      </c>
      <c r="DE36" t="s">
        <v>42</v>
      </c>
      <c r="DF36" t="s">
        <v>42</v>
      </c>
      <c r="DG36" t="s">
        <v>42</v>
      </c>
      <c r="DH36" s="4" t="s">
        <v>42</v>
      </c>
      <c r="DI36" t="s">
        <v>42</v>
      </c>
      <c r="DJ36" s="4" t="s">
        <v>42</v>
      </c>
      <c r="DK36" t="s">
        <v>42</v>
      </c>
      <c r="DL36" s="4">
        <f>HYPERLINK("http://exon.niaid.nih.gov/transcriptome/C_felis/S1/links/cluster/cf-5-36-asb30-50-Id-CLU7.txt", 7)</f>
        <v>7</v>
      </c>
      <c r="DM36">
        <f>HYPERLINK("http://exon.niaid.nih.gov/transcriptome/C_felis/S1/links/cluster/cf-5-36-asb30-50-Id-CLTL7.txt", 4)</f>
        <v>4</v>
      </c>
      <c r="DN36" s="4">
        <f>HYPERLINK("http://exon.niaid.nih.gov/transcriptome/C_felis/S1/links/cluster/cf-5-36-asb35-50-Id-CLU7.txt", 7)</f>
        <v>7</v>
      </c>
      <c r="DO36">
        <f>HYPERLINK("http://exon.niaid.nih.gov/transcriptome/C_felis/S1/links/cluster/cf-5-36-asb35-50-Id-CLTL7.txt", 4)</f>
        <v>4</v>
      </c>
      <c r="DP36" s="4">
        <f>HYPERLINK("http://exon.niaid.nih.gov/transcriptome/C_felis/S1/links/cluster/cf-5-36-asb40-50-Id-CLU5.txt", 5)</f>
        <v>5</v>
      </c>
      <c r="DQ36">
        <f>HYPERLINK("http://exon.niaid.nih.gov/transcriptome/C_felis/S1/links/cluster/cf-5-36-asb40-50-Id-CLTL5.txt", 4)</f>
        <v>4</v>
      </c>
      <c r="DR36" s="4">
        <f>HYPERLINK("http://exon.niaid.nih.gov/transcriptome/C_felis/S1/links/cluster/cf-5-36-asb45-50-Id-CLU5.txt", 5)</f>
        <v>5</v>
      </c>
      <c r="DS36">
        <f>HYPERLINK("http://exon.niaid.nih.gov/transcriptome/C_felis/S1/links/cluster/cf-5-36-asb45-50-Id-CLTL5.txt", 4)</f>
        <v>4</v>
      </c>
      <c r="DT36" s="4">
        <f>HYPERLINK("http://exon.niaid.nih.gov/transcriptome/C_felis/S1/links/cluster/cf-5-36-asb50-50-Id-CLU5.txt", 5)</f>
        <v>5</v>
      </c>
      <c r="DU36">
        <f>HYPERLINK("http://exon.niaid.nih.gov/transcriptome/C_felis/S1/links/cluster/cf-5-36-asb50-50-Id-CLTL5.txt", 4)</f>
        <v>4</v>
      </c>
      <c r="DV36" s="4">
        <f>HYPERLINK("http://exon.niaid.nih.gov/transcriptome/C_felis/S1/links/cluster/cf-5-36-asb55-50-Id-CLU3.txt", 3)</f>
        <v>3</v>
      </c>
      <c r="DW36">
        <f>HYPERLINK("http://exon.niaid.nih.gov/transcriptome/C_felis/S1/links/cluster/cf-5-36-asb55-50-Id-CLTL3.txt", 4)</f>
        <v>4</v>
      </c>
      <c r="DX36" s="4">
        <f>HYPERLINK("http://exon.niaid.nih.gov/transcriptome/C_felis/S1/links/cluster/cf-5-36-asb60-50-Id-CLU16.txt", 16)</f>
        <v>16</v>
      </c>
      <c r="DY36">
        <f>HYPERLINK("http://exon.niaid.nih.gov/transcriptome/C_felis/S1/links/cluster/cf-5-36-asb60-50-Id-CLTL16.txt", 2)</f>
        <v>2</v>
      </c>
      <c r="DZ36" s="4">
        <f>HYPERLINK("http://exon.niaid.nih.gov/transcriptome/C_felis/S1/links/cluster/cf-5-36-asb65-50-Id-CLU14.txt", 14)</f>
        <v>14</v>
      </c>
      <c r="EA36">
        <f>HYPERLINK("http://exon.niaid.nih.gov/transcriptome/C_felis/S1/links/cluster/cf-5-36-asb65-50-Id-CLTL14.txt", 2)</f>
        <v>2</v>
      </c>
      <c r="EB36" s="4">
        <f>HYPERLINK("http://exon.niaid.nih.gov/transcriptome/C_felis/S1/links/cluster/cf-5-36-asb70-50-Id-CLU10.txt", 10)</f>
        <v>10</v>
      </c>
      <c r="EC36">
        <f>HYPERLINK("http://exon.niaid.nih.gov/transcriptome/C_felis/S1/links/cluster/cf-5-36-asb70-50-Id-CLTL10.txt", 2)</f>
        <v>2</v>
      </c>
      <c r="ED36" s="4">
        <f>HYPERLINK("http://exon.niaid.nih.gov/transcriptome/C_felis/S1/links/cluster/cf-5-36-asb75-50-Id-CLU8.txt", 8)</f>
        <v>8</v>
      </c>
      <c r="EE36">
        <f>HYPERLINK("http://exon.niaid.nih.gov/transcriptome/C_felis/S1/links/cluster/cf-5-36-asb75-50-Id-CLTL8.txt", 2)</f>
        <v>2</v>
      </c>
      <c r="EF36" s="4">
        <f>HYPERLINK("http://exon.niaid.nih.gov/transcriptome/C_felis/S1/links/cluster/cf-5-36-asb80-50-Id-CLU7.txt", 7)</f>
        <v>7</v>
      </c>
      <c r="EG36">
        <f>HYPERLINK("http://exon.niaid.nih.gov/transcriptome/C_felis/S1/links/cluster/cf-5-36-asb80-50-Id-CLTL7.txt", 2)</f>
        <v>2</v>
      </c>
      <c r="EH36" s="4">
        <v>61</v>
      </c>
      <c r="EI36">
        <v>1</v>
      </c>
      <c r="EJ36" s="4">
        <v>59</v>
      </c>
      <c r="EK36">
        <v>1</v>
      </c>
    </row>
    <row r="37" spans="1:141" x14ac:dyDescent="0.2">
      <c r="A37" t="str">
        <f>HYPERLINK("http://exon.niaid.nih.gov/transcriptome/C_felis/S1/links/cf/cf-contig_62.txt","cf-contig_62")</f>
        <v>cf-contig_62</v>
      </c>
      <c r="B37">
        <v>1</v>
      </c>
      <c r="C37" s="10" t="s">
        <v>4615</v>
      </c>
      <c r="D37">
        <v>1</v>
      </c>
      <c r="E37" t="str">
        <f>HYPERLINK("http://exon.niaid.nih.gov/transcriptome/C_felis/S1/links/cf/cf-5-36-asb-62.txt","Contig-62")</f>
        <v>Contig-62</v>
      </c>
      <c r="F37" t="str">
        <f>HYPERLINK("http://exon.niaid.nih.gov/transcriptome/C_felis/S1/links/cf/cf-5-36-62-CLU.txt","Contig62")</f>
        <v>Contig62</v>
      </c>
      <c r="G37" t="str">
        <f>HYPERLINK("http://exon.niaid.nih.gov/transcriptome/C_felis/S1/links/cf/cf-5-36-62-qual.txt","64.2")</f>
        <v>64.2</v>
      </c>
      <c r="H37" t="s">
        <v>11</v>
      </c>
      <c r="I37">
        <v>58.6</v>
      </c>
      <c r="J37">
        <v>677</v>
      </c>
      <c r="K37" t="s">
        <v>12</v>
      </c>
      <c r="L37">
        <v>1</v>
      </c>
      <c r="M37" t="s">
        <v>75</v>
      </c>
      <c r="N37">
        <v>677</v>
      </c>
      <c r="O37">
        <v>696</v>
      </c>
      <c r="P37">
        <v>498</v>
      </c>
      <c r="Q37" t="s">
        <v>884</v>
      </c>
      <c r="R37">
        <v>1</v>
      </c>
      <c r="S37" s="7" t="str">
        <f>HYPERLINK("http://exon.niaid.nih.gov/transcriptome/C_felis/S1/links/Sigp/CF-CONTIG_62-SigP.txt","SIG")</f>
        <v>SIG</v>
      </c>
      <c r="T37" t="s">
        <v>4586</v>
      </c>
      <c r="U37">
        <v>1</v>
      </c>
      <c r="V37" s="4">
        <f>HYPERLINK("http://exon.niaid.nih.gov/transcriptome/C_felis/S1/links/cluster/cf-5-36-asb30-50-Id-CLU7.txt", 7)</f>
        <v>7</v>
      </c>
      <c r="W37">
        <f>HYPERLINK("http://exon.niaid.nih.gov/transcriptome/C_felis/S1/links/cluster/cf-5-36-asb30-50-Id-CLTL7.txt", 4)</f>
        <v>4</v>
      </c>
      <c r="X37" s="4">
        <f>HYPERLINK("http://exon.niaid.nih.gov/transcriptome/C_felis/S1/links/cluster/cf-5-36-asb35-50-Id-CLU7.txt", 7)</f>
        <v>7</v>
      </c>
      <c r="Y37">
        <f>HYPERLINK("http://exon.niaid.nih.gov/transcriptome/C_felis/S1/links/cluster/cf-5-36-asb35-50-Id-CLTL7.txt", 4)</f>
        <v>4</v>
      </c>
      <c r="Z37" s="4">
        <f>HYPERLINK("http://exon.niaid.nih.gov/transcriptome/C_felis/S1/links/cluster/cf-5-36-asb40-50-Id-CLU5.txt", 5)</f>
        <v>5</v>
      </c>
      <c r="AA37">
        <f>HYPERLINK("http://exon.niaid.nih.gov/transcriptome/C_felis/S1/links/cluster/cf-5-36-asb40-50-Id-CLTL5.txt", 4)</f>
        <v>4</v>
      </c>
      <c r="AB37" s="4" t="str">
        <f>HYPERLINK("http://exon.niaid.nih.gov/transcriptome/C_felis/S1/links/XC-ASB/cf-contig_10-XC-ASB.txt","XC-contig_43")</f>
        <v>XC-contig_43</v>
      </c>
      <c r="AC37">
        <v>2.0000000000000001E-4</v>
      </c>
      <c r="AD37" s="10" t="s">
        <v>4615</v>
      </c>
      <c r="AE37" t="s">
        <v>4612</v>
      </c>
      <c r="AF37" t="str">
        <f>HYPERLINK("http://exon.niaid.nih.gov/transcriptome/C_felis/S1/links/GO/cf-contig_62-GO.txt","GO")</f>
        <v>GO</v>
      </c>
      <c r="AG37" s="5">
        <v>9.0000000000000002E-42</v>
      </c>
      <c r="AH37">
        <v>20</v>
      </c>
      <c r="AI37" s="4" t="str">
        <f>HYPERLINK("http://exon.niaid.nih.gov/transcriptome/C_felis/S1/links/NR/cf-contig_62-NR.txt","Adenosine deaminase CECR1")</f>
        <v>Adenosine deaminase CECR1</v>
      </c>
      <c r="AJ37" t="str">
        <f>HYPERLINK("http://www.ncbi.nlm.nih.gov/sutils/blink.cgi?pid=332031314","2E-044")</f>
        <v>2E-044</v>
      </c>
      <c r="AK37" t="str">
        <f>HYPERLINK("http://www.ncbi.nlm.nih.gov/protein/332031314","gi|332031314")</f>
        <v>gi|332031314</v>
      </c>
      <c r="AL37">
        <v>129</v>
      </c>
      <c r="AM37">
        <v>152</v>
      </c>
      <c r="AN37">
        <v>517</v>
      </c>
      <c r="AO37">
        <v>58</v>
      </c>
      <c r="AP37">
        <v>30</v>
      </c>
      <c r="AQ37">
        <v>41</v>
      </c>
      <c r="AR37">
        <v>0</v>
      </c>
      <c r="AS37">
        <v>358</v>
      </c>
      <c r="AT37">
        <v>20</v>
      </c>
      <c r="AU37">
        <v>2</v>
      </c>
      <c r="AV37">
        <v>1</v>
      </c>
      <c r="AW37" t="s">
        <v>1689</v>
      </c>
      <c r="AY37" t="s">
        <v>1676</v>
      </c>
      <c r="AZ37" t="s">
        <v>1900</v>
      </c>
      <c r="BA37" s="4" t="str">
        <f>HYPERLINK("http://exon.niaid.nih.gov/transcriptome/C_felis/S1/links/SWISSP/cf-contig_62-SWISSP.txt","Adenosine deaminase CECR1")</f>
        <v>Adenosine deaminase CECR1</v>
      </c>
      <c r="BB37" t="str">
        <f>HYPERLINK("http://www.uniprot.org/uniprot/P58780","1E-041")</f>
        <v>1E-041</v>
      </c>
      <c r="BC37" t="s">
        <v>1901</v>
      </c>
      <c r="BD37">
        <v>121</v>
      </c>
      <c r="BE37">
        <v>160</v>
      </c>
      <c r="BF37">
        <v>510</v>
      </c>
      <c r="BG37">
        <v>53</v>
      </c>
      <c r="BH37">
        <v>32</v>
      </c>
      <c r="BI37">
        <v>48</v>
      </c>
      <c r="BJ37">
        <v>0</v>
      </c>
      <c r="BK37">
        <v>347</v>
      </c>
      <c r="BL37">
        <v>11</v>
      </c>
      <c r="BM37">
        <v>2</v>
      </c>
      <c r="BN37">
        <v>1</v>
      </c>
      <c r="BO37" t="s">
        <v>1689</v>
      </c>
      <c r="BQ37" t="s">
        <v>1676</v>
      </c>
      <c r="BR37" t="s">
        <v>1902</v>
      </c>
      <c r="BS37" s="4" t="str">
        <f>HYPERLINK("http://exon.niaid.nih.gov/transcriptome/C_felis/S1/links/CDD/cf-contig_62-CDD.txt","adm_rel")</f>
        <v>adm_rel</v>
      </c>
      <c r="BT37" t="str">
        <f>HYPERLINK("http://www.ncbi.nlm.nih.gov/Structure/cdd/cddsrv.cgi?uid=TIGR01431&amp;version=v4.0","1E-037")</f>
        <v>1E-037</v>
      </c>
      <c r="BU37" t="s">
        <v>1903</v>
      </c>
      <c r="BV37" s="4" t="s">
        <v>1904</v>
      </c>
      <c r="BW37">
        <f>HYPERLINK("http://exon.niaid.nih.gov/transcriptome/C_felis/S1/links/GO/cf-contig_62-GO.txt",8E-44)</f>
        <v>7.9999999999999996E-44</v>
      </c>
      <c r="BX37" t="str">
        <f>HYPERLINK("http://amigo.geneontology.org/cgi-bin/amigo/term_details?term=GO:0004000","GO:0004000")</f>
        <v>GO:0004000</v>
      </c>
      <c r="BY37" t="s">
        <v>1905</v>
      </c>
      <c r="BZ37" t="s">
        <v>1906</v>
      </c>
      <c r="CA37" t="s">
        <v>1907</v>
      </c>
      <c r="CB37" t="str">
        <f>HYPERLINK("http://www.genome.jp/dbget-bin/www_bfind_sub?mode=bfind&amp;max_hit=1000&amp;dbkey=kegg&amp;keywords=EC:3.5.4.4","EC:3.5.4.4")</f>
        <v>EC:3.5.4.4</v>
      </c>
      <c r="CD37" s="5">
        <v>7.9999999999999996E-44</v>
      </c>
      <c r="CE37" t="str">
        <f>HYPERLINK("http://amigo.geneontology.org/cgi-bin/amigo/term_details?term=GO:0005615","GO:0005615")</f>
        <v>GO:0005615</v>
      </c>
      <c r="CF37" t="s">
        <v>1890</v>
      </c>
      <c r="CG37" t="s">
        <v>1891</v>
      </c>
      <c r="CH37" t="s">
        <v>1892</v>
      </c>
      <c r="CI37" t="s">
        <v>42</v>
      </c>
      <c r="CK37" s="5">
        <v>7.9999999999999996E-44</v>
      </c>
      <c r="CL37" t="str">
        <f>HYPERLINK("http://amigo.geneontology.org/cgi-bin/amigo/term_details?term=GO:0008283","GO:0008283")</f>
        <v>GO:0008283</v>
      </c>
      <c r="CM37" t="s">
        <v>1908</v>
      </c>
      <c r="CN37" t="s">
        <v>1909</v>
      </c>
      <c r="CO37" t="s">
        <v>42</v>
      </c>
      <c r="CP37" t="s">
        <v>42</v>
      </c>
      <c r="CR37" s="5">
        <v>7.9999999999999996E-44</v>
      </c>
      <c r="CS37" s="4" t="str">
        <f>HYPERLINK("http://exon.niaid.nih.gov/transcriptome/C_felis/S1/links/KOG/cf-contig_62-KOG.txt","Adenine deaminase/adenosine deaminase")</f>
        <v>Adenine deaminase/adenosine deaminase</v>
      </c>
      <c r="CT37" t="str">
        <f>HYPERLINK("http://www.ncbi.nlm.nih.gov/COG/grace/shokog.cgi?KOG1097","8E-031")</f>
        <v>8E-031</v>
      </c>
      <c r="CU37" t="s">
        <v>1896</v>
      </c>
      <c r="CV37" s="4" t="str">
        <f>HYPERLINK("http://exon.niaid.nih.gov/transcriptome/C_felis/S1/links/PFAM/cf-contig_62-PFAM.txt","A_deaminase")</f>
        <v>A_deaminase</v>
      </c>
      <c r="CW37" t="str">
        <f>HYPERLINK("http://pfam.sanger.ac.uk/family?acc=PF00962","1E-015")</f>
        <v>1E-015</v>
      </c>
      <c r="CX37" s="4" t="str">
        <f>HYPERLINK("http://exon.niaid.nih.gov/transcriptome/C_felis/S1/links/SMART/cf-contig_62-SMART.txt","HTTM")</f>
        <v>HTTM</v>
      </c>
      <c r="CY37" t="str">
        <f>HYPERLINK("http://smart.embl-heidelberg.de/smart/do_annotation.pl?DOMAIN=HTTM&amp;BLAST=DUMMY","0.011")</f>
        <v>0.011</v>
      </c>
      <c r="CZ37" s="4" t="s">
        <v>42</v>
      </c>
      <c r="DA37" t="s">
        <v>42</v>
      </c>
      <c r="DB37" t="s">
        <v>42</v>
      </c>
      <c r="DC37" t="s">
        <v>42</v>
      </c>
      <c r="DD37" t="s">
        <v>42</v>
      </c>
      <c r="DE37" t="s">
        <v>42</v>
      </c>
      <c r="DF37" t="s">
        <v>42</v>
      </c>
      <c r="DG37" t="s">
        <v>42</v>
      </c>
      <c r="DH37" s="4" t="s">
        <v>42</v>
      </c>
      <c r="DI37" t="s">
        <v>42</v>
      </c>
      <c r="DJ37" s="4" t="s">
        <v>42</v>
      </c>
      <c r="DK37" t="s">
        <v>42</v>
      </c>
      <c r="DL37" s="4">
        <f>HYPERLINK("http://exon.niaid.nih.gov/transcriptome/C_felis/S1/links/cluster/cf-5-36-asb30-50-Id-CLU7.txt", 7)</f>
        <v>7</v>
      </c>
      <c r="DM37">
        <f>HYPERLINK("http://exon.niaid.nih.gov/transcriptome/C_felis/S1/links/cluster/cf-5-36-asb30-50-Id-CLTL7.txt", 4)</f>
        <v>4</v>
      </c>
      <c r="DN37" s="4">
        <f>HYPERLINK("http://exon.niaid.nih.gov/transcriptome/C_felis/S1/links/cluster/cf-5-36-asb35-50-Id-CLU7.txt", 7)</f>
        <v>7</v>
      </c>
      <c r="DO37">
        <f>HYPERLINK("http://exon.niaid.nih.gov/transcriptome/C_felis/S1/links/cluster/cf-5-36-asb35-50-Id-CLTL7.txt", 4)</f>
        <v>4</v>
      </c>
      <c r="DP37" s="4">
        <f>HYPERLINK("http://exon.niaid.nih.gov/transcriptome/C_felis/S1/links/cluster/cf-5-36-asb40-50-Id-CLU5.txt", 5)</f>
        <v>5</v>
      </c>
      <c r="DQ37">
        <f>HYPERLINK("http://exon.niaid.nih.gov/transcriptome/C_felis/S1/links/cluster/cf-5-36-asb40-50-Id-CLTL5.txt", 4)</f>
        <v>4</v>
      </c>
      <c r="DR37" s="4">
        <f>HYPERLINK("http://exon.niaid.nih.gov/transcriptome/C_felis/S1/links/cluster/cf-5-36-asb45-50-Id-CLU5.txt", 5)</f>
        <v>5</v>
      </c>
      <c r="DS37">
        <f>HYPERLINK("http://exon.niaid.nih.gov/transcriptome/C_felis/S1/links/cluster/cf-5-36-asb45-50-Id-CLTL5.txt", 4)</f>
        <v>4</v>
      </c>
      <c r="DT37" s="4">
        <f>HYPERLINK("http://exon.niaid.nih.gov/transcriptome/C_felis/S1/links/cluster/cf-5-36-asb50-50-Id-CLU5.txt", 5)</f>
        <v>5</v>
      </c>
      <c r="DU37">
        <f>HYPERLINK("http://exon.niaid.nih.gov/transcriptome/C_felis/S1/links/cluster/cf-5-36-asb50-50-Id-CLTL5.txt", 4)</f>
        <v>4</v>
      </c>
      <c r="DV37" s="4">
        <f>HYPERLINK("http://exon.niaid.nih.gov/transcriptome/C_felis/S1/links/cluster/cf-5-36-asb55-50-Id-CLU3.txt", 3)</f>
        <v>3</v>
      </c>
      <c r="DW37">
        <f>HYPERLINK("http://exon.niaid.nih.gov/transcriptome/C_felis/S1/links/cluster/cf-5-36-asb55-50-Id-CLTL3.txt", 4)</f>
        <v>4</v>
      </c>
      <c r="DX37" s="4">
        <v>78</v>
      </c>
      <c r="DY37">
        <v>1</v>
      </c>
      <c r="DZ37" s="4">
        <v>76</v>
      </c>
      <c r="EA37">
        <v>1</v>
      </c>
      <c r="EB37" s="4">
        <v>76</v>
      </c>
      <c r="EC37">
        <v>1</v>
      </c>
      <c r="ED37" s="4">
        <v>77</v>
      </c>
      <c r="EE37">
        <v>1</v>
      </c>
      <c r="EF37" s="4">
        <v>72</v>
      </c>
      <c r="EG37">
        <v>1</v>
      </c>
      <c r="EH37" s="4">
        <v>64</v>
      </c>
      <c r="EI37">
        <v>1</v>
      </c>
      <c r="EJ37" s="4">
        <v>62</v>
      </c>
      <c r="EK37">
        <v>1</v>
      </c>
    </row>
    <row r="38" spans="1:141" s="6" customFormat="1" x14ac:dyDescent="0.2">
      <c r="A38" s="12" t="s">
        <v>4925</v>
      </c>
      <c r="D38" s="6">
        <f>SUM(D39:D41)</f>
        <v>15</v>
      </c>
    </row>
    <row r="39" spans="1:141" x14ac:dyDescent="0.2">
      <c r="A39" t="str">
        <f>HYPERLINK("http://exon.niaid.nih.gov/transcriptome/C_felis/S1/links/cf/cf-contig_100.txt","cf-contig_100")</f>
        <v>cf-contig_100</v>
      </c>
      <c r="B39">
        <v>7</v>
      </c>
      <c r="C39" s="10" t="s">
        <v>4609</v>
      </c>
      <c r="D39">
        <v>7</v>
      </c>
      <c r="E39" t="str">
        <f>HYPERLINK("http://exon.niaid.nih.gov/transcriptome/C_felis/S1/links/cf/cf-5-36-asb-100.txt","Contig-100")</f>
        <v>Contig-100</v>
      </c>
      <c r="F39" t="str">
        <f>HYPERLINK("http://exon.niaid.nih.gov/transcriptome/C_felis/S1/links/cf/cf-5-36-100-CLU.txt","Contig100")</f>
        <v>Contig100</v>
      </c>
      <c r="G39" t="str">
        <f>HYPERLINK("http://exon.niaid.nih.gov/transcriptome/C_felis/S1/links/cf/cf-5-36-100-qual.txt","77.7")</f>
        <v>77.7</v>
      </c>
      <c r="H39" t="s">
        <v>11</v>
      </c>
      <c r="I39">
        <v>71.099999999999994</v>
      </c>
      <c r="J39">
        <v>713</v>
      </c>
      <c r="K39" t="s">
        <v>12</v>
      </c>
      <c r="L39">
        <v>7</v>
      </c>
      <c r="M39" t="s">
        <v>113</v>
      </c>
      <c r="N39">
        <v>845</v>
      </c>
      <c r="O39">
        <v>885</v>
      </c>
      <c r="P39">
        <v>564</v>
      </c>
      <c r="Q39" t="s">
        <v>920</v>
      </c>
      <c r="R39">
        <v>1</v>
      </c>
      <c r="S39" s="7" t="str">
        <f>HYPERLINK("http://exon.niaid.nih.gov/transcriptome/C_felis/S1/links/Sigp/CF-CONTIG_100-SigP.txt","Cyt")</f>
        <v>Cyt</v>
      </c>
      <c r="U39">
        <v>7</v>
      </c>
      <c r="V39" s="4">
        <v>118</v>
      </c>
      <c r="W39">
        <v>1</v>
      </c>
      <c r="X39" s="4">
        <v>113</v>
      </c>
      <c r="Y39">
        <v>1</v>
      </c>
      <c r="Z39" s="4">
        <v>110</v>
      </c>
      <c r="AA39">
        <v>1</v>
      </c>
      <c r="AB39" s="4" t="str">
        <f>HYPERLINK("http://exon.niaid.nih.gov/transcriptome/C_felis/S1/links/XC-ASB/cf-contig_393-XC-ASB.txt","XC-contig_52")</f>
        <v>XC-contig_52</v>
      </c>
      <c r="AC39">
        <v>6.0000000000000002E-27</v>
      </c>
      <c r="AD39" s="10" t="s">
        <v>4609</v>
      </c>
      <c r="AE39" t="s">
        <v>4901</v>
      </c>
      <c r="AF39" t="str">
        <f>HYPERLINK("http://exon.niaid.nih.gov/transcriptome/C_felis/S1/links/NR/cf-contig_100-NR.txt","NR")</f>
        <v>NR</v>
      </c>
      <c r="AG39" s="5">
        <v>6E-49</v>
      </c>
      <c r="AH39">
        <v>79.7</v>
      </c>
      <c r="AI39" s="4" t="str">
        <f>HYPERLINK("http://exon.niaid.nih.gov/transcriptome/C_felis/S1/links/NR/cf-contig_100-NR.txt","putative truncated esterase")</f>
        <v>putative truncated esterase</v>
      </c>
      <c r="AJ39" t="str">
        <f>HYPERLINK("http://www.ncbi.nlm.nih.gov/sutils/blink.cgi?pid=121511890","6E-049")</f>
        <v>6E-049</v>
      </c>
      <c r="AK39" t="str">
        <f>HYPERLINK("http://www.ncbi.nlm.nih.gov/protein/121511890","gi|121511890")</f>
        <v>gi|121511890</v>
      </c>
      <c r="AL39">
        <v>199</v>
      </c>
      <c r="AM39">
        <v>166</v>
      </c>
      <c r="AN39">
        <v>227</v>
      </c>
      <c r="AO39">
        <v>53</v>
      </c>
      <c r="AP39">
        <v>74</v>
      </c>
      <c r="AQ39">
        <v>84</v>
      </c>
      <c r="AR39">
        <v>0</v>
      </c>
      <c r="AS39">
        <v>59</v>
      </c>
      <c r="AT39">
        <v>46</v>
      </c>
      <c r="AU39">
        <v>1</v>
      </c>
      <c r="AV39">
        <v>1</v>
      </c>
      <c r="AW39" t="s">
        <v>12</v>
      </c>
      <c r="AX39">
        <v>0.60199999999999998</v>
      </c>
      <c r="AY39" t="s">
        <v>1676</v>
      </c>
      <c r="AZ39" t="s">
        <v>1717</v>
      </c>
      <c r="BA39" s="4" t="str">
        <f>HYPERLINK("http://exon.niaid.nih.gov/transcriptome/C_felis/S1/links/SWISSP/cf-contig_100-SWISSP.txt","Esterase B1")</f>
        <v>Esterase B1</v>
      </c>
      <c r="BB39" t="str">
        <f>HYPERLINK("http://www.uniprot.org/uniprot/P16854","7E-004")</f>
        <v>7E-004</v>
      </c>
      <c r="BC39" t="s">
        <v>2046</v>
      </c>
      <c r="BD39">
        <v>45.1</v>
      </c>
      <c r="BE39">
        <v>155</v>
      </c>
      <c r="BF39">
        <v>540</v>
      </c>
      <c r="BG39">
        <v>25</v>
      </c>
      <c r="BH39">
        <v>29</v>
      </c>
      <c r="BI39">
        <v>133</v>
      </c>
      <c r="BJ39">
        <v>1</v>
      </c>
      <c r="BK39">
        <v>385</v>
      </c>
      <c r="BL39">
        <v>112</v>
      </c>
      <c r="BM39">
        <v>1</v>
      </c>
      <c r="BN39">
        <v>1</v>
      </c>
      <c r="BO39" t="s">
        <v>12</v>
      </c>
      <c r="BQ39" t="s">
        <v>1676</v>
      </c>
      <c r="BR39" t="s">
        <v>2047</v>
      </c>
      <c r="BS39" s="4" t="str">
        <f>HYPERLINK("http://exon.niaid.nih.gov/transcriptome/C_felis/S1/links/CDD/cf-contig_100-CDD.txt","COesterase")</f>
        <v>COesterase</v>
      </c>
      <c r="BT39" t="str">
        <f>HYPERLINK("http://www.ncbi.nlm.nih.gov/Structure/cdd/cddsrv.cgi?uid=pfam00135&amp;version=v4.0","3E-013")</f>
        <v>3E-013</v>
      </c>
      <c r="BU39" t="s">
        <v>2048</v>
      </c>
      <c r="BV39" s="4" t="s">
        <v>1875</v>
      </c>
      <c r="BW39">
        <f>HYPERLINK("http://exon.niaid.nih.gov/transcriptome/C_felis/S1/links/GO/cf-contig_100-GO.txt",0.00000000000008)</f>
        <v>8E-14</v>
      </c>
      <c r="BX39" t="str">
        <f>HYPERLINK("http://amigo.geneontology.org/cgi-bin/amigo/term_details?term=GO:0004091","GO:0004091")</f>
        <v>GO:0004091</v>
      </c>
      <c r="BY39" t="s">
        <v>2049</v>
      </c>
      <c r="BZ39" t="s">
        <v>2050</v>
      </c>
      <c r="CA39" t="s">
        <v>2051</v>
      </c>
      <c r="CB39" t="str">
        <f>HYPERLINK("http://www.genome.jp/dbget-bin/www_bfind_sub?mode=bfind&amp;max_hit=1000&amp;dbkey=kegg&amp;keywords=EC:3.1.1.1","EC:3.1.1.1")</f>
        <v>EC:3.1.1.1</v>
      </c>
      <c r="CC39" t="str">
        <f>HYPERLINK("http://www.genome.jp/dbget-bin/www_bget?rn:R00630","KEGG:R00630")</f>
        <v>KEGG:R00630</v>
      </c>
      <c r="CD39">
        <v>9.9999999999999995E-8</v>
      </c>
      <c r="CE39" t="str">
        <f>HYPERLINK("http://amigo.geneontology.org/cgi-bin/amigo/term_details?term=GO:0005737","GO:0005737")</f>
        <v>GO:0005737</v>
      </c>
      <c r="CF39" t="s">
        <v>1966</v>
      </c>
      <c r="CG39" t="s">
        <v>1967</v>
      </c>
      <c r="CH39" t="s">
        <v>42</v>
      </c>
      <c r="CI39" t="s">
        <v>42</v>
      </c>
      <c r="CK39">
        <v>9.9999999999999995E-8</v>
      </c>
      <c r="CL39" t="str">
        <f>HYPERLINK("http://amigo.geneontology.org/cgi-bin/amigo/term_details?term=GO:0008150","GO:0008150")</f>
        <v>GO:0008150</v>
      </c>
      <c r="CM39" t="s">
        <v>1857</v>
      </c>
      <c r="CN39" t="s">
        <v>1858</v>
      </c>
      <c r="CO39" t="s">
        <v>1859</v>
      </c>
      <c r="CP39" t="s">
        <v>42</v>
      </c>
      <c r="CR39">
        <v>9.9999999999999995E-8</v>
      </c>
      <c r="CS39" s="4" t="str">
        <f>HYPERLINK("http://exon.niaid.nih.gov/transcriptome/C_felis/S1/links/KOG/cf-contig_100-KOG.txt","Carboxylesterase and related proteins")</f>
        <v>Carboxylesterase and related proteins</v>
      </c>
      <c r="CT39" t="str">
        <f>HYPERLINK("http://www.ncbi.nlm.nih.gov/COG/grace/shokog.cgi?KOG1516","2E-009")</f>
        <v>2E-009</v>
      </c>
      <c r="CU39" t="s">
        <v>1721</v>
      </c>
      <c r="CV39" s="4" t="str">
        <f>HYPERLINK("http://exon.niaid.nih.gov/transcriptome/C_felis/S1/links/PFAM/cf-contig_100-PFAM.txt","COesterase")</f>
        <v>COesterase</v>
      </c>
      <c r="CW39" t="str">
        <f>HYPERLINK("http://pfam.sanger.ac.uk/family?acc=PF00135","6E-014")</f>
        <v>6E-014</v>
      </c>
      <c r="CX39" s="4" t="str">
        <f>HYPERLINK("http://exon.niaid.nih.gov/transcriptome/C_felis/S1/links/SMART/cf-contig_100-SMART.txt","Inhibitor_I29")</f>
        <v>Inhibitor_I29</v>
      </c>
      <c r="CY39" t="str">
        <f>HYPERLINK("http://smart.embl-heidelberg.de/smart/do_annotation.pl?DOMAIN=Inhibitor_I29&amp;BLAST=DUMMY","0.018")</f>
        <v>0.018</v>
      </c>
      <c r="CZ39" s="4" t="s">
        <v>42</v>
      </c>
      <c r="DA39" t="s">
        <v>42</v>
      </c>
      <c r="DB39" t="s">
        <v>42</v>
      </c>
      <c r="DC39" t="s">
        <v>42</v>
      </c>
      <c r="DD39" t="s">
        <v>42</v>
      </c>
      <c r="DE39" t="s">
        <v>42</v>
      </c>
      <c r="DF39" t="s">
        <v>42</v>
      </c>
      <c r="DG39" t="s">
        <v>42</v>
      </c>
      <c r="DH39" s="4" t="s">
        <v>42</v>
      </c>
      <c r="DI39" t="s">
        <v>42</v>
      </c>
      <c r="DJ39" s="4" t="s">
        <v>42</v>
      </c>
      <c r="DK39" t="s">
        <v>42</v>
      </c>
      <c r="DL39" s="4">
        <v>118</v>
      </c>
      <c r="DM39">
        <v>1</v>
      </c>
      <c r="DN39" s="4">
        <v>113</v>
      </c>
      <c r="DO39">
        <v>1</v>
      </c>
      <c r="DP39" s="4">
        <v>110</v>
      </c>
      <c r="DQ39">
        <v>1</v>
      </c>
      <c r="DR39" s="4">
        <v>101</v>
      </c>
      <c r="DS39">
        <v>1</v>
      </c>
      <c r="DT39" s="4">
        <v>99</v>
      </c>
      <c r="DU39">
        <v>1</v>
      </c>
      <c r="DV39" s="4">
        <v>108</v>
      </c>
      <c r="DW39">
        <v>1</v>
      </c>
      <c r="DX39" s="4">
        <v>108</v>
      </c>
      <c r="DY39">
        <v>1</v>
      </c>
      <c r="DZ39" s="4">
        <v>107</v>
      </c>
      <c r="EA39">
        <v>1</v>
      </c>
      <c r="EB39" s="4">
        <v>107</v>
      </c>
      <c r="EC39">
        <v>1</v>
      </c>
      <c r="ED39" s="4">
        <v>108</v>
      </c>
      <c r="EE39">
        <v>1</v>
      </c>
      <c r="EF39" s="4">
        <v>105</v>
      </c>
      <c r="EG39">
        <v>1</v>
      </c>
      <c r="EH39" s="4">
        <v>102</v>
      </c>
      <c r="EI39">
        <v>1</v>
      </c>
      <c r="EJ39" s="4">
        <v>100</v>
      </c>
      <c r="EK39">
        <v>1</v>
      </c>
    </row>
    <row r="40" spans="1:141" x14ac:dyDescent="0.2">
      <c r="A40" t="str">
        <f>HYPERLINK("http://exon.niaid.nih.gov/transcriptome/C_felis/S1/links/cf/cf-contig_781.txt","cf-contig_781")</f>
        <v>cf-contig_781</v>
      </c>
      <c r="B40">
        <v>1</v>
      </c>
      <c r="C40" s="10" t="s">
        <v>4609</v>
      </c>
      <c r="D40">
        <v>1</v>
      </c>
      <c r="E40" t="str">
        <f>HYPERLINK("http://exon.niaid.nih.gov/transcriptome/C_felis/S1/links/cf/cf-5-36-asb-781.txt","Contig-781")</f>
        <v>Contig-781</v>
      </c>
      <c r="F40" t="str">
        <f>HYPERLINK("http://exon.niaid.nih.gov/transcriptome/C_felis/S1/links/cf/cf-5-36-781-CLU.txt","Contig781")</f>
        <v>Contig781</v>
      </c>
      <c r="G40" t="str">
        <f>HYPERLINK("http://exon.niaid.nih.gov/transcriptome/C_felis/S1/links/cf/cf-5-36-781-qual.txt","65.1")</f>
        <v>65.1</v>
      </c>
      <c r="H40">
        <v>0.2</v>
      </c>
      <c r="I40">
        <v>72.5</v>
      </c>
      <c r="J40">
        <v>636</v>
      </c>
      <c r="K40" t="s">
        <v>12</v>
      </c>
      <c r="L40">
        <v>1</v>
      </c>
      <c r="M40" t="s">
        <v>794</v>
      </c>
      <c r="N40">
        <v>636</v>
      </c>
      <c r="O40">
        <v>655</v>
      </c>
      <c r="P40">
        <v>546</v>
      </c>
      <c r="Q40" t="s">
        <v>1600</v>
      </c>
      <c r="R40">
        <v>1</v>
      </c>
      <c r="S40" s="7" t="str">
        <f>HYPERLINK("http://exon.niaid.nih.gov/transcriptome/C_felis/S1/links/Sigp/CF-CONTIG_781-SigP.txt","Cyt")</f>
        <v>Cyt</v>
      </c>
      <c r="U40">
        <v>1</v>
      </c>
      <c r="V40" s="4">
        <v>626</v>
      </c>
      <c r="W40">
        <v>1</v>
      </c>
      <c r="X40" s="4">
        <v>647</v>
      </c>
      <c r="Y40">
        <v>1</v>
      </c>
      <c r="Z40" s="4">
        <v>663</v>
      </c>
      <c r="AA40">
        <v>1</v>
      </c>
      <c r="AB40" s="4" t="str">
        <f>HYPERLINK("http://exon.niaid.nih.gov/transcriptome/C_felis/S1/links/XC-ASB/cf-contig_673-XC-ASB.txt","XC-contig_49")</f>
        <v>XC-contig_49</v>
      </c>
      <c r="AC40">
        <v>2.0000000000000002E-5</v>
      </c>
      <c r="AD40" s="10" t="s">
        <v>4609</v>
      </c>
      <c r="AE40" t="s">
        <v>4901</v>
      </c>
      <c r="AF40" t="str">
        <f>HYPERLINK("http://exon.niaid.nih.gov/transcriptome/C_felis/S1/links/NR/cf-contig_781-NR.txt","NR")</f>
        <v>NR</v>
      </c>
      <c r="AG40" s="5">
        <v>7.0000000000000003E-40</v>
      </c>
      <c r="AH40">
        <v>66</v>
      </c>
      <c r="AI40" s="4" t="str">
        <f>HYPERLINK("http://exon.niaid.nih.gov/transcriptome/C_felis/S1/links/NR/cf-contig_781-NR.txt","putative truncated esterase")</f>
        <v>putative truncated esterase</v>
      </c>
      <c r="AJ40" t="str">
        <f>HYPERLINK("http://www.ncbi.nlm.nih.gov/sutils/blink.cgi?pid=121511890","7E-040")</f>
        <v>7E-040</v>
      </c>
      <c r="AK40" t="str">
        <f>HYPERLINK("http://www.ncbi.nlm.nih.gov/protein/121511890","gi|121511890")</f>
        <v>gi|121511890</v>
      </c>
      <c r="AL40">
        <v>168</v>
      </c>
      <c r="AM40">
        <v>141</v>
      </c>
      <c r="AN40">
        <v>227</v>
      </c>
      <c r="AO40">
        <v>54</v>
      </c>
      <c r="AP40">
        <v>63</v>
      </c>
      <c r="AQ40">
        <v>69</v>
      </c>
      <c r="AR40">
        <v>1</v>
      </c>
      <c r="AS40">
        <v>86</v>
      </c>
      <c r="AT40">
        <v>7</v>
      </c>
      <c r="AU40">
        <v>1</v>
      </c>
      <c r="AV40">
        <v>1</v>
      </c>
      <c r="AW40" t="s">
        <v>12</v>
      </c>
      <c r="AY40" t="s">
        <v>1676</v>
      </c>
      <c r="AZ40" t="s">
        <v>1717</v>
      </c>
      <c r="BA40" s="4" t="str">
        <f>HYPERLINK("http://exon.niaid.nih.gov/transcriptome/C_felis/S1/links/SWISSP/cf-contig_781-SWISSP.txt","Bile salt-activated lipase")</f>
        <v>Bile salt-activated lipase</v>
      </c>
      <c r="BB40" t="str">
        <f>HYPERLINK("http://www.uniprot.org/uniprot/P07882","3E-006")</f>
        <v>3E-006</v>
      </c>
      <c r="BC40" t="s">
        <v>4497</v>
      </c>
      <c r="BD40">
        <v>52.4</v>
      </c>
      <c r="BE40">
        <v>122</v>
      </c>
      <c r="BF40">
        <v>612</v>
      </c>
      <c r="BG40">
        <v>26</v>
      </c>
      <c r="BH40">
        <v>20</v>
      </c>
      <c r="BI40">
        <v>105</v>
      </c>
      <c r="BJ40">
        <v>1</v>
      </c>
      <c r="BK40">
        <v>426</v>
      </c>
      <c r="BL40">
        <v>61</v>
      </c>
      <c r="BM40">
        <v>1</v>
      </c>
      <c r="BN40">
        <v>1</v>
      </c>
      <c r="BO40" t="s">
        <v>12</v>
      </c>
      <c r="BQ40" t="s">
        <v>1676</v>
      </c>
      <c r="BR40" t="s">
        <v>1684</v>
      </c>
      <c r="BS40" s="4" t="str">
        <f>HYPERLINK("http://exon.niaid.nih.gov/transcriptome/C_felis/S1/links/CDD/cf-contig_781-CDD.txt","COesterase")</f>
        <v>COesterase</v>
      </c>
      <c r="BT40" t="str">
        <f>HYPERLINK("http://www.ncbi.nlm.nih.gov/Structure/cdd/cddsrv.cgi?uid=pfam00135&amp;version=v4.0","3E-012")</f>
        <v>3E-012</v>
      </c>
      <c r="BU40" t="s">
        <v>4498</v>
      </c>
      <c r="BV40" s="4" t="s">
        <v>1875</v>
      </c>
      <c r="BW40">
        <f>HYPERLINK("http://exon.niaid.nih.gov/transcriptome/C_felis/S1/links/GO/cf-contig_781-GO.txt",0.000000000004)</f>
        <v>3.9999999999999999E-12</v>
      </c>
      <c r="BX40" t="str">
        <f>HYPERLINK("http://amigo.geneontology.org/cgi-bin/amigo/term_details?term=GO:0004091","GO:0004091")</f>
        <v>GO:0004091</v>
      </c>
      <c r="BY40" t="s">
        <v>2049</v>
      </c>
      <c r="BZ40" t="s">
        <v>2050</v>
      </c>
      <c r="CA40" t="s">
        <v>2051</v>
      </c>
      <c r="CB40" t="str">
        <f>HYPERLINK("http://www.genome.jp/dbget-bin/www_bfind_sub?mode=bfind&amp;max_hit=1000&amp;dbkey=kegg&amp;keywords=EC:3.1.1.1","EC:3.1.1.1")</f>
        <v>EC:3.1.1.1</v>
      </c>
      <c r="CC40" t="str">
        <f>HYPERLINK("http://www.genome.jp/dbget-bin/www_bget?rn:R00630","KEGG:R00630")</f>
        <v>KEGG:R00630</v>
      </c>
      <c r="CD40">
        <v>1.9999999999999999E-6</v>
      </c>
      <c r="CE40" t="str">
        <f>HYPERLINK("http://amigo.geneontology.org/cgi-bin/amigo/term_details?term=GO:0005576","GO:0005576")</f>
        <v>GO:0005576</v>
      </c>
      <c r="CF40" t="s">
        <v>1854</v>
      </c>
      <c r="CG40" t="s">
        <v>1855</v>
      </c>
      <c r="CH40" t="s">
        <v>1856</v>
      </c>
      <c r="CI40" t="s">
        <v>42</v>
      </c>
      <c r="CK40">
        <v>1.9999999999999999E-6</v>
      </c>
      <c r="CL40" t="str">
        <f>HYPERLINK("http://amigo.geneontology.org/cgi-bin/amigo/term_details?term=GO:0006707","GO:0006707")</f>
        <v>GO:0006707</v>
      </c>
      <c r="CM40" t="s">
        <v>4499</v>
      </c>
      <c r="CN40" t="s">
        <v>4500</v>
      </c>
      <c r="CO40" t="s">
        <v>4501</v>
      </c>
      <c r="CP40" t="s">
        <v>42</v>
      </c>
      <c r="CR40">
        <v>1.9999999999999999E-6</v>
      </c>
      <c r="CS40" s="4" t="str">
        <f>HYPERLINK("http://exon.niaid.nih.gov/transcriptome/C_felis/S1/links/KOG/cf-contig_781-KOG.txt","Carboxylesterase and related proteins")</f>
        <v>Carboxylesterase and related proteins</v>
      </c>
      <c r="CT40" t="str">
        <f>HYPERLINK("http://www.ncbi.nlm.nih.gov/COG/grace/shokog.cgi?KOG1516","4E-010")</f>
        <v>4E-010</v>
      </c>
      <c r="CU40" t="s">
        <v>1721</v>
      </c>
      <c r="CV40" s="4" t="str">
        <f>HYPERLINK("http://exon.niaid.nih.gov/transcriptome/C_felis/S1/links/PFAM/cf-contig_781-PFAM.txt","COesterase")</f>
        <v>COesterase</v>
      </c>
      <c r="CW40" t="str">
        <f>HYPERLINK("http://pfam.sanger.ac.uk/family?acc=PF00135","5E-013")</f>
        <v>5E-013</v>
      </c>
      <c r="CX40" s="4" t="str">
        <f>HYPERLINK("http://exon.niaid.nih.gov/transcriptome/C_felis/S1/links/SMART/cf-contig_781-SMART.txt","PSN")</f>
        <v>PSN</v>
      </c>
      <c r="CY40" t="str">
        <f>HYPERLINK("http://smart.embl-heidelberg.de/smart/do_annotation.pl?DOMAIN=PSN&amp;BLAST=DUMMY","0.002")</f>
        <v>0.002</v>
      </c>
      <c r="CZ40" s="4" t="s">
        <v>42</v>
      </c>
      <c r="DA40" t="s">
        <v>42</v>
      </c>
      <c r="DB40" t="s">
        <v>42</v>
      </c>
      <c r="DC40" t="s">
        <v>42</v>
      </c>
      <c r="DD40" t="s">
        <v>42</v>
      </c>
      <c r="DE40" t="s">
        <v>42</v>
      </c>
      <c r="DF40" t="s">
        <v>42</v>
      </c>
      <c r="DG40" t="s">
        <v>42</v>
      </c>
      <c r="DH40" s="4" t="s">
        <v>42</v>
      </c>
      <c r="DI40" t="s">
        <v>42</v>
      </c>
      <c r="DJ40" s="4" t="s">
        <v>42</v>
      </c>
      <c r="DK40" t="s">
        <v>42</v>
      </c>
      <c r="DL40" s="4">
        <v>626</v>
      </c>
      <c r="DM40">
        <v>1</v>
      </c>
      <c r="DN40" s="4">
        <v>647</v>
      </c>
      <c r="DO40">
        <v>1</v>
      </c>
      <c r="DP40" s="4">
        <v>663</v>
      </c>
      <c r="DQ40">
        <v>1</v>
      </c>
      <c r="DR40" s="4">
        <v>685</v>
      </c>
      <c r="DS40">
        <v>1</v>
      </c>
      <c r="DT40" s="4">
        <v>701</v>
      </c>
      <c r="DU40">
        <v>1</v>
      </c>
      <c r="DV40" s="4">
        <v>716</v>
      </c>
      <c r="DW40">
        <v>1</v>
      </c>
      <c r="DX40" s="4">
        <v>730</v>
      </c>
      <c r="DY40">
        <v>1</v>
      </c>
      <c r="DZ40" s="4">
        <v>741</v>
      </c>
      <c r="EA40">
        <v>1</v>
      </c>
      <c r="EB40" s="4">
        <v>748</v>
      </c>
      <c r="EC40">
        <v>1</v>
      </c>
      <c r="ED40" s="4">
        <v>753</v>
      </c>
      <c r="EE40">
        <v>1</v>
      </c>
      <c r="EF40" s="4">
        <v>760</v>
      </c>
      <c r="EG40">
        <v>1</v>
      </c>
      <c r="EH40" s="4">
        <v>772</v>
      </c>
      <c r="EI40">
        <v>1</v>
      </c>
      <c r="EJ40" s="4">
        <v>781</v>
      </c>
      <c r="EK40">
        <v>1</v>
      </c>
    </row>
    <row r="41" spans="1:141" x14ac:dyDescent="0.2">
      <c r="A41" t="str">
        <f>HYPERLINK("http://exon.niaid.nih.gov/transcriptome/C_felis/S1/links/cf/cf-contig_56.txt","cf-contig_56")</f>
        <v>cf-contig_56</v>
      </c>
      <c r="B41">
        <v>7</v>
      </c>
      <c r="C41" s="10" t="s">
        <v>4609</v>
      </c>
      <c r="D41">
        <v>7</v>
      </c>
      <c r="E41" t="str">
        <f>HYPERLINK("http://exon.niaid.nih.gov/transcriptome/C_felis/S1/links/cf/cf-5-36-asb-56.txt","Contig-56")</f>
        <v>Contig-56</v>
      </c>
      <c r="F41" t="str">
        <f>HYPERLINK("http://exon.niaid.nih.gov/transcriptome/C_felis/S1/links/cf/cf-5-36-56-CLU.txt","Contig56")</f>
        <v>Contig56</v>
      </c>
      <c r="G41" t="str">
        <f>HYPERLINK("http://exon.niaid.nih.gov/transcriptome/C_felis/S1/links/cf/cf-5-36-56-qual.txt","95.1")</f>
        <v>95.1</v>
      </c>
      <c r="H41" t="s">
        <v>11</v>
      </c>
      <c r="I41">
        <v>67.900000000000006</v>
      </c>
      <c r="J41">
        <v>632</v>
      </c>
      <c r="K41" t="s">
        <v>12</v>
      </c>
      <c r="L41">
        <v>7</v>
      </c>
      <c r="M41" t="s">
        <v>69</v>
      </c>
      <c r="N41">
        <v>632</v>
      </c>
      <c r="O41">
        <v>652</v>
      </c>
      <c r="P41">
        <v>552</v>
      </c>
      <c r="Q41" t="s">
        <v>878</v>
      </c>
      <c r="R41">
        <v>2</v>
      </c>
      <c r="S41" s="7" t="str">
        <f>HYPERLINK("http://exon.niaid.nih.gov/transcriptome/C_felis/S1/links/Sigp/CF-CONTIG_56-SigP.txt","Cyt")</f>
        <v>Cyt</v>
      </c>
      <c r="U41">
        <v>7</v>
      </c>
      <c r="V41" s="4">
        <f>HYPERLINK("http://exon.niaid.nih.gov/transcriptome/C_felis/S1/links/cluster/cf-5-36-asb30-50-Id-CLU31.txt", 31)</f>
        <v>31</v>
      </c>
      <c r="W41">
        <f>HYPERLINK("http://exon.niaid.nih.gov/transcriptome/C_felis/S1/links/cluster/cf-5-36-asb30-50-Id-CLTL31.txt", 2)</f>
        <v>2</v>
      </c>
      <c r="X41" s="4">
        <f>HYPERLINK("http://exon.niaid.nih.gov/transcriptome/C_felis/S1/links/cluster/cf-5-36-asb35-50-Id-CLU25.txt", 25)</f>
        <v>25</v>
      </c>
      <c r="Y41">
        <f>HYPERLINK("http://exon.niaid.nih.gov/transcriptome/C_felis/S1/links/cluster/cf-5-36-asb35-50-Id-CLTL25.txt", 2)</f>
        <v>2</v>
      </c>
      <c r="Z41" s="4">
        <f>HYPERLINK("http://exon.niaid.nih.gov/transcriptome/C_felis/S1/links/cluster/cf-5-36-asb40-50-Id-CLU23.txt", 23)</f>
        <v>23</v>
      </c>
      <c r="AA41">
        <f>HYPERLINK("http://exon.niaid.nih.gov/transcriptome/C_felis/S1/links/cluster/cf-5-36-asb40-50-Id-CLTL23.txt", 2)</f>
        <v>2</v>
      </c>
      <c r="AB41" s="4" t="str">
        <f>HYPERLINK("http://exon.niaid.nih.gov/transcriptome/C_felis/S1/links/XC-ASB/cf-contig_609-XC-ASB.txt","XC-contig_67")</f>
        <v>XC-contig_67</v>
      </c>
      <c r="AC41">
        <v>2E-16</v>
      </c>
      <c r="AD41" s="10" t="s">
        <v>4609</v>
      </c>
      <c r="AE41" t="s">
        <v>4901</v>
      </c>
      <c r="AF41" t="str">
        <f>HYPERLINK("http://exon.niaid.nih.gov/transcriptome/C_felis/S1/links/NR/cf-contig_56-NR.txt","NR")</f>
        <v>NR</v>
      </c>
      <c r="AG41" s="5">
        <v>2.0000000000000001E-18</v>
      </c>
      <c r="AH41">
        <v>62.1</v>
      </c>
      <c r="AI41" s="4" t="str">
        <f>HYPERLINK("http://exon.niaid.nih.gov/transcriptome/C_felis/S1/links/NR/cf-contig_56-NR.txt","putative truncated esterase")</f>
        <v>putative truncated esterase</v>
      </c>
      <c r="AJ41" t="str">
        <f>HYPERLINK("http://www.ncbi.nlm.nih.gov/sutils/blink.cgi?pid=121511890","2E-018")</f>
        <v>2E-018</v>
      </c>
      <c r="AK41" t="str">
        <f>HYPERLINK("http://www.ncbi.nlm.nih.gov/protein/121511890","gi|121511890")</f>
        <v>gi|121511890</v>
      </c>
      <c r="AL41">
        <v>96.7</v>
      </c>
      <c r="AM41">
        <v>123</v>
      </c>
      <c r="AN41">
        <v>227</v>
      </c>
      <c r="AO41">
        <v>37</v>
      </c>
      <c r="AP41">
        <v>55</v>
      </c>
      <c r="AQ41">
        <v>88</v>
      </c>
      <c r="AR41">
        <v>0</v>
      </c>
      <c r="AS41">
        <v>90</v>
      </c>
      <c r="AT41">
        <v>11</v>
      </c>
      <c r="AU41">
        <v>1</v>
      </c>
      <c r="AV41">
        <v>2</v>
      </c>
      <c r="AW41" t="s">
        <v>12</v>
      </c>
      <c r="AY41" t="s">
        <v>1676</v>
      </c>
      <c r="AZ41" t="s">
        <v>1717</v>
      </c>
      <c r="BA41" s="4" t="str">
        <f>HYPERLINK("http://exon.niaid.nih.gov/transcriptome/C_felis/S1/links/SWISSP/cf-contig_56-SWISSP.txt","Neuroligin-2")</f>
        <v>Neuroligin-2</v>
      </c>
      <c r="BB41" t="str">
        <f>HYPERLINK("http://www.uniprot.org/uniprot/Q62888","8E-005")</f>
        <v>8E-005</v>
      </c>
      <c r="BC41" t="s">
        <v>1873</v>
      </c>
      <c r="BD41">
        <v>47.4</v>
      </c>
      <c r="BE41">
        <v>134</v>
      </c>
      <c r="BF41">
        <v>836</v>
      </c>
      <c r="BG41">
        <v>25</v>
      </c>
      <c r="BH41">
        <v>16</v>
      </c>
      <c r="BI41">
        <v>105</v>
      </c>
      <c r="BJ41">
        <v>0</v>
      </c>
      <c r="BK41">
        <v>481</v>
      </c>
      <c r="BL41">
        <v>104</v>
      </c>
      <c r="BM41">
        <v>1</v>
      </c>
      <c r="BN41">
        <v>2</v>
      </c>
      <c r="BO41" t="s">
        <v>12</v>
      </c>
      <c r="BQ41" t="s">
        <v>1676</v>
      </c>
      <c r="BR41" t="s">
        <v>1684</v>
      </c>
      <c r="BS41" s="4" t="str">
        <f>HYPERLINK("http://exon.niaid.nih.gov/transcriptome/C_felis/S1/links/CDD/cf-contig_56-CDD.txt","COesterase")</f>
        <v>COesterase</v>
      </c>
      <c r="BT41" t="str">
        <f>HYPERLINK("http://www.ncbi.nlm.nih.gov/Structure/cdd/cddsrv.cgi?uid=pfam00135&amp;version=v4.0","4E-013")</f>
        <v>4E-013</v>
      </c>
      <c r="BU41" t="s">
        <v>1874</v>
      </c>
      <c r="BV41" s="4" t="s">
        <v>1875</v>
      </c>
      <c r="BW41">
        <f>HYPERLINK("http://exon.niaid.nih.gov/transcriptome/C_felis/S1/links/GO/cf-contig_56-GO.txt",0.0000001)</f>
        <v>9.9999999999999995E-8</v>
      </c>
      <c r="BX41" t="s">
        <v>42</v>
      </c>
      <c r="BY41" t="s">
        <v>42</v>
      </c>
      <c r="BZ41" t="s">
        <v>42</v>
      </c>
      <c r="CA41" t="s">
        <v>42</v>
      </c>
      <c r="CC41" t="s">
        <v>42</v>
      </c>
      <c r="CD41" t="s">
        <v>42</v>
      </c>
      <c r="CE41" t="s">
        <v>42</v>
      </c>
      <c r="CF41" t="s">
        <v>42</v>
      </c>
      <c r="CG41" t="s">
        <v>42</v>
      </c>
      <c r="CH41" t="s">
        <v>42</v>
      </c>
      <c r="CJ41" t="s">
        <v>42</v>
      </c>
      <c r="CK41" t="s">
        <v>42</v>
      </c>
      <c r="CL41" t="str">
        <f>HYPERLINK("http://amigo.geneontology.org/cgi-bin/amigo/term_details?term=GO:0050804","GO:0050804")</f>
        <v>GO:0050804</v>
      </c>
      <c r="CM41" t="s">
        <v>1876</v>
      </c>
      <c r="CN41" t="s">
        <v>1877</v>
      </c>
      <c r="CO41" t="s">
        <v>42</v>
      </c>
      <c r="CP41" t="s">
        <v>42</v>
      </c>
      <c r="CR41">
        <v>6.9999999999999994E-5</v>
      </c>
      <c r="CS41" s="4" t="str">
        <f>HYPERLINK("http://exon.niaid.nih.gov/transcriptome/C_felis/S1/links/KOG/cf-contig_56-KOG.txt","Carboxylesterase and related proteins")</f>
        <v>Carboxylesterase and related proteins</v>
      </c>
      <c r="CT41" t="str">
        <f>HYPERLINK("http://www.ncbi.nlm.nih.gov/COG/grace/shokog.cgi?KOG1516","3E-009")</f>
        <v>3E-009</v>
      </c>
      <c r="CU41" t="s">
        <v>1721</v>
      </c>
      <c r="CV41" s="4" t="str">
        <f>HYPERLINK("http://exon.niaid.nih.gov/transcriptome/C_felis/S1/links/PFAM/cf-contig_56-PFAM.txt","COesterase")</f>
        <v>COesterase</v>
      </c>
      <c r="CW41" t="str">
        <f>HYPERLINK("http://pfam.sanger.ac.uk/family?acc=PF00135","7E-014")</f>
        <v>7E-014</v>
      </c>
      <c r="CX41" s="4" t="str">
        <f>HYPERLINK("http://exon.niaid.nih.gov/transcriptome/C_felis/S1/links/SMART/cf-contig_56-SMART.txt","POLBc")</f>
        <v>POLBc</v>
      </c>
      <c r="CY41" t="str">
        <f>HYPERLINK("http://smart.embl-heidelberg.de/smart/do_annotation.pl?DOMAIN=POLBc&amp;BLAST=DUMMY","0.005")</f>
        <v>0.005</v>
      </c>
      <c r="CZ41" s="4" t="s">
        <v>42</v>
      </c>
      <c r="DA41" t="s">
        <v>42</v>
      </c>
      <c r="DB41" t="s">
        <v>42</v>
      </c>
      <c r="DC41" t="s">
        <v>42</v>
      </c>
      <c r="DD41" t="s">
        <v>42</v>
      </c>
      <c r="DE41" t="s">
        <v>42</v>
      </c>
      <c r="DF41" t="s">
        <v>42</v>
      </c>
      <c r="DG41" t="s">
        <v>42</v>
      </c>
      <c r="DH41" s="4" t="s">
        <v>42</v>
      </c>
      <c r="DI41" t="s">
        <v>42</v>
      </c>
      <c r="DJ41" s="4" t="s">
        <v>42</v>
      </c>
      <c r="DK41" t="s">
        <v>42</v>
      </c>
      <c r="DL41" s="4">
        <f>HYPERLINK("http://exon.niaid.nih.gov/transcriptome/C_felis/S1/links/cluster/cf-5-36-asb30-50-Id-CLU31.txt", 31)</f>
        <v>31</v>
      </c>
      <c r="DM41">
        <f>HYPERLINK("http://exon.niaid.nih.gov/transcriptome/C_felis/S1/links/cluster/cf-5-36-asb30-50-Id-CLTL31.txt", 2)</f>
        <v>2</v>
      </c>
      <c r="DN41" s="4">
        <f>HYPERLINK("http://exon.niaid.nih.gov/transcriptome/C_felis/S1/links/cluster/cf-5-36-asb35-50-Id-CLU25.txt", 25)</f>
        <v>25</v>
      </c>
      <c r="DO41">
        <f>HYPERLINK("http://exon.niaid.nih.gov/transcriptome/C_felis/S1/links/cluster/cf-5-36-asb35-50-Id-CLTL25.txt", 2)</f>
        <v>2</v>
      </c>
      <c r="DP41" s="4">
        <f>HYPERLINK("http://exon.niaid.nih.gov/transcriptome/C_felis/S1/links/cluster/cf-5-36-asb40-50-Id-CLU23.txt", 23)</f>
        <v>23</v>
      </c>
      <c r="DQ41">
        <f>HYPERLINK("http://exon.niaid.nih.gov/transcriptome/C_felis/S1/links/cluster/cf-5-36-asb40-50-Id-CLTL23.txt", 2)</f>
        <v>2</v>
      </c>
      <c r="DR41" s="4">
        <f>HYPERLINK("http://exon.niaid.nih.gov/transcriptome/C_felis/S1/links/cluster/cf-5-36-asb45-50-Id-CLU21.txt", 21)</f>
        <v>21</v>
      </c>
      <c r="DS41">
        <f>HYPERLINK("http://exon.niaid.nih.gov/transcriptome/C_felis/S1/links/cluster/cf-5-36-asb45-50-Id-CLTL21.txt", 2)</f>
        <v>2</v>
      </c>
      <c r="DT41" s="4">
        <f>HYPERLINK("http://exon.niaid.nih.gov/transcriptome/C_felis/S1/links/cluster/cf-5-36-asb50-50-Id-CLU18.txt", 18)</f>
        <v>18</v>
      </c>
      <c r="DU41">
        <f>HYPERLINK("http://exon.niaid.nih.gov/transcriptome/C_felis/S1/links/cluster/cf-5-36-asb50-50-Id-CLTL18.txt", 2)</f>
        <v>2</v>
      </c>
      <c r="DV41" s="4">
        <v>79</v>
      </c>
      <c r="DW41">
        <v>1</v>
      </c>
      <c r="DX41" s="4">
        <v>74</v>
      </c>
      <c r="DY41">
        <v>1</v>
      </c>
      <c r="DZ41" s="4">
        <v>72</v>
      </c>
      <c r="EA41">
        <v>1</v>
      </c>
      <c r="EB41" s="4">
        <v>72</v>
      </c>
      <c r="EC41">
        <v>1</v>
      </c>
      <c r="ED41" s="4">
        <v>73</v>
      </c>
      <c r="EE41">
        <v>1</v>
      </c>
      <c r="EF41" s="4">
        <v>68</v>
      </c>
      <c r="EG41">
        <v>1</v>
      </c>
      <c r="EH41" s="4">
        <v>58</v>
      </c>
      <c r="EI41">
        <v>1</v>
      </c>
      <c r="EJ41" s="4">
        <v>56</v>
      </c>
      <c r="EK41">
        <v>1</v>
      </c>
    </row>
    <row r="42" spans="1:141" s="6" customFormat="1" x14ac:dyDescent="0.2">
      <c r="A42" s="12" t="s">
        <v>4938</v>
      </c>
      <c r="D42" s="6">
        <f>SUM(D43:D45)</f>
        <v>15</v>
      </c>
    </row>
    <row r="43" spans="1:141" x14ac:dyDescent="0.2">
      <c r="A43" t="str">
        <f>HYPERLINK("http://exon.niaid.nih.gov/transcriptome/C_felis/S1/links/cf/cf-contig_51.txt","cf-contig_51")</f>
        <v>cf-contig_51</v>
      </c>
      <c r="B43">
        <v>3</v>
      </c>
      <c r="C43" s="10" t="s">
        <v>4608</v>
      </c>
      <c r="D43">
        <v>3</v>
      </c>
      <c r="E43" t="str">
        <f>HYPERLINK("http://exon.niaid.nih.gov/transcriptome/C_felis/S1/links/cf/cf-5-36-asb-51.txt","Contig-51")</f>
        <v>Contig-51</v>
      </c>
      <c r="F43" t="str">
        <f>HYPERLINK("http://exon.niaid.nih.gov/transcriptome/C_felis/S1/links/cf/cf-5-36-51-CLU.txt","Contig51")</f>
        <v>Contig51</v>
      </c>
      <c r="G43" t="str">
        <f>HYPERLINK("http://exon.niaid.nih.gov/transcriptome/C_felis/S1/links/cf/cf-5-36-51-qual.txt","78.8")</f>
        <v>78.8</v>
      </c>
      <c r="H43" t="s">
        <v>11</v>
      </c>
      <c r="I43">
        <v>68.099999999999994</v>
      </c>
      <c r="J43">
        <v>752</v>
      </c>
      <c r="K43" t="s">
        <v>12</v>
      </c>
      <c r="L43">
        <v>3</v>
      </c>
      <c r="M43" t="s">
        <v>64</v>
      </c>
      <c r="N43">
        <v>794</v>
      </c>
      <c r="O43">
        <v>790</v>
      </c>
      <c r="P43">
        <v>627</v>
      </c>
      <c r="Q43" t="s">
        <v>873</v>
      </c>
      <c r="R43">
        <v>2</v>
      </c>
      <c r="S43" s="7" t="str">
        <f>HYPERLINK("http://exon.niaid.nih.gov/transcriptome/C_felis/S1/links/Sigp/CF-CONTIG_51-SigP.txt","Cyt")</f>
        <v>Cyt</v>
      </c>
      <c r="U43">
        <v>3</v>
      </c>
      <c r="V43" s="4">
        <f>HYPERLINK("http://exon.niaid.nih.gov/transcriptome/C_felis/S1/links/cluster/cf-5-36-asb30-50-Id-CLU29.txt", 29)</f>
        <v>29</v>
      </c>
      <c r="W43">
        <f>HYPERLINK("http://exon.niaid.nih.gov/transcriptome/C_felis/S1/links/cluster/cf-5-36-asb30-50-Id-CLTL29.txt", 2)</f>
        <v>2</v>
      </c>
      <c r="X43" s="4">
        <f>HYPERLINK("http://exon.niaid.nih.gov/transcriptome/C_felis/S1/links/cluster/cf-5-36-asb35-50-Id-CLU24.txt", 24)</f>
        <v>24</v>
      </c>
      <c r="Y43">
        <f>HYPERLINK("http://exon.niaid.nih.gov/transcriptome/C_felis/S1/links/cluster/cf-5-36-asb35-50-Id-CLTL24.txt", 2)</f>
        <v>2</v>
      </c>
      <c r="Z43" s="4">
        <v>91</v>
      </c>
      <c r="AA43">
        <v>1</v>
      </c>
      <c r="AB43" s="4" t="str">
        <f>HYPERLINK("http://exon.niaid.nih.gov/transcriptome/C_felis/S1/links/XC-ASB/cf-contig_80-XC-ASB.txt","XC-contig_62")</f>
        <v>XC-contig_62</v>
      </c>
      <c r="AC43">
        <v>9.9999999999999998E-20</v>
      </c>
      <c r="AD43" s="10" t="s">
        <v>4608</v>
      </c>
      <c r="AE43" t="s">
        <v>4599</v>
      </c>
      <c r="AF43" t="str">
        <f>HYPERLINK("http://exon.niaid.nih.gov/transcriptome/C_felis/S1/links/NR/cf-contig_51-NR.txt","NR")</f>
        <v>NR</v>
      </c>
      <c r="AG43" s="5">
        <v>1E-73</v>
      </c>
      <c r="AH43">
        <v>76.8</v>
      </c>
      <c r="AI43" s="4" t="str">
        <f>HYPERLINK("http://exon.niaid.nih.gov/transcriptome/C_felis/S1/links/NR/cf-contig_51-NR.txt","salivary allergen 2")</f>
        <v>salivary allergen 2</v>
      </c>
      <c r="AJ43" t="str">
        <f>HYPERLINK("http://www.ncbi.nlm.nih.gov/sutils/blink.cgi?pid=7638032","1E-073")</f>
        <v>1E-073</v>
      </c>
      <c r="AK43" t="str">
        <f>HYPERLINK("http://www.ncbi.nlm.nih.gov/protein/7638032","gi|7638032")</f>
        <v>gi|7638032</v>
      </c>
      <c r="AL43">
        <v>280</v>
      </c>
      <c r="AM43">
        <v>195</v>
      </c>
      <c r="AN43">
        <v>264</v>
      </c>
      <c r="AO43">
        <v>69</v>
      </c>
      <c r="AP43">
        <v>74</v>
      </c>
      <c r="AQ43">
        <v>61</v>
      </c>
      <c r="AR43">
        <v>0</v>
      </c>
      <c r="AS43">
        <v>66</v>
      </c>
      <c r="AT43">
        <v>11</v>
      </c>
      <c r="AU43">
        <v>1</v>
      </c>
      <c r="AV43">
        <v>2</v>
      </c>
      <c r="AW43" t="s">
        <v>12</v>
      </c>
      <c r="AY43" t="s">
        <v>1676</v>
      </c>
      <c r="AZ43" t="s">
        <v>1728</v>
      </c>
      <c r="BA43" s="4" t="str">
        <f>HYPERLINK("http://exon.niaid.nih.gov/transcriptome/C_felis/S1/links/SWISSP/cf-contig_51-SWISSP.txt","Venom allergen 5")</f>
        <v>Venom allergen 5</v>
      </c>
      <c r="BB43" t="str">
        <f>HYPERLINK("http://www.uniprot.org/uniprot/A9YME1","7E-020")</f>
        <v>7E-020</v>
      </c>
      <c r="BC43" t="s">
        <v>1847</v>
      </c>
      <c r="BD43">
        <v>97.8</v>
      </c>
      <c r="BE43">
        <v>158</v>
      </c>
      <c r="BF43">
        <v>232</v>
      </c>
      <c r="BG43">
        <v>36</v>
      </c>
      <c r="BH43">
        <v>69</v>
      </c>
      <c r="BI43">
        <v>109</v>
      </c>
      <c r="BJ43">
        <v>2</v>
      </c>
      <c r="BK43">
        <v>71</v>
      </c>
      <c r="BL43">
        <v>32</v>
      </c>
      <c r="BM43">
        <v>1</v>
      </c>
      <c r="BN43">
        <v>2</v>
      </c>
      <c r="BO43" t="s">
        <v>12</v>
      </c>
      <c r="BQ43" t="s">
        <v>1676</v>
      </c>
      <c r="BR43" t="s">
        <v>1848</v>
      </c>
      <c r="BS43" s="4" t="str">
        <f>HYPERLINK("http://exon.niaid.nih.gov/transcriptome/C_felis/S1/links/CDD/cf-contig_51-CDD.txt","SCP_euk")</f>
        <v>SCP_euk</v>
      </c>
      <c r="BT43" t="str">
        <f>HYPERLINK("http://www.ncbi.nlm.nih.gov/Structure/cdd/cddsrv.cgi?uid=cd05380&amp;version=v4.0","8E-033")</f>
        <v>8E-033</v>
      </c>
      <c r="BU43" t="s">
        <v>1849</v>
      </c>
      <c r="BV43" s="4" t="s">
        <v>1850</v>
      </c>
      <c r="BW43">
        <f>HYPERLINK("http://exon.niaid.nih.gov/transcriptome/C_felis/S1/links/GO/cf-contig_51-GO.txt",0.000000000000000007)</f>
        <v>6.9999999999999997E-18</v>
      </c>
      <c r="BX43" t="str">
        <f>HYPERLINK("http://amigo.geneontology.org/cgi-bin/amigo/term_details?term=GO:0003674","GO:0003674")</f>
        <v>GO:0003674</v>
      </c>
      <c r="BY43" t="s">
        <v>1851</v>
      </c>
      <c r="BZ43" t="s">
        <v>1852</v>
      </c>
      <c r="CA43" t="s">
        <v>1853</v>
      </c>
      <c r="CB43" t="s">
        <v>42</v>
      </c>
      <c r="CD43" s="5">
        <v>6.9999999999999997E-18</v>
      </c>
      <c r="CE43" t="str">
        <f>HYPERLINK("http://amigo.geneontology.org/cgi-bin/amigo/term_details?term=GO:0005576","GO:0005576")</f>
        <v>GO:0005576</v>
      </c>
      <c r="CF43" t="s">
        <v>1854</v>
      </c>
      <c r="CG43" t="s">
        <v>1855</v>
      </c>
      <c r="CH43" t="s">
        <v>1856</v>
      </c>
      <c r="CI43" t="s">
        <v>42</v>
      </c>
      <c r="CK43" s="5">
        <v>6.9999999999999997E-18</v>
      </c>
      <c r="CL43" t="str">
        <f>HYPERLINK("http://amigo.geneontology.org/cgi-bin/amigo/term_details?term=GO:0008150","GO:0008150")</f>
        <v>GO:0008150</v>
      </c>
      <c r="CM43" t="s">
        <v>1857</v>
      </c>
      <c r="CN43" t="s">
        <v>1858</v>
      </c>
      <c r="CO43" t="s">
        <v>1859</v>
      </c>
      <c r="CP43" t="s">
        <v>42</v>
      </c>
      <c r="CR43" s="5">
        <v>6.9999999999999997E-18</v>
      </c>
      <c r="CS43" s="4" t="str">
        <f>HYPERLINK("http://exon.niaid.nih.gov/transcriptome/C_felis/S1/links/KOG/cf-contig_51-KOG.txt","Defense-related protein containing SCP domain")</f>
        <v>Defense-related protein containing SCP domain</v>
      </c>
      <c r="CT43" t="str">
        <f>HYPERLINK("http://www.ncbi.nlm.nih.gov/COG/grace/shokog.cgi?KOG3017","4E-027")</f>
        <v>4E-027</v>
      </c>
      <c r="CU43" t="s">
        <v>1711</v>
      </c>
      <c r="CV43" s="4" t="str">
        <f>HYPERLINK("http://exon.niaid.nih.gov/transcriptome/C_felis/S1/links/PFAM/cf-contig_51-PFAM.txt","CAP")</f>
        <v>CAP</v>
      </c>
      <c r="CW43" t="str">
        <f>HYPERLINK("http://pfam.sanger.ac.uk/family?acc=PF00188","6E-017")</f>
        <v>6E-017</v>
      </c>
      <c r="CX43" s="4" t="str">
        <f>HYPERLINK("http://exon.niaid.nih.gov/transcriptome/C_felis/S1/links/SMART/cf-contig_51-SMART.txt","SCP")</f>
        <v>SCP</v>
      </c>
      <c r="CY43" t="str">
        <f>HYPERLINK("http://smart.embl-heidelberg.de/smart/do_annotation.pl?DOMAIN=SCP&amp;BLAST=DUMMY","3E-031")</f>
        <v>3E-031</v>
      </c>
      <c r="CZ43" s="4" t="s">
        <v>42</v>
      </c>
      <c r="DA43" t="s">
        <v>42</v>
      </c>
      <c r="DB43" t="s">
        <v>42</v>
      </c>
      <c r="DC43" t="s">
        <v>42</v>
      </c>
      <c r="DD43" t="s">
        <v>42</v>
      </c>
      <c r="DE43" t="s">
        <v>42</v>
      </c>
      <c r="DF43" t="s">
        <v>42</v>
      </c>
      <c r="DG43" t="s">
        <v>42</v>
      </c>
      <c r="DH43" s="4" t="s">
        <v>42</v>
      </c>
      <c r="DI43" t="s">
        <v>42</v>
      </c>
      <c r="DJ43" s="4" t="s">
        <v>42</v>
      </c>
      <c r="DK43" t="s">
        <v>42</v>
      </c>
      <c r="DL43" s="4">
        <f>HYPERLINK("http://exon.niaid.nih.gov/transcriptome/C_felis/S1/links/cluster/cf-5-36-asb30-50-Id-CLU29.txt", 29)</f>
        <v>29</v>
      </c>
      <c r="DM43">
        <f>HYPERLINK("http://exon.niaid.nih.gov/transcriptome/C_felis/S1/links/cluster/cf-5-36-asb30-50-Id-CLTL29.txt", 2)</f>
        <v>2</v>
      </c>
      <c r="DN43" s="4">
        <f>HYPERLINK("http://exon.niaid.nih.gov/transcriptome/C_felis/S1/links/cluster/cf-5-36-asb35-50-Id-CLU24.txt", 24)</f>
        <v>24</v>
      </c>
      <c r="DO43">
        <f>HYPERLINK("http://exon.niaid.nih.gov/transcriptome/C_felis/S1/links/cluster/cf-5-36-asb35-50-Id-CLTL24.txt", 2)</f>
        <v>2</v>
      </c>
      <c r="DP43" s="4">
        <v>91</v>
      </c>
      <c r="DQ43">
        <v>1</v>
      </c>
      <c r="DR43" s="4">
        <v>82</v>
      </c>
      <c r="DS43">
        <v>1</v>
      </c>
      <c r="DT43" s="4">
        <v>75</v>
      </c>
      <c r="DU43">
        <v>1</v>
      </c>
      <c r="DV43" s="4">
        <v>74</v>
      </c>
      <c r="DW43">
        <v>1</v>
      </c>
      <c r="DX43" s="4">
        <v>69</v>
      </c>
      <c r="DY43">
        <v>1</v>
      </c>
      <c r="DZ43" s="4">
        <v>67</v>
      </c>
      <c r="EA43">
        <v>1</v>
      </c>
      <c r="EB43" s="4">
        <v>67</v>
      </c>
      <c r="EC43">
        <v>1</v>
      </c>
      <c r="ED43" s="4">
        <v>68</v>
      </c>
      <c r="EE43">
        <v>1</v>
      </c>
      <c r="EF43" s="4">
        <v>63</v>
      </c>
      <c r="EG43">
        <v>1</v>
      </c>
      <c r="EH43" s="4">
        <v>53</v>
      </c>
      <c r="EI43">
        <v>1</v>
      </c>
      <c r="EJ43" s="4">
        <v>51</v>
      </c>
      <c r="EK43">
        <v>1</v>
      </c>
    </row>
    <row r="44" spans="1:141" x14ac:dyDescent="0.2">
      <c r="A44" t="str">
        <f>HYPERLINK("http://exon.niaid.nih.gov/transcriptome/C_felis/S1/links/cf/cf-contig_52.txt","cf-contig_52")</f>
        <v>cf-contig_52</v>
      </c>
      <c r="B44">
        <v>9</v>
      </c>
      <c r="C44" s="10" t="s">
        <v>4608</v>
      </c>
      <c r="D44">
        <v>9</v>
      </c>
      <c r="E44" t="str">
        <f>HYPERLINK("http://exon.niaid.nih.gov/transcriptome/C_felis/S1/links/cf/cf-5-36-asb-52.txt","Contig-52")</f>
        <v>Contig-52</v>
      </c>
      <c r="F44" t="str">
        <f>HYPERLINK("http://exon.niaid.nih.gov/transcriptome/C_felis/S1/links/cf/cf-5-36-52-CLU.txt","Contig52")</f>
        <v>Contig52</v>
      </c>
      <c r="G44" t="str">
        <f>HYPERLINK("http://exon.niaid.nih.gov/transcriptome/C_felis/S1/links/cf/cf-5-36-52-qual.txt","86.3")</f>
        <v>86.3</v>
      </c>
      <c r="H44" t="s">
        <v>11</v>
      </c>
      <c r="I44">
        <v>67.599999999999994</v>
      </c>
      <c r="J44">
        <v>794</v>
      </c>
      <c r="K44" t="s">
        <v>12</v>
      </c>
      <c r="L44">
        <v>9</v>
      </c>
      <c r="M44" t="s">
        <v>65</v>
      </c>
      <c r="N44">
        <v>794</v>
      </c>
      <c r="O44">
        <v>814</v>
      </c>
      <c r="P44">
        <v>645</v>
      </c>
      <c r="Q44" t="s">
        <v>874</v>
      </c>
      <c r="R44">
        <v>2</v>
      </c>
      <c r="S44" s="7" t="str">
        <f>HYPERLINK("http://exon.niaid.nih.gov/transcriptome/C_felis/S1/links/Sigp/CF-CONTIG_52-SigP.txt","Cyt")</f>
        <v>Cyt</v>
      </c>
      <c r="U44">
        <v>9</v>
      </c>
      <c r="V44" s="4">
        <f>HYPERLINK("http://exon.niaid.nih.gov/transcriptome/C_felis/S1/links/cluster/cf-5-36-asb30-50-Id-CLU29.txt", 29)</f>
        <v>29</v>
      </c>
      <c r="W44">
        <f>HYPERLINK("http://exon.niaid.nih.gov/transcriptome/C_felis/S1/links/cluster/cf-5-36-asb30-50-Id-CLTL29.txt", 2)</f>
        <v>2</v>
      </c>
      <c r="X44" s="4">
        <f>HYPERLINK("http://exon.niaid.nih.gov/transcriptome/C_felis/S1/links/cluster/cf-5-36-asb35-50-Id-CLU24.txt", 24)</f>
        <v>24</v>
      </c>
      <c r="Y44">
        <f>HYPERLINK("http://exon.niaid.nih.gov/transcriptome/C_felis/S1/links/cluster/cf-5-36-asb35-50-Id-CLTL24.txt", 2)</f>
        <v>2</v>
      </c>
      <c r="Z44" s="4">
        <v>92</v>
      </c>
      <c r="AA44">
        <v>1</v>
      </c>
      <c r="AB44" s="4" t="str">
        <f>HYPERLINK("http://exon.niaid.nih.gov/transcriptome/C_felis/S1/links/XC-ASB/cf-contig_81-XC-ASB.txt","XC-contig_62")</f>
        <v>XC-contig_62</v>
      </c>
      <c r="AC44">
        <v>2.9999999999999998E-18</v>
      </c>
      <c r="AD44" s="10" t="s">
        <v>4608</v>
      </c>
      <c r="AE44" t="s">
        <v>4599</v>
      </c>
      <c r="AF44" t="str">
        <f>HYPERLINK("http://exon.niaid.nih.gov/transcriptome/C_felis/S1/links/NR/cf-contig_52-NR.txt","NR")</f>
        <v>NR</v>
      </c>
      <c r="AG44">
        <v>0</v>
      </c>
      <c r="AH44">
        <v>80.599999999999994</v>
      </c>
      <c r="AI44" s="4" t="str">
        <f>HYPERLINK("http://exon.niaid.nih.gov/transcriptome/C_felis/S1/links/NR/cf-contig_52-NR.txt","salivary allergen 2")</f>
        <v>salivary allergen 2</v>
      </c>
      <c r="AJ44" t="str">
        <f>HYPERLINK("http://www.ncbi.nlm.nih.gov/sutils/blink.cgi?pid=7638032","1E-120")</f>
        <v>1E-120</v>
      </c>
      <c r="AK44" t="str">
        <f>HYPERLINK("http://www.ncbi.nlm.nih.gov/protein/7638032","gi|7638032")</f>
        <v>gi|7638032</v>
      </c>
      <c r="AL44">
        <v>434</v>
      </c>
      <c r="AM44">
        <v>212</v>
      </c>
      <c r="AN44">
        <v>264</v>
      </c>
      <c r="AO44">
        <v>97</v>
      </c>
      <c r="AP44">
        <v>81</v>
      </c>
      <c r="AQ44">
        <v>6</v>
      </c>
      <c r="AR44">
        <v>0</v>
      </c>
      <c r="AS44">
        <v>52</v>
      </c>
      <c r="AT44">
        <v>8</v>
      </c>
      <c r="AU44">
        <v>1</v>
      </c>
      <c r="AV44">
        <v>2</v>
      </c>
      <c r="AW44" t="s">
        <v>12</v>
      </c>
      <c r="AY44" t="s">
        <v>1676</v>
      </c>
      <c r="AZ44" t="s">
        <v>1728</v>
      </c>
      <c r="BA44" s="4" t="str">
        <f>HYPERLINK("http://exon.niaid.nih.gov/transcriptome/C_felis/S1/links/SWISSP/cf-contig_52-SWISSP.txt","Venom allergen 3")</f>
        <v>Venom allergen 3</v>
      </c>
      <c r="BB44" t="str">
        <f>HYPERLINK("http://www.uniprot.org/uniprot/P35779","3E-021")</f>
        <v>3E-021</v>
      </c>
      <c r="BC44" t="s">
        <v>1860</v>
      </c>
      <c r="BD44">
        <v>102</v>
      </c>
      <c r="BE44">
        <v>180</v>
      </c>
      <c r="BF44">
        <v>211</v>
      </c>
      <c r="BG44">
        <v>34</v>
      </c>
      <c r="BH44">
        <v>86</v>
      </c>
      <c r="BI44">
        <v>126</v>
      </c>
      <c r="BJ44">
        <v>5</v>
      </c>
      <c r="BK44">
        <v>30</v>
      </c>
      <c r="BL44">
        <v>20</v>
      </c>
      <c r="BM44">
        <v>1</v>
      </c>
      <c r="BN44">
        <v>2</v>
      </c>
      <c r="BO44" t="s">
        <v>12</v>
      </c>
      <c r="BQ44" t="s">
        <v>1676</v>
      </c>
      <c r="BR44" t="s">
        <v>1861</v>
      </c>
      <c r="BS44" s="4" t="str">
        <f>HYPERLINK("http://exon.niaid.nih.gov/transcriptome/C_felis/S1/links/CDD/cf-contig_52-CDD.txt","SCP_euk")</f>
        <v>SCP_euk</v>
      </c>
      <c r="BT44" t="str">
        <f>HYPERLINK("http://www.ncbi.nlm.nih.gov/Structure/cdd/cddsrv.cgi?uid=cd05380&amp;version=v4.0","3E-032")</f>
        <v>3E-032</v>
      </c>
      <c r="BU44" t="s">
        <v>1862</v>
      </c>
      <c r="BV44" s="4" t="s">
        <v>1850</v>
      </c>
      <c r="BW44">
        <f>HYPERLINK("http://exon.niaid.nih.gov/transcriptome/C_felis/S1/links/GO/cf-contig_52-GO.txt",0.00000000000000009)</f>
        <v>8.9999999999999996E-17</v>
      </c>
      <c r="BX44" t="str">
        <f>HYPERLINK("http://amigo.geneontology.org/cgi-bin/amigo/term_details?term=GO:0003674","GO:0003674")</f>
        <v>GO:0003674</v>
      </c>
      <c r="BY44" t="s">
        <v>1851</v>
      </c>
      <c r="BZ44" t="s">
        <v>1852</v>
      </c>
      <c r="CA44" t="s">
        <v>1853</v>
      </c>
      <c r="CB44" t="s">
        <v>42</v>
      </c>
      <c r="CD44" s="5">
        <v>8.9999999999999996E-17</v>
      </c>
      <c r="CE44" t="str">
        <f>HYPERLINK("http://amigo.geneontology.org/cgi-bin/amigo/term_details?term=GO:0005576","GO:0005576")</f>
        <v>GO:0005576</v>
      </c>
      <c r="CF44" t="s">
        <v>1854</v>
      </c>
      <c r="CG44" t="s">
        <v>1855</v>
      </c>
      <c r="CH44" t="s">
        <v>1856</v>
      </c>
      <c r="CI44" t="s">
        <v>42</v>
      </c>
      <c r="CK44" s="5">
        <v>8.9999999999999996E-17</v>
      </c>
      <c r="CL44" t="str">
        <f>HYPERLINK("http://amigo.geneontology.org/cgi-bin/amigo/term_details?term=GO:0008150","GO:0008150")</f>
        <v>GO:0008150</v>
      </c>
      <c r="CM44" t="s">
        <v>1857</v>
      </c>
      <c r="CN44" t="s">
        <v>1858</v>
      </c>
      <c r="CO44" t="s">
        <v>1859</v>
      </c>
      <c r="CP44" t="s">
        <v>42</v>
      </c>
      <c r="CR44" s="5">
        <v>8.9999999999999996E-17</v>
      </c>
      <c r="CS44" s="4" t="str">
        <f>HYPERLINK("http://exon.niaid.nih.gov/transcriptome/C_felis/S1/links/KOG/cf-contig_52-KOG.txt","Defense-related protein containing SCP domain")</f>
        <v>Defense-related protein containing SCP domain</v>
      </c>
      <c r="CT44" t="str">
        <f>HYPERLINK("http://www.ncbi.nlm.nih.gov/COG/grace/shokog.cgi?KOG3017","4E-029")</f>
        <v>4E-029</v>
      </c>
      <c r="CU44" t="s">
        <v>1711</v>
      </c>
      <c r="CV44" s="4" t="str">
        <f>HYPERLINK("http://exon.niaid.nih.gov/transcriptome/C_felis/S1/links/PFAM/cf-contig_52-PFAM.txt","CAP")</f>
        <v>CAP</v>
      </c>
      <c r="CW44" t="str">
        <f>HYPERLINK("http://pfam.sanger.ac.uk/family?acc=PF00188","1E-016")</f>
        <v>1E-016</v>
      </c>
      <c r="CX44" s="4" t="str">
        <f>HYPERLINK("http://exon.niaid.nih.gov/transcriptome/C_felis/S1/links/SMART/cf-contig_52-SMART.txt","SCP")</f>
        <v>SCP</v>
      </c>
      <c r="CY44" t="str">
        <f>HYPERLINK("http://smart.embl-heidelberg.de/smart/do_annotation.pl?DOMAIN=SCP&amp;BLAST=DUMMY","2E-030")</f>
        <v>2E-030</v>
      </c>
      <c r="CZ44" s="4" t="s">
        <v>42</v>
      </c>
      <c r="DA44" t="s">
        <v>42</v>
      </c>
      <c r="DB44" t="s">
        <v>42</v>
      </c>
      <c r="DC44" t="s">
        <v>42</v>
      </c>
      <c r="DD44" t="s">
        <v>42</v>
      </c>
      <c r="DE44" t="s">
        <v>42</v>
      </c>
      <c r="DF44" t="s">
        <v>42</v>
      </c>
      <c r="DG44" t="s">
        <v>42</v>
      </c>
      <c r="DH44" s="4" t="s">
        <v>42</v>
      </c>
      <c r="DI44" t="s">
        <v>42</v>
      </c>
      <c r="DJ44" s="4" t="s">
        <v>42</v>
      </c>
      <c r="DK44" t="s">
        <v>42</v>
      </c>
      <c r="DL44" s="4">
        <f>HYPERLINK("http://exon.niaid.nih.gov/transcriptome/C_felis/S1/links/cluster/cf-5-36-asb30-50-Id-CLU29.txt", 29)</f>
        <v>29</v>
      </c>
      <c r="DM44">
        <f>HYPERLINK("http://exon.niaid.nih.gov/transcriptome/C_felis/S1/links/cluster/cf-5-36-asb30-50-Id-CLTL29.txt", 2)</f>
        <v>2</v>
      </c>
      <c r="DN44" s="4">
        <f>HYPERLINK("http://exon.niaid.nih.gov/transcriptome/C_felis/S1/links/cluster/cf-5-36-asb35-50-Id-CLU24.txt", 24)</f>
        <v>24</v>
      </c>
      <c r="DO44">
        <f>HYPERLINK("http://exon.niaid.nih.gov/transcriptome/C_felis/S1/links/cluster/cf-5-36-asb35-50-Id-CLTL24.txt", 2)</f>
        <v>2</v>
      </c>
      <c r="DP44" s="4">
        <v>92</v>
      </c>
      <c r="DQ44">
        <v>1</v>
      </c>
      <c r="DR44" s="4">
        <v>83</v>
      </c>
      <c r="DS44">
        <v>1</v>
      </c>
      <c r="DT44" s="4">
        <v>76</v>
      </c>
      <c r="DU44">
        <v>1</v>
      </c>
      <c r="DV44" s="4">
        <v>75</v>
      </c>
      <c r="DW44">
        <v>1</v>
      </c>
      <c r="DX44" s="4">
        <v>70</v>
      </c>
      <c r="DY44">
        <v>1</v>
      </c>
      <c r="DZ44" s="4">
        <v>68</v>
      </c>
      <c r="EA44">
        <v>1</v>
      </c>
      <c r="EB44" s="4">
        <v>68</v>
      </c>
      <c r="EC44">
        <v>1</v>
      </c>
      <c r="ED44" s="4">
        <v>69</v>
      </c>
      <c r="EE44">
        <v>1</v>
      </c>
      <c r="EF44" s="4">
        <v>64</v>
      </c>
      <c r="EG44">
        <v>1</v>
      </c>
      <c r="EH44" s="4">
        <v>54</v>
      </c>
      <c r="EI44">
        <v>1</v>
      </c>
      <c r="EJ44" s="4">
        <v>52</v>
      </c>
      <c r="EK44">
        <v>1</v>
      </c>
    </row>
    <row r="45" spans="1:141" x14ac:dyDescent="0.2">
      <c r="A45" t="str">
        <f>HYPERLINK("http://exon.niaid.nih.gov/transcriptome/C_felis/S1/links/cf/cf-contig_54.txt","cf-contig_54")</f>
        <v>cf-contig_54</v>
      </c>
      <c r="B45">
        <v>3</v>
      </c>
      <c r="C45" s="10" t="s">
        <v>4608</v>
      </c>
      <c r="D45">
        <v>3</v>
      </c>
      <c r="E45" t="str">
        <f>HYPERLINK("http://exon.niaid.nih.gov/transcriptome/C_felis/S1/links/cf/cf-5-36-asb-54.txt","Contig-54")</f>
        <v>Contig-54</v>
      </c>
      <c r="F45" t="str">
        <f>HYPERLINK("http://exon.niaid.nih.gov/transcriptome/C_felis/S1/links/cf/cf-5-36-54-CLU.txt","Contig54")</f>
        <v>Contig54</v>
      </c>
      <c r="G45" t="str">
        <f>HYPERLINK("http://exon.niaid.nih.gov/transcriptome/C_felis/S1/links/cf/cf-5-36-54-qual.txt","73.8")</f>
        <v>73.8</v>
      </c>
      <c r="H45" t="s">
        <v>11</v>
      </c>
      <c r="I45">
        <v>72.7</v>
      </c>
      <c r="J45">
        <v>333</v>
      </c>
      <c r="K45" t="s">
        <v>12</v>
      </c>
      <c r="L45">
        <v>3</v>
      </c>
      <c r="M45" t="s">
        <v>67</v>
      </c>
      <c r="N45">
        <v>357</v>
      </c>
      <c r="O45">
        <v>352</v>
      </c>
      <c r="P45">
        <v>189</v>
      </c>
      <c r="Q45" t="s">
        <v>876</v>
      </c>
      <c r="R45">
        <v>2</v>
      </c>
      <c r="S45" s="7" t="str">
        <f>HYPERLINK("http://exon.niaid.nih.gov/transcriptome/C_felis/S1/links/Sigp/CF-CONTIG_54-SigP.txt","Cyt")</f>
        <v>Cyt</v>
      </c>
      <c r="U45">
        <v>3</v>
      </c>
      <c r="V45" s="4">
        <f>HYPERLINK("http://exon.niaid.nih.gov/transcriptome/C_felis/S1/links/cluster/cf-5-36-asb30-50-Id-CLU30.txt", 30)</f>
        <v>30</v>
      </c>
      <c r="W45">
        <f>HYPERLINK("http://exon.niaid.nih.gov/transcriptome/C_felis/S1/links/cluster/cf-5-36-asb30-50-Id-CLTL30.txt", 2)</f>
        <v>2</v>
      </c>
      <c r="X45" s="4">
        <v>99</v>
      </c>
      <c r="Y45">
        <v>1</v>
      </c>
      <c r="Z45" s="4">
        <v>94</v>
      </c>
      <c r="AA45">
        <v>1</v>
      </c>
      <c r="AB45" s="4" t="str">
        <f>HYPERLINK("http://exon.niaid.nih.gov/transcriptome/C_felis/S1/links/XC-ASB/cf-contig_653-XC-ASB.txt","XC-contig_62")</f>
        <v>XC-contig_62</v>
      </c>
      <c r="AC45">
        <v>1.9999999999999999E-48</v>
      </c>
      <c r="AD45" s="10" t="s">
        <v>4608</v>
      </c>
      <c r="AE45" t="s">
        <v>4599</v>
      </c>
      <c r="AF45" t="str">
        <f>HYPERLINK("http://exon.niaid.nih.gov/transcriptome/C_felis/S1/links/NR/cf-contig_54-NR.txt","NR")</f>
        <v>NR</v>
      </c>
      <c r="AG45">
        <v>2E-14</v>
      </c>
      <c r="AH45">
        <v>25</v>
      </c>
      <c r="AI45" s="4" t="str">
        <f>HYPERLINK("http://exon.niaid.nih.gov/transcriptome/C_felis/S1/links/NR/cf-contig_54-NR.txt","salivary allergen 2")</f>
        <v>salivary allergen 2</v>
      </c>
      <c r="AJ45" t="str">
        <f>HYPERLINK("http://www.ncbi.nlm.nih.gov/sutils/blink.cgi?pid=7638032","2E-014")</f>
        <v>2E-014</v>
      </c>
      <c r="AK45" t="str">
        <f>HYPERLINK("http://www.ncbi.nlm.nih.gov/protein/7638032","gi|7638032")</f>
        <v>gi|7638032</v>
      </c>
      <c r="AL45">
        <v>82.8</v>
      </c>
      <c r="AM45">
        <v>65</v>
      </c>
      <c r="AN45">
        <v>264</v>
      </c>
      <c r="AO45">
        <v>62</v>
      </c>
      <c r="AP45">
        <v>25</v>
      </c>
      <c r="AQ45">
        <v>25</v>
      </c>
      <c r="AR45">
        <v>6</v>
      </c>
      <c r="AS45">
        <v>199</v>
      </c>
      <c r="AT45">
        <v>8</v>
      </c>
      <c r="AU45">
        <v>1</v>
      </c>
      <c r="AV45">
        <v>2</v>
      </c>
      <c r="AW45" t="s">
        <v>12</v>
      </c>
      <c r="AY45" t="s">
        <v>1676</v>
      </c>
      <c r="AZ45" t="s">
        <v>1728</v>
      </c>
      <c r="BA45" s="4" t="str">
        <f>HYPERLINK("http://exon.niaid.nih.gov/transcriptome/C_felis/S1/links/SWISSP/cf-contig_54-SWISSP.txt","Venom allergen 5 (Fragment)")</f>
        <v>Venom allergen 5 (Fragment)</v>
      </c>
      <c r="BB45" t="str">
        <f>HYPERLINK("http://www.uniprot.org/uniprot/C0ITL3","0.023")</f>
        <v>0.023</v>
      </c>
      <c r="BC45" t="s">
        <v>1867</v>
      </c>
      <c r="BD45">
        <v>37.700000000000003</v>
      </c>
      <c r="BE45">
        <v>37</v>
      </c>
      <c r="BF45">
        <v>199</v>
      </c>
      <c r="BG45">
        <v>47</v>
      </c>
      <c r="BH45">
        <v>19</v>
      </c>
      <c r="BI45">
        <v>20</v>
      </c>
      <c r="BJ45">
        <v>1</v>
      </c>
      <c r="BK45">
        <v>162</v>
      </c>
      <c r="BL45">
        <v>8</v>
      </c>
      <c r="BM45">
        <v>1</v>
      </c>
      <c r="BN45">
        <v>2</v>
      </c>
      <c r="BO45" t="s">
        <v>12</v>
      </c>
      <c r="BQ45" t="s">
        <v>1676</v>
      </c>
      <c r="BR45" t="s">
        <v>1868</v>
      </c>
      <c r="BS45" s="4" t="str">
        <f>HYPERLINK("http://exon.niaid.nih.gov/transcriptome/C_felis/S1/links/CDD/cf-contig_54-CDD.txt","SCP_euk")</f>
        <v>SCP_euk</v>
      </c>
      <c r="BT45" t="str">
        <f>HYPERLINK("http://www.ncbi.nlm.nih.gov/Structure/cdd/cddsrv.cgi?uid=cd05380&amp;version=v4.0","5E-004")</f>
        <v>5E-004</v>
      </c>
      <c r="BU45" t="s">
        <v>1869</v>
      </c>
      <c r="BV45" s="4" t="s">
        <v>42</v>
      </c>
      <c r="BW45" t="s">
        <v>42</v>
      </c>
      <c r="BX45" t="s">
        <v>42</v>
      </c>
      <c r="BY45" t="s">
        <v>42</v>
      </c>
      <c r="BZ45" t="s">
        <v>42</v>
      </c>
      <c r="CA45" t="s">
        <v>42</v>
      </c>
      <c r="CB45" t="s">
        <v>42</v>
      </c>
      <c r="CC45" t="s">
        <v>42</v>
      </c>
      <c r="CD45" t="s">
        <v>42</v>
      </c>
      <c r="CE45" t="s">
        <v>42</v>
      </c>
      <c r="CF45" t="s">
        <v>42</v>
      </c>
      <c r="CG45" t="s">
        <v>42</v>
      </c>
      <c r="CH45" t="s">
        <v>42</v>
      </c>
      <c r="CI45" t="s">
        <v>42</v>
      </c>
      <c r="CJ45" t="s">
        <v>42</v>
      </c>
      <c r="CK45" t="s">
        <v>42</v>
      </c>
      <c r="CL45" t="s">
        <v>42</v>
      </c>
      <c r="CM45" t="s">
        <v>42</v>
      </c>
      <c r="CN45" t="s">
        <v>42</v>
      </c>
      <c r="CO45" t="s">
        <v>42</v>
      </c>
      <c r="CP45" t="s">
        <v>42</v>
      </c>
      <c r="CQ45" t="s">
        <v>42</v>
      </c>
      <c r="CR45" t="s">
        <v>42</v>
      </c>
      <c r="CS45" s="4" t="str">
        <f>HYPERLINK("http://exon.niaid.nih.gov/transcriptome/C_felis/S1/links/KOG/cf-contig_54-KOG.txt","Defense-related protein containing SCP domain")</f>
        <v>Defense-related protein containing SCP domain</v>
      </c>
      <c r="CT45" t="str">
        <f>HYPERLINK("http://www.ncbi.nlm.nih.gov/COG/grace/shokog.cgi?KOG3017","3E-004")</f>
        <v>3E-004</v>
      </c>
      <c r="CU45" t="s">
        <v>1711</v>
      </c>
      <c r="CV45" s="4" t="str">
        <f>HYPERLINK("http://exon.niaid.nih.gov/transcriptome/C_felis/S1/links/PFAM/cf-contig_54-PFAM.txt","CD47")</f>
        <v>CD47</v>
      </c>
      <c r="CW45" t="str">
        <f>HYPERLINK("http://pfam.sanger.ac.uk/family?acc=PF04549","0.001")</f>
        <v>0.001</v>
      </c>
      <c r="CX45" s="4" t="str">
        <f>HYPERLINK("http://exon.niaid.nih.gov/transcriptome/C_felis/S1/links/SMART/cf-contig_54-SMART.txt","SCP")</f>
        <v>SCP</v>
      </c>
      <c r="CY45" t="str">
        <f>HYPERLINK("http://smart.embl-heidelberg.de/smart/do_annotation.pl?DOMAIN=SCP&amp;BLAST=DUMMY","8E-004")</f>
        <v>8E-004</v>
      </c>
      <c r="CZ45" s="4" t="s">
        <v>42</v>
      </c>
      <c r="DA45" t="s">
        <v>42</v>
      </c>
      <c r="DB45" t="s">
        <v>42</v>
      </c>
      <c r="DC45" t="s">
        <v>42</v>
      </c>
      <c r="DD45" t="s">
        <v>42</v>
      </c>
      <c r="DE45" t="s">
        <v>42</v>
      </c>
      <c r="DF45" t="s">
        <v>42</v>
      </c>
      <c r="DG45" t="s">
        <v>42</v>
      </c>
      <c r="DH45" s="4" t="s">
        <v>42</v>
      </c>
      <c r="DI45" t="s">
        <v>42</v>
      </c>
      <c r="DJ45" s="4" t="s">
        <v>42</v>
      </c>
      <c r="DK45" t="s">
        <v>42</v>
      </c>
      <c r="DL45" s="4">
        <f>HYPERLINK("http://exon.niaid.nih.gov/transcriptome/C_felis/S1/links/cluster/cf-5-36-asb30-50-Id-CLU30.txt", 30)</f>
        <v>30</v>
      </c>
      <c r="DM45">
        <f>HYPERLINK("http://exon.niaid.nih.gov/transcriptome/C_felis/S1/links/cluster/cf-5-36-asb30-50-Id-CLTL30.txt", 2)</f>
        <v>2</v>
      </c>
      <c r="DN45" s="4">
        <v>99</v>
      </c>
      <c r="DO45">
        <v>1</v>
      </c>
      <c r="DP45" s="4">
        <v>94</v>
      </c>
      <c r="DQ45">
        <v>1</v>
      </c>
      <c r="DR45" s="4">
        <v>85</v>
      </c>
      <c r="DS45">
        <v>1</v>
      </c>
      <c r="DT45" s="4">
        <v>78</v>
      </c>
      <c r="DU45">
        <v>1</v>
      </c>
      <c r="DV45" s="4">
        <v>77</v>
      </c>
      <c r="DW45">
        <v>1</v>
      </c>
      <c r="DX45" s="4">
        <v>72</v>
      </c>
      <c r="DY45">
        <v>1</v>
      </c>
      <c r="DZ45" s="4">
        <v>70</v>
      </c>
      <c r="EA45">
        <v>1</v>
      </c>
      <c r="EB45" s="4">
        <v>70</v>
      </c>
      <c r="EC45">
        <v>1</v>
      </c>
      <c r="ED45" s="4">
        <v>71</v>
      </c>
      <c r="EE45">
        <v>1</v>
      </c>
      <c r="EF45" s="4">
        <v>66</v>
      </c>
      <c r="EG45">
        <v>1</v>
      </c>
      <c r="EH45" s="4">
        <v>56</v>
      </c>
      <c r="EI45">
        <v>1</v>
      </c>
      <c r="EJ45" s="4">
        <v>54</v>
      </c>
      <c r="EK45">
        <v>1</v>
      </c>
    </row>
    <row r="46" spans="1:141" s="6" customFormat="1" x14ac:dyDescent="0.2">
      <c r="A46" s="12" t="s">
        <v>4935</v>
      </c>
      <c r="D46" s="6">
        <f>SUM(D47:D54)</f>
        <v>8</v>
      </c>
    </row>
    <row r="47" spans="1:141" s="6" customFormat="1" x14ac:dyDescent="0.2">
      <c r="A47" s="12" t="s">
        <v>4936</v>
      </c>
    </row>
    <row r="48" spans="1:141" x14ac:dyDescent="0.2">
      <c r="A48" t="str">
        <f>HYPERLINK("http://exon.niaid.nih.gov/transcriptome/C_felis/S1/links/cf/cf-contig_208.txt","cf-contig_208")</f>
        <v>cf-contig_208</v>
      </c>
      <c r="B48">
        <v>3</v>
      </c>
      <c r="C48" s="10" t="s">
        <v>4690</v>
      </c>
      <c r="D48">
        <v>3</v>
      </c>
      <c r="E48" t="str">
        <f>HYPERLINK("http://exon.niaid.nih.gov/transcriptome/C_felis/S1/links/cf/cf-5-36-asb-208.txt","Contig-208")</f>
        <v>Contig-208</v>
      </c>
      <c r="F48" t="str">
        <f>HYPERLINK("http://exon.niaid.nih.gov/transcriptome/C_felis/S1/links/cf/cf-5-36-208-CLU.txt","Contig208")</f>
        <v>Contig208</v>
      </c>
      <c r="G48" t="str">
        <f>HYPERLINK("http://exon.niaid.nih.gov/transcriptome/C_felis/S1/links/cf/cf-5-36-208-qual.txt","54.6")</f>
        <v>54.6</v>
      </c>
      <c r="H48" t="s">
        <v>11</v>
      </c>
      <c r="I48">
        <v>66.599999999999994</v>
      </c>
      <c r="J48">
        <v>535</v>
      </c>
      <c r="K48" t="s">
        <v>12</v>
      </c>
      <c r="L48">
        <v>3</v>
      </c>
      <c r="M48" t="s">
        <v>221</v>
      </c>
      <c r="N48">
        <v>565</v>
      </c>
      <c r="O48">
        <v>554</v>
      </c>
      <c r="P48">
        <v>264</v>
      </c>
      <c r="Q48" t="s">
        <v>1028</v>
      </c>
      <c r="R48">
        <v>3</v>
      </c>
      <c r="S48" s="7" t="s">
        <v>4585</v>
      </c>
      <c r="U48">
        <v>3</v>
      </c>
      <c r="V48" s="4">
        <v>171</v>
      </c>
      <c r="W48">
        <v>1</v>
      </c>
      <c r="X48" s="4">
        <v>173</v>
      </c>
      <c r="Y48">
        <v>1</v>
      </c>
      <c r="Z48" s="4">
        <v>171</v>
      </c>
      <c r="AA48">
        <v>1</v>
      </c>
      <c r="AB48" s="4" t="str">
        <f>HYPERLINK("http://exon.niaid.nih.gov/transcriptome/C_felis/S1/links/XC-ASB/cf-contig_12-XC-ASB.txt","XC-contig_2")</f>
        <v>XC-contig_2</v>
      </c>
      <c r="AC48">
        <v>6E-9</v>
      </c>
      <c r="AD48" s="10" t="s">
        <v>4690</v>
      </c>
      <c r="AE48" t="s">
        <v>4599</v>
      </c>
      <c r="AF48" t="str">
        <f>HYPERLINK("http://exon.niaid.nih.gov/transcriptome/C_felis/S1/links/PFAM/cf-contig_208-PFAM.txt","PFAM")</f>
        <v>PFAM</v>
      </c>
      <c r="AG48">
        <v>2.9999999999999998E-15</v>
      </c>
      <c r="AH48">
        <v>65.5</v>
      </c>
      <c r="AI48" s="4" t="str">
        <f>HYPERLINK("http://exon.niaid.nih.gov/transcriptome/C_felis/S1/links/NR/cf-contig_208-NR.txt","antibacterial peptide")</f>
        <v>antibacterial peptide</v>
      </c>
      <c r="AJ48" t="str">
        <f>HYPERLINK("http://www.ncbi.nlm.nih.gov/sutils/blink.cgi?pid=269204398","3E-010")</f>
        <v>3E-010</v>
      </c>
      <c r="AK48" t="str">
        <f>HYPERLINK("http://www.ncbi.nlm.nih.gov/protein/269204398","gi|269204398")</f>
        <v>gi|269204398</v>
      </c>
      <c r="AL48">
        <v>69.3</v>
      </c>
      <c r="AM48">
        <v>83</v>
      </c>
      <c r="AN48">
        <v>138</v>
      </c>
      <c r="AO48">
        <v>38</v>
      </c>
      <c r="AP48">
        <v>61</v>
      </c>
      <c r="AQ48">
        <v>52</v>
      </c>
      <c r="AR48">
        <v>1</v>
      </c>
      <c r="AS48">
        <v>55</v>
      </c>
      <c r="AT48">
        <v>66</v>
      </c>
      <c r="AU48">
        <v>1</v>
      </c>
      <c r="AV48">
        <v>3</v>
      </c>
      <c r="AW48" t="s">
        <v>12</v>
      </c>
      <c r="AY48" t="s">
        <v>1676</v>
      </c>
      <c r="AZ48" t="s">
        <v>2450</v>
      </c>
      <c r="BA48" s="4" t="str">
        <f>HYPERLINK("http://exon.niaid.nih.gov/transcriptome/C_felis/S1/links/SWISSP/cf-contig_208-SWISSP.txt","Attacin-B")</f>
        <v>Attacin-B</v>
      </c>
      <c r="BB48" t="str">
        <f>HYPERLINK("http://www.uniprot.org/uniprot/Q9V751","0.001")</f>
        <v>0.001</v>
      </c>
      <c r="BC48" t="s">
        <v>2451</v>
      </c>
      <c r="BD48">
        <v>43.1</v>
      </c>
      <c r="BE48">
        <v>145</v>
      </c>
      <c r="BF48">
        <v>218</v>
      </c>
      <c r="BG48">
        <v>37</v>
      </c>
      <c r="BH48">
        <v>67</v>
      </c>
      <c r="BI48">
        <v>51</v>
      </c>
      <c r="BJ48">
        <v>0</v>
      </c>
      <c r="BK48">
        <v>72</v>
      </c>
      <c r="BL48">
        <v>66</v>
      </c>
      <c r="BM48">
        <v>2</v>
      </c>
      <c r="BN48">
        <v>3</v>
      </c>
      <c r="BO48" t="s">
        <v>12</v>
      </c>
      <c r="BQ48" t="s">
        <v>1676</v>
      </c>
      <c r="BR48" t="s">
        <v>1804</v>
      </c>
      <c r="BS48" s="4" t="str">
        <f>HYPERLINK("http://exon.niaid.nih.gov/transcriptome/C_felis/S1/links/CDD/cf-contig_208-CDD.txt","Attacin_C")</f>
        <v>Attacin_C</v>
      </c>
      <c r="BT48" t="str">
        <f>HYPERLINK("http://www.ncbi.nlm.nih.gov/Structure/cdd/cddsrv.cgi?uid=pfam03769&amp;version=v4.0","1E-014")</f>
        <v>1E-014</v>
      </c>
      <c r="BU48" t="s">
        <v>2452</v>
      </c>
      <c r="BV48" s="4" t="s">
        <v>42</v>
      </c>
      <c r="BW48" t="s">
        <v>42</v>
      </c>
      <c r="BX48" t="s">
        <v>42</v>
      </c>
      <c r="BY48" t="s">
        <v>42</v>
      </c>
      <c r="BZ48" t="s">
        <v>42</v>
      </c>
      <c r="CA48" t="s">
        <v>42</v>
      </c>
      <c r="CB48" t="s">
        <v>42</v>
      </c>
      <c r="CC48" t="s">
        <v>42</v>
      </c>
      <c r="CD48" t="s">
        <v>42</v>
      </c>
      <c r="CE48" t="s">
        <v>42</v>
      </c>
      <c r="CF48" t="s">
        <v>42</v>
      </c>
      <c r="CG48" t="s">
        <v>42</v>
      </c>
      <c r="CH48" t="s">
        <v>42</v>
      </c>
      <c r="CI48" t="s">
        <v>42</v>
      </c>
      <c r="CJ48" t="s">
        <v>42</v>
      </c>
      <c r="CK48" t="s">
        <v>42</v>
      </c>
      <c r="CL48" t="s">
        <v>42</v>
      </c>
      <c r="CM48" t="s">
        <v>42</v>
      </c>
      <c r="CN48" t="s">
        <v>42</v>
      </c>
      <c r="CO48" t="s">
        <v>42</v>
      </c>
      <c r="CP48" t="s">
        <v>42</v>
      </c>
      <c r="CQ48" t="s">
        <v>42</v>
      </c>
      <c r="CR48" t="s">
        <v>42</v>
      </c>
      <c r="CS48" s="4" t="str">
        <f>HYPERLINK("http://exon.niaid.nih.gov/transcriptome/C_felis/S1/links/KOG/cf-contig_208-KOG.txt","Tetraspanin family integral membrane protein")</f>
        <v>Tetraspanin family integral membrane protein</v>
      </c>
      <c r="CT48" t="str">
        <f>HYPERLINK("http://www.ncbi.nlm.nih.gov/COG/grace/shokog.cgi?KOG3882","0.021")</f>
        <v>0.021</v>
      </c>
      <c r="CU48" t="s">
        <v>1721</v>
      </c>
      <c r="CV48" s="4" t="str">
        <f>HYPERLINK("http://exon.niaid.nih.gov/transcriptome/C_felis/S1/links/PFAM/cf-contig_208-PFAM.txt","Attacin_C")</f>
        <v>Attacin_C</v>
      </c>
      <c r="CW48" t="str">
        <f>HYPERLINK("http://pfam.sanger.ac.uk/family?acc=PF03769","3E-015")</f>
        <v>3E-015</v>
      </c>
      <c r="CX48" s="4" t="str">
        <f>HYPERLINK("http://exon.niaid.nih.gov/transcriptome/C_felis/S1/links/SMART/cf-contig_208-SMART.txt","HTTM")</f>
        <v>HTTM</v>
      </c>
      <c r="CY48" t="str">
        <f>HYPERLINK("http://smart.embl-heidelberg.de/smart/do_annotation.pl?DOMAIN=HTTM&amp;BLAST=DUMMY","0.046")</f>
        <v>0.046</v>
      </c>
      <c r="CZ48" s="4" t="s">
        <v>42</v>
      </c>
      <c r="DA48" t="s">
        <v>42</v>
      </c>
      <c r="DB48" t="s">
        <v>42</v>
      </c>
      <c r="DC48" t="s">
        <v>42</v>
      </c>
      <c r="DD48" t="s">
        <v>42</v>
      </c>
      <c r="DE48" t="s">
        <v>42</v>
      </c>
      <c r="DF48" t="s">
        <v>42</v>
      </c>
      <c r="DG48" t="s">
        <v>42</v>
      </c>
      <c r="DH48" s="4" t="s">
        <v>42</v>
      </c>
      <c r="DI48" t="s">
        <v>42</v>
      </c>
      <c r="DJ48" s="4" t="s">
        <v>42</v>
      </c>
      <c r="DK48" t="s">
        <v>42</v>
      </c>
      <c r="DL48" s="4">
        <v>171</v>
      </c>
      <c r="DM48">
        <v>1</v>
      </c>
      <c r="DN48" s="4">
        <v>173</v>
      </c>
      <c r="DO48">
        <v>1</v>
      </c>
      <c r="DP48" s="4">
        <v>171</v>
      </c>
      <c r="DQ48">
        <v>1</v>
      </c>
      <c r="DR48" s="4">
        <v>174</v>
      </c>
      <c r="DS48">
        <v>1</v>
      </c>
      <c r="DT48" s="4">
        <v>178</v>
      </c>
      <c r="DU48">
        <v>1</v>
      </c>
      <c r="DV48" s="4">
        <v>190</v>
      </c>
      <c r="DW48">
        <v>1</v>
      </c>
      <c r="DX48" s="4">
        <v>192</v>
      </c>
      <c r="DY48">
        <v>1</v>
      </c>
      <c r="DZ48" s="4">
        <v>194</v>
      </c>
      <c r="EA48">
        <v>1</v>
      </c>
      <c r="EB48" s="4">
        <v>199</v>
      </c>
      <c r="EC48">
        <v>1</v>
      </c>
      <c r="ED48" s="4">
        <v>202</v>
      </c>
      <c r="EE48">
        <v>1</v>
      </c>
      <c r="EF48" s="4">
        <v>203</v>
      </c>
      <c r="EG48">
        <v>1</v>
      </c>
      <c r="EH48" s="4">
        <v>203</v>
      </c>
      <c r="EI48">
        <v>1</v>
      </c>
      <c r="EJ48" s="4">
        <v>208</v>
      </c>
      <c r="EK48">
        <v>1</v>
      </c>
    </row>
    <row r="49" spans="1:141" s="6" customFormat="1" x14ac:dyDescent="0.2">
      <c r="A49" s="12" t="s">
        <v>4937</v>
      </c>
    </row>
    <row r="50" spans="1:141" x14ac:dyDescent="0.2">
      <c r="A50" t="str">
        <f>HYPERLINK("http://exon.niaid.nih.gov/transcriptome/C_felis/S1/links/cf/cf-contig_726.txt","cf-contig_726")</f>
        <v>cf-contig_726</v>
      </c>
      <c r="B50">
        <v>1</v>
      </c>
      <c r="C50" s="10" t="s">
        <v>4855</v>
      </c>
      <c r="D50">
        <v>1</v>
      </c>
      <c r="E50" t="str">
        <f>HYPERLINK("http://exon.niaid.nih.gov/transcriptome/C_felis/S1/links/cf/cf-5-36-asb-726.txt","Contig-726")</f>
        <v>Contig-726</v>
      </c>
      <c r="F50" t="str">
        <f>HYPERLINK("http://exon.niaid.nih.gov/transcriptome/C_felis/S1/links/cf/cf-5-36-726-CLU.txt","Contig726")</f>
        <v>Contig726</v>
      </c>
      <c r="G50" t="str">
        <f>HYPERLINK("http://exon.niaid.nih.gov/transcriptome/C_felis/S1/links/cf/cf-5-36-726-qual.txt","66.")</f>
        <v>66.</v>
      </c>
      <c r="H50" t="s">
        <v>11</v>
      </c>
      <c r="I50">
        <v>66</v>
      </c>
      <c r="J50">
        <v>564</v>
      </c>
      <c r="K50" t="s">
        <v>12</v>
      </c>
      <c r="L50">
        <v>1</v>
      </c>
      <c r="M50" t="s">
        <v>739</v>
      </c>
      <c r="N50">
        <v>564</v>
      </c>
      <c r="O50">
        <v>583</v>
      </c>
      <c r="P50">
        <v>354</v>
      </c>
      <c r="Q50" t="s">
        <v>1545</v>
      </c>
      <c r="R50">
        <v>3</v>
      </c>
      <c r="S50" s="7" t="str">
        <f>HYPERLINK("http://exon.niaid.nih.gov/transcriptome/C_felis/S1/links/Sigp/CF-CONTIG_726-SigP.txt","SIG")</f>
        <v>SIG</v>
      </c>
      <c r="T50" t="s">
        <v>4586</v>
      </c>
      <c r="U50">
        <v>1</v>
      </c>
      <c r="V50" s="4">
        <v>589</v>
      </c>
      <c r="W50">
        <v>1</v>
      </c>
      <c r="X50" s="4">
        <v>605</v>
      </c>
      <c r="Y50">
        <v>1</v>
      </c>
      <c r="Z50" s="4">
        <v>618</v>
      </c>
      <c r="AA50">
        <v>1</v>
      </c>
      <c r="AB50" s="4" t="str">
        <f>HYPERLINK("http://exon.niaid.nih.gov/transcriptome/C_felis/S1/links/XC-ASB/cf-contig_15-XC-ASB.txt","XC-contig_2")</f>
        <v>XC-contig_2</v>
      </c>
      <c r="AC50">
        <v>4.0000000000000003E-5</v>
      </c>
      <c r="AD50" s="10" t="s">
        <v>4855</v>
      </c>
      <c r="AE50" t="s">
        <v>4856</v>
      </c>
      <c r="AF50" t="str">
        <f>HYPERLINK("http://exon.niaid.nih.gov/transcriptome/C_felis/S1/links/SWISSP/cf-contig_726-SWISSP.txt","SWISSP")</f>
        <v>SWISSP</v>
      </c>
      <c r="AG50">
        <v>6.9999999999999998E-9</v>
      </c>
      <c r="AH50">
        <v>108.4</v>
      </c>
      <c r="AI50" s="4" t="str">
        <f>HYPERLINK("http://exon.niaid.nih.gov/transcriptome/C_felis/S1/links/NR/cf-contig_726-NR.txt","Defensin precursor, putative")</f>
        <v>Defensin precursor, putative</v>
      </c>
      <c r="AJ50" t="str">
        <f>HYPERLINK("http://www.ncbi.nlm.nih.gov/sutils/blink.cgi?pid=242014943","2E-015")</f>
        <v>2E-015</v>
      </c>
      <c r="AK50" t="str">
        <f>HYPERLINK("http://www.ncbi.nlm.nih.gov/protein/242014943","gi|242014943")</f>
        <v>gi|242014943</v>
      </c>
      <c r="AL50">
        <v>86.3</v>
      </c>
      <c r="AM50">
        <v>108</v>
      </c>
      <c r="AN50">
        <v>109</v>
      </c>
      <c r="AO50">
        <v>44</v>
      </c>
      <c r="AP50">
        <v>100</v>
      </c>
      <c r="AQ50">
        <v>63</v>
      </c>
      <c r="AR50">
        <v>11</v>
      </c>
      <c r="AS50">
        <v>1</v>
      </c>
      <c r="AT50">
        <v>78</v>
      </c>
      <c r="AU50">
        <v>1</v>
      </c>
      <c r="AV50">
        <v>3</v>
      </c>
      <c r="AW50" t="s">
        <v>12</v>
      </c>
      <c r="AY50" t="s">
        <v>1676</v>
      </c>
      <c r="AZ50" t="s">
        <v>1751</v>
      </c>
      <c r="BA50" s="4" t="str">
        <f>HYPERLINK("http://exon.niaid.nih.gov/transcriptome/C_felis/S1/links/SWISSP/cf-contig_726-SWISSP.txt","Defensin-2")</f>
        <v>Defensin-2</v>
      </c>
      <c r="BB50" t="str">
        <f>HYPERLINK("http://www.uniprot.org/uniprot/Q5MQL3","1E-010")</f>
        <v>1E-010</v>
      </c>
      <c r="BC50" t="s">
        <v>4294</v>
      </c>
      <c r="BD50">
        <v>66.599999999999994</v>
      </c>
      <c r="BE50">
        <v>103</v>
      </c>
      <c r="BF50">
        <v>104</v>
      </c>
      <c r="BG50">
        <v>35</v>
      </c>
      <c r="BH50">
        <v>100</v>
      </c>
      <c r="BI50">
        <v>71</v>
      </c>
      <c r="BJ50">
        <v>7</v>
      </c>
      <c r="BK50">
        <v>1</v>
      </c>
      <c r="BL50">
        <v>78</v>
      </c>
      <c r="BM50">
        <v>1</v>
      </c>
      <c r="BN50">
        <v>3</v>
      </c>
      <c r="BO50" t="s">
        <v>12</v>
      </c>
      <c r="BQ50" t="s">
        <v>1676</v>
      </c>
      <c r="BR50" t="s">
        <v>2135</v>
      </c>
      <c r="BS50" s="4" t="str">
        <f>HYPERLINK("http://exon.niaid.nih.gov/transcriptome/C_felis/S1/links/CDD/cf-contig_726-CDD.txt","Defensin_2")</f>
        <v>Defensin_2</v>
      </c>
      <c r="BT50" t="str">
        <f>HYPERLINK("http://www.ncbi.nlm.nih.gov/Structure/cdd/cddsrv.cgi?uid=pfam01097&amp;version=v4.0","8E-008")</f>
        <v>8E-008</v>
      </c>
      <c r="BU50" t="s">
        <v>4295</v>
      </c>
      <c r="BV50" s="4" t="s">
        <v>4296</v>
      </c>
      <c r="BW50">
        <f>HYPERLINK("http://exon.niaid.nih.gov/transcriptome/C_felis/S1/links/GO/cf-contig_726-GO.txt",0.00000004)</f>
        <v>4.0000000000000001E-8</v>
      </c>
      <c r="BX50" t="str">
        <f>HYPERLINK("http://amigo.geneontology.org/cgi-bin/amigo/term_details?term=GO:0003674","GO:0003674")</f>
        <v>GO:0003674</v>
      </c>
      <c r="BY50" t="s">
        <v>1851</v>
      </c>
      <c r="BZ50" t="s">
        <v>1852</v>
      </c>
      <c r="CA50" t="s">
        <v>1853</v>
      </c>
      <c r="CB50" t="s">
        <v>42</v>
      </c>
      <c r="CD50">
        <v>4.0000000000000001E-8</v>
      </c>
      <c r="CE50" t="str">
        <f>HYPERLINK("http://amigo.geneontology.org/cgi-bin/amigo/term_details?term=GO:0005576","GO:0005576")</f>
        <v>GO:0005576</v>
      </c>
      <c r="CF50" t="s">
        <v>1854</v>
      </c>
      <c r="CG50" t="s">
        <v>1855</v>
      </c>
      <c r="CH50" t="s">
        <v>1856</v>
      </c>
      <c r="CI50" t="s">
        <v>42</v>
      </c>
      <c r="CK50">
        <v>4.0000000000000001E-8</v>
      </c>
      <c r="CL50" t="str">
        <f>HYPERLINK("http://amigo.geneontology.org/cgi-bin/amigo/term_details?term=GO:0050829","GO:0050829")</f>
        <v>GO:0050829</v>
      </c>
      <c r="CM50" t="s">
        <v>4297</v>
      </c>
      <c r="CN50" t="s">
        <v>4298</v>
      </c>
      <c r="CO50" t="s">
        <v>4299</v>
      </c>
      <c r="CP50" t="s">
        <v>42</v>
      </c>
      <c r="CR50">
        <v>4.0000000000000001E-8</v>
      </c>
      <c r="CS50" s="4" t="str">
        <f>HYPERLINK("http://exon.niaid.nih.gov/transcriptome/C_felis/S1/links/KOG/cf-contig_726-KOG.txt","Intramembrane metalloprotease (sterol-regulatory element-binding protein (SREBP) protease)")</f>
        <v>Intramembrane metalloprotease (sterol-regulatory element-binding protein (SREBP) protease)</v>
      </c>
      <c r="CT50" t="str">
        <f>HYPERLINK("http://www.ncbi.nlm.nih.gov/COG/grace/shokog.cgi?KOG2921","0.98")</f>
        <v>0.98</v>
      </c>
      <c r="CU50" t="s">
        <v>2198</v>
      </c>
      <c r="CV50" s="4" t="str">
        <f>HYPERLINK("http://exon.niaid.nih.gov/transcriptome/C_felis/S1/links/PFAM/cf-contig_726-PFAM.txt","Defensin_2")</f>
        <v>Defensin_2</v>
      </c>
      <c r="CW50" t="str">
        <f>HYPERLINK("http://pfam.sanger.ac.uk/family?acc=PF01097","2E-008")</f>
        <v>2E-008</v>
      </c>
      <c r="CX50" s="4" t="str">
        <f>HYPERLINK("http://exon.niaid.nih.gov/transcriptome/C_felis/S1/links/SMART/cf-contig_726-SMART.txt","Knot1")</f>
        <v>Knot1</v>
      </c>
      <c r="CY50" t="str">
        <f>HYPERLINK("http://smart.embl-heidelberg.de/smart/do_annotation.pl?DOMAIN=Knot1&amp;BLAST=DUMMY","1E-005")</f>
        <v>1E-005</v>
      </c>
      <c r="CZ50" s="4" t="s">
        <v>42</v>
      </c>
      <c r="DA50" t="s">
        <v>42</v>
      </c>
      <c r="DB50" t="s">
        <v>42</v>
      </c>
      <c r="DC50" t="s">
        <v>42</v>
      </c>
      <c r="DD50" t="s">
        <v>42</v>
      </c>
      <c r="DE50" t="s">
        <v>42</v>
      </c>
      <c r="DF50" t="s">
        <v>42</v>
      </c>
      <c r="DG50" t="s">
        <v>42</v>
      </c>
      <c r="DH50" s="4" t="s">
        <v>42</v>
      </c>
      <c r="DI50" t="s">
        <v>42</v>
      </c>
      <c r="DJ50" s="4" t="s">
        <v>42</v>
      </c>
      <c r="DK50" t="s">
        <v>42</v>
      </c>
      <c r="DL50" s="4">
        <v>589</v>
      </c>
      <c r="DM50">
        <v>1</v>
      </c>
      <c r="DN50" s="4">
        <v>605</v>
      </c>
      <c r="DO50">
        <v>1</v>
      </c>
      <c r="DP50" s="4">
        <v>618</v>
      </c>
      <c r="DQ50">
        <v>1</v>
      </c>
      <c r="DR50" s="4">
        <v>639</v>
      </c>
      <c r="DS50">
        <v>1</v>
      </c>
      <c r="DT50" s="4">
        <v>654</v>
      </c>
      <c r="DU50">
        <v>1</v>
      </c>
      <c r="DV50" s="4">
        <v>669</v>
      </c>
      <c r="DW50">
        <v>1</v>
      </c>
      <c r="DX50" s="4">
        <v>680</v>
      </c>
      <c r="DY50">
        <v>1</v>
      </c>
      <c r="DZ50" s="4">
        <v>690</v>
      </c>
      <c r="EA50">
        <v>1</v>
      </c>
      <c r="EB50" s="4">
        <v>696</v>
      </c>
      <c r="EC50">
        <v>1</v>
      </c>
      <c r="ED50" s="4">
        <v>701</v>
      </c>
      <c r="EE50">
        <v>1</v>
      </c>
      <c r="EF50" s="4">
        <v>707</v>
      </c>
      <c r="EG50">
        <v>1</v>
      </c>
      <c r="EH50" s="4">
        <v>717</v>
      </c>
      <c r="EI50">
        <v>1</v>
      </c>
      <c r="EJ50" s="4">
        <v>726</v>
      </c>
      <c r="EK50">
        <v>1</v>
      </c>
    </row>
    <row r="51" spans="1:141" x14ac:dyDescent="0.2">
      <c r="A51" t="str">
        <f>HYPERLINK("http://exon.niaid.nih.gov/transcriptome/C_felis/S1/links/cf/cf-contig_537.txt","cf-contig_537")</f>
        <v>cf-contig_537</v>
      </c>
      <c r="B51">
        <v>1</v>
      </c>
      <c r="C51" s="10" t="s">
        <v>4677</v>
      </c>
      <c r="D51">
        <v>1</v>
      </c>
      <c r="E51" t="str">
        <f>HYPERLINK("http://exon.niaid.nih.gov/transcriptome/C_felis/S1/links/cf/cf-5-36-asb-537.txt","Contig-537")</f>
        <v>Contig-537</v>
      </c>
      <c r="F51" t="str">
        <f>HYPERLINK("http://exon.niaid.nih.gov/transcriptome/C_felis/S1/links/cf/cf-5-36-537-CLU.txt","Contig537")</f>
        <v>Contig537</v>
      </c>
      <c r="G51" t="str">
        <f>HYPERLINK("http://exon.niaid.nih.gov/transcriptome/C_felis/S1/links/cf/cf-5-36-537-qual.txt","64.8")</f>
        <v>64.8</v>
      </c>
      <c r="H51" t="s">
        <v>11</v>
      </c>
      <c r="I51">
        <v>68.3</v>
      </c>
      <c r="J51">
        <v>350</v>
      </c>
      <c r="K51" t="s">
        <v>12</v>
      </c>
      <c r="L51">
        <v>1</v>
      </c>
      <c r="M51" t="s">
        <v>550</v>
      </c>
      <c r="N51">
        <v>350</v>
      </c>
      <c r="O51">
        <v>369</v>
      </c>
      <c r="P51">
        <v>207</v>
      </c>
      <c r="Q51" t="s">
        <v>1356</v>
      </c>
      <c r="R51">
        <v>3</v>
      </c>
      <c r="S51" s="7" t="str">
        <f>HYPERLINK("http://exon.niaid.nih.gov/transcriptome/C_felis/S1/links/Sigp/CF-CONTIG_537-SigP.txt","Cyt")</f>
        <v>Cyt</v>
      </c>
      <c r="U51">
        <v>1</v>
      </c>
      <c r="V51" s="4">
        <v>439</v>
      </c>
      <c r="W51">
        <v>1</v>
      </c>
      <c r="X51" s="4">
        <v>449</v>
      </c>
      <c r="Y51">
        <v>1</v>
      </c>
      <c r="Z51" s="4">
        <v>455</v>
      </c>
      <c r="AA51">
        <v>1</v>
      </c>
      <c r="AB51" s="4" t="str">
        <f>HYPERLINK("http://exon.niaid.nih.gov/transcriptome/C_felis/S1/links/XC-ASB/cf-contig_726-XC-ASB.txt","XC-contig_25")</f>
        <v>XC-contig_25</v>
      </c>
      <c r="AC51">
        <v>0.24</v>
      </c>
      <c r="AD51" s="10" t="s">
        <v>4677</v>
      </c>
      <c r="AE51" t="s">
        <v>4678</v>
      </c>
      <c r="AF51" t="str">
        <f>HYPERLINK("http://exon.niaid.nih.gov/transcriptome/C_felis/S1/links/SMART/cf-contig_537-SMART.txt","SMART")</f>
        <v>SMART</v>
      </c>
      <c r="AG51">
        <v>3.0000000000000001E-5</v>
      </c>
      <c r="AH51">
        <v>93.3</v>
      </c>
      <c r="AI51" s="4" t="str">
        <f>HYPERLINK("http://exon.niaid.nih.gov/transcriptome/C_felis/S1/links/NR/cf-contig_537-NR.txt","putative salivary protein")</f>
        <v>putative salivary protein</v>
      </c>
      <c r="AJ51" t="str">
        <f>HYPERLINK("http://www.ncbi.nlm.nih.gov/sutils/blink.cgi?pid=121511996","1E-005")</f>
        <v>1E-005</v>
      </c>
      <c r="AK51" t="str">
        <f>HYPERLINK("http://www.ncbi.nlm.nih.gov/protein/121511996","gi|121511996")</f>
        <v>gi|121511996</v>
      </c>
      <c r="AL51">
        <v>53.5</v>
      </c>
      <c r="AM51">
        <v>71</v>
      </c>
      <c r="AN51">
        <v>100</v>
      </c>
      <c r="AO51">
        <v>36</v>
      </c>
      <c r="AP51">
        <v>72</v>
      </c>
      <c r="AQ51">
        <v>46</v>
      </c>
      <c r="AR51">
        <v>5</v>
      </c>
      <c r="AS51">
        <v>23</v>
      </c>
      <c r="AT51">
        <v>9</v>
      </c>
      <c r="AU51">
        <v>1</v>
      </c>
      <c r="AV51">
        <v>3</v>
      </c>
      <c r="AW51" t="s">
        <v>12</v>
      </c>
      <c r="AY51" t="s">
        <v>1676</v>
      </c>
      <c r="AZ51" t="s">
        <v>1717</v>
      </c>
      <c r="BA51" s="4" t="str">
        <f>HYPERLINK("http://exon.niaid.nih.gov/transcriptome/C_felis/S1/links/SWISSP/cf-contig_537-SWISSP.txt","Putative defensin-like protein 70")</f>
        <v>Putative defensin-like protein 70</v>
      </c>
      <c r="BB51" t="str">
        <f>HYPERLINK("http://www.uniprot.org/uniprot/P82792","0.15")</f>
        <v>0.15</v>
      </c>
      <c r="BC51" t="s">
        <v>3635</v>
      </c>
      <c r="BD51">
        <v>35</v>
      </c>
      <c r="BE51">
        <v>37</v>
      </c>
      <c r="BF51">
        <v>82</v>
      </c>
      <c r="BG51">
        <v>46</v>
      </c>
      <c r="BH51">
        <v>46</v>
      </c>
      <c r="BI51">
        <v>22</v>
      </c>
      <c r="BJ51">
        <v>2</v>
      </c>
      <c r="BK51">
        <v>43</v>
      </c>
      <c r="BL51">
        <v>90</v>
      </c>
      <c r="BM51">
        <v>1</v>
      </c>
      <c r="BN51">
        <v>3</v>
      </c>
      <c r="BO51" t="s">
        <v>12</v>
      </c>
      <c r="BQ51" t="s">
        <v>1676</v>
      </c>
      <c r="BR51" t="s">
        <v>1714</v>
      </c>
      <c r="BS51" s="4" t="str">
        <f>HYPERLINK("http://exon.niaid.nih.gov/transcriptome/C_felis/S1/links/CDD/cf-contig_537-CDD.txt","Knot1")</f>
        <v>Knot1</v>
      </c>
      <c r="BT51" t="str">
        <f>HYPERLINK("http://www.ncbi.nlm.nih.gov/Structure/cdd/cddsrv.cgi?uid=smart00505&amp;version=v4.0","0.002")</f>
        <v>0.002</v>
      </c>
      <c r="BU51" t="s">
        <v>3636</v>
      </c>
      <c r="BV51" s="4" t="s">
        <v>42</v>
      </c>
      <c r="BW51" t="s">
        <v>42</v>
      </c>
      <c r="BX51" t="s">
        <v>42</v>
      </c>
      <c r="BY51" t="s">
        <v>42</v>
      </c>
      <c r="BZ51" t="s">
        <v>42</v>
      </c>
      <c r="CA51" t="s">
        <v>42</v>
      </c>
      <c r="CB51" t="s">
        <v>42</v>
      </c>
      <c r="CC51" t="s">
        <v>42</v>
      </c>
      <c r="CD51" t="s">
        <v>42</v>
      </c>
      <c r="CE51" t="s">
        <v>42</v>
      </c>
      <c r="CF51" t="s">
        <v>42</v>
      </c>
      <c r="CG51" t="s">
        <v>42</v>
      </c>
      <c r="CH51" t="s">
        <v>42</v>
      </c>
      <c r="CI51" t="s">
        <v>42</v>
      </c>
      <c r="CJ51" t="s">
        <v>42</v>
      </c>
      <c r="CK51" t="s">
        <v>42</v>
      </c>
      <c r="CL51" t="s">
        <v>42</v>
      </c>
      <c r="CM51" t="s">
        <v>42</v>
      </c>
      <c r="CN51" t="s">
        <v>42</v>
      </c>
      <c r="CO51" t="s">
        <v>42</v>
      </c>
      <c r="CP51" t="s">
        <v>42</v>
      </c>
      <c r="CQ51" t="s">
        <v>42</v>
      </c>
      <c r="CR51" t="s">
        <v>42</v>
      </c>
      <c r="CS51" s="4" t="str">
        <f>HYPERLINK("http://exon.niaid.nih.gov/transcriptome/C_felis/S1/links/KOG/cf-contig_537-KOG.txt","Serine proteinase inhibitor (KU family)")</f>
        <v>Serine proteinase inhibitor (KU family)</v>
      </c>
      <c r="CT51" t="str">
        <f>HYPERLINK("http://www.ncbi.nlm.nih.gov/COG/grace/shokog.cgi?KOG4295","0.004")</f>
        <v>0.004</v>
      </c>
      <c r="CU51" t="s">
        <v>2198</v>
      </c>
      <c r="CV51" s="4" t="str">
        <f>HYPERLINK("http://exon.niaid.nih.gov/transcriptome/C_felis/S1/links/PFAM/cf-contig_537-PFAM.txt","SLR1-BP")</f>
        <v>SLR1-BP</v>
      </c>
      <c r="CW51" t="str">
        <f>HYPERLINK("http://pfam.sanger.ac.uk/family?acc=PF07333","0.005")</f>
        <v>0.005</v>
      </c>
      <c r="CX51" s="4" t="str">
        <f>HYPERLINK("http://exon.niaid.nih.gov/transcriptome/C_felis/S1/links/SMART/cf-contig_537-SMART.txt","Knot1")</f>
        <v>Knot1</v>
      </c>
      <c r="CY51" t="str">
        <f>HYPERLINK("http://smart.embl-heidelberg.de/smart/do_annotation.pl?DOMAIN=Knot1&amp;BLAST=DUMMY","3E-005")</f>
        <v>3E-005</v>
      </c>
      <c r="CZ51" s="4" t="s">
        <v>42</v>
      </c>
      <c r="DA51" t="s">
        <v>42</v>
      </c>
      <c r="DB51" t="s">
        <v>42</v>
      </c>
      <c r="DC51" t="s">
        <v>42</v>
      </c>
      <c r="DD51" t="s">
        <v>42</v>
      </c>
      <c r="DE51" t="s">
        <v>42</v>
      </c>
      <c r="DF51" t="s">
        <v>42</v>
      </c>
      <c r="DG51" t="s">
        <v>42</v>
      </c>
      <c r="DH51" s="4" t="s">
        <v>42</v>
      </c>
      <c r="DI51" t="s">
        <v>42</v>
      </c>
      <c r="DJ51" s="4" t="s">
        <v>42</v>
      </c>
      <c r="DK51" t="s">
        <v>42</v>
      </c>
      <c r="DL51" s="4">
        <v>439</v>
      </c>
      <c r="DM51">
        <v>1</v>
      </c>
      <c r="DN51" s="4">
        <v>449</v>
      </c>
      <c r="DO51">
        <v>1</v>
      </c>
      <c r="DP51" s="4">
        <v>455</v>
      </c>
      <c r="DQ51">
        <v>1</v>
      </c>
      <c r="DR51" s="4">
        <v>470</v>
      </c>
      <c r="DS51">
        <v>1</v>
      </c>
      <c r="DT51" s="4">
        <v>482</v>
      </c>
      <c r="DU51">
        <v>1</v>
      </c>
      <c r="DV51" s="4">
        <v>496</v>
      </c>
      <c r="DW51">
        <v>1</v>
      </c>
      <c r="DX51" s="4">
        <v>502</v>
      </c>
      <c r="DY51">
        <v>1</v>
      </c>
      <c r="DZ51" s="4">
        <v>510</v>
      </c>
      <c r="EA51">
        <v>1</v>
      </c>
      <c r="EB51" s="4">
        <v>515</v>
      </c>
      <c r="EC51">
        <v>1</v>
      </c>
      <c r="ED51" s="4">
        <v>519</v>
      </c>
      <c r="EE51">
        <v>1</v>
      </c>
      <c r="EF51" s="4">
        <v>524</v>
      </c>
      <c r="EG51">
        <v>1</v>
      </c>
      <c r="EH51" s="4">
        <v>530</v>
      </c>
      <c r="EI51">
        <v>1</v>
      </c>
      <c r="EJ51" s="4">
        <v>537</v>
      </c>
      <c r="EK51">
        <v>1</v>
      </c>
    </row>
    <row r="52" spans="1:141" x14ac:dyDescent="0.2">
      <c r="A52" t="str">
        <f>HYPERLINK("http://exon.niaid.nih.gov/transcriptome/C_felis/S1/links/cf/cf-contig_188.txt","cf-contig_188")</f>
        <v>cf-contig_188</v>
      </c>
      <c r="B52">
        <v>1</v>
      </c>
      <c r="C52" s="10" t="s">
        <v>4677</v>
      </c>
      <c r="D52">
        <v>1</v>
      </c>
      <c r="E52" t="str">
        <f>HYPERLINK("http://exon.niaid.nih.gov/transcriptome/C_felis/S1/links/cf/cf-5-36-asb-188.txt","Contig-188")</f>
        <v>Contig-188</v>
      </c>
      <c r="F52" t="str">
        <f>HYPERLINK("http://exon.niaid.nih.gov/transcriptome/C_felis/S1/links/cf/cf-5-36-188-CLU.txt","Contig188")</f>
        <v>Contig188</v>
      </c>
      <c r="G52" t="str">
        <f>HYPERLINK("http://exon.niaid.nih.gov/transcriptome/C_felis/S1/links/cf/cf-5-36-188-qual.txt","63.9")</f>
        <v>63.9</v>
      </c>
      <c r="H52" t="s">
        <v>11</v>
      </c>
      <c r="I52">
        <v>75.7</v>
      </c>
      <c r="J52">
        <v>261</v>
      </c>
      <c r="K52" t="s">
        <v>12</v>
      </c>
      <c r="L52">
        <v>1</v>
      </c>
      <c r="M52" t="s">
        <v>201</v>
      </c>
      <c r="N52">
        <v>261</v>
      </c>
      <c r="O52">
        <v>280</v>
      </c>
      <c r="P52">
        <v>126</v>
      </c>
      <c r="Q52" t="s">
        <v>1008</v>
      </c>
      <c r="R52">
        <v>1</v>
      </c>
      <c r="S52" s="7" t="s">
        <v>4585</v>
      </c>
      <c r="U52">
        <v>1</v>
      </c>
      <c r="V52" s="4">
        <f>HYPERLINK("http://exon.niaid.nih.gov/transcriptome/C_felis/S1/links/cluster/cf-5-36-asb30-50-Id-CLU13.txt", 13)</f>
        <v>13</v>
      </c>
      <c r="W52">
        <f>HYPERLINK("http://exon.niaid.nih.gov/transcriptome/C_felis/S1/links/cluster/cf-5-36-asb30-50-Id-CLTL13.txt", 4)</f>
        <v>4</v>
      </c>
      <c r="X52" s="4">
        <f>HYPERLINK("http://exon.niaid.nih.gov/transcriptome/C_felis/S1/links/cluster/cf-5-36-asb35-50-Id-CLU11.txt", 11)</f>
        <v>11</v>
      </c>
      <c r="Y52">
        <f>HYPERLINK("http://exon.niaid.nih.gov/transcriptome/C_felis/S1/links/cluster/cf-5-36-asb35-50-Id-CLTL11.txt", 4)</f>
        <v>4</v>
      </c>
      <c r="Z52" s="4">
        <f>HYPERLINK("http://exon.niaid.nih.gov/transcriptome/C_felis/S1/links/cluster/cf-5-36-asb40-50-Id-CLU9.txt", 9)</f>
        <v>9</v>
      </c>
      <c r="AA52">
        <f>HYPERLINK("http://exon.niaid.nih.gov/transcriptome/C_felis/S1/links/cluster/cf-5-36-asb40-50-Id-CLTL9.txt", 4)</f>
        <v>4</v>
      </c>
      <c r="AB52" s="4" t="str">
        <f>HYPERLINK("http://exon.niaid.nih.gov/transcriptome/C_felis/S1/links/XC-ASB/cf-contig_277-XC-ASB.txt","XC-contig_104")</f>
        <v>XC-contig_104</v>
      </c>
      <c r="AC52">
        <v>0.5</v>
      </c>
      <c r="AD52" s="10" t="s">
        <v>4677</v>
      </c>
      <c r="AE52" t="s">
        <v>4678</v>
      </c>
      <c r="AF52" t="str">
        <f>HYPERLINK("http://exon.niaid.nih.gov/transcriptome/C_felis/S1/links/SMART/cf-contig_188-SMART.txt","SMART")</f>
        <v>SMART</v>
      </c>
      <c r="AG52">
        <v>2.0000000000000002E-5</v>
      </c>
      <c r="AH52">
        <v>62.2</v>
      </c>
      <c r="AI52" s="4" t="str">
        <f>HYPERLINK("http://exon.niaid.nih.gov/transcriptome/C_felis/S1/links/NR/cf-contig_188-NR.txt","defensin-like protein 3")</f>
        <v>defensin-like protein 3</v>
      </c>
      <c r="AJ52" t="str">
        <f>HYPERLINK("http://www.ncbi.nlm.nih.gov/sutils/blink.cgi?pid=260765461","0.22")</f>
        <v>0.22</v>
      </c>
      <c r="AK52" t="str">
        <f>HYPERLINK("http://www.ncbi.nlm.nih.gov/protein/260765461","gi|260765461")</f>
        <v>gi|260765461</v>
      </c>
      <c r="AL52">
        <v>39.299999999999997</v>
      </c>
      <c r="AM52">
        <v>29</v>
      </c>
      <c r="AN52">
        <v>88</v>
      </c>
      <c r="AO52">
        <v>43</v>
      </c>
      <c r="AP52">
        <v>34</v>
      </c>
      <c r="AQ52">
        <v>17</v>
      </c>
      <c r="AR52">
        <v>0</v>
      </c>
      <c r="AS52">
        <v>59</v>
      </c>
      <c r="AT52">
        <v>27</v>
      </c>
      <c r="AU52">
        <v>1</v>
      </c>
      <c r="AV52">
        <v>3</v>
      </c>
      <c r="AW52" t="s">
        <v>12</v>
      </c>
      <c r="AY52" t="s">
        <v>1676</v>
      </c>
      <c r="AZ52" t="s">
        <v>2314</v>
      </c>
      <c r="BA52" s="4" t="str">
        <f>HYPERLINK("http://exon.niaid.nih.gov/transcriptome/C_felis/S1/links/SWISSP/cf-contig_188-SWISSP.txt","Potassium channel toxin alpha-KTx 10.1")</f>
        <v>Potassium channel toxin alpha-KTx 10.1</v>
      </c>
      <c r="BB52" t="str">
        <f>HYPERLINK("http://www.uniprot.org/uniprot/O46028","0.25")</f>
        <v>0.25</v>
      </c>
      <c r="BC52" t="s">
        <v>2365</v>
      </c>
      <c r="BD52">
        <v>34.299999999999997</v>
      </c>
      <c r="BE52">
        <v>22</v>
      </c>
      <c r="BF52">
        <v>62</v>
      </c>
      <c r="BG52">
        <v>54</v>
      </c>
      <c r="BH52">
        <v>37</v>
      </c>
      <c r="BI52">
        <v>11</v>
      </c>
      <c r="BJ52">
        <v>0</v>
      </c>
      <c r="BK52">
        <v>36</v>
      </c>
      <c r="BL52">
        <v>45</v>
      </c>
      <c r="BM52">
        <v>1</v>
      </c>
      <c r="BN52">
        <v>3</v>
      </c>
      <c r="BO52" t="s">
        <v>12</v>
      </c>
      <c r="BQ52" t="s">
        <v>1676</v>
      </c>
      <c r="BR52" t="s">
        <v>2366</v>
      </c>
      <c r="BS52" s="4" t="str">
        <f>HYPERLINK("http://exon.niaid.nih.gov/transcriptome/C_felis/S1/links/CDD/cf-contig_188-CDD.txt","Knot1")</f>
        <v>Knot1</v>
      </c>
      <c r="BT52" t="str">
        <f>HYPERLINK("http://www.ncbi.nlm.nih.gov/Structure/cdd/cddsrv.cgi?uid=cd00107&amp;version=v4.0","0.001")</f>
        <v>0.001</v>
      </c>
      <c r="BU52" t="s">
        <v>2367</v>
      </c>
      <c r="BV52" s="4" t="s">
        <v>42</v>
      </c>
      <c r="BW52" t="s">
        <v>42</v>
      </c>
      <c r="BX52" t="s">
        <v>42</v>
      </c>
      <c r="BY52" t="s">
        <v>42</v>
      </c>
      <c r="BZ52" t="s">
        <v>42</v>
      </c>
      <c r="CA52" t="s">
        <v>42</v>
      </c>
      <c r="CB52" t="s">
        <v>42</v>
      </c>
      <c r="CC52" t="s">
        <v>42</v>
      </c>
      <c r="CD52" t="s">
        <v>42</v>
      </c>
      <c r="CE52" t="s">
        <v>42</v>
      </c>
      <c r="CF52" t="s">
        <v>42</v>
      </c>
      <c r="CG52" t="s">
        <v>42</v>
      </c>
      <c r="CH52" t="s">
        <v>42</v>
      </c>
      <c r="CI52" t="s">
        <v>42</v>
      </c>
      <c r="CJ52" t="s">
        <v>42</v>
      </c>
      <c r="CK52" t="s">
        <v>42</v>
      </c>
      <c r="CL52" t="s">
        <v>42</v>
      </c>
      <c r="CM52" t="s">
        <v>42</v>
      </c>
      <c r="CN52" t="s">
        <v>42</v>
      </c>
      <c r="CO52" t="s">
        <v>42</v>
      </c>
      <c r="CP52" t="s">
        <v>42</v>
      </c>
      <c r="CQ52" t="s">
        <v>42</v>
      </c>
      <c r="CR52" t="s">
        <v>42</v>
      </c>
      <c r="CS52" s="4" t="str">
        <f>HYPERLINK("http://exon.niaid.nih.gov/transcriptome/C_felis/S1/links/KOG/cf-contig_188-KOG.txt","Nucleoside transporter")</f>
        <v>Nucleoside transporter</v>
      </c>
      <c r="CT52" t="str">
        <f>HYPERLINK("http://www.ncbi.nlm.nih.gov/COG/grace/shokog.cgi?KOG1479","0.44")</f>
        <v>0.44</v>
      </c>
      <c r="CU52" t="s">
        <v>1896</v>
      </c>
      <c r="CV52" s="4" t="str">
        <f>HYPERLINK("http://exon.niaid.nih.gov/transcriptome/C_felis/S1/links/PFAM/cf-contig_188-PFAM.txt","Toxin_3")</f>
        <v>Toxin_3</v>
      </c>
      <c r="CW52" t="str">
        <f>HYPERLINK("http://pfam.sanger.ac.uk/family?acc=PF00537","0.001")</f>
        <v>0.001</v>
      </c>
      <c r="CX52" s="4" t="str">
        <f>HYPERLINK("http://exon.niaid.nih.gov/transcriptome/C_felis/S1/links/SMART/cf-contig_188-SMART.txt","Knot1")</f>
        <v>Knot1</v>
      </c>
      <c r="CY52" t="str">
        <f>HYPERLINK("http://smart.embl-heidelberg.de/smart/do_annotation.pl?DOMAIN=Knot1&amp;BLAST=DUMMY","2E-005")</f>
        <v>2E-005</v>
      </c>
      <c r="CZ52" s="4" t="s">
        <v>42</v>
      </c>
      <c r="DA52" t="s">
        <v>42</v>
      </c>
      <c r="DB52" t="s">
        <v>42</v>
      </c>
      <c r="DC52" t="s">
        <v>42</v>
      </c>
      <c r="DD52" t="s">
        <v>42</v>
      </c>
      <c r="DE52" t="s">
        <v>42</v>
      </c>
      <c r="DF52" t="s">
        <v>42</v>
      </c>
      <c r="DG52" t="s">
        <v>42</v>
      </c>
      <c r="DH52" s="4" t="s">
        <v>42</v>
      </c>
      <c r="DI52" t="s">
        <v>42</v>
      </c>
      <c r="DJ52" s="4" t="s">
        <v>42</v>
      </c>
      <c r="DK52" t="s">
        <v>42</v>
      </c>
      <c r="DL52" s="4">
        <f>HYPERLINK("http://exon.niaid.nih.gov/transcriptome/C_felis/S1/links/cluster/cf-5-36-asb30-50-Id-CLU13.txt", 13)</f>
        <v>13</v>
      </c>
      <c r="DM52">
        <f>HYPERLINK("http://exon.niaid.nih.gov/transcriptome/C_felis/S1/links/cluster/cf-5-36-asb30-50-Id-CLTL13.txt", 4)</f>
        <v>4</v>
      </c>
      <c r="DN52" s="4">
        <f>HYPERLINK("http://exon.niaid.nih.gov/transcriptome/C_felis/S1/links/cluster/cf-5-36-asb35-50-Id-CLU11.txt", 11)</f>
        <v>11</v>
      </c>
      <c r="DO52">
        <f>HYPERLINK("http://exon.niaid.nih.gov/transcriptome/C_felis/S1/links/cluster/cf-5-36-asb35-50-Id-CLTL11.txt", 4)</f>
        <v>4</v>
      </c>
      <c r="DP52" s="4">
        <f>HYPERLINK("http://exon.niaid.nih.gov/transcriptome/C_felis/S1/links/cluster/cf-5-36-asb40-50-Id-CLU9.txt", 9)</f>
        <v>9</v>
      </c>
      <c r="DQ52">
        <f>HYPERLINK("http://exon.niaid.nih.gov/transcriptome/C_felis/S1/links/cluster/cf-5-36-asb40-50-Id-CLTL9.txt", 4)</f>
        <v>4</v>
      </c>
      <c r="DR52" s="4">
        <f>HYPERLINK("http://exon.niaid.nih.gov/transcriptome/C_felis/S1/links/cluster/cf-5-36-asb45-50-Id-CLU9.txt", 9)</f>
        <v>9</v>
      </c>
      <c r="DS52">
        <f>HYPERLINK("http://exon.niaid.nih.gov/transcriptome/C_felis/S1/links/cluster/cf-5-36-asb45-50-Id-CLTL9.txt", 4)</f>
        <v>4</v>
      </c>
      <c r="DT52" s="4">
        <v>164</v>
      </c>
      <c r="DU52">
        <v>1</v>
      </c>
      <c r="DV52" s="4">
        <v>174</v>
      </c>
      <c r="DW52">
        <v>1</v>
      </c>
      <c r="DX52" s="4">
        <v>176</v>
      </c>
      <c r="DY52">
        <v>1</v>
      </c>
      <c r="DZ52" s="4">
        <v>176</v>
      </c>
      <c r="EA52">
        <v>1</v>
      </c>
      <c r="EB52" s="4">
        <v>181</v>
      </c>
      <c r="EC52">
        <v>1</v>
      </c>
      <c r="ED52" s="4">
        <v>182</v>
      </c>
      <c r="EE52">
        <v>1</v>
      </c>
      <c r="EF52" s="4">
        <v>183</v>
      </c>
      <c r="EG52">
        <v>1</v>
      </c>
      <c r="EH52" s="4">
        <v>183</v>
      </c>
      <c r="EI52">
        <v>1</v>
      </c>
      <c r="EJ52" s="4">
        <v>188</v>
      </c>
      <c r="EK52">
        <v>1</v>
      </c>
    </row>
    <row r="53" spans="1:141" x14ac:dyDescent="0.2">
      <c r="A53" t="str">
        <f>HYPERLINK("http://exon.niaid.nih.gov/transcriptome/C_felis/S1/links/cf/cf-contig_189.txt","cf-contig_189")</f>
        <v>cf-contig_189</v>
      </c>
      <c r="B53">
        <v>1</v>
      </c>
      <c r="C53" s="10" t="s">
        <v>4677</v>
      </c>
      <c r="D53">
        <v>1</v>
      </c>
      <c r="E53" t="str">
        <f>HYPERLINK("http://exon.niaid.nih.gov/transcriptome/C_felis/S1/links/cf/cf-5-36-asb-189.txt","Contig-189")</f>
        <v>Contig-189</v>
      </c>
      <c r="F53" t="str">
        <f>HYPERLINK("http://exon.niaid.nih.gov/transcriptome/C_felis/S1/links/cf/cf-5-36-189-CLU.txt","Contig189")</f>
        <v>Contig189</v>
      </c>
      <c r="G53" t="str">
        <f>HYPERLINK("http://exon.niaid.nih.gov/transcriptome/C_felis/S1/links/cf/cf-5-36-189-qual.txt","63.7")</f>
        <v>63.7</v>
      </c>
      <c r="H53" t="s">
        <v>11</v>
      </c>
      <c r="I53">
        <v>73.7</v>
      </c>
      <c r="J53">
        <v>331</v>
      </c>
      <c r="K53" t="s">
        <v>12</v>
      </c>
      <c r="L53">
        <v>1</v>
      </c>
      <c r="M53" t="s">
        <v>202</v>
      </c>
      <c r="N53">
        <v>331</v>
      </c>
      <c r="O53">
        <v>350</v>
      </c>
      <c r="P53">
        <v>186</v>
      </c>
      <c r="Q53" t="s">
        <v>1009</v>
      </c>
      <c r="R53">
        <v>1</v>
      </c>
      <c r="S53" s="7" t="str">
        <f>HYPERLINK("http://exon.niaid.nih.gov/transcriptome/C_felis/S1/links/Sigp/CF-CONTIG_189-SigP.txt","Cyt")</f>
        <v>Cyt</v>
      </c>
      <c r="U53">
        <v>1</v>
      </c>
      <c r="V53" s="4">
        <f>HYPERLINK("http://exon.niaid.nih.gov/transcriptome/C_felis/S1/links/cluster/cf-5-36-asb30-50-Id-CLU13.txt", 13)</f>
        <v>13</v>
      </c>
      <c r="W53">
        <f>HYPERLINK("http://exon.niaid.nih.gov/transcriptome/C_felis/S1/links/cluster/cf-5-36-asb30-50-Id-CLTL13.txt", 4)</f>
        <v>4</v>
      </c>
      <c r="X53" s="4">
        <f>HYPERLINK("http://exon.niaid.nih.gov/transcriptome/C_felis/S1/links/cluster/cf-5-36-asb35-50-Id-CLU11.txt", 11)</f>
        <v>11</v>
      </c>
      <c r="Y53">
        <f>HYPERLINK("http://exon.niaid.nih.gov/transcriptome/C_felis/S1/links/cluster/cf-5-36-asb35-50-Id-CLTL11.txt", 4)</f>
        <v>4</v>
      </c>
      <c r="Z53" s="4">
        <f>HYPERLINK("http://exon.niaid.nih.gov/transcriptome/C_felis/S1/links/cluster/cf-5-36-asb40-50-Id-CLU9.txt", 9)</f>
        <v>9</v>
      </c>
      <c r="AA53">
        <f>HYPERLINK("http://exon.niaid.nih.gov/transcriptome/C_felis/S1/links/cluster/cf-5-36-asb40-50-Id-CLTL9.txt", 4)</f>
        <v>4</v>
      </c>
      <c r="AB53" s="4" t="str">
        <f>HYPERLINK("http://exon.niaid.nih.gov/transcriptome/C_felis/S1/links/XC-ASB/cf-contig_303-XC-ASB.txt","XC-contig_58")</f>
        <v>XC-contig_58</v>
      </c>
      <c r="AC53">
        <v>2E-3</v>
      </c>
      <c r="AD53" s="10" t="s">
        <v>4677</v>
      </c>
      <c r="AE53" t="s">
        <v>4678</v>
      </c>
      <c r="AF53" t="str">
        <f>HYPERLINK("http://exon.niaid.nih.gov/transcriptome/C_felis/S1/links/SMART/cf-contig_189-SMART.txt","SMART")</f>
        <v>SMART</v>
      </c>
      <c r="AG53">
        <v>3.0000000000000001E-5</v>
      </c>
      <c r="AH53">
        <v>62.2</v>
      </c>
      <c r="AI53" s="4" t="str">
        <f>HYPERLINK("http://exon.niaid.nih.gov/transcriptome/C_felis/S1/links/NR/cf-contig_189-NR.txt","predicted protein")</f>
        <v>predicted protein</v>
      </c>
      <c r="AJ53" t="str">
        <f>HYPERLINK("http://www.ncbi.nlm.nih.gov/sutils/blink.cgi?pid=290983102","0.13")</f>
        <v>0.13</v>
      </c>
      <c r="AK53" t="str">
        <f>HYPERLINK("http://www.ncbi.nlm.nih.gov/protein/290983102","gi|290983102")</f>
        <v>gi|290983102</v>
      </c>
      <c r="AL53">
        <v>40</v>
      </c>
      <c r="AM53">
        <v>1435</v>
      </c>
      <c r="AN53">
        <v>5238</v>
      </c>
      <c r="AO53">
        <v>32</v>
      </c>
      <c r="AP53">
        <v>27</v>
      </c>
      <c r="AQ53">
        <v>40</v>
      </c>
      <c r="AR53">
        <v>0</v>
      </c>
      <c r="AS53">
        <v>1255</v>
      </c>
      <c r="AT53">
        <v>7</v>
      </c>
      <c r="AU53">
        <v>2</v>
      </c>
      <c r="AV53">
        <v>1</v>
      </c>
      <c r="AW53" t="s">
        <v>12</v>
      </c>
      <c r="AY53" t="s">
        <v>1676</v>
      </c>
      <c r="AZ53" t="s">
        <v>1737</v>
      </c>
      <c r="BA53" s="4" t="str">
        <f>HYPERLINK("http://exon.niaid.nih.gov/transcriptome/C_felis/S1/links/SWISSP/cf-contig_189-SWISSP.txt","Defensin-like protein 43")</f>
        <v>Defensin-like protein 43</v>
      </c>
      <c r="BB53" t="str">
        <f>HYPERLINK("http://www.uniprot.org/uniprot/Q2V4J5","0.085")</f>
        <v>0.085</v>
      </c>
      <c r="BC53" t="s">
        <v>2368</v>
      </c>
      <c r="BD53">
        <v>35.799999999999997</v>
      </c>
      <c r="BE53">
        <v>50</v>
      </c>
      <c r="BF53">
        <v>81</v>
      </c>
      <c r="BG53">
        <v>35</v>
      </c>
      <c r="BH53">
        <v>63</v>
      </c>
      <c r="BI53">
        <v>33</v>
      </c>
      <c r="BJ53">
        <v>4</v>
      </c>
      <c r="BK53">
        <v>29</v>
      </c>
      <c r="BL53">
        <v>37</v>
      </c>
      <c r="BM53">
        <v>1</v>
      </c>
      <c r="BN53">
        <v>1</v>
      </c>
      <c r="BO53" t="s">
        <v>12</v>
      </c>
      <c r="BQ53" t="s">
        <v>1676</v>
      </c>
      <c r="BR53" t="s">
        <v>1714</v>
      </c>
      <c r="BS53" s="4" t="str">
        <f>HYPERLINK("http://exon.niaid.nih.gov/transcriptome/C_felis/S1/links/CDD/cf-contig_189-CDD.txt","Knot1")</f>
        <v>Knot1</v>
      </c>
      <c r="BT53" t="str">
        <f>HYPERLINK("http://www.ncbi.nlm.nih.gov/Structure/cdd/cddsrv.cgi?uid=cd00107&amp;version=v4.0","0.001")</f>
        <v>0.001</v>
      </c>
      <c r="BU53" t="s">
        <v>2369</v>
      </c>
      <c r="BV53" s="4" t="s">
        <v>42</v>
      </c>
      <c r="BW53" t="s">
        <v>42</v>
      </c>
      <c r="BX53" t="s">
        <v>42</v>
      </c>
      <c r="BY53" t="s">
        <v>42</v>
      </c>
      <c r="BZ53" t="s">
        <v>42</v>
      </c>
      <c r="CA53" t="s">
        <v>42</v>
      </c>
      <c r="CB53" t="s">
        <v>42</v>
      </c>
      <c r="CC53" t="s">
        <v>42</v>
      </c>
      <c r="CD53" t="s">
        <v>42</v>
      </c>
      <c r="CE53" t="s">
        <v>42</v>
      </c>
      <c r="CF53" t="s">
        <v>42</v>
      </c>
      <c r="CG53" t="s">
        <v>42</v>
      </c>
      <c r="CH53" t="s">
        <v>42</v>
      </c>
      <c r="CI53" t="s">
        <v>42</v>
      </c>
      <c r="CJ53" t="s">
        <v>42</v>
      </c>
      <c r="CK53" t="s">
        <v>42</v>
      </c>
      <c r="CL53" t="s">
        <v>42</v>
      </c>
      <c r="CM53" t="s">
        <v>42</v>
      </c>
      <c r="CN53" t="s">
        <v>42</v>
      </c>
      <c r="CO53" t="s">
        <v>42</v>
      </c>
      <c r="CP53" t="s">
        <v>42</v>
      </c>
      <c r="CQ53" t="s">
        <v>42</v>
      </c>
      <c r="CR53" t="s">
        <v>42</v>
      </c>
      <c r="CS53" s="4" t="str">
        <f>HYPERLINK("http://exon.niaid.nih.gov/transcriptome/C_felis/S1/links/KOG/cf-contig_189-KOG.txt","Mitochondrial carrier protein")</f>
        <v>Mitochondrial carrier protein</v>
      </c>
      <c r="CT53" t="str">
        <f>HYPERLINK("http://www.ncbi.nlm.nih.gov/COG/grace/shokog.cgi?KOG2954","0.13")</f>
        <v>0.13</v>
      </c>
      <c r="CU53" t="s">
        <v>1721</v>
      </c>
      <c r="CV53" s="4" t="str">
        <f>HYPERLINK("http://exon.niaid.nih.gov/transcriptome/C_felis/S1/links/PFAM/cf-contig_189-PFAM.txt","Toxin_3")</f>
        <v>Toxin_3</v>
      </c>
      <c r="CW53" t="str">
        <f>HYPERLINK("http://pfam.sanger.ac.uk/family?acc=PF00537","0.001")</f>
        <v>0.001</v>
      </c>
      <c r="CX53" s="4" t="str">
        <f>HYPERLINK("http://exon.niaid.nih.gov/transcriptome/C_felis/S1/links/SMART/cf-contig_189-SMART.txt","Knot1")</f>
        <v>Knot1</v>
      </c>
      <c r="CY53" t="str">
        <f>HYPERLINK("http://smart.embl-heidelberg.de/smart/do_annotation.pl?DOMAIN=Knot1&amp;BLAST=DUMMY","3E-005")</f>
        <v>3E-005</v>
      </c>
      <c r="CZ53" s="4" t="s">
        <v>42</v>
      </c>
      <c r="DA53" t="s">
        <v>42</v>
      </c>
      <c r="DB53" t="s">
        <v>42</v>
      </c>
      <c r="DC53" t="s">
        <v>42</v>
      </c>
      <c r="DD53" t="s">
        <v>42</v>
      </c>
      <c r="DE53" t="s">
        <v>42</v>
      </c>
      <c r="DF53" t="s">
        <v>42</v>
      </c>
      <c r="DG53" t="s">
        <v>42</v>
      </c>
      <c r="DH53" s="4" t="s">
        <v>42</v>
      </c>
      <c r="DI53" t="s">
        <v>42</v>
      </c>
      <c r="DJ53" s="4" t="s">
        <v>42</v>
      </c>
      <c r="DK53" t="s">
        <v>42</v>
      </c>
      <c r="DL53" s="4">
        <f>HYPERLINK("http://exon.niaid.nih.gov/transcriptome/C_felis/S1/links/cluster/cf-5-36-asb30-50-Id-CLU13.txt", 13)</f>
        <v>13</v>
      </c>
      <c r="DM53">
        <f>HYPERLINK("http://exon.niaid.nih.gov/transcriptome/C_felis/S1/links/cluster/cf-5-36-asb30-50-Id-CLTL13.txt", 4)</f>
        <v>4</v>
      </c>
      <c r="DN53" s="4">
        <f>HYPERLINK("http://exon.niaid.nih.gov/transcriptome/C_felis/S1/links/cluster/cf-5-36-asb35-50-Id-CLU11.txt", 11)</f>
        <v>11</v>
      </c>
      <c r="DO53">
        <f>HYPERLINK("http://exon.niaid.nih.gov/transcriptome/C_felis/S1/links/cluster/cf-5-36-asb35-50-Id-CLTL11.txt", 4)</f>
        <v>4</v>
      </c>
      <c r="DP53" s="4">
        <f>HYPERLINK("http://exon.niaid.nih.gov/transcriptome/C_felis/S1/links/cluster/cf-5-36-asb40-50-Id-CLU9.txt", 9)</f>
        <v>9</v>
      </c>
      <c r="DQ53">
        <f>HYPERLINK("http://exon.niaid.nih.gov/transcriptome/C_felis/S1/links/cluster/cf-5-36-asb40-50-Id-CLTL9.txt", 4)</f>
        <v>4</v>
      </c>
      <c r="DR53" s="4">
        <f>HYPERLINK("http://exon.niaid.nih.gov/transcriptome/C_felis/S1/links/cluster/cf-5-36-asb45-50-Id-CLU9.txt", 9)</f>
        <v>9</v>
      </c>
      <c r="DS53">
        <f>HYPERLINK("http://exon.niaid.nih.gov/transcriptome/C_felis/S1/links/cluster/cf-5-36-asb45-50-Id-CLTL9.txt", 4)</f>
        <v>4</v>
      </c>
      <c r="DT53" s="4">
        <f>HYPERLINK("http://exon.niaid.nih.gov/transcriptome/C_felis/S1/links/cluster/cf-5-36-asb50-50-Id-CLU30.txt", 30)</f>
        <v>30</v>
      </c>
      <c r="DU53">
        <f>HYPERLINK("http://exon.niaid.nih.gov/transcriptome/C_felis/S1/links/cluster/cf-5-36-asb50-50-Id-CLTL30.txt", 2)</f>
        <v>2</v>
      </c>
      <c r="DV53" s="4">
        <f>HYPERLINK("http://exon.niaid.nih.gov/transcriptome/C_felis/S1/links/cluster/cf-5-36-asb55-50-Id-CLU28.txt", 28)</f>
        <v>28</v>
      </c>
      <c r="DW53">
        <f>HYPERLINK("http://exon.niaid.nih.gov/transcriptome/C_felis/S1/links/cluster/cf-5-36-asb55-50-Id-CLTL28.txt", 2)</f>
        <v>2</v>
      </c>
      <c r="DX53" s="4">
        <f>HYPERLINK("http://exon.niaid.nih.gov/transcriptome/C_felis/S1/links/cluster/cf-5-36-asb60-50-Id-CLU25.txt", 25)</f>
        <v>25</v>
      </c>
      <c r="DY53">
        <f>HYPERLINK("http://exon.niaid.nih.gov/transcriptome/C_felis/S1/links/cluster/cf-5-36-asb60-50-Id-CLTL25.txt", 2)</f>
        <v>2</v>
      </c>
      <c r="DZ53" s="4">
        <v>177</v>
      </c>
      <c r="EA53">
        <v>1</v>
      </c>
      <c r="EB53" s="4">
        <v>182</v>
      </c>
      <c r="EC53">
        <v>1</v>
      </c>
      <c r="ED53" s="4">
        <v>183</v>
      </c>
      <c r="EE53">
        <v>1</v>
      </c>
      <c r="EF53" s="4">
        <v>184</v>
      </c>
      <c r="EG53">
        <v>1</v>
      </c>
      <c r="EH53" s="4">
        <v>184</v>
      </c>
      <c r="EI53">
        <v>1</v>
      </c>
      <c r="EJ53" s="4">
        <v>189</v>
      </c>
      <c r="EK53">
        <v>1</v>
      </c>
    </row>
    <row r="54" spans="1:141" x14ac:dyDescent="0.2">
      <c r="A54" t="str">
        <f>HYPERLINK("http://exon.niaid.nih.gov/transcriptome/C_felis/S1/links/cf/cf-contig_190.txt","cf-contig_190")</f>
        <v>cf-contig_190</v>
      </c>
      <c r="B54">
        <v>1</v>
      </c>
      <c r="C54" s="10" t="s">
        <v>4677</v>
      </c>
      <c r="D54">
        <v>1</v>
      </c>
      <c r="E54" t="str">
        <f>HYPERLINK("http://exon.niaid.nih.gov/transcriptome/C_felis/S1/links/cf/cf-5-36-asb-190.txt","Contig-190")</f>
        <v>Contig-190</v>
      </c>
      <c r="F54" t="str">
        <f>HYPERLINK("http://exon.niaid.nih.gov/transcriptome/C_felis/S1/links/cf/cf-5-36-190-CLU.txt","Contig190")</f>
        <v>Contig190</v>
      </c>
      <c r="G54" t="str">
        <f>HYPERLINK("http://exon.niaid.nih.gov/transcriptome/C_felis/S1/links/cf/cf-5-36-190-qual.txt","46.7")</f>
        <v>46.7</v>
      </c>
      <c r="H54" t="s">
        <v>11</v>
      </c>
      <c r="I54">
        <v>72</v>
      </c>
      <c r="J54">
        <v>277</v>
      </c>
      <c r="K54" t="s">
        <v>12</v>
      </c>
      <c r="L54">
        <v>1</v>
      </c>
      <c r="M54" t="s">
        <v>203</v>
      </c>
      <c r="N54">
        <v>277</v>
      </c>
      <c r="O54">
        <v>296</v>
      </c>
      <c r="P54">
        <v>150</v>
      </c>
      <c r="Q54" t="s">
        <v>1010</v>
      </c>
      <c r="R54">
        <v>3</v>
      </c>
      <c r="S54" s="7" t="s">
        <v>4585</v>
      </c>
      <c r="U54">
        <v>1</v>
      </c>
      <c r="V54" s="4">
        <f>HYPERLINK("http://exon.niaid.nih.gov/transcriptome/C_felis/S1/links/cluster/cf-5-36-asb30-50-Id-CLU13.txt", 13)</f>
        <v>13</v>
      </c>
      <c r="W54">
        <f>HYPERLINK("http://exon.niaid.nih.gov/transcriptome/C_felis/S1/links/cluster/cf-5-36-asb30-50-Id-CLTL13.txt", 4)</f>
        <v>4</v>
      </c>
      <c r="X54" s="4">
        <f>HYPERLINK("http://exon.niaid.nih.gov/transcriptome/C_felis/S1/links/cluster/cf-5-36-asb35-50-Id-CLU11.txt", 11)</f>
        <v>11</v>
      </c>
      <c r="Y54">
        <f>HYPERLINK("http://exon.niaid.nih.gov/transcriptome/C_felis/S1/links/cluster/cf-5-36-asb35-50-Id-CLTL11.txt", 4)</f>
        <v>4</v>
      </c>
      <c r="Z54" s="4">
        <f>HYPERLINK("http://exon.niaid.nih.gov/transcriptome/C_felis/S1/links/cluster/cf-5-36-asb40-50-Id-CLU9.txt", 9)</f>
        <v>9</v>
      </c>
      <c r="AA54">
        <f>HYPERLINK("http://exon.niaid.nih.gov/transcriptome/C_felis/S1/links/cluster/cf-5-36-asb40-50-Id-CLTL9.txt", 4)</f>
        <v>4</v>
      </c>
      <c r="AB54" s="4" t="str">
        <f>HYPERLINK("http://exon.niaid.nih.gov/transcriptome/C_felis/S1/links/XC-ASB/cf-contig_514-XC-ASB.txt","XC-contig_36")</f>
        <v>XC-contig_36</v>
      </c>
      <c r="AC54">
        <v>0.18</v>
      </c>
      <c r="AD54" s="10" t="s">
        <v>4677</v>
      </c>
      <c r="AE54" t="s">
        <v>4678</v>
      </c>
      <c r="AF54" t="str">
        <f>HYPERLINK("http://exon.niaid.nih.gov/transcriptome/C_felis/S1/links/SMART/cf-contig_190-SMART.txt","SMART")</f>
        <v>SMART</v>
      </c>
      <c r="AG54">
        <v>2.0000000000000002E-5</v>
      </c>
      <c r="AH54">
        <v>62.2</v>
      </c>
      <c r="AI54" s="4" t="str">
        <f>HYPERLINK("http://exon.niaid.nih.gov/transcriptome/C_felis/S1/links/NR/cf-contig_190-NR.txt","defensin-like protein 3")</f>
        <v>defensin-like protein 3</v>
      </c>
      <c r="AJ54" t="str">
        <f>HYPERLINK("http://www.ncbi.nlm.nih.gov/sutils/blink.cgi?pid=260765461","0.078")</f>
        <v>0.078</v>
      </c>
      <c r="AK54" t="str">
        <f>HYPERLINK("http://www.ncbi.nlm.nih.gov/protein/260765461","gi|260765461")</f>
        <v>gi|260765461</v>
      </c>
      <c r="AL54">
        <v>40.799999999999997</v>
      </c>
      <c r="AM54">
        <v>30</v>
      </c>
      <c r="AN54">
        <v>88</v>
      </c>
      <c r="AO54">
        <v>45</v>
      </c>
      <c r="AP54">
        <v>35</v>
      </c>
      <c r="AQ54">
        <v>17</v>
      </c>
      <c r="AR54">
        <v>0</v>
      </c>
      <c r="AS54">
        <v>58</v>
      </c>
      <c r="AT54">
        <v>37</v>
      </c>
      <c r="AU54">
        <v>1</v>
      </c>
      <c r="AV54">
        <v>1</v>
      </c>
      <c r="AW54" t="s">
        <v>12</v>
      </c>
      <c r="AY54" t="s">
        <v>1676</v>
      </c>
      <c r="AZ54" t="s">
        <v>2314</v>
      </c>
      <c r="BA54" s="4" t="str">
        <f>HYPERLINK("http://exon.niaid.nih.gov/transcriptome/C_felis/S1/links/SWISSP/cf-contig_190-SWISSP.txt","Potassium channel toxin alpha-KTx 10.1")</f>
        <v>Potassium channel toxin alpha-KTx 10.1</v>
      </c>
      <c r="BB54" t="str">
        <f>HYPERLINK("http://www.uniprot.org/uniprot/O46028","0.26")</f>
        <v>0.26</v>
      </c>
      <c r="BC54" t="s">
        <v>2365</v>
      </c>
      <c r="BD54">
        <v>34.299999999999997</v>
      </c>
      <c r="BE54">
        <v>22</v>
      </c>
      <c r="BF54">
        <v>62</v>
      </c>
      <c r="BG54">
        <v>54</v>
      </c>
      <c r="BH54">
        <v>37</v>
      </c>
      <c r="BI54">
        <v>11</v>
      </c>
      <c r="BJ54">
        <v>0</v>
      </c>
      <c r="BK54">
        <v>36</v>
      </c>
      <c r="BL54">
        <v>58</v>
      </c>
      <c r="BM54">
        <v>1</v>
      </c>
      <c r="BN54">
        <v>1</v>
      </c>
      <c r="BO54" t="s">
        <v>12</v>
      </c>
      <c r="BQ54" t="s">
        <v>1676</v>
      </c>
      <c r="BR54" t="s">
        <v>2366</v>
      </c>
      <c r="BS54" s="4" t="str">
        <f>HYPERLINK("http://exon.niaid.nih.gov/transcriptome/C_felis/S1/links/CDD/cf-contig_190-CDD.txt","ATP_synt_6_or_A")</f>
        <v>ATP_synt_6_or_A</v>
      </c>
      <c r="BT54" t="str">
        <f>HYPERLINK("http://www.ncbi.nlm.nih.gov/Structure/cdd/cddsrv.cgi?uid=TIGR01131&amp;version=v4.0","8E-004")</f>
        <v>8E-004</v>
      </c>
      <c r="BU54" t="s">
        <v>2370</v>
      </c>
      <c r="BV54" s="4" t="s">
        <v>42</v>
      </c>
      <c r="BW54" t="s">
        <v>42</v>
      </c>
      <c r="BX54" t="s">
        <v>42</v>
      </c>
      <c r="BY54" t="s">
        <v>42</v>
      </c>
      <c r="BZ54" t="s">
        <v>42</v>
      </c>
      <c r="CA54" t="s">
        <v>42</v>
      </c>
      <c r="CB54" t="s">
        <v>42</v>
      </c>
      <c r="CC54" t="s">
        <v>42</v>
      </c>
      <c r="CD54" t="s">
        <v>42</v>
      </c>
      <c r="CE54" t="s">
        <v>42</v>
      </c>
      <c r="CF54" t="s">
        <v>42</v>
      </c>
      <c r="CG54" t="s">
        <v>42</v>
      </c>
      <c r="CH54" t="s">
        <v>42</v>
      </c>
      <c r="CI54" t="s">
        <v>42</v>
      </c>
      <c r="CJ54" t="s">
        <v>42</v>
      </c>
      <c r="CK54" t="s">
        <v>42</v>
      </c>
      <c r="CL54" t="s">
        <v>42</v>
      </c>
      <c r="CM54" t="s">
        <v>42</v>
      </c>
      <c r="CN54" t="s">
        <v>42</v>
      </c>
      <c r="CO54" t="s">
        <v>42</v>
      </c>
      <c r="CP54" t="s">
        <v>42</v>
      </c>
      <c r="CQ54" t="s">
        <v>42</v>
      </c>
      <c r="CR54" t="s">
        <v>42</v>
      </c>
      <c r="CS54" s="4" t="str">
        <f>HYPERLINK("http://exon.niaid.nih.gov/transcriptome/C_felis/S1/links/KOG/cf-contig_190-KOG.txt","Lipid exporter ABCA1 and related proteins, ABC superfamily")</f>
        <v>Lipid exporter ABCA1 and related proteins, ABC superfamily</v>
      </c>
      <c r="CT54" t="str">
        <f>HYPERLINK("http://www.ncbi.nlm.nih.gov/COG/grace/shokog.cgi?KOG0059","0.50")</f>
        <v>0.50</v>
      </c>
      <c r="CU54" t="s">
        <v>1768</v>
      </c>
      <c r="CV54" s="4" t="str">
        <f>HYPERLINK("http://exon.niaid.nih.gov/transcriptome/C_felis/S1/links/PFAM/cf-contig_190-PFAM.txt","Toxin_3")</f>
        <v>Toxin_3</v>
      </c>
      <c r="CW54" t="str">
        <f>HYPERLINK("http://pfam.sanger.ac.uk/family?acc=PF00537","0.001")</f>
        <v>0.001</v>
      </c>
      <c r="CX54" s="4" t="str">
        <f>HYPERLINK("http://exon.niaid.nih.gov/transcriptome/C_felis/S1/links/SMART/cf-contig_190-SMART.txt","Knot1")</f>
        <v>Knot1</v>
      </c>
      <c r="CY54" t="str">
        <f>HYPERLINK("http://smart.embl-heidelberg.de/smart/do_annotation.pl?DOMAIN=Knot1&amp;BLAST=DUMMY","2E-005")</f>
        <v>2E-005</v>
      </c>
      <c r="CZ54" s="4" t="s">
        <v>42</v>
      </c>
      <c r="DA54" t="s">
        <v>42</v>
      </c>
      <c r="DB54" t="s">
        <v>42</v>
      </c>
      <c r="DC54" t="s">
        <v>42</v>
      </c>
      <c r="DD54" t="s">
        <v>42</v>
      </c>
      <c r="DE54" t="s">
        <v>42</v>
      </c>
      <c r="DF54" t="s">
        <v>42</v>
      </c>
      <c r="DG54" t="s">
        <v>42</v>
      </c>
      <c r="DH54" s="4" t="s">
        <v>42</v>
      </c>
      <c r="DI54" t="s">
        <v>42</v>
      </c>
      <c r="DJ54" s="4" t="s">
        <v>42</v>
      </c>
      <c r="DK54" t="s">
        <v>42</v>
      </c>
      <c r="DL54" s="4">
        <f>HYPERLINK("http://exon.niaid.nih.gov/transcriptome/C_felis/S1/links/cluster/cf-5-36-asb30-50-Id-CLU13.txt", 13)</f>
        <v>13</v>
      </c>
      <c r="DM54">
        <f>HYPERLINK("http://exon.niaid.nih.gov/transcriptome/C_felis/S1/links/cluster/cf-5-36-asb30-50-Id-CLTL13.txt", 4)</f>
        <v>4</v>
      </c>
      <c r="DN54" s="4">
        <f>HYPERLINK("http://exon.niaid.nih.gov/transcriptome/C_felis/S1/links/cluster/cf-5-36-asb35-50-Id-CLU11.txt", 11)</f>
        <v>11</v>
      </c>
      <c r="DO54">
        <f>HYPERLINK("http://exon.niaid.nih.gov/transcriptome/C_felis/S1/links/cluster/cf-5-36-asb35-50-Id-CLTL11.txt", 4)</f>
        <v>4</v>
      </c>
      <c r="DP54" s="4">
        <f>HYPERLINK("http://exon.niaid.nih.gov/transcriptome/C_felis/S1/links/cluster/cf-5-36-asb40-50-Id-CLU9.txt", 9)</f>
        <v>9</v>
      </c>
      <c r="DQ54">
        <f>HYPERLINK("http://exon.niaid.nih.gov/transcriptome/C_felis/S1/links/cluster/cf-5-36-asb40-50-Id-CLTL9.txt", 4)</f>
        <v>4</v>
      </c>
      <c r="DR54" s="4">
        <f>HYPERLINK("http://exon.niaid.nih.gov/transcriptome/C_felis/S1/links/cluster/cf-5-36-asb45-50-Id-CLU9.txt", 9)</f>
        <v>9</v>
      </c>
      <c r="DS54">
        <f>HYPERLINK("http://exon.niaid.nih.gov/transcriptome/C_felis/S1/links/cluster/cf-5-36-asb45-50-Id-CLTL9.txt", 4)</f>
        <v>4</v>
      </c>
      <c r="DT54" s="4">
        <f>HYPERLINK("http://exon.niaid.nih.gov/transcriptome/C_felis/S1/links/cluster/cf-5-36-asb50-50-Id-CLU30.txt", 30)</f>
        <v>30</v>
      </c>
      <c r="DU54">
        <f>HYPERLINK("http://exon.niaid.nih.gov/transcriptome/C_felis/S1/links/cluster/cf-5-36-asb50-50-Id-CLTL30.txt", 2)</f>
        <v>2</v>
      </c>
      <c r="DV54" s="4">
        <f>HYPERLINK("http://exon.niaid.nih.gov/transcriptome/C_felis/S1/links/cluster/cf-5-36-asb55-50-Id-CLU28.txt", 28)</f>
        <v>28</v>
      </c>
      <c r="DW54">
        <f>HYPERLINK("http://exon.niaid.nih.gov/transcriptome/C_felis/S1/links/cluster/cf-5-36-asb55-50-Id-CLTL28.txt", 2)</f>
        <v>2</v>
      </c>
      <c r="DX54" s="4">
        <f>HYPERLINK("http://exon.niaid.nih.gov/transcriptome/C_felis/S1/links/cluster/cf-5-36-asb60-50-Id-CLU25.txt", 25)</f>
        <v>25</v>
      </c>
      <c r="DY54">
        <f>HYPERLINK("http://exon.niaid.nih.gov/transcriptome/C_felis/S1/links/cluster/cf-5-36-asb60-50-Id-CLTL25.txt", 2)</f>
        <v>2</v>
      </c>
      <c r="DZ54" s="4">
        <v>178</v>
      </c>
      <c r="EA54">
        <v>1</v>
      </c>
      <c r="EB54" s="4">
        <v>183</v>
      </c>
      <c r="EC54">
        <v>1</v>
      </c>
      <c r="ED54" s="4">
        <v>184</v>
      </c>
      <c r="EE54">
        <v>1</v>
      </c>
      <c r="EF54" s="4">
        <v>185</v>
      </c>
      <c r="EG54">
        <v>1</v>
      </c>
      <c r="EH54" s="4">
        <v>185</v>
      </c>
      <c r="EI54">
        <v>1</v>
      </c>
      <c r="EJ54" s="4">
        <v>190</v>
      </c>
      <c r="EK54">
        <v>1</v>
      </c>
    </row>
    <row r="55" spans="1:141" s="6" customFormat="1" x14ac:dyDescent="0.2">
      <c r="A55" s="12" t="s">
        <v>4934</v>
      </c>
      <c r="AB55" s="6" t="s">
        <v>42</v>
      </c>
    </row>
    <row r="56" spans="1:141" s="6" customFormat="1" x14ac:dyDescent="0.2">
      <c r="A56" s="12" t="s">
        <v>4920</v>
      </c>
      <c r="D56" s="6">
        <f>SUM(D57:D75)</f>
        <v>42</v>
      </c>
      <c r="AB56" s="6" t="s">
        <v>42</v>
      </c>
    </row>
    <row r="57" spans="1:141" x14ac:dyDescent="0.2">
      <c r="A57" t="str">
        <f>HYPERLINK("http://exon.niaid.nih.gov/transcriptome/C_felis/S1/links/cf/cf-contig_29.txt","cf-contig_29")</f>
        <v>cf-contig_29</v>
      </c>
      <c r="B57">
        <v>3</v>
      </c>
      <c r="C57" s="10" t="s">
        <v>4600</v>
      </c>
      <c r="D57">
        <v>3</v>
      </c>
      <c r="E57" t="str">
        <f>HYPERLINK("http://exon.niaid.nih.gov/transcriptome/C_felis/S1/links/cf/cf-5-36-asb-29.txt","Contig-29")</f>
        <v>Contig-29</v>
      </c>
      <c r="F57" t="str">
        <f>HYPERLINK("http://exon.niaid.nih.gov/transcriptome/C_felis/S1/links/cf/cf-5-36-29-CLU.txt","Contig29")</f>
        <v>Contig29</v>
      </c>
      <c r="G57" t="str">
        <f>HYPERLINK("http://exon.niaid.nih.gov/transcriptome/C_felis/S1/links/cf/cf-5-36-29-qual.txt","75.")</f>
        <v>75.</v>
      </c>
      <c r="H57" t="s">
        <v>11</v>
      </c>
      <c r="I57">
        <v>72.2</v>
      </c>
      <c r="J57">
        <v>305</v>
      </c>
      <c r="K57" t="s">
        <v>12</v>
      </c>
      <c r="L57">
        <v>3</v>
      </c>
      <c r="M57" t="s">
        <v>41</v>
      </c>
      <c r="N57">
        <v>164</v>
      </c>
      <c r="O57">
        <v>324</v>
      </c>
      <c r="P57">
        <v>102</v>
      </c>
      <c r="Q57" t="s">
        <v>851</v>
      </c>
      <c r="R57">
        <v>3</v>
      </c>
      <c r="S57" s="7" t="s">
        <v>4585</v>
      </c>
      <c r="U57">
        <v>3</v>
      </c>
      <c r="V57" s="4">
        <f t="shared" ref="V57:V63" si="0">HYPERLINK("http://exon.niaid.nih.gov/transcriptome/C_felis/S1/links/cluster/cf-5-36-asb30-50-Id-CLU1.txt", 1)</f>
        <v>1</v>
      </c>
      <c r="W57">
        <f t="shared" ref="W57:W63" si="1">HYPERLINK("http://exon.niaid.nih.gov/transcriptome/C_felis/S1/links/cluster/cf-5-36-asb30-50-Id-CLTL1.txt", 14)</f>
        <v>14</v>
      </c>
      <c r="X57" s="4">
        <f>HYPERLINK("http://exon.niaid.nih.gov/transcriptome/C_felis/S1/links/cluster/cf-5-36-asb35-50-Id-CLU2.txt", 2)</f>
        <v>2</v>
      </c>
      <c r="Y57">
        <f>HYPERLINK("http://exon.niaid.nih.gov/transcriptome/C_felis/S1/links/cluster/cf-5-36-asb35-50-Id-CLTL2.txt", 9)</f>
        <v>9</v>
      </c>
      <c r="Z57" s="4">
        <f>HYPERLINK("http://exon.niaid.nih.gov/transcriptome/C_felis/S1/links/cluster/cf-5-36-asb40-50-Id-CLU21.txt", 21)</f>
        <v>21</v>
      </c>
      <c r="AA57">
        <f>HYPERLINK("http://exon.niaid.nih.gov/transcriptome/C_felis/S1/links/cluster/cf-5-36-asb40-50-Id-CLTL21.txt", 2)</f>
        <v>2</v>
      </c>
      <c r="AB57" s="4" t="str">
        <f>HYPERLINK("http://exon.niaid.nih.gov/transcriptome/C_felis/S1/links/XC-ASB/cf-contig_55-XC-ASB.txt","XC-contig_237")</f>
        <v>XC-contig_237</v>
      </c>
      <c r="AC57">
        <v>8.5999999999999993E-2</v>
      </c>
      <c r="AD57" s="10" t="s">
        <v>4600</v>
      </c>
      <c r="AE57" t="s">
        <v>4599</v>
      </c>
      <c r="AI57" s="4" t="str">
        <f>HYPERLINK("http://exon.niaid.nih.gov/transcriptome/C_felis/S1/links/NR/cf-contig_29-NR.txt","FS-H precursor")</f>
        <v>FS-H precursor</v>
      </c>
      <c r="AJ57" t="str">
        <f>HYPERLINK("http://www.ncbi.nlm.nih.gov/sutils/blink.cgi?pid=1575479","0.005")</f>
        <v>0.005</v>
      </c>
      <c r="AK57" t="str">
        <f t="shared" ref="AK57:AK75" si="2">HYPERLINK("http://www.ncbi.nlm.nih.gov/protein/1575479","gi|1575479")</f>
        <v>gi|1575479</v>
      </c>
      <c r="AL57">
        <v>44.7</v>
      </c>
      <c r="AM57">
        <v>20</v>
      </c>
      <c r="AN57">
        <v>98</v>
      </c>
      <c r="AO57">
        <v>80</v>
      </c>
      <c r="AP57">
        <v>21</v>
      </c>
      <c r="AQ57">
        <v>4</v>
      </c>
      <c r="AR57">
        <v>0</v>
      </c>
      <c r="AS57">
        <v>78</v>
      </c>
      <c r="AT57">
        <v>4</v>
      </c>
      <c r="AU57">
        <v>1</v>
      </c>
      <c r="AV57">
        <v>1</v>
      </c>
      <c r="AW57" t="s">
        <v>12</v>
      </c>
      <c r="AX57">
        <v>5</v>
      </c>
      <c r="AY57" t="s">
        <v>1676</v>
      </c>
      <c r="AZ57" t="s">
        <v>1728</v>
      </c>
      <c r="BA57" s="4" t="str">
        <f>HYPERLINK("http://exon.niaid.nih.gov/transcriptome/C_felis/S1/links/SWISSP/cf-contig_29-SWISSP.txt","RNA1 polyprotein")</f>
        <v>RNA1 polyprotein</v>
      </c>
      <c r="BB57" t="str">
        <f>HYPERLINK("http://www.uniprot.org/uniprot/P29150","4.8")</f>
        <v>4.8</v>
      </c>
      <c r="BC57" t="s">
        <v>1777</v>
      </c>
      <c r="BD57">
        <v>30</v>
      </c>
      <c r="BE57">
        <v>50</v>
      </c>
      <c r="BF57">
        <v>2197</v>
      </c>
      <c r="BG57">
        <v>33</v>
      </c>
      <c r="BH57">
        <v>2</v>
      </c>
      <c r="BI57">
        <v>34</v>
      </c>
      <c r="BJ57">
        <v>0</v>
      </c>
      <c r="BK57">
        <v>1946</v>
      </c>
      <c r="BL57">
        <v>140</v>
      </c>
      <c r="BM57">
        <v>1</v>
      </c>
      <c r="BN57">
        <v>-3</v>
      </c>
      <c r="BO57" t="s">
        <v>12</v>
      </c>
      <c r="BQ57" t="s">
        <v>1666</v>
      </c>
      <c r="BR57" t="s">
        <v>1778</v>
      </c>
      <c r="BS57" s="4" t="str">
        <f>HYPERLINK("http://exon.niaid.nih.gov/transcriptome/C_felis/S1/links/CDD/cf-contig_29-CDD.txt","Corona_S2")</f>
        <v>Corona_S2</v>
      </c>
      <c r="BT57" t="str">
        <f>HYPERLINK("http://www.ncbi.nlm.nih.gov/Structure/cdd/cddsrv.cgi?uid=pfam01601&amp;version=v4.0","0.24")</f>
        <v>0.24</v>
      </c>
      <c r="BU57" t="s">
        <v>1779</v>
      </c>
      <c r="BV57" s="4" t="s">
        <v>42</v>
      </c>
      <c r="BW57" t="s">
        <v>42</v>
      </c>
      <c r="BX57" t="s">
        <v>42</v>
      </c>
      <c r="BY57" t="s">
        <v>42</v>
      </c>
      <c r="BZ57" t="s">
        <v>42</v>
      </c>
      <c r="CA57" t="s">
        <v>42</v>
      </c>
      <c r="CB57" t="s">
        <v>42</v>
      </c>
      <c r="CC57" t="s">
        <v>42</v>
      </c>
      <c r="CD57" t="s">
        <v>42</v>
      </c>
      <c r="CE57" t="s">
        <v>42</v>
      </c>
      <c r="CF57" t="s">
        <v>42</v>
      </c>
      <c r="CG57" t="s">
        <v>42</v>
      </c>
      <c r="CH57" t="s">
        <v>42</v>
      </c>
      <c r="CI57" t="s">
        <v>42</v>
      </c>
      <c r="CJ57" t="s">
        <v>42</v>
      </c>
      <c r="CK57" t="s">
        <v>42</v>
      </c>
      <c r="CL57" t="s">
        <v>42</v>
      </c>
      <c r="CM57" t="s">
        <v>42</v>
      </c>
      <c r="CN57" t="s">
        <v>42</v>
      </c>
      <c r="CO57" t="s">
        <v>42</v>
      </c>
      <c r="CP57" t="s">
        <v>42</v>
      </c>
      <c r="CQ57" t="s">
        <v>42</v>
      </c>
      <c r="CR57" t="s">
        <v>42</v>
      </c>
      <c r="CS57" s="4" t="str">
        <f>HYPERLINK("http://exon.niaid.nih.gov/transcriptome/C_felis/S1/links/KOG/cf-contig_29-KOG.txt","Sphingomyelinase family protein")</f>
        <v>Sphingomyelinase family protein</v>
      </c>
      <c r="CT57" t="str">
        <f>HYPERLINK("http://www.ncbi.nlm.nih.gov/COG/grace/shokog.cgi?KOG3873","0.32")</f>
        <v>0.32</v>
      </c>
      <c r="CU57" t="s">
        <v>1780</v>
      </c>
      <c r="CV57" s="4" t="str">
        <f>HYPERLINK("http://exon.niaid.nih.gov/transcriptome/C_felis/S1/links/PFAM/cf-contig_29-PFAM.txt","Corona_S2")</f>
        <v>Corona_S2</v>
      </c>
      <c r="CW57" t="str">
        <f>HYPERLINK("http://pfam.sanger.ac.uk/family?acc=PF01601","0.050")</f>
        <v>0.050</v>
      </c>
      <c r="CX57" s="4" t="str">
        <f>HYPERLINK("http://exon.niaid.nih.gov/transcriptome/C_felis/S1/links/SMART/cf-contig_29-SMART.txt","AgrB")</f>
        <v>AgrB</v>
      </c>
      <c r="CY57" t="str">
        <f>HYPERLINK("http://smart.embl-heidelberg.de/smart/do_annotation.pl?DOMAIN=AgrB&amp;BLAST=DUMMY","0.097")</f>
        <v>0.097</v>
      </c>
      <c r="CZ57" s="4" t="s">
        <v>42</v>
      </c>
      <c r="DA57" t="s">
        <v>42</v>
      </c>
      <c r="DB57" t="s">
        <v>42</v>
      </c>
      <c r="DC57" t="s">
        <v>42</v>
      </c>
      <c r="DD57" t="s">
        <v>42</v>
      </c>
      <c r="DE57" t="s">
        <v>42</v>
      </c>
      <c r="DF57" t="s">
        <v>42</v>
      </c>
      <c r="DG57" t="s">
        <v>42</v>
      </c>
      <c r="DH57" s="4" t="s">
        <v>42</v>
      </c>
      <c r="DI57" t="s">
        <v>42</v>
      </c>
      <c r="DJ57" s="4" t="s">
        <v>42</v>
      </c>
      <c r="DK57" t="s">
        <v>42</v>
      </c>
      <c r="DL57" s="4">
        <f t="shared" ref="DL57:DL63" si="3">HYPERLINK("http://exon.niaid.nih.gov/transcriptome/C_felis/S1/links/cluster/cf-5-36-asb30-50-Id-CLU1.txt", 1)</f>
        <v>1</v>
      </c>
      <c r="DM57">
        <f t="shared" ref="DM57:DM63" si="4">HYPERLINK("http://exon.niaid.nih.gov/transcriptome/C_felis/S1/links/cluster/cf-5-36-asb30-50-Id-CLTL1.txt", 14)</f>
        <v>14</v>
      </c>
      <c r="DN57" s="4">
        <f>HYPERLINK("http://exon.niaid.nih.gov/transcriptome/C_felis/S1/links/cluster/cf-5-36-asb35-50-Id-CLU2.txt", 2)</f>
        <v>2</v>
      </c>
      <c r="DO57">
        <f>HYPERLINK("http://exon.niaid.nih.gov/transcriptome/C_felis/S1/links/cluster/cf-5-36-asb35-50-Id-CLTL2.txt", 9)</f>
        <v>9</v>
      </c>
      <c r="DP57" s="4">
        <f>HYPERLINK("http://exon.niaid.nih.gov/transcriptome/C_felis/S1/links/cluster/cf-5-36-asb40-50-Id-CLU21.txt", 21)</f>
        <v>21</v>
      </c>
      <c r="DQ57">
        <f>HYPERLINK("http://exon.niaid.nih.gov/transcriptome/C_felis/S1/links/cluster/cf-5-36-asb40-50-Id-CLTL21.txt", 2)</f>
        <v>2</v>
      </c>
      <c r="DR57" s="4">
        <f>HYPERLINK("http://exon.niaid.nih.gov/transcriptome/C_felis/S1/links/cluster/cf-5-36-asb45-50-Id-CLU19.txt", 19)</f>
        <v>19</v>
      </c>
      <c r="DS57">
        <f>HYPERLINK("http://exon.niaid.nih.gov/transcriptome/C_felis/S1/links/cluster/cf-5-36-asb45-50-Id-CLTL19.txt", 2)</f>
        <v>2</v>
      </c>
      <c r="DT57" s="4">
        <f>HYPERLINK("http://exon.niaid.nih.gov/transcriptome/C_felis/S1/links/cluster/cf-5-36-asb50-50-Id-CLU15.txt", 15)</f>
        <v>15</v>
      </c>
      <c r="DU57">
        <f>HYPERLINK("http://exon.niaid.nih.gov/transcriptome/C_felis/S1/links/cluster/cf-5-36-asb50-50-Id-CLTL15.txt", 2)</f>
        <v>2</v>
      </c>
      <c r="DV57" s="4">
        <f>HYPERLINK("http://exon.niaid.nih.gov/transcriptome/C_felis/S1/links/cluster/cf-5-36-asb55-50-Id-CLU16.txt", 16)</f>
        <v>16</v>
      </c>
      <c r="DW57">
        <f>HYPERLINK("http://exon.niaid.nih.gov/transcriptome/C_felis/S1/links/cluster/cf-5-36-asb55-50-Id-CLTL16.txt", 2)</f>
        <v>2</v>
      </c>
      <c r="DX57" s="4">
        <f>HYPERLINK("http://exon.niaid.nih.gov/transcriptome/C_felis/S1/links/cluster/cf-5-36-asb60-50-Id-CLU14.txt", 14)</f>
        <v>14</v>
      </c>
      <c r="DY57">
        <f>HYPERLINK("http://exon.niaid.nih.gov/transcriptome/C_felis/S1/links/cluster/cf-5-36-asb60-50-Id-CLTL14.txt", 2)</f>
        <v>2</v>
      </c>
      <c r="DZ57" s="4">
        <f>HYPERLINK("http://exon.niaid.nih.gov/transcriptome/C_felis/S1/links/cluster/cf-5-36-asb65-50-Id-CLU11.txt", 11)</f>
        <v>11</v>
      </c>
      <c r="EA57">
        <f>HYPERLINK("http://exon.niaid.nih.gov/transcriptome/C_felis/S1/links/cluster/cf-5-36-asb65-50-Id-CLTL11.txt", 2)</f>
        <v>2</v>
      </c>
      <c r="EB57" s="4">
        <v>52</v>
      </c>
      <c r="EC57">
        <v>1</v>
      </c>
      <c r="ED57" s="4">
        <v>52</v>
      </c>
      <c r="EE57">
        <v>1</v>
      </c>
      <c r="EF57" s="4">
        <v>46</v>
      </c>
      <c r="EG57">
        <v>1</v>
      </c>
      <c r="EH57" s="4">
        <v>34</v>
      </c>
      <c r="EI57">
        <v>1</v>
      </c>
      <c r="EJ57" s="4">
        <v>29</v>
      </c>
      <c r="EK57">
        <v>1</v>
      </c>
    </row>
    <row r="58" spans="1:141" x14ac:dyDescent="0.2">
      <c r="A58" t="str">
        <f>HYPERLINK("http://exon.niaid.nih.gov/transcriptome/C_felis/S1/links/cf/cf-contig_37.txt","cf-contig_37")</f>
        <v>cf-contig_37</v>
      </c>
      <c r="B58">
        <v>1</v>
      </c>
      <c r="C58" s="10" t="s">
        <v>4603</v>
      </c>
      <c r="D58">
        <v>1</v>
      </c>
      <c r="E58" t="str">
        <f>HYPERLINK("http://exon.niaid.nih.gov/transcriptome/C_felis/S1/links/cf/cf-5-36-asb-37.txt","Contig-37")</f>
        <v>Contig-37</v>
      </c>
      <c r="F58" t="str">
        <f>HYPERLINK("http://exon.niaid.nih.gov/transcriptome/C_felis/S1/links/cf/cf-5-36-37-CLU.txt","Contig37")</f>
        <v>Contig37</v>
      </c>
      <c r="G58" t="str">
        <f>HYPERLINK("http://exon.niaid.nih.gov/transcriptome/C_felis/S1/links/cf/cf-5-36-37-qual.txt","62.4")</f>
        <v>62.4</v>
      </c>
      <c r="H58">
        <v>0.2</v>
      </c>
      <c r="I58">
        <v>70.400000000000006</v>
      </c>
      <c r="J58">
        <v>427</v>
      </c>
      <c r="K58" t="s">
        <v>12</v>
      </c>
      <c r="L58">
        <v>1</v>
      </c>
      <c r="M58" t="s">
        <v>50</v>
      </c>
      <c r="N58">
        <v>427</v>
      </c>
      <c r="O58">
        <v>446</v>
      </c>
      <c r="P58">
        <v>201</v>
      </c>
      <c r="Q58" t="s">
        <v>859</v>
      </c>
      <c r="R58">
        <v>1</v>
      </c>
      <c r="S58" s="7" t="s">
        <v>4585</v>
      </c>
      <c r="U58">
        <v>1</v>
      </c>
      <c r="V58" s="4">
        <f t="shared" si="0"/>
        <v>1</v>
      </c>
      <c r="W58">
        <f t="shared" si="1"/>
        <v>14</v>
      </c>
      <c r="X58" s="4">
        <f>HYPERLINK("http://exon.niaid.nih.gov/transcriptome/C_felis/S1/links/cluster/cf-5-36-asb35-50-Id-CLU2.txt", 2)</f>
        <v>2</v>
      </c>
      <c r="Y58">
        <f>HYPERLINK("http://exon.niaid.nih.gov/transcriptome/C_felis/S1/links/cluster/cf-5-36-asb35-50-Id-CLTL2.txt", 9)</f>
        <v>9</v>
      </c>
      <c r="Z58" s="4">
        <f>HYPERLINK("http://exon.niaid.nih.gov/transcriptome/C_felis/S1/links/cluster/cf-5-36-asb40-50-Id-CLU21.txt", 21)</f>
        <v>21</v>
      </c>
      <c r="AA58">
        <f>HYPERLINK("http://exon.niaid.nih.gov/transcriptome/C_felis/S1/links/cluster/cf-5-36-asb40-50-Id-CLTL21.txt", 2)</f>
        <v>2</v>
      </c>
      <c r="AB58" s="4" t="str">
        <f>HYPERLINK("http://exon.niaid.nih.gov/transcriptome/C_felis/S1/links/XC-ASB/cf-contig_693-XC-ASB.txt","XC-contig_52")</f>
        <v>XC-contig_52</v>
      </c>
      <c r="AC58">
        <v>1.9999999999999999E-7</v>
      </c>
      <c r="AD58" s="10" t="s">
        <v>4603</v>
      </c>
      <c r="AE58" t="s">
        <v>4599</v>
      </c>
      <c r="AF58" t="str">
        <f>HYPERLINK("http://exon.niaid.nih.gov/transcriptome/C_felis/S1/links/NR/cf-contig_37-NR.txt","NR")</f>
        <v>NR</v>
      </c>
      <c r="AG58">
        <v>1.0000000000000001E-9</v>
      </c>
      <c r="AH58">
        <v>56.3</v>
      </c>
      <c r="AI58" s="4" t="str">
        <f>HYPERLINK("http://exon.niaid.nih.gov/transcriptome/C_felis/S1/links/NR/cf-contig_37-NR.txt","FS-H precursor")</f>
        <v>FS-H precursor</v>
      </c>
      <c r="AJ58" t="str">
        <f>HYPERLINK("http://www.ncbi.nlm.nih.gov/sutils/blink.cgi?pid=1575479","7E-011")</f>
        <v>7E-011</v>
      </c>
      <c r="AK58" t="str">
        <f t="shared" si="2"/>
        <v>gi|1575479</v>
      </c>
      <c r="AL58">
        <v>70.900000000000006</v>
      </c>
      <c r="AM58">
        <v>55</v>
      </c>
      <c r="AN58">
        <v>98</v>
      </c>
      <c r="AO58">
        <v>51</v>
      </c>
      <c r="AP58">
        <v>57</v>
      </c>
      <c r="AQ58">
        <v>27</v>
      </c>
      <c r="AR58">
        <v>3</v>
      </c>
      <c r="AS58">
        <v>43</v>
      </c>
      <c r="AT58">
        <v>30</v>
      </c>
      <c r="AU58">
        <v>1</v>
      </c>
      <c r="AV58">
        <v>3</v>
      </c>
      <c r="AW58" t="s">
        <v>12</v>
      </c>
      <c r="AX58">
        <v>1.8180000000000001</v>
      </c>
      <c r="AY58" t="s">
        <v>1676</v>
      </c>
      <c r="AZ58" t="s">
        <v>1728</v>
      </c>
      <c r="BA58" s="4" t="str">
        <f>HYPERLINK("http://exon.niaid.nih.gov/transcriptome/C_felis/S1/links/SWISSP/cf-contig_37-SWISSP.txt","Protein crumbs")</f>
        <v>Protein crumbs</v>
      </c>
      <c r="BB58" t="str">
        <f>HYPERLINK("http://www.uniprot.org/uniprot/P10040","0.30")</f>
        <v>0.30</v>
      </c>
      <c r="BC58" t="s">
        <v>1803</v>
      </c>
      <c r="BD58">
        <v>34.299999999999997</v>
      </c>
      <c r="BE58">
        <v>41</v>
      </c>
      <c r="BF58">
        <v>2146</v>
      </c>
      <c r="BG58">
        <v>38</v>
      </c>
      <c r="BH58">
        <v>2</v>
      </c>
      <c r="BI58">
        <v>26</v>
      </c>
      <c r="BJ58">
        <v>0</v>
      </c>
      <c r="BK58">
        <v>534</v>
      </c>
      <c r="BL58">
        <v>63</v>
      </c>
      <c r="BM58">
        <v>1</v>
      </c>
      <c r="BN58">
        <v>3</v>
      </c>
      <c r="BO58" t="s">
        <v>12</v>
      </c>
      <c r="BP58">
        <v>2.4390000000000001</v>
      </c>
      <c r="BQ58" t="s">
        <v>1676</v>
      </c>
      <c r="BR58" t="s">
        <v>1804</v>
      </c>
      <c r="BS58" s="4" t="str">
        <f>HYPERLINK("http://exon.niaid.nih.gov/transcriptome/C_felis/S1/links/CDD/cf-contig_37-CDD.txt","PRK05904")</f>
        <v>PRK05904</v>
      </c>
      <c r="BT58" t="str">
        <f>HYPERLINK("http://www.ncbi.nlm.nih.gov/Structure/cdd/cddsrv.cgi?uid=PRK05904&amp;version=v4.0","0.083")</f>
        <v>0.083</v>
      </c>
      <c r="BU58" t="s">
        <v>1805</v>
      </c>
      <c r="BV58" s="4" t="s">
        <v>42</v>
      </c>
      <c r="BW58" t="s">
        <v>42</v>
      </c>
      <c r="BX58" t="s">
        <v>42</v>
      </c>
      <c r="BY58" t="s">
        <v>42</v>
      </c>
      <c r="BZ58" t="s">
        <v>42</v>
      </c>
      <c r="CA58" t="s">
        <v>42</v>
      </c>
      <c r="CB58" t="s">
        <v>42</v>
      </c>
      <c r="CC58" t="s">
        <v>42</v>
      </c>
      <c r="CD58" t="s">
        <v>42</v>
      </c>
      <c r="CE58" t="s">
        <v>42</v>
      </c>
      <c r="CF58" t="s">
        <v>42</v>
      </c>
      <c r="CG58" t="s">
        <v>42</v>
      </c>
      <c r="CH58" t="s">
        <v>42</v>
      </c>
      <c r="CI58" t="s">
        <v>42</v>
      </c>
      <c r="CJ58" t="s">
        <v>42</v>
      </c>
      <c r="CK58" t="s">
        <v>42</v>
      </c>
      <c r="CL58" t="s">
        <v>42</v>
      </c>
      <c r="CM58" t="s">
        <v>42</v>
      </c>
      <c r="CN58" t="s">
        <v>42</v>
      </c>
      <c r="CO58" t="s">
        <v>42</v>
      </c>
      <c r="CP58" t="s">
        <v>42</v>
      </c>
      <c r="CQ58" t="s">
        <v>42</v>
      </c>
      <c r="CR58" t="s">
        <v>42</v>
      </c>
      <c r="CS58" s="4" t="str">
        <f>HYPERLINK("http://exon.niaid.nih.gov/transcriptome/C_felis/S1/links/KOG/cf-contig_37-KOG.txt","Sphingomyelinase family protein")</f>
        <v>Sphingomyelinase family protein</v>
      </c>
      <c r="CT58" t="str">
        <f>HYPERLINK("http://www.ncbi.nlm.nih.gov/COG/grace/shokog.cgi?KOG3873","0.67")</f>
        <v>0.67</v>
      </c>
      <c r="CU58" t="s">
        <v>1780</v>
      </c>
      <c r="CV58" s="4" t="str">
        <f>HYPERLINK("http://exon.niaid.nih.gov/transcriptome/C_felis/S1/links/PFAM/cf-contig_37-PFAM.txt","Grp1_Fun34_YaaH")</f>
        <v>Grp1_Fun34_YaaH</v>
      </c>
      <c r="CW58" t="str">
        <f>HYPERLINK("http://pfam.sanger.ac.uk/family?acc=PF01184","0.069")</f>
        <v>0.069</v>
      </c>
      <c r="CX58" s="4" t="str">
        <f>HYPERLINK("http://exon.niaid.nih.gov/transcriptome/C_felis/S1/links/SMART/cf-contig_37-SMART.txt","Knot1")</f>
        <v>Knot1</v>
      </c>
      <c r="CY58" t="str">
        <f>HYPERLINK("http://smart.embl-heidelberg.de/smart/do_annotation.pl?DOMAIN=Knot1&amp;BLAST=DUMMY","0.004")</f>
        <v>0.004</v>
      </c>
      <c r="CZ58" s="4" t="s">
        <v>42</v>
      </c>
      <c r="DA58" t="s">
        <v>42</v>
      </c>
      <c r="DB58" t="s">
        <v>42</v>
      </c>
      <c r="DC58" t="s">
        <v>42</v>
      </c>
      <c r="DD58" t="s">
        <v>42</v>
      </c>
      <c r="DE58" t="s">
        <v>42</v>
      </c>
      <c r="DF58" t="s">
        <v>42</v>
      </c>
      <c r="DG58" t="s">
        <v>42</v>
      </c>
      <c r="DH58" s="4" t="s">
        <v>42</v>
      </c>
      <c r="DI58" t="s">
        <v>42</v>
      </c>
      <c r="DJ58" s="4" t="s">
        <v>42</v>
      </c>
      <c r="DK58" t="s">
        <v>42</v>
      </c>
      <c r="DL58" s="4">
        <f t="shared" si="3"/>
        <v>1</v>
      </c>
      <c r="DM58">
        <f t="shared" si="4"/>
        <v>14</v>
      </c>
      <c r="DN58" s="4">
        <f>HYPERLINK("http://exon.niaid.nih.gov/transcriptome/C_felis/S1/links/cluster/cf-5-36-asb35-50-Id-CLU2.txt", 2)</f>
        <v>2</v>
      </c>
      <c r="DO58">
        <f>HYPERLINK("http://exon.niaid.nih.gov/transcriptome/C_felis/S1/links/cluster/cf-5-36-asb35-50-Id-CLTL2.txt", 9)</f>
        <v>9</v>
      </c>
      <c r="DP58" s="4">
        <f>HYPERLINK("http://exon.niaid.nih.gov/transcriptome/C_felis/S1/links/cluster/cf-5-36-asb40-50-Id-CLU21.txt", 21)</f>
        <v>21</v>
      </c>
      <c r="DQ58">
        <f>HYPERLINK("http://exon.niaid.nih.gov/transcriptome/C_felis/S1/links/cluster/cf-5-36-asb40-50-Id-CLTL21.txt", 2)</f>
        <v>2</v>
      </c>
      <c r="DR58" s="4">
        <f>HYPERLINK("http://exon.niaid.nih.gov/transcriptome/C_felis/S1/links/cluster/cf-5-36-asb45-50-Id-CLU19.txt", 19)</f>
        <v>19</v>
      </c>
      <c r="DS58">
        <f>HYPERLINK("http://exon.niaid.nih.gov/transcriptome/C_felis/S1/links/cluster/cf-5-36-asb45-50-Id-CLTL19.txt", 2)</f>
        <v>2</v>
      </c>
      <c r="DT58" s="4">
        <f>HYPERLINK("http://exon.niaid.nih.gov/transcriptome/C_felis/S1/links/cluster/cf-5-36-asb50-50-Id-CLU15.txt", 15)</f>
        <v>15</v>
      </c>
      <c r="DU58">
        <f>HYPERLINK("http://exon.niaid.nih.gov/transcriptome/C_felis/S1/links/cluster/cf-5-36-asb50-50-Id-CLTL15.txt", 2)</f>
        <v>2</v>
      </c>
      <c r="DV58" s="4">
        <f>HYPERLINK("http://exon.niaid.nih.gov/transcriptome/C_felis/S1/links/cluster/cf-5-36-asb55-50-Id-CLU16.txt", 16)</f>
        <v>16</v>
      </c>
      <c r="DW58">
        <f>HYPERLINK("http://exon.niaid.nih.gov/transcriptome/C_felis/S1/links/cluster/cf-5-36-asb55-50-Id-CLTL16.txt", 2)</f>
        <v>2</v>
      </c>
      <c r="DX58" s="4">
        <f>HYPERLINK("http://exon.niaid.nih.gov/transcriptome/C_felis/S1/links/cluster/cf-5-36-asb60-50-Id-CLU14.txt", 14)</f>
        <v>14</v>
      </c>
      <c r="DY58">
        <f>HYPERLINK("http://exon.niaid.nih.gov/transcriptome/C_felis/S1/links/cluster/cf-5-36-asb60-50-Id-CLTL14.txt", 2)</f>
        <v>2</v>
      </c>
      <c r="DZ58" s="4">
        <f>HYPERLINK("http://exon.niaid.nih.gov/transcriptome/C_felis/S1/links/cluster/cf-5-36-asb65-50-Id-CLU11.txt", 11)</f>
        <v>11</v>
      </c>
      <c r="EA58">
        <f>HYPERLINK("http://exon.niaid.nih.gov/transcriptome/C_felis/S1/links/cluster/cf-5-36-asb65-50-Id-CLTL11.txt", 2)</f>
        <v>2</v>
      </c>
      <c r="EB58" s="4">
        <v>58</v>
      </c>
      <c r="EC58">
        <v>1</v>
      </c>
      <c r="ED58" s="4">
        <v>59</v>
      </c>
      <c r="EE58">
        <v>1</v>
      </c>
      <c r="EF58" s="4">
        <v>53</v>
      </c>
      <c r="EG58">
        <v>1</v>
      </c>
      <c r="EH58" s="4">
        <v>41</v>
      </c>
      <c r="EI58">
        <v>1</v>
      </c>
      <c r="EJ58" s="4">
        <v>37</v>
      </c>
      <c r="EK58">
        <v>1</v>
      </c>
    </row>
    <row r="59" spans="1:141" x14ac:dyDescent="0.2">
      <c r="A59" t="str">
        <f>HYPERLINK("http://exon.niaid.nih.gov/transcriptome/C_felis/S1/links/cf/cf-contig_31.txt","cf-contig_31")</f>
        <v>cf-contig_31</v>
      </c>
      <c r="B59">
        <v>9</v>
      </c>
      <c r="C59" s="10" t="s">
        <v>4603</v>
      </c>
      <c r="D59">
        <v>9</v>
      </c>
      <c r="E59" t="str">
        <f>HYPERLINK("http://exon.niaid.nih.gov/transcriptome/C_felis/S1/links/cf/cf-5-36-asb-31.txt","Contig-31")</f>
        <v>Contig-31</v>
      </c>
      <c r="F59" t="str">
        <f>HYPERLINK("http://exon.niaid.nih.gov/transcriptome/C_felis/S1/links/cf/cf-5-36-31-CLU.txt","Contig31")</f>
        <v>Contig31</v>
      </c>
      <c r="G59" t="str">
        <f>HYPERLINK("http://exon.niaid.nih.gov/transcriptome/C_felis/S1/links/cf/cf-5-36-31-qual.txt","96.2")</f>
        <v>96.2</v>
      </c>
      <c r="H59" t="s">
        <v>11</v>
      </c>
      <c r="I59">
        <v>72.400000000000006</v>
      </c>
      <c r="J59">
        <v>558</v>
      </c>
      <c r="K59" t="s">
        <v>12</v>
      </c>
      <c r="L59">
        <v>9</v>
      </c>
      <c r="M59" t="s">
        <v>44</v>
      </c>
      <c r="N59">
        <v>582</v>
      </c>
      <c r="O59">
        <v>580</v>
      </c>
      <c r="P59">
        <v>159</v>
      </c>
      <c r="Q59" t="s">
        <v>853</v>
      </c>
      <c r="R59">
        <v>2</v>
      </c>
      <c r="S59" s="7" t="s">
        <v>4585</v>
      </c>
      <c r="U59">
        <v>9</v>
      </c>
      <c r="V59" s="4">
        <f t="shared" si="0"/>
        <v>1</v>
      </c>
      <c r="W59">
        <f t="shared" si="1"/>
        <v>14</v>
      </c>
      <c r="X59" s="4">
        <f>HYPERLINK("http://exon.niaid.nih.gov/transcriptome/C_felis/S1/links/cluster/cf-5-36-asb35-50-Id-CLU4.txt", 4)</f>
        <v>4</v>
      </c>
      <c r="Y59">
        <f>HYPERLINK("http://exon.niaid.nih.gov/transcriptome/C_felis/S1/links/cluster/cf-5-36-asb35-50-Id-CLTL4.txt", 5)</f>
        <v>5</v>
      </c>
      <c r="Z59" s="4">
        <f>HYPERLINK("http://exon.niaid.nih.gov/transcriptome/C_felis/S1/links/cluster/cf-5-36-asb40-50-Id-CLU4.txt", 4)</f>
        <v>4</v>
      </c>
      <c r="AA59">
        <f>HYPERLINK("http://exon.niaid.nih.gov/transcriptome/C_felis/S1/links/cluster/cf-5-36-asb40-50-Id-CLTL4.txt", 5)</f>
        <v>5</v>
      </c>
      <c r="AB59" s="4" t="str">
        <f>HYPERLINK("http://exon.niaid.nih.gov/transcriptome/C_felis/S1/links/XC-ASB/cf-contig_60-XC-ASB.txt","XC-contig_76")</f>
        <v>XC-contig_76</v>
      </c>
      <c r="AC59">
        <v>9.0000000000000002E-39</v>
      </c>
      <c r="AD59" s="10" t="s">
        <v>4603</v>
      </c>
      <c r="AE59" t="s">
        <v>4599</v>
      </c>
      <c r="AF59" t="str">
        <f>HYPERLINK("http://exon.niaid.nih.gov/transcriptome/C_felis/S1/links/NR/cf-contig_31-NR.txt","NR")</f>
        <v>NR</v>
      </c>
      <c r="AG59">
        <v>2.9999999999999998E-14</v>
      </c>
      <c r="AH59">
        <v>56.3</v>
      </c>
      <c r="AI59" s="4" t="str">
        <f>HYPERLINK("http://exon.niaid.nih.gov/transcriptome/C_felis/S1/links/NR/cf-contig_31-NR.txt","FS-H precursor")</f>
        <v>FS-H precursor</v>
      </c>
      <c r="AJ59" t="str">
        <f>HYPERLINK("http://www.ncbi.nlm.nih.gov/sutils/blink.cgi?pid=1575479","2E-014")</f>
        <v>2E-014</v>
      </c>
      <c r="AK59" t="str">
        <f t="shared" si="2"/>
        <v>gi|1575479</v>
      </c>
      <c r="AL59">
        <v>83.2</v>
      </c>
      <c r="AM59">
        <v>55</v>
      </c>
      <c r="AN59">
        <v>98</v>
      </c>
      <c r="AO59">
        <v>58</v>
      </c>
      <c r="AP59">
        <v>57</v>
      </c>
      <c r="AQ59">
        <v>23</v>
      </c>
      <c r="AR59">
        <v>3</v>
      </c>
      <c r="AS59">
        <v>43</v>
      </c>
      <c r="AT59">
        <v>2</v>
      </c>
      <c r="AU59">
        <v>1</v>
      </c>
      <c r="AV59">
        <v>2</v>
      </c>
      <c r="AW59" t="s">
        <v>12</v>
      </c>
      <c r="AY59" t="s">
        <v>1676</v>
      </c>
      <c r="AZ59" t="s">
        <v>1728</v>
      </c>
      <c r="BA59" s="4" t="str">
        <f>HYPERLINK("http://exon.niaid.nih.gov/transcriptome/C_felis/S1/links/SWISSP/cf-contig_31-SWISSP.txt","Ribosomal operon-associated A protein")</f>
        <v>Ribosomal operon-associated A protein</v>
      </c>
      <c r="BB59" t="str">
        <f>HYPERLINK("http://www.uniprot.org/uniprot/P58145","0.25")</f>
        <v>0.25</v>
      </c>
      <c r="BC59" t="s">
        <v>1782</v>
      </c>
      <c r="BD59">
        <v>35.4</v>
      </c>
      <c r="BE59">
        <v>66</v>
      </c>
      <c r="BF59">
        <v>519</v>
      </c>
      <c r="BG59">
        <v>25</v>
      </c>
      <c r="BH59">
        <v>13</v>
      </c>
      <c r="BI59">
        <v>50</v>
      </c>
      <c r="BJ59">
        <v>0</v>
      </c>
      <c r="BK59">
        <v>96</v>
      </c>
      <c r="BL59">
        <v>345</v>
      </c>
      <c r="BM59">
        <v>1</v>
      </c>
      <c r="BN59">
        <v>-3</v>
      </c>
      <c r="BO59" t="s">
        <v>12</v>
      </c>
      <c r="BP59">
        <v>1.5149999999999999</v>
      </c>
      <c r="BQ59" t="s">
        <v>1666</v>
      </c>
      <c r="BR59" t="s">
        <v>1783</v>
      </c>
      <c r="BS59" s="4" t="str">
        <f>HYPERLINK("http://exon.niaid.nih.gov/transcriptome/C_felis/S1/links/CDD/cf-contig_31-CDD.txt","EGF_2")</f>
        <v>EGF_2</v>
      </c>
      <c r="BT59" t="str">
        <f>HYPERLINK("http://www.ncbi.nlm.nih.gov/Structure/cdd/cddsrv.cgi?uid=pfam07974&amp;version=v4.0","0.18")</f>
        <v>0.18</v>
      </c>
      <c r="BU59" t="s">
        <v>1785</v>
      </c>
      <c r="BV59" s="4" t="s">
        <v>42</v>
      </c>
      <c r="BW59" t="s">
        <v>42</v>
      </c>
      <c r="BX59" t="s">
        <v>42</v>
      </c>
      <c r="BY59" t="s">
        <v>42</v>
      </c>
      <c r="BZ59" t="s">
        <v>42</v>
      </c>
      <c r="CA59" t="s">
        <v>42</v>
      </c>
      <c r="CB59" t="s">
        <v>42</v>
      </c>
      <c r="CC59" t="s">
        <v>42</v>
      </c>
      <c r="CD59" t="s">
        <v>42</v>
      </c>
      <c r="CE59" t="s">
        <v>42</v>
      </c>
      <c r="CF59" t="s">
        <v>42</v>
      </c>
      <c r="CG59" t="s">
        <v>42</v>
      </c>
      <c r="CH59" t="s">
        <v>42</v>
      </c>
      <c r="CI59" t="s">
        <v>42</v>
      </c>
      <c r="CJ59" t="s">
        <v>42</v>
      </c>
      <c r="CK59" t="s">
        <v>42</v>
      </c>
      <c r="CL59" t="s">
        <v>42</v>
      </c>
      <c r="CM59" t="s">
        <v>42</v>
      </c>
      <c r="CN59" t="s">
        <v>42</v>
      </c>
      <c r="CO59" t="s">
        <v>42</v>
      </c>
      <c r="CP59" t="s">
        <v>42</v>
      </c>
      <c r="CQ59" t="s">
        <v>42</v>
      </c>
      <c r="CR59" t="s">
        <v>42</v>
      </c>
      <c r="CS59" s="4" t="str">
        <f>HYPERLINK("http://exon.niaid.nih.gov/transcriptome/C_felis/S1/links/KOG/cf-contig_31-KOG.txt","Teneurin-1 and related extracellular matrix proteins, contain EGF-like repeats")</f>
        <v>Teneurin-1 and related extracellular matrix proteins, contain EGF-like repeats</v>
      </c>
      <c r="CT59" t="str">
        <f>HYPERLINK("http://www.ncbi.nlm.nih.gov/COG/grace/shokog.cgi?KOG1225","0.27")</f>
        <v>0.27</v>
      </c>
      <c r="CU59" t="s">
        <v>1726</v>
      </c>
      <c r="CV59" s="4" t="str">
        <f>HYPERLINK("http://exon.niaid.nih.gov/transcriptome/C_felis/S1/links/PFAM/cf-contig_31-PFAM.txt","EGF_2")</f>
        <v>EGF_2</v>
      </c>
      <c r="CW59" t="str">
        <f>HYPERLINK("http://pfam.sanger.ac.uk/family?acc=PF07974","0.036")</f>
        <v>0.036</v>
      </c>
      <c r="CX59" s="4" t="str">
        <f>HYPERLINK("http://exon.niaid.nih.gov/transcriptome/C_felis/S1/links/SMART/cf-contig_31-SMART.txt","PA2c")</f>
        <v>PA2c</v>
      </c>
      <c r="CY59" t="str">
        <f>HYPERLINK("http://smart.embl-heidelberg.de/smart/do_annotation.pl?DOMAIN=PA2c&amp;BLAST=DUMMY","0.075")</f>
        <v>0.075</v>
      </c>
      <c r="CZ59" s="4" t="s">
        <v>42</v>
      </c>
      <c r="DA59" t="s">
        <v>42</v>
      </c>
      <c r="DB59" t="s">
        <v>42</v>
      </c>
      <c r="DC59" t="s">
        <v>42</v>
      </c>
      <c r="DD59" t="s">
        <v>42</v>
      </c>
      <c r="DE59" t="s">
        <v>42</v>
      </c>
      <c r="DF59" t="s">
        <v>42</v>
      </c>
      <c r="DG59" t="s">
        <v>42</v>
      </c>
      <c r="DH59" s="4" t="s">
        <v>42</v>
      </c>
      <c r="DI59" t="s">
        <v>42</v>
      </c>
      <c r="DJ59" s="4" t="s">
        <v>42</v>
      </c>
      <c r="DK59" t="s">
        <v>42</v>
      </c>
      <c r="DL59" s="4">
        <f t="shared" si="3"/>
        <v>1</v>
      </c>
      <c r="DM59">
        <f t="shared" si="4"/>
        <v>14</v>
      </c>
      <c r="DN59" s="4">
        <f>HYPERLINK("http://exon.niaid.nih.gov/transcriptome/C_felis/S1/links/cluster/cf-5-36-asb35-50-Id-CLU4.txt", 4)</f>
        <v>4</v>
      </c>
      <c r="DO59">
        <f>HYPERLINK("http://exon.niaid.nih.gov/transcriptome/C_felis/S1/links/cluster/cf-5-36-asb35-50-Id-CLTL4.txt", 5)</f>
        <v>5</v>
      </c>
      <c r="DP59" s="4">
        <f>HYPERLINK("http://exon.niaid.nih.gov/transcriptome/C_felis/S1/links/cluster/cf-5-36-asb40-50-Id-CLU4.txt", 4)</f>
        <v>4</v>
      </c>
      <c r="DQ59">
        <f>HYPERLINK("http://exon.niaid.nih.gov/transcriptome/C_felis/S1/links/cluster/cf-5-36-asb40-50-Id-CLTL4.txt", 5)</f>
        <v>5</v>
      </c>
      <c r="DR59" s="4">
        <f>HYPERLINK("http://exon.niaid.nih.gov/transcriptome/C_felis/S1/links/cluster/cf-5-36-asb45-50-Id-CLU4.txt", 4)</f>
        <v>4</v>
      </c>
      <c r="DS59">
        <f>HYPERLINK("http://exon.niaid.nih.gov/transcriptome/C_felis/S1/links/cluster/cf-5-36-asb45-50-Id-CLTL4.txt", 5)</f>
        <v>5</v>
      </c>
      <c r="DT59" s="4">
        <f>HYPERLINK("http://exon.niaid.nih.gov/transcriptome/C_felis/S1/links/cluster/cf-5-36-asb50-50-Id-CLU4.txt", 4)</f>
        <v>4</v>
      </c>
      <c r="DU59">
        <f>HYPERLINK("http://exon.niaid.nih.gov/transcriptome/C_felis/S1/links/cluster/cf-5-36-asb50-50-Id-CLTL4.txt", 5)</f>
        <v>5</v>
      </c>
      <c r="DV59" s="4">
        <f>HYPERLINK("http://exon.niaid.nih.gov/transcriptome/C_felis/S1/links/cluster/cf-5-36-asb55-50-Id-CLU1.txt", 1)</f>
        <v>1</v>
      </c>
      <c r="DW59">
        <f>HYPERLINK("http://exon.niaid.nih.gov/transcriptome/C_felis/S1/links/cluster/cf-5-36-asb55-50-Id-CLTL1.txt", 5)</f>
        <v>5</v>
      </c>
      <c r="DX59" s="4">
        <f>HYPERLINK("http://exon.niaid.nih.gov/transcriptome/C_felis/S1/links/cluster/cf-5-36-asb60-50-Id-CLU1.txt", 1)</f>
        <v>1</v>
      </c>
      <c r="DY59">
        <f>HYPERLINK("http://exon.niaid.nih.gov/transcriptome/C_felis/S1/links/cluster/cf-5-36-asb60-50-Id-CLTL1.txt", 5)</f>
        <v>5</v>
      </c>
      <c r="DZ59" s="4">
        <f>HYPERLINK("http://exon.niaid.nih.gov/transcriptome/C_felis/S1/links/cluster/cf-5-36-asb65-50-Id-CLU1.txt", 1)</f>
        <v>1</v>
      </c>
      <c r="EA59">
        <f>HYPERLINK("http://exon.niaid.nih.gov/transcriptome/C_felis/S1/links/cluster/cf-5-36-asb65-50-Id-CLTL1.txt", 3)</f>
        <v>3</v>
      </c>
      <c r="EB59" s="4">
        <f>HYPERLINK("http://exon.niaid.nih.gov/transcriptome/C_felis/S1/links/cluster/cf-5-36-asb70-50-Id-CLU1.txt", 1)</f>
        <v>1</v>
      </c>
      <c r="EC59">
        <f>HYPERLINK("http://exon.niaid.nih.gov/transcriptome/C_felis/S1/links/cluster/cf-5-36-asb70-50-Id-CLTL1.txt", 3)</f>
        <v>3</v>
      </c>
      <c r="ED59" s="4">
        <f>HYPERLINK("http://exon.niaid.nih.gov/transcriptome/C_felis/S1/links/cluster/cf-5-36-asb75-50-Id-CLU1.txt", 1)</f>
        <v>1</v>
      </c>
      <c r="EE59">
        <f>HYPERLINK("http://exon.niaid.nih.gov/transcriptome/C_felis/S1/links/cluster/cf-5-36-asb75-50-Id-CLTL1.txt", 3)</f>
        <v>3</v>
      </c>
      <c r="EF59" s="4">
        <f>HYPERLINK("http://exon.niaid.nih.gov/transcriptome/C_felis/S1/links/cluster/cf-5-36-asb80-50-Id-CLU1.txt", 1)</f>
        <v>1</v>
      </c>
      <c r="EG59">
        <f>HYPERLINK("http://exon.niaid.nih.gov/transcriptome/C_felis/S1/links/cluster/cf-5-36-asb80-50-Id-CLTL1.txt", 3)</f>
        <v>3</v>
      </c>
      <c r="EH59" s="4">
        <f>HYPERLINK("http://exon.niaid.nih.gov/transcriptome/C_felis/S1/links/cluster/cf-5-36-asb90-50-Id-CLU1.txt", 1)</f>
        <v>1</v>
      </c>
      <c r="EI59">
        <f>HYPERLINK("http://exon.niaid.nih.gov/transcriptome/C_felis/S1/links/cluster/cf-5-36-asb90-50-Id-CLTL1.txt", 3)</f>
        <v>3</v>
      </c>
      <c r="EJ59" s="4">
        <v>31</v>
      </c>
      <c r="EK59">
        <v>1</v>
      </c>
    </row>
    <row r="60" spans="1:141" x14ac:dyDescent="0.2">
      <c r="A60" t="str">
        <f>HYPERLINK("http://exon.niaid.nih.gov/transcriptome/C_felis/S1/links/cf/cf-contig_39.txt","cf-contig_39")</f>
        <v>cf-contig_39</v>
      </c>
      <c r="B60">
        <v>1</v>
      </c>
      <c r="C60" s="10" t="s">
        <v>4603</v>
      </c>
      <c r="D60">
        <v>1</v>
      </c>
      <c r="E60" t="str">
        <f>HYPERLINK("http://exon.niaid.nih.gov/transcriptome/C_felis/S1/links/cf/cf-5-36-asb-39.txt","Contig-39")</f>
        <v>Contig-39</v>
      </c>
      <c r="F60" t="str">
        <f>HYPERLINK("http://exon.niaid.nih.gov/transcriptome/C_felis/S1/links/cf/cf-5-36-39-CLU.txt","Contig39")</f>
        <v>Contig39</v>
      </c>
      <c r="G60" t="str">
        <f>HYPERLINK("http://exon.niaid.nih.gov/transcriptome/C_felis/S1/links/cf/cf-5-36-39-qual.txt","65.4")</f>
        <v>65.4</v>
      </c>
      <c r="H60" t="s">
        <v>11</v>
      </c>
      <c r="I60">
        <v>72</v>
      </c>
      <c r="J60">
        <v>567</v>
      </c>
      <c r="K60" t="s">
        <v>12</v>
      </c>
      <c r="L60">
        <v>1</v>
      </c>
      <c r="M60" t="s">
        <v>52</v>
      </c>
      <c r="N60">
        <v>567</v>
      </c>
      <c r="O60">
        <v>586</v>
      </c>
      <c r="P60">
        <v>162</v>
      </c>
      <c r="Q60" t="s">
        <v>861</v>
      </c>
      <c r="R60">
        <v>2</v>
      </c>
      <c r="S60" s="7" t="s">
        <v>4585</v>
      </c>
      <c r="U60">
        <v>1</v>
      </c>
      <c r="V60" s="4">
        <f t="shared" si="0"/>
        <v>1</v>
      </c>
      <c r="W60">
        <f t="shared" si="1"/>
        <v>14</v>
      </c>
      <c r="X60" s="4">
        <f>HYPERLINK("http://exon.niaid.nih.gov/transcriptome/C_felis/S1/links/cluster/cf-5-36-asb35-50-Id-CLU4.txt", 4)</f>
        <v>4</v>
      </c>
      <c r="Y60">
        <f>HYPERLINK("http://exon.niaid.nih.gov/transcriptome/C_felis/S1/links/cluster/cf-5-36-asb35-50-Id-CLTL4.txt", 5)</f>
        <v>5</v>
      </c>
      <c r="Z60" s="4">
        <f>HYPERLINK("http://exon.niaid.nih.gov/transcriptome/C_felis/S1/links/cluster/cf-5-36-asb40-50-Id-CLU4.txt", 4)</f>
        <v>4</v>
      </c>
      <c r="AA60">
        <f>HYPERLINK("http://exon.niaid.nih.gov/transcriptome/C_felis/S1/links/cluster/cf-5-36-asb40-50-Id-CLTL4.txt", 5)</f>
        <v>5</v>
      </c>
      <c r="AB60" s="4" t="str">
        <f>HYPERLINK("http://exon.niaid.nih.gov/transcriptome/C_felis/S1/links/XC-ASB/cf-contig_61-XC-ASB.txt","XC-contig_76")</f>
        <v>XC-contig_76</v>
      </c>
      <c r="AC60">
        <v>2.0000000000000001E-37</v>
      </c>
      <c r="AD60" s="10" t="s">
        <v>4603</v>
      </c>
      <c r="AE60" t="s">
        <v>4599</v>
      </c>
      <c r="AF60" t="str">
        <f>HYPERLINK("http://exon.niaid.nih.gov/transcriptome/C_felis/S1/links/NR/cf-contig_39-NR.txt","NR")</f>
        <v>NR</v>
      </c>
      <c r="AG60">
        <v>2.9999999999999998E-14</v>
      </c>
      <c r="AH60">
        <v>56.3</v>
      </c>
      <c r="AI60" s="4" t="str">
        <f>HYPERLINK("http://exon.niaid.nih.gov/transcriptome/C_felis/S1/links/NR/cf-contig_39-NR.txt","FS-H precursor")</f>
        <v>FS-H precursor</v>
      </c>
      <c r="AJ60" t="str">
        <f>HYPERLINK("http://www.ncbi.nlm.nih.gov/sutils/blink.cgi?pid=1575479","2E-014")</f>
        <v>2E-014</v>
      </c>
      <c r="AK60" t="str">
        <f t="shared" si="2"/>
        <v>gi|1575479</v>
      </c>
      <c r="AL60">
        <v>83.2</v>
      </c>
      <c r="AM60">
        <v>55</v>
      </c>
      <c r="AN60">
        <v>98</v>
      </c>
      <c r="AO60">
        <v>58</v>
      </c>
      <c r="AP60">
        <v>57</v>
      </c>
      <c r="AQ60">
        <v>23</v>
      </c>
      <c r="AR60">
        <v>3</v>
      </c>
      <c r="AS60">
        <v>43</v>
      </c>
      <c r="AT60">
        <v>5</v>
      </c>
      <c r="AU60">
        <v>1</v>
      </c>
      <c r="AV60">
        <v>2</v>
      </c>
      <c r="AW60" t="s">
        <v>12</v>
      </c>
      <c r="AY60" t="s">
        <v>1676</v>
      </c>
      <c r="AZ60" t="s">
        <v>1728</v>
      </c>
      <c r="BA60" s="4" t="str">
        <f>HYPERLINK("http://exon.niaid.nih.gov/transcriptome/C_felis/S1/links/SWISSP/cf-contig_39-SWISSP.txt","Forkhead box protein D1")</f>
        <v>Forkhead box protein D1</v>
      </c>
      <c r="BB60" t="str">
        <f>HYPERLINK("http://www.uniprot.org/uniprot/Q98937","0.72")</f>
        <v>0.72</v>
      </c>
      <c r="BC60" t="s">
        <v>1808</v>
      </c>
      <c r="BD60">
        <v>28.1</v>
      </c>
      <c r="BE60">
        <v>108</v>
      </c>
      <c r="BF60">
        <v>440</v>
      </c>
      <c r="BG60">
        <v>37</v>
      </c>
      <c r="BH60">
        <v>25</v>
      </c>
      <c r="BI60">
        <v>32</v>
      </c>
      <c r="BJ60">
        <v>0</v>
      </c>
      <c r="BK60">
        <v>61</v>
      </c>
      <c r="BL60">
        <v>38</v>
      </c>
      <c r="BM60">
        <v>2</v>
      </c>
      <c r="BN60">
        <v>2</v>
      </c>
      <c r="BO60" t="s">
        <v>12</v>
      </c>
      <c r="BP60">
        <v>0.92600000000000005</v>
      </c>
      <c r="BQ60" t="s">
        <v>1676</v>
      </c>
      <c r="BR60" t="s">
        <v>1809</v>
      </c>
      <c r="BS60" s="4" t="str">
        <f>HYPERLINK("http://exon.niaid.nih.gov/transcriptome/C_felis/S1/links/CDD/cf-contig_39-CDD.txt","EGF_2")</f>
        <v>EGF_2</v>
      </c>
      <c r="BT60" t="str">
        <f>HYPERLINK("http://www.ncbi.nlm.nih.gov/Structure/cdd/cddsrv.cgi?uid=pfam07974&amp;version=v4.0","0.18")</f>
        <v>0.18</v>
      </c>
      <c r="BU60" t="s">
        <v>1810</v>
      </c>
      <c r="BV60" s="4" t="s">
        <v>42</v>
      </c>
      <c r="BW60" t="s">
        <v>42</v>
      </c>
      <c r="BX60" t="s">
        <v>42</v>
      </c>
      <c r="BY60" t="s">
        <v>42</v>
      </c>
      <c r="BZ60" t="s">
        <v>42</v>
      </c>
      <c r="CA60" t="s">
        <v>42</v>
      </c>
      <c r="CB60" t="s">
        <v>42</v>
      </c>
      <c r="CC60" t="s">
        <v>42</v>
      </c>
      <c r="CD60" t="s">
        <v>42</v>
      </c>
      <c r="CE60" t="s">
        <v>42</v>
      </c>
      <c r="CF60" t="s">
        <v>42</v>
      </c>
      <c r="CG60" t="s">
        <v>42</v>
      </c>
      <c r="CH60" t="s">
        <v>42</v>
      </c>
      <c r="CI60" t="s">
        <v>42</v>
      </c>
      <c r="CJ60" t="s">
        <v>42</v>
      </c>
      <c r="CK60" t="s">
        <v>42</v>
      </c>
      <c r="CL60" t="s">
        <v>42</v>
      </c>
      <c r="CM60" t="s">
        <v>42</v>
      </c>
      <c r="CN60" t="s">
        <v>42</v>
      </c>
      <c r="CO60" t="s">
        <v>42</v>
      </c>
      <c r="CP60" t="s">
        <v>42</v>
      </c>
      <c r="CQ60" t="s">
        <v>42</v>
      </c>
      <c r="CR60" t="s">
        <v>42</v>
      </c>
      <c r="CS60" s="4" t="str">
        <f>HYPERLINK("http://exon.niaid.nih.gov/transcriptome/C_felis/S1/links/KOG/cf-contig_39-KOG.txt","Teneurin-1 and related extracellular matrix proteins, contain EGF-like repeats")</f>
        <v>Teneurin-1 and related extracellular matrix proteins, contain EGF-like repeats</v>
      </c>
      <c r="CT60" t="str">
        <f>HYPERLINK("http://www.ncbi.nlm.nih.gov/COG/grace/shokog.cgi?KOG1225","0.28")</f>
        <v>0.28</v>
      </c>
      <c r="CU60" t="s">
        <v>1726</v>
      </c>
      <c r="CV60" s="4" t="str">
        <f>HYPERLINK("http://exon.niaid.nih.gov/transcriptome/C_felis/S1/links/PFAM/cf-contig_39-PFAM.txt","EGF_2")</f>
        <v>EGF_2</v>
      </c>
      <c r="CW60" t="str">
        <f>HYPERLINK("http://pfam.sanger.ac.uk/family?acc=PF07974","0.037")</f>
        <v>0.037</v>
      </c>
      <c r="CX60" s="4" t="str">
        <f>HYPERLINK("http://exon.niaid.nih.gov/transcriptome/C_felis/S1/links/SMART/cf-contig_39-SMART.txt","PA2c")</f>
        <v>PA2c</v>
      </c>
      <c r="CY60" t="str">
        <f>HYPERLINK("http://smart.embl-heidelberg.de/smart/do_annotation.pl?DOMAIN=PA2c&amp;BLAST=DUMMY","0.077")</f>
        <v>0.077</v>
      </c>
      <c r="CZ60" s="4" t="s">
        <v>42</v>
      </c>
      <c r="DA60" t="s">
        <v>42</v>
      </c>
      <c r="DB60" t="s">
        <v>42</v>
      </c>
      <c r="DC60" t="s">
        <v>42</v>
      </c>
      <c r="DD60" t="s">
        <v>42</v>
      </c>
      <c r="DE60" t="s">
        <v>42</v>
      </c>
      <c r="DF60" t="s">
        <v>42</v>
      </c>
      <c r="DG60" t="s">
        <v>42</v>
      </c>
      <c r="DH60" s="4" t="s">
        <v>42</v>
      </c>
      <c r="DI60" t="s">
        <v>42</v>
      </c>
      <c r="DJ60" s="4" t="s">
        <v>42</v>
      </c>
      <c r="DK60" t="s">
        <v>42</v>
      </c>
      <c r="DL60" s="4">
        <f t="shared" si="3"/>
        <v>1</v>
      </c>
      <c r="DM60">
        <f t="shared" si="4"/>
        <v>14</v>
      </c>
      <c r="DN60" s="4">
        <f>HYPERLINK("http://exon.niaid.nih.gov/transcriptome/C_felis/S1/links/cluster/cf-5-36-asb35-50-Id-CLU4.txt", 4)</f>
        <v>4</v>
      </c>
      <c r="DO60">
        <f>HYPERLINK("http://exon.niaid.nih.gov/transcriptome/C_felis/S1/links/cluster/cf-5-36-asb35-50-Id-CLTL4.txt", 5)</f>
        <v>5</v>
      </c>
      <c r="DP60" s="4">
        <f>HYPERLINK("http://exon.niaid.nih.gov/transcriptome/C_felis/S1/links/cluster/cf-5-36-asb40-50-Id-CLU4.txt", 4)</f>
        <v>4</v>
      </c>
      <c r="DQ60">
        <f>HYPERLINK("http://exon.niaid.nih.gov/transcriptome/C_felis/S1/links/cluster/cf-5-36-asb40-50-Id-CLTL4.txt", 5)</f>
        <v>5</v>
      </c>
      <c r="DR60" s="4">
        <f>HYPERLINK("http://exon.niaid.nih.gov/transcriptome/C_felis/S1/links/cluster/cf-5-36-asb45-50-Id-CLU4.txt", 4)</f>
        <v>4</v>
      </c>
      <c r="DS60">
        <f>HYPERLINK("http://exon.niaid.nih.gov/transcriptome/C_felis/S1/links/cluster/cf-5-36-asb45-50-Id-CLTL4.txt", 5)</f>
        <v>5</v>
      </c>
      <c r="DT60" s="4">
        <f>HYPERLINK("http://exon.niaid.nih.gov/transcriptome/C_felis/S1/links/cluster/cf-5-36-asb50-50-Id-CLU4.txt", 4)</f>
        <v>4</v>
      </c>
      <c r="DU60">
        <f>HYPERLINK("http://exon.niaid.nih.gov/transcriptome/C_felis/S1/links/cluster/cf-5-36-asb50-50-Id-CLTL4.txt", 5)</f>
        <v>5</v>
      </c>
      <c r="DV60" s="4">
        <f>HYPERLINK("http://exon.niaid.nih.gov/transcriptome/C_felis/S1/links/cluster/cf-5-36-asb55-50-Id-CLU1.txt", 1)</f>
        <v>1</v>
      </c>
      <c r="DW60">
        <f>HYPERLINK("http://exon.niaid.nih.gov/transcriptome/C_felis/S1/links/cluster/cf-5-36-asb55-50-Id-CLTL1.txt", 5)</f>
        <v>5</v>
      </c>
      <c r="DX60" s="4">
        <f>HYPERLINK("http://exon.niaid.nih.gov/transcriptome/C_felis/S1/links/cluster/cf-5-36-asb60-50-Id-CLU1.txt", 1)</f>
        <v>1</v>
      </c>
      <c r="DY60">
        <f>HYPERLINK("http://exon.niaid.nih.gov/transcriptome/C_felis/S1/links/cluster/cf-5-36-asb60-50-Id-CLTL1.txt", 5)</f>
        <v>5</v>
      </c>
      <c r="DZ60" s="4">
        <v>60</v>
      </c>
      <c r="EA60">
        <v>1</v>
      </c>
      <c r="EB60" s="4">
        <v>60</v>
      </c>
      <c r="EC60">
        <v>1</v>
      </c>
      <c r="ED60" s="4">
        <v>61</v>
      </c>
      <c r="EE60">
        <v>1</v>
      </c>
      <c r="EF60" s="4">
        <v>55</v>
      </c>
      <c r="EG60">
        <v>1</v>
      </c>
      <c r="EH60" s="4">
        <v>43</v>
      </c>
      <c r="EI60">
        <v>1</v>
      </c>
      <c r="EJ60" s="4">
        <v>39</v>
      </c>
      <c r="EK60">
        <v>1</v>
      </c>
    </row>
    <row r="61" spans="1:141" x14ac:dyDescent="0.2">
      <c r="A61" t="str">
        <f>HYPERLINK("http://exon.niaid.nih.gov/transcriptome/C_felis/S1/links/cf/cf-contig_40.txt","cf-contig_40")</f>
        <v>cf-contig_40</v>
      </c>
      <c r="B61">
        <v>1</v>
      </c>
      <c r="C61" s="10" t="s">
        <v>4603</v>
      </c>
      <c r="D61">
        <v>1</v>
      </c>
      <c r="E61" t="str">
        <f>HYPERLINK("http://exon.niaid.nih.gov/transcriptome/C_felis/S1/links/cf/cf-5-36-asb-40.txt","Contig-40")</f>
        <v>Contig-40</v>
      </c>
      <c r="F61" t="str">
        <f>HYPERLINK("http://exon.niaid.nih.gov/transcriptome/C_felis/S1/links/cf/cf-5-36-40-CLU.txt","Contig40")</f>
        <v>Contig40</v>
      </c>
      <c r="G61" t="str">
        <f>HYPERLINK("http://exon.niaid.nih.gov/transcriptome/C_felis/S1/links/cf/cf-5-36-40-qual.txt","63.9")</f>
        <v>63.9</v>
      </c>
      <c r="H61">
        <v>0.2</v>
      </c>
      <c r="I61">
        <v>70.5</v>
      </c>
      <c r="J61">
        <v>588</v>
      </c>
      <c r="K61" t="s">
        <v>12</v>
      </c>
      <c r="L61">
        <v>1</v>
      </c>
      <c r="M61" t="s">
        <v>53</v>
      </c>
      <c r="N61">
        <v>588</v>
      </c>
      <c r="O61">
        <v>607</v>
      </c>
      <c r="P61">
        <v>186</v>
      </c>
      <c r="Q61" t="s">
        <v>862</v>
      </c>
      <c r="R61">
        <v>3</v>
      </c>
      <c r="S61" s="7" t="s">
        <v>4585</v>
      </c>
      <c r="U61">
        <v>1</v>
      </c>
      <c r="V61" s="4">
        <f t="shared" si="0"/>
        <v>1</v>
      </c>
      <c r="W61">
        <f t="shared" si="1"/>
        <v>14</v>
      </c>
      <c r="X61" s="4">
        <f>HYPERLINK("http://exon.niaid.nih.gov/transcriptome/C_felis/S1/links/cluster/cf-5-36-asb35-50-Id-CLU4.txt", 4)</f>
        <v>4</v>
      </c>
      <c r="Y61">
        <f>HYPERLINK("http://exon.niaid.nih.gov/transcriptome/C_felis/S1/links/cluster/cf-5-36-asb35-50-Id-CLTL4.txt", 5)</f>
        <v>5</v>
      </c>
      <c r="Z61" s="4">
        <f>HYPERLINK("http://exon.niaid.nih.gov/transcriptome/C_felis/S1/links/cluster/cf-5-36-asb40-50-Id-CLU4.txt", 4)</f>
        <v>4</v>
      </c>
      <c r="AA61">
        <f>HYPERLINK("http://exon.niaid.nih.gov/transcriptome/C_felis/S1/links/cluster/cf-5-36-asb40-50-Id-CLTL4.txt", 5)</f>
        <v>5</v>
      </c>
      <c r="AB61" s="4" t="str">
        <f>HYPERLINK("http://exon.niaid.nih.gov/transcriptome/C_felis/S1/links/XC-ASB/cf-contig_59-XC-ASB.txt","XC-contig_76")</f>
        <v>XC-contig_76</v>
      </c>
      <c r="AC61">
        <v>5.0000000000000004E-32</v>
      </c>
      <c r="AD61" s="10" t="s">
        <v>4603</v>
      </c>
      <c r="AE61" t="s">
        <v>4599</v>
      </c>
      <c r="AF61" t="str">
        <f>HYPERLINK("http://exon.niaid.nih.gov/transcriptome/C_felis/S1/links/NR/cf-contig_40-NR.txt","NR")</f>
        <v>NR</v>
      </c>
      <c r="AG61">
        <v>4.0000000000000003E-15</v>
      </c>
      <c r="AH61">
        <v>64.8</v>
      </c>
      <c r="AI61" s="4" t="str">
        <f>HYPERLINK("http://exon.niaid.nih.gov/transcriptome/C_felis/S1/links/NR/cf-contig_40-NR.txt","FS-H precursor")</f>
        <v>FS-H precursor</v>
      </c>
      <c r="AJ61" t="str">
        <f>HYPERLINK("http://www.ncbi.nlm.nih.gov/sutils/blink.cgi?pid=1575479","4E-016")</f>
        <v>4E-016</v>
      </c>
      <c r="AK61" t="str">
        <f t="shared" si="2"/>
        <v>gi|1575479</v>
      </c>
      <c r="AL61">
        <v>89</v>
      </c>
      <c r="AM61">
        <v>64</v>
      </c>
      <c r="AN61">
        <v>98</v>
      </c>
      <c r="AO61">
        <v>55</v>
      </c>
      <c r="AP61">
        <v>66</v>
      </c>
      <c r="AQ61">
        <v>29</v>
      </c>
      <c r="AR61">
        <v>3</v>
      </c>
      <c r="AS61">
        <v>34</v>
      </c>
      <c r="AT61">
        <v>3</v>
      </c>
      <c r="AU61">
        <v>1</v>
      </c>
      <c r="AV61">
        <v>3</v>
      </c>
      <c r="AW61" t="s">
        <v>12</v>
      </c>
      <c r="AY61" t="s">
        <v>1676</v>
      </c>
      <c r="AZ61" t="s">
        <v>1728</v>
      </c>
      <c r="BA61" s="4" t="str">
        <f>HYPERLINK("http://exon.niaid.nih.gov/transcriptome/C_felis/S1/links/SWISSP/cf-contig_40-SWISSP.txt","Ribosomal operon-associated A protein")</f>
        <v>Ribosomal operon-associated A protein</v>
      </c>
      <c r="BB61" t="str">
        <f>HYPERLINK("http://www.uniprot.org/uniprot/P58145","0.37")</f>
        <v>0.37</v>
      </c>
      <c r="BC61" t="s">
        <v>1782</v>
      </c>
      <c r="BD61">
        <v>35</v>
      </c>
      <c r="BE61">
        <v>66</v>
      </c>
      <c r="BF61">
        <v>519</v>
      </c>
      <c r="BG61">
        <v>25</v>
      </c>
      <c r="BH61">
        <v>13</v>
      </c>
      <c r="BI61">
        <v>50</v>
      </c>
      <c r="BJ61">
        <v>0</v>
      </c>
      <c r="BK61">
        <v>96</v>
      </c>
      <c r="BL61">
        <v>373</v>
      </c>
      <c r="BM61">
        <v>1</v>
      </c>
      <c r="BN61">
        <v>-2</v>
      </c>
      <c r="BO61" t="s">
        <v>12</v>
      </c>
      <c r="BP61">
        <v>1.5149999999999999</v>
      </c>
      <c r="BQ61" t="s">
        <v>1666</v>
      </c>
      <c r="BR61" t="s">
        <v>1783</v>
      </c>
      <c r="BS61" s="4" t="str">
        <f>HYPERLINK("http://exon.niaid.nih.gov/transcriptome/C_felis/S1/links/CDD/cf-contig_40-CDD.txt","EGF_2")</f>
        <v>EGF_2</v>
      </c>
      <c r="BT61" t="str">
        <f>HYPERLINK("http://www.ncbi.nlm.nih.gov/Structure/cdd/cddsrv.cgi?uid=pfam07974&amp;version=v4.0","0.19")</f>
        <v>0.19</v>
      </c>
      <c r="BU61" t="s">
        <v>1811</v>
      </c>
      <c r="BV61" s="4" t="s">
        <v>42</v>
      </c>
      <c r="BW61" t="s">
        <v>42</v>
      </c>
      <c r="BX61" t="s">
        <v>42</v>
      </c>
      <c r="BY61" t="s">
        <v>42</v>
      </c>
      <c r="BZ61" t="s">
        <v>42</v>
      </c>
      <c r="CA61" t="s">
        <v>42</v>
      </c>
      <c r="CB61" t="s">
        <v>42</v>
      </c>
      <c r="CC61" t="s">
        <v>42</v>
      </c>
      <c r="CD61" t="s">
        <v>42</v>
      </c>
      <c r="CE61" t="s">
        <v>42</v>
      </c>
      <c r="CF61" t="s">
        <v>42</v>
      </c>
      <c r="CG61" t="s">
        <v>42</v>
      </c>
      <c r="CH61" t="s">
        <v>42</v>
      </c>
      <c r="CI61" t="s">
        <v>42</v>
      </c>
      <c r="CJ61" t="s">
        <v>42</v>
      </c>
      <c r="CK61" t="s">
        <v>42</v>
      </c>
      <c r="CL61" t="s">
        <v>42</v>
      </c>
      <c r="CM61" t="s">
        <v>42</v>
      </c>
      <c r="CN61" t="s">
        <v>42</v>
      </c>
      <c r="CO61" t="s">
        <v>42</v>
      </c>
      <c r="CP61" t="s">
        <v>42</v>
      </c>
      <c r="CQ61" t="s">
        <v>42</v>
      </c>
      <c r="CR61" t="s">
        <v>42</v>
      </c>
      <c r="CS61" s="4" t="str">
        <f>HYPERLINK("http://exon.niaid.nih.gov/transcriptome/C_felis/S1/links/KOG/cf-contig_40-KOG.txt","Teneurin-1 and related extracellular matrix proteins, contain EGF-like repeats")</f>
        <v>Teneurin-1 and related extracellular matrix proteins, contain EGF-like repeats</v>
      </c>
      <c r="CT61" t="str">
        <f>HYPERLINK("http://www.ncbi.nlm.nih.gov/COG/grace/shokog.cgi?KOG1225","0.29")</f>
        <v>0.29</v>
      </c>
      <c r="CU61" t="s">
        <v>1726</v>
      </c>
      <c r="CV61" s="4" t="str">
        <f>HYPERLINK("http://exon.niaid.nih.gov/transcriptome/C_felis/S1/links/PFAM/cf-contig_40-PFAM.txt","EGF_2")</f>
        <v>EGF_2</v>
      </c>
      <c r="CW61" t="str">
        <f>HYPERLINK("http://pfam.sanger.ac.uk/family?acc=PF07974","0.039")</f>
        <v>0.039</v>
      </c>
      <c r="CX61" s="4" t="str">
        <f>HYPERLINK("http://exon.niaid.nih.gov/transcriptome/C_felis/S1/links/SMART/cf-contig_40-SMART.txt","PA2c")</f>
        <v>PA2c</v>
      </c>
      <c r="CY61" t="str">
        <f>HYPERLINK("http://smart.embl-heidelberg.de/smart/do_annotation.pl?DOMAIN=PA2c&amp;BLAST=DUMMY","0.080")</f>
        <v>0.080</v>
      </c>
      <c r="CZ61" s="4" t="s">
        <v>42</v>
      </c>
      <c r="DA61" t="s">
        <v>42</v>
      </c>
      <c r="DB61" t="s">
        <v>42</v>
      </c>
      <c r="DC61" t="s">
        <v>42</v>
      </c>
      <c r="DD61" t="s">
        <v>42</v>
      </c>
      <c r="DE61" t="s">
        <v>42</v>
      </c>
      <c r="DF61" t="s">
        <v>42</v>
      </c>
      <c r="DG61" t="s">
        <v>42</v>
      </c>
      <c r="DH61" s="4" t="s">
        <v>42</v>
      </c>
      <c r="DI61" t="s">
        <v>42</v>
      </c>
      <c r="DJ61" s="4" t="s">
        <v>42</v>
      </c>
      <c r="DK61" t="s">
        <v>42</v>
      </c>
      <c r="DL61" s="4">
        <f t="shared" si="3"/>
        <v>1</v>
      </c>
      <c r="DM61">
        <f t="shared" si="4"/>
        <v>14</v>
      </c>
      <c r="DN61" s="4">
        <f>HYPERLINK("http://exon.niaid.nih.gov/transcriptome/C_felis/S1/links/cluster/cf-5-36-asb35-50-Id-CLU4.txt", 4)</f>
        <v>4</v>
      </c>
      <c r="DO61">
        <f>HYPERLINK("http://exon.niaid.nih.gov/transcriptome/C_felis/S1/links/cluster/cf-5-36-asb35-50-Id-CLTL4.txt", 5)</f>
        <v>5</v>
      </c>
      <c r="DP61" s="4">
        <f>HYPERLINK("http://exon.niaid.nih.gov/transcriptome/C_felis/S1/links/cluster/cf-5-36-asb40-50-Id-CLU4.txt", 4)</f>
        <v>4</v>
      </c>
      <c r="DQ61">
        <f>HYPERLINK("http://exon.niaid.nih.gov/transcriptome/C_felis/S1/links/cluster/cf-5-36-asb40-50-Id-CLTL4.txt", 5)</f>
        <v>5</v>
      </c>
      <c r="DR61" s="4">
        <f>HYPERLINK("http://exon.niaid.nih.gov/transcriptome/C_felis/S1/links/cluster/cf-5-36-asb45-50-Id-CLU4.txt", 4)</f>
        <v>4</v>
      </c>
      <c r="DS61">
        <f>HYPERLINK("http://exon.niaid.nih.gov/transcriptome/C_felis/S1/links/cluster/cf-5-36-asb45-50-Id-CLTL4.txt", 5)</f>
        <v>5</v>
      </c>
      <c r="DT61" s="4">
        <f>HYPERLINK("http://exon.niaid.nih.gov/transcriptome/C_felis/S1/links/cluster/cf-5-36-asb50-50-Id-CLU4.txt", 4)</f>
        <v>4</v>
      </c>
      <c r="DU61">
        <f>HYPERLINK("http://exon.niaid.nih.gov/transcriptome/C_felis/S1/links/cluster/cf-5-36-asb50-50-Id-CLTL4.txt", 5)</f>
        <v>5</v>
      </c>
      <c r="DV61" s="4">
        <f>HYPERLINK("http://exon.niaid.nih.gov/transcriptome/C_felis/S1/links/cluster/cf-5-36-asb55-50-Id-CLU1.txt", 1)</f>
        <v>1</v>
      </c>
      <c r="DW61">
        <f>HYPERLINK("http://exon.niaid.nih.gov/transcriptome/C_felis/S1/links/cluster/cf-5-36-asb55-50-Id-CLTL1.txt", 5)</f>
        <v>5</v>
      </c>
      <c r="DX61" s="4">
        <f>HYPERLINK("http://exon.niaid.nih.gov/transcriptome/C_felis/S1/links/cluster/cf-5-36-asb60-50-Id-CLU1.txt", 1)</f>
        <v>1</v>
      </c>
      <c r="DY61">
        <f>HYPERLINK("http://exon.niaid.nih.gov/transcriptome/C_felis/S1/links/cluster/cf-5-36-asb60-50-Id-CLTL1.txt", 5)</f>
        <v>5</v>
      </c>
      <c r="DZ61" s="4">
        <f>HYPERLINK("http://exon.niaid.nih.gov/transcriptome/C_felis/S1/links/cluster/cf-5-36-asb65-50-Id-CLU1.txt", 1)</f>
        <v>1</v>
      </c>
      <c r="EA61">
        <f>HYPERLINK("http://exon.niaid.nih.gov/transcriptome/C_felis/S1/links/cluster/cf-5-36-asb65-50-Id-CLTL1.txt", 3)</f>
        <v>3</v>
      </c>
      <c r="EB61" s="4">
        <f>HYPERLINK("http://exon.niaid.nih.gov/transcriptome/C_felis/S1/links/cluster/cf-5-36-asb70-50-Id-CLU1.txt", 1)</f>
        <v>1</v>
      </c>
      <c r="EC61">
        <f>HYPERLINK("http://exon.niaid.nih.gov/transcriptome/C_felis/S1/links/cluster/cf-5-36-asb70-50-Id-CLTL1.txt", 3)</f>
        <v>3</v>
      </c>
      <c r="ED61" s="4">
        <f>HYPERLINK("http://exon.niaid.nih.gov/transcriptome/C_felis/S1/links/cluster/cf-5-36-asb75-50-Id-CLU1.txt", 1)</f>
        <v>1</v>
      </c>
      <c r="EE61">
        <f>HYPERLINK("http://exon.niaid.nih.gov/transcriptome/C_felis/S1/links/cluster/cf-5-36-asb75-50-Id-CLTL1.txt", 3)</f>
        <v>3</v>
      </c>
      <c r="EF61" s="4">
        <f>HYPERLINK("http://exon.niaid.nih.gov/transcriptome/C_felis/S1/links/cluster/cf-5-36-asb80-50-Id-CLU1.txt", 1)</f>
        <v>1</v>
      </c>
      <c r="EG61">
        <f>HYPERLINK("http://exon.niaid.nih.gov/transcriptome/C_felis/S1/links/cluster/cf-5-36-asb80-50-Id-CLTL1.txt", 3)</f>
        <v>3</v>
      </c>
      <c r="EH61" s="4">
        <f>HYPERLINK("http://exon.niaid.nih.gov/transcriptome/C_felis/S1/links/cluster/cf-5-36-asb90-50-Id-CLU1.txt", 1)</f>
        <v>1</v>
      </c>
      <c r="EI61">
        <f>HYPERLINK("http://exon.niaid.nih.gov/transcriptome/C_felis/S1/links/cluster/cf-5-36-asb90-50-Id-CLTL1.txt", 3)</f>
        <v>3</v>
      </c>
      <c r="EJ61" s="4">
        <v>40</v>
      </c>
      <c r="EK61">
        <v>1</v>
      </c>
    </row>
    <row r="62" spans="1:141" x14ac:dyDescent="0.2">
      <c r="A62" t="str">
        <f>HYPERLINK("http://exon.niaid.nih.gov/transcriptome/C_felis/S1/links/cf/cf-contig_41.txt","cf-contig_41")</f>
        <v>cf-contig_41</v>
      </c>
      <c r="B62">
        <v>1</v>
      </c>
      <c r="C62" s="10" t="s">
        <v>4603</v>
      </c>
      <c r="D62">
        <v>1</v>
      </c>
      <c r="E62" t="str">
        <f>HYPERLINK("http://exon.niaid.nih.gov/transcriptome/C_felis/S1/links/cf/cf-5-36-asb-41.txt","Contig-41")</f>
        <v>Contig-41</v>
      </c>
      <c r="F62" t="str">
        <f>HYPERLINK("http://exon.niaid.nih.gov/transcriptome/C_felis/S1/links/cf/cf-5-36-41-CLU.txt","Contig41")</f>
        <v>Contig41</v>
      </c>
      <c r="G62" t="str">
        <f>HYPERLINK("http://exon.niaid.nih.gov/transcriptome/C_felis/S1/links/cf/cf-5-36-41-qual.txt","64.6")</f>
        <v>64.6</v>
      </c>
      <c r="H62" t="s">
        <v>11</v>
      </c>
      <c r="I62">
        <v>70.8</v>
      </c>
      <c r="J62">
        <v>598</v>
      </c>
      <c r="K62" t="s">
        <v>12</v>
      </c>
      <c r="L62">
        <v>1</v>
      </c>
      <c r="M62" t="s">
        <v>54</v>
      </c>
      <c r="N62">
        <v>598</v>
      </c>
      <c r="O62">
        <v>617</v>
      </c>
      <c r="P62">
        <v>198</v>
      </c>
      <c r="Q62" t="s">
        <v>863</v>
      </c>
      <c r="R62">
        <v>3</v>
      </c>
      <c r="S62" s="7" t="s">
        <v>4585</v>
      </c>
      <c r="U62">
        <v>1</v>
      </c>
      <c r="V62" s="4">
        <f t="shared" si="0"/>
        <v>1</v>
      </c>
      <c r="W62">
        <f t="shared" si="1"/>
        <v>14</v>
      </c>
      <c r="X62" s="4">
        <f>HYPERLINK("http://exon.niaid.nih.gov/transcriptome/C_felis/S1/links/cluster/cf-5-36-asb35-50-Id-CLU4.txt", 4)</f>
        <v>4</v>
      </c>
      <c r="Y62">
        <f>HYPERLINK("http://exon.niaid.nih.gov/transcriptome/C_felis/S1/links/cluster/cf-5-36-asb35-50-Id-CLTL4.txt", 5)</f>
        <v>5</v>
      </c>
      <c r="Z62" s="4">
        <f>HYPERLINK("http://exon.niaid.nih.gov/transcriptome/C_felis/S1/links/cluster/cf-5-36-asb40-50-Id-CLU4.txt", 4)</f>
        <v>4</v>
      </c>
      <c r="AA62">
        <f>HYPERLINK("http://exon.niaid.nih.gov/transcriptome/C_felis/S1/links/cluster/cf-5-36-asb40-50-Id-CLTL4.txt", 5)</f>
        <v>5</v>
      </c>
      <c r="AB62" s="4" t="str">
        <f>HYPERLINK("http://exon.niaid.nih.gov/transcriptome/C_felis/S1/links/XC-ASB/cf-contig_62-XC-ASB.txt","XC-contig_76")</f>
        <v>XC-contig_76</v>
      </c>
      <c r="AC62">
        <v>1E-59</v>
      </c>
      <c r="AD62" s="10" t="s">
        <v>4603</v>
      </c>
      <c r="AE62" t="s">
        <v>4599</v>
      </c>
      <c r="AF62" t="str">
        <f>HYPERLINK("http://exon.niaid.nih.gov/transcriptome/C_felis/S1/links/NR/cf-contig_41-NR.txt","NR")</f>
        <v>NR</v>
      </c>
      <c r="AG62">
        <v>1.0000000000000001E-15</v>
      </c>
      <c r="AH62">
        <v>70.2</v>
      </c>
      <c r="AI62" s="4" t="str">
        <f>HYPERLINK("http://exon.niaid.nih.gov/transcriptome/C_felis/S1/links/NR/cf-contig_41-NR.txt","FS-H precursor")</f>
        <v>FS-H precursor</v>
      </c>
      <c r="AJ62" t="str">
        <f>HYPERLINK("http://www.ncbi.nlm.nih.gov/sutils/blink.cgi?pid=1575479","9E-017")</f>
        <v>9E-017</v>
      </c>
      <c r="AK62" t="str">
        <f t="shared" si="2"/>
        <v>gi|1575479</v>
      </c>
      <c r="AL62">
        <v>91.3</v>
      </c>
      <c r="AM62">
        <v>68</v>
      </c>
      <c r="AN62">
        <v>98</v>
      </c>
      <c r="AO62">
        <v>56</v>
      </c>
      <c r="AP62">
        <v>70</v>
      </c>
      <c r="AQ62">
        <v>30</v>
      </c>
      <c r="AR62">
        <v>3</v>
      </c>
      <c r="AS62">
        <v>30</v>
      </c>
      <c r="AT62">
        <v>3</v>
      </c>
      <c r="AU62">
        <v>1</v>
      </c>
      <c r="AV62">
        <v>3</v>
      </c>
      <c r="AW62" t="s">
        <v>12</v>
      </c>
      <c r="AY62" t="s">
        <v>1676</v>
      </c>
      <c r="AZ62" t="s">
        <v>1728</v>
      </c>
      <c r="BA62" s="4" t="str">
        <f>HYPERLINK("http://exon.niaid.nih.gov/transcriptome/C_felis/S1/links/SWISSP/cf-contig_41-SWISSP.txt","Ribosomal operon-associated A protein")</f>
        <v>Ribosomal operon-associated A protein</v>
      </c>
      <c r="BB62" t="str">
        <f>HYPERLINK("http://www.uniprot.org/uniprot/P58145","0.29")</f>
        <v>0.29</v>
      </c>
      <c r="BC62" t="s">
        <v>1782</v>
      </c>
      <c r="BD62">
        <v>35.4</v>
      </c>
      <c r="BE62">
        <v>66</v>
      </c>
      <c r="BF62">
        <v>519</v>
      </c>
      <c r="BG62">
        <v>25</v>
      </c>
      <c r="BH62">
        <v>13</v>
      </c>
      <c r="BI62">
        <v>50</v>
      </c>
      <c r="BJ62">
        <v>0</v>
      </c>
      <c r="BK62">
        <v>96</v>
      </c>
      <c r="BL62">
        <v>385</v>
      </c>
      <c r="BM62">
        <v>1</v>
      </c>
      <c r="BN62">
        <v>-3</v>
      </c>
      <c r="BO62" t="s">
        <v>12</v>
      </c>
      <c r="BP62">
        <v>1.5149999999999999</v>
      </c>
      <c r="BQ62" t="s">
        <v>1666</v>
      </c>
      <c r="BR62" t="s">
        <v>1783</v>
      </c>
      <c r="BS62" s="4" t="str">
        <f>HYPERLINK("http://exon.niaid.nih.gov/transcriptome/C_felis/S1/links/CDD/cf-contig_41-CDD.txt","EGF_2")</f>
        <v>EGF_2</v>
      </c>
      <c r="BT62" t="str">
        <f>HYPERLINK("http://www.ncbi.nlm.nih.gov/Structure/cdd/cddsrv.cgi?uid=pfam07974&amp;version=v4.0","0.20")</f>
        <v>0.20</v>
      </c>
      <c r="BU62" t="s">
        <v>1812</v>
      </c>
      <c r="BV62" s="4" t="s">
        <v>42</v>
      </c>
      <c r="BW62" t="s">
        <v>42</v>
      </c>
      <c r="BX62" t="s">
        <v>42</v>
      </c>
      <c r="BY62" t="s">
        <v>42</v>
      </c>
      <c r="BZ62" t="s">
        <v>42</v>
      </c>
      <c r="CA62" t="s">
        <v>42</v>
      </c>
      <c r="CB62" t="s">
        <v>42</v>
      </c>
      <c r="CC62" t="s">
        <v>42</v>
      </c>
      <c r="CD62" t="s">
        <v>42</v>
      </c>
      <c r="CE62" t="s">
        <v>42</v>
      </c>
      <c r="CF62" t="s">
        <v>42</v>
      </c>
      <c r="CG62" t="s">
        <v>42</v>
      </c>
      <c r="CH62" t="s">
        <v>42</v>
      </c>
      <c r="CI62" t="s">
        <v>42</v>
      </c>
      <c r="CJ62" t="s">
        <v>42</v>
      </c>
      <c r="CK62" t="s">
        <v>42</v>
      </c>
      <c r="CL62" t="s">
        <v>42</v>
      </c>
      <c r="CM62" t="s">
        <v>42</v>
      </c>
      <c r="CN62" t="s">
        <v>42</v>
      </c>
      <c r="CO62" t="s">
        <v>42</v>
      </c>
      <c r="CP62" t="s">
        <v>42</v>
      </c>
      <c r="CQ62" t="s">
        <v>42</v>
      </c>
      <c r="CR62" t="s">
        <v>42</v>
      </c>
      <c r="CS62" s="4" t="str">
        <f>HYPERLINK("http://exon.niaid.nih.gov/transcriptome/C_felis/S1/links/KOG/cf-contig_41-KOG.txt","Teneurin-1 and related extracellular matrix proteins, contain EGF-like repeats")</f>
        <v>Teneurin-1 and related extracellular matrix proteins, contain EGF-like repeats</v>
      </c>
      <c r="CT62" t="str">
        <f>HYPERLINK("http://www.ncbi.nlm.nih.gov/COG/grace/shokog.cgi?KOG1225","0.15")</f>
        <v>0.15</v>
      </c>
      <c r="CU62" t="s">
        <v>1726</v>
      </c>
      <c r="CV62" s="4" t="str">
        <f>HYPERLINK("http://exon.niaid.nih.gov/transcriptome/C_felis/S1/links/PFAM/cf-contig_41-PFAM.txt","EGF_2")</f>
        <v>EGF_2</v>
      </c>
      <c r="CW62" t="str">
        <f>HYPERLINK("http://pfam.sanger.ac.uk/family?acc=PF07974","0.039")</f>
        <v>0.039</v>
      </c>
      <c r="CX62" s="4" t="str">
        <f>HYPERLINK("http://exon.niaid.nih.gov/transcriptome/C_felis/S1/links/SMART/cf-contig_41-SMART.txt","AgrB")</f>
        <v>AgrB</v>
      </c>
      <c r="CY62" t="str">
        <f>HYPERLINK("http://smart.embl-heidelberg.de/smart/do_annotation.pl?DOMAIN=AgrB&amp;BLAST=DUMMY","0.071")</f>
        <v>0.071</v>
      </c>
      <c r="CZ62" s="4" t="s">
        <v>42</v>
      </c>
      <c r="DA62" t="s">
        <v>42</v>
      </c>
      <c r="DB62" t="s">
        <v>42</v>
      </c>
      <c r="DC62" t="s">
        <v>42</v>
      </c>
      <c r="DD62" t="s">
        <v>42</v>
      </c>
      <c r="DE62" t="s">
        <v>42</v>
      </c>
      <c r="DF62" t="s">
        <v>42</v>
      </c>
      <c r="DG62" t="s">
        <v>42</v>
      </c>
      <c r="DH62" s="4" t="s">
        <v>42</v>
      </c>
      <c r="DI62" t="s">
        <v>42</v>
      </c>
      <c r="DJ62" s="4" t="s">
        <v>42</v>
      </c>
      <c r="DK62" t="s">
        <v>42</v>
      </c>
      <c r="DL62" s="4">
        <f t="shared" si="3"/>
        <v>1</v>
      </c>
      <c r="DM62">
        <f t="shared" si="4"/>
        <v>14</v>
      </c>
      <c r="DN62" s="4">
        <f>HYPERLINK("http://exon.niaid.nih.gov/transcriptome/C_felis/S1/links/cluster/cf-5-36-asb35-50-Id-CLU4.txt", 4)</f>
        <v>4</v>
      </c>
      <c r="DO62">
        <f>HYPERLINK("http://exon.niaid.nih.gov/transcriptome/C_felis/S1/links/cluster/cf-5-36-asb35-50-Id-CLTL4.txt", 5)</f>
        <v>5</v>
      </c>
      <c r="DP62" s="4">
        <f>HYPERLINK("http://exon.niaid.nih.gov/transcriptome/C_felis/S1/links/cluster/cf-5-36-asb40-50-Id-CLU4.txt", 4)</f>
        <v>4</v>
      </c>
      <c r="DQ62">
        <f>HYPERLINK("http://exon.niaid.nih.gov/transcriptome/C_felis/S1/links/cluster/cf-5-36-asb40-50-Id-CLTL4.txt", 5)</f>
        <v>5</v>
      </c>
      <c r="DR62" s="4">
        <f>HYPERLINK("http://exon.niaid.nih.gov/transcriptome/C_felis/S1/links/cluster/cf-5-36-asb45-50-Id-CLU4.txt", 4)</f>
        <v>4</v>
      </c>
      <c r="DS62">
        <f>HYPERLINK("http://exon.niaid.nih.gov/transcriptome/C_felis/S1/links/cluster/cf-5-36-asb45-50-Id-CLTL4.txt", 5)</f>
        <v>5</v>
      </c>
      <c r="DT62" s="4">
        <f>HYPERLINK("http://exon.niaid.nih.gov/transcriptome/C_felis/S1/links/cluster/cf-5-36-asb50-50-Id-CLU4.txt", 4)</f>
        <v>4</v>
      </c>
      <c r="DU62">
        <f>HYPERLINK("http://exon.niaid.nih.gov/transcriptome/C_felis/S1/links/cluster/cf-5-36-asb50-50-Id-CLTL4.txt", 5)</f>
        <v>5</v>
      </c>
      <c r="DV62" s="4">
        <f>HYPERLINK("http://exon.niaid.nih.gov/transcriptome/C_felis/S1/links/cluster/cf-5-36-asb55-50-Id-CLU1.txt", 1)</f>
        <v>1</v>
      </c>
      <c r="DW62">
        <f>HYPERLINK("http://exon.niaid.nih.gov/transcriptome/C_felis/S1/links/cluster/cf-5-36-asb55-50-Id-CLTL1.txt", 5)</f>
        <v>5</v>
      </c>
      <c r="DX62" s="4">
        <f>HYPERLINK("http://exon.niaid.nih.gov/transcriptome/C_felis/S1/links/cluster/cf-5-36-asb60-50-Id-CLU1.txt", 1)</f>
        <v>1</v>
      </c>
      <c r="DY62">
        <f>HYPERLINK("http://exon.niaid.nih.gov/transcriptome/C_felis/S1/links/cluster/cf-5-36-asb60-50-Id-CLTL1.txt", 5)</f>
        <v>5</v>
      </c>
      <c r="DZ62" s="4">
        <f>HYPERLINK("http://exon.niaid.nih.gov/transcriptome/C_felis/S1/links/cluster/cf-5-36-asb65-50-Id-CLU1.txt", 1)</f>
        <v>1</v>
      </c>
      <c r="EA62">
        <f>HYPERLINK("http://exon.niaid.nih.gov/transcriptome/C_felis/S1/links/cluster/cf-5-36-asb65-50-Id-CLTL1.txt", 3)</f>
        <v>3</v>
      </c>
      <c r="EB62" s="4">
        <f>HYPERLINK("http://exon.niaid.nih.gov/transcriptome/C_felis/S1/links/cluster/cf-5-36-asb70-50-Id-CLU1.txt", 1)</f>
        <v>1</v>
      </c>
      <c r="EC62">
        <f>HYPERLINK("http://exon.niaid.nih.gov/transcriptome/C_felis/S1/links/cluster/cf-5-36-asb70-50-Id-CLTL1.txt", 3)</f>
        <v>3</v>
      </c>
      <c r="ED62" s="4">
        <f>HYPERLINK("http://exon.niaid.nih.gov/transcriptome/C_felis/S1/links/cluster/cf-5-36-asb75-50-Id-CLU1.txt", 1)</f>
        <v>1</v>
      </c>
      <c r="EE62">
        <f>HYPERLINK("http://exon.niaid.nih.gov/transcriptome/C_felis/S1/links/cluster/cf-5-36-asb75-50-Id-CLTL1.txt", 3)</f>
        <v>3</v>
      </c>
      <c r="EF62" s="4">
        <f>HYPERLINK("http://exon.niaid.nih.gov/transcriptome/C_felis/S1/links/cluster/cf-5-36-asb80-50-Id-CLU1.txt", 1)</f>
        <v>1</v>
      </c>
      <c r="EG62">
        <f>HYPERLINK("http://exon.niaid.nih.gov/transcriptome/C_felis/S1/links/cluster/cf-5-36-asb80-50-Id-CLTL1.txt", 3)</f>
        <v>3</v>
      </c>
      <c r="EH62" s="4">
        <f>HYPERLINK("http://exon.niaid.nih.gov/transcriptome/C_felis/S1/links/cluster/cf-5-36-asb90-50-Id-CLU1.txt", 1)</f>
        <v>1</v>
      </c>
      <c r="EI62">
        <f>HYPERLINK("http://exon.niaid.nih.gov/transcriptome/C_felis/S1/links/cluster/cf-5-36-asb90-50-Id-CLTL1.txt", 3)</f>
        <v>3</v>
      </c>
      <c r="EJ62" s="4">
        <v>41</v>
      </c>
      <c r="EK62">
        <v>1</v>
      </c>
    </row>
    <row r="63" spans="1:141" x14ac:dyDescent="0.2">
      <c r="A63" t="str">
        <f>HYPERLINK("http://exon.niaid.nih.gov/transcriptome/C_felis/S1/links/cf/cf-contig_38.txt","cf-contig_38")</f>
        <v>cf-contig_38</v>
      </c>
      <c r="B63">
        <v>1</v>
      </c>
      <c r="C63" s="10" t="s">
        <v>4600</v>
      </c>
      <c r="D63">
        <v>1</v>
      </c>
      <c r="E63" t="str">
        <f>HYPERLINK("http://exon.niaid.nih.gov/transcriptome/C_felis/S1/links/cf/cf-5-36-asb-38.txt","Contig-38")</f>
        <v>Contig-38</v>
      </c>
      <c r="F63" t="str">
        <f>HYPERLINK("http://exon.niaid.nih.gov/transcriptome/C_felis/S1/links/cf/cf-5-36-38-CLU.txt","Contig38")</f>
        <v>Contig38</v>
      </c>
      <c r="G63" t="str">
        <f>HYPERLINK("http://exon.niaid.nih.gov/transcriptome/C_felis/S1/links/cf/cf-5-36-38-qual.txt","61.4")</f>
        <v>61.4</v>
      </c>
      <c r="H63" t="s">
        <v>11</v>
      </c>
      <c r="I63">
        <v>70.400000000000006</v>
      </c>
      <c r="J63">
        <v>514</v>
      </c>
      <c r="K63" t="s">
        <v>12</v>
      </c>
      <c r="L63">
        <v>1</v>
      </c>
      <c r="M63" t="s">
        <v>51</v>
      </c>
      <c r="N63">
        <v>514</v>
      </c>
      <c r="O63">
        <v>533</v>
      </c>
      <c r="P63">
        <v>123</v>
      </c>
      <c r="Q63" t="s">
        <v>860</v>
      </c>
      <c r="R63">
        <v>3</v>
      </c>
      <c r="S63" s="7" t="s">
        <v>4585</v>
      </c>
      <c r="U63">
        <v>1</v>
      </c>
      <c r="V63" s="4">
        <f t="shared" si="0"/>
        <v>1</v>
      </c>
      <c r="W63">
        <f t="shared" si="1"/>
        <v>14</v>
      </c>
      <c r="X63" s="4">
        <f>HYPERLINK("http://exon.niaid.nih.gov/transcriptome/C_felis/S1/links/cluster/cf-5-36-asb35-50-Id-CLU4.txt", 4)</f>
        <v>4</v>
      </c>
      <c r="Y63">
        <f>HYPERLINK("http://exon.niaid.nih.gov/transcriptome/C_felis/S1/links/cluster/cf-5-36-asb35-50-Id-CLTL4.txt", 5)</f>
        <v>5</v>
      </c>
      <c r="Z63" s="4">
        <f>HYPERLINK("http://exon.niaid.nih.gov/transcriptome/C_felis/S1/links/cluster/cf-5-36-asb40-50-Id-CLU4.txt", 4)</f>
        <v>4</v>
      </c>
      <c r="AA63">
        <f>HYPERLINK("http://exon.niaid.nih.gov/transcriptome/C_felis/S1/links/cluster/cf-5-36-asb40-50-Id-CLTL4.txt", 5)</f>
        <v>5</v>
      </c>
      <c r="AB63" s="4" t="str">
        <f>HYPERLINK("http://exon.niaid.nih.gov/transcriptome/C_felis/S1/links/XC-ASB/cf-contig_791-XC-ASB.txt","XC-contig_60")</f>
        <v>XC-contig_60</v>
      </c>
      <c r="AC63">
        <v>0.16</v>
      </c>
      <c r="AD63" s="10" t="s">
        <v>4600</v>
      </c>
      <c r="AE63" t="s">
        <v>4599</v>
      </c>
      <c r="AI63" s="4" t="str">
        <f>HYPERLINK("http://exon.niaid.nih.gov/transcriptome/C_felis/S1/links/NR/cf-contig_38-NR.txt","FS-H precursor")</f>
        <v>FS-H precursor</v>
      </c>
      <c r="AJ63" t="str">
        <f>HYPERLINK("http://www.ncbi.nlm.nih.gov/sutils/blink.cgi?pid=1575479","4E-006")</f>
        <v>4E-006</v>
      </c>
      <c r="AK63" t="str">
        <f t="shared" si="2"/>
        <v>gi|1575479</v>
      </c>
      <c r="AL63">
        <v>55.5</v>
      </c>
      <c r="AM63">
        <v>26</v>
      </c>
      <c r="AN63">
        <v>98</v>
      </c>
      <c r="AO63">
        <v>77</v>
      </c>
      <c r="AP63">
        <v>28</v>
      </c>
      <c r="AQ63">
        <v>6</v>
      </c>
      <c r="AR63">
        <v>0</v>
      </c>
      <c r="AS63">
        <v>72</v>
      </c>
      <c r="AT63">
        <v>32</v>
      </c>
      <c r="AU63">
        <v>1</v>
      </c>
      <c r="AV63">
        <v>2</v>
      </c>
      <c r="AW63" t="s">
        <v>12</v>
      </c>
      <c r="AY63" t="s">
        <v>1676</v>
      </c>
      <c r="AZ63" t="s">
        <v>1728</v>
      </c>
      <c r="BA63" s="4" t="str">
        <f>HYPERLINK("http://exon.niaid.nih.gov/transcriptome/C_felis/S1/links/SWISSP/cf-contig_38-SWISSP.txt","Inverted formin-2")</f>
        <v>Inverted formin-2</v>
      </c>
      <c r="BB63" t="str">
        <f>HYPERLINK("http://www.uniprot.org/uniprot/Q0GNC1","0.12")</f>
        <v>0.12</v>
      </c>
      <c r="BC63" t="s">
        <v>1806</v>
      </c>
      <c r="BD63">
        <v>36.200000000000003</v>
      </c>
      <c r="BE63">
        <v>47</v>
      </c>
      <c r="BF63">
        <v>1273</v>
      </c>
      <c r="BG63">
        <v>57</v>
      </c>
      <c r="BH63">
        <v>4</v>
      </c>
      <c r="BI63">
        <v>11</v>
      </c>
      <c r="BJ63">
        <v>0</v>
      </c>
      <c r="BK63">
        <v>463</v>
      </c>
      <c r="BL63">
        <v>1</v>
      </c>
      <c r="BM63">
        <v>2</v>
      </c>
      <c r="BN63">
        <v>-3</v>
      </c>
      <c r="BO63" t="s">
        <v>1689</v>
      </c>
      <c r="BQ63" t="s">
        <v>1666</v>
      </c>
      <c r="BR63" t="s">
        <v>1705</v>
      </c>
      <c r="BS63" s="4" t="str">
        <f>HYPERLINK("http://exon.niaid.nih.gov/transcriptome/C_felis/S1/links/CDD/cf-contig_38-CDD.txt","EGF_2")</f>
        <v>EGF_2</v>
      </c>
      <c r="BT63" t="str">
        <f>HYPERLINK("http://www.ncbi.nlm.nih.gov/Structure/cdd/cddsrv.cgi?uid=pfam07974&amp;version=v4.0","0.15")</f>
        <v>0.15</v>
      </c>
      <c r="BU63" t="s">
        <v>1807</v>
      </c>
      <c r="BV63" s="4" t="s">
        <v>42</v>
      </c>
      <c r="BW63" t="s">
        <v>42</v>
      </c>
      <c r="BX63" t="s">
        <v>42</v>
      </c>
      <c r="BY63" t="s">
        <v>42</v>
      </c>
      <c r="BZ63" t="s">
        <v>42</v>
      </c>
      <c r="CA63" t="s">
        <v>42</v>
      </c>
      <c r="CB63" t="s">
        <v>42</v>
      </c>
      <c r="CC63" t="s">
        <v>42</v>
      </c>
      <c r="CD63" t="s">
        <v>42</v>
      </c>
      <c r="CE63" t="s">
        <v>42</v>
      </c>
      <c r="CF63" t="s">
        <v>42</v>
      </c>
      <c r="CG63" t="s">
        <v>42</v>
      </c>
      <c r="CH63" t="s">
        <v>42</v>
      </c>
      <c r="CI63" t="s">
        <v>42</v>
      </c>
      <c r="CJ63" t="s">
        <v>42</v>
      </c>
      <c r="CK63" t="s">
        <v>42</v>
      </c>
      <c r="CL63" t="s">
        <v>42</v>
      </c>
      <c r="CM63" t="s">
        <v>42</v>
      </c>
      <c r="CN63" t="s">
        <v>42</v>
      </c>
      <c r="CO63" t="s">
        <v>42</v>
      </c>
      <c r="CP63" t="s">
        <v>42</v>
      </c>
      <c r="CQ63" t="s">
        <v>42</v>
      </c>
      <c r="CR63" t="s">
        <v>42</v>
      </c>
      <c r="CS63" s="4" t="str">
        <f>HYPERLINK("http://exon.niaid.nih.gov/transcriptome/C_felis/S1/links/KOG/cf-contig_38-KOG.txt","Uncharacterized conserved protein")</f>
        <v>Uncharacterized conserved protein</v>
      </c>
      <c r="CT63" t="str">
        <f>HYPERLINK("http://www.ncbi.nlm.nih.gov/COG/grace/shokog.cgi?KOG4260","0.44")</f>
        <v>0.44</v>
      </c>
      <c r="CU63" t="s">
        <v>1711</v>
      </c>
      <c r="CV63" s="4" t="str">
        <f>HYPERLINK("http://exon.niaid.nih.gov/transcriptome/C_felis/S1/links/PFAM/cf-contig_38-PFAM.txt","EGF_2")</f>
        <v>EGF_2</v>
      </c>
      <c r="CW63" t="str">
        <f>HYPERLINK("http://pfam.sanger.ac.uk/family?acc=PF07974","0.032")</f>
        <v>0.032</v>
      </c>
      <c r="CX63" s="4" t="str">
        <f>HYPERLINK("http://exon.niaid.nih.gov/transcriptome/C_felis/S1/links/SMART/cf-contig_38-SMART.txt","PA2c")</f>
        <v>PA2c</v>
      </c>
      <c r="CY63" t="str">
        <f>HYPERLINK("http://smart.embl-heidelberg.de/smart/do_annotation.pl?DOMAIN=PA2c&amp;BLAST=DUMMY","0.041")</f>
        <v>0.041</v>
      </c>
      <c r="CZ63" s="4" t="s">
        <v>42</v>
      </c>
      <c r="DA63" t="s">
        <v>42</v>
      </c>
      <c r="DB63" t="s">
        <v>42</v>
      </c>
      <c r="DC63" t="s">
        <v>42</v>
      </c>
      <c r="DD63" t="s">
        <v>42</v>
      </c>
      <c r="DE63" t="s">
        <v>42</v>
      </c>
      <c r="DF63" t="s">
        <v>42</v>
      </c>
      <c r="DG63" t="s">
        <v>42</v>
      </c>
      <c r="DH63" s="4" t="s">
        <v>42</v>
      </c>
      <c r="DI63" t="s">
        <v>42</v>
      </c>
      <c r="DJ63" s="4" t="s">
        <v>42</v>
      </c>
      <c r="DK63" t="s">
        <v>42</v>
      </c>
      <c r="DL63" s="4">
        <f t="shared" si="3"/>
        <v>1</v>
      </c>
      <c r="DM63">
        <f t="shared" si="4"/>
        <v>14</v>
      </c>
      <c r="DN63" s="4">
        <f>HYPERLINK("http://exon.niaid.nih.gov/transcriptome/C_felis/S1/links/cluster/cf-5-36-asb35-50-Id-CLU4.txt", 4)</f>
        <v>4</v>
      </c>
      <c r="DO63">
        <f>HYPERLINK("http://exon.niaid.nih.gov/transcriptome/C_felis/S1/links/cluster/cf-5-36-asb35-50-Id-CLTL4.txt", 5)</f>
        <v>5</v>
      </c>
      <c r="DP63" s="4">
        <f>HYPERLINK("http://exon.niaid.nih.gov/transcriptome/C_felis/S1/links/cluster/cf-5-36-asb40-50-Id-CLU4.txt", 4)</f>
        <v>4</v>
      </c>
      <c r="DQ63">
        <f>HYPERLINK("http://exon.niaid.nih.gov/transcriptome/C_felis/S1/links/cluster/cf-5-36-asb40-50-Id-CLTL4.txt", 5)</f>
        <v>5</v>
      </c>
      <c r="DR63" s="4">
        <f>HYPERLINK("http://exon.niaid.nih.gov/transcriptome/C_felis/S1/links/cluster/cf-5-36-asb45-50-Id-CLU4.txt", 4)</f>
        <v>4</v>
      </c>
      <c r="DS63">
        <f>HYPERLINK("http://exon.niaid.nih.gov/transcriptome/C_felis/S1/links/cluster/cf-5-36-asb45-50-Id-CLTL4.txt", 5)</f>
        <v>5</v>
      </c>
      <c r="DT63" s="4">
        <f>HYPERLINK("http://exon.niaid.nih.gov/transcriptome/C_felis/S1/links/cluster/cf-5-36-asb50-50-Id-CLU4.txt", 4)</f>
        <v>4</v>
      </c>
      <c r="DU63">
        <f>HYPERLINK("http://exon.niaid.nih.gov/transcriptome/C_felis/S1/links/cluster/cf-5-36-asb50-50-Id-CLTL4.txt", 5)</f>
        <v>5</v>
      </c>
      <c r="DV63" s="4">
        <f>HYPERLINK("http://exon.niaid.nih.gov/transcriptome/C_felis/S1/links/cluster/cf-5-36-asb55-50-Id-CLU1.txt", 1)</f>
        <v>1</v>
      </c>
      <c r="DW63">
        <f>HYPERLINK("http://exon.niaid.nih.gov/transcriptome/C_felis/S1/links/cluster/cf-5-36-asb55-50-Id-CLTL1.txt", 5)</f>
        <v>5</v>
      </c>
      <c r="DX63" s="4">
        <f>HYPERLINK("http://exon.niaid.nih.gov/transcriptome/C_felis/S1/links/cluster/cf-5-36-asb60-50-Id-CLU1.txt", 1)</f>
        <v>1</v>
      </c>
      <c r="DY63">
        <f>HYPERLINK("http://exon.niaid.nih.gov/transcriptome/C_felis/S1/links/cluster/cf-5-36-asb60-50-Id-CLTL1.txt", 5)</f>
        <v>5</v>
      </c>
      <c r="DZ63" s="4">
        <v>59</v>
      </c>
      <c r="EA63">
        <v>1</v>
      </c>
      <c r="EB63" s="4">
        <v>59</v>
      </c>
      <c r="EC63">
        <v>1</v>
      </c>
      <c r="ED63" s="4">
        <v>60</v>
      </c>
      <c r="EE63">
        <v>1</v>
      </c>
      <c r="EF63" s="4">
        <v>54</v>
      </c>
      <c r="EG63">
        <v>1</v>
      </c>
      <c r="EH63" s="4">
        <v>42</v>
      </c>
      <c r="EI63">
        <v>1</v>
      </c>
      <c r="EJ63" s="4">
        <v>38</v>
      </c>
      <c r="EK63">
        <v>1</v>
      </c>
    </row>
    <row r="64" spans="1:141" x14ac:dyDescent="0.2">
      <c r="A64" t="str">
        <f>HYPERLINK("http://exon.niaid.nih.gov/transcriptome/C_felis/S1/links/cf/cf-contig_66.txt","cf-contig_66")</f>
        <v>cf-contig_66</v>
      </c>
      <c r="B64">
        <v>2</v>
      </c>
      <c r="C64" s="10" t="s">
        <v>4600</v>
      </c>
      <c r="D64">
        <v>2</v>
      </c>
      <c r="E64" t="str">
        <f>HYPERLINK("http://exon.niaid.nih.gov/transcriptome/C_felis/S1/links/cf/cf-5-36-asb-66.txt","Contig-66")</f>
        <v>Contig-66</v>
      </c>
      <c r="F64" t="str">
        <f>HYPERLINK("http://exon.niaid.nih.gov/transcriptome/C_felis/S1/links/cf/cf-5-36-66-CLU.txt","Contig66")</f>
        <v>Contig66</v>
      </c>
      <c r="G64" t="str">
        <f>HYPERLINK("http://exon.niaid.nih.gov/transcriptome/C_felis/S1/links/cf/cf-5-36-66-qual.txt","82.")</f>
        <v>82.</v>
      </c>
      <c r="H64">
        <v>0.3</v>
      </c>
      <c r="I64">
        <v>72.599999999999994</v>
      </c>
      <c r="J64">
        <v>345</v>
      </c>
      <c r="K64" t="s">
        <v>12</v>
      </c>
      <c r="L64">
        <v>2</v>
      </c>
      <c r="M64" t="s">
        <v>79</v>
      </c>
      <c r="N64">
        <v>344</v>
      </c>
      <c r="O64">
        <v>365</v>
      </c>
      <c r="P64">
        <v>141</v>
      </c>
      <c r="Q64" t="s">
        <v>887</v>
      </c>
      <c r="R64">
        <v>3</v>
      </c>
      <c r="S64" s="7" t="s">
        <v>4585</v>
      </c>
      <c r="U64">
        <v>2</v>
      </c>
      <c r="V64" s="4">
        <f>HYPERLINK("http://exon.niaid.nih.gov/transcriptome/C_felis/S1/links/cluster/cf-5-36-asb30-50-Id-CLU8.txt", 8)</f>
        <v>8</v>
      </c>
      <c r="W64">
        <f>HYPERLINK("http://exon.niaid.nih.gov/transcriptome/C_felis/S1/links/cluster/cf-5-36-asb30-50-Id-CLTL8.txt", 4)</f>
        <v>4</v>
      </c>
      <c r="X64" s="4">
        <f>HYPERLINK("http://exon.niaid.nih.gov/transcriptome/C_felis/S1/links/cluster/cf-5-36-asb35-50-Id-CLU8.txt", 8)</f>
        <v>8</v>
      </c>
      <c r="Y64">
        <f>HYPERLINK("http://exon.niaid.nih.gov/transcriptome/C_felis/S1/links/cluster/cf-5-36-asb35-50-Id-CLTL8.txt", 4)</f>
        <v>4</v>
      </c>
      <c r="Z64" s="4">
        <f>HYPERLINK("http://exon.niaid.nih.gov/transcriptome/C_felis/S1/links/cluster/cf-5-36-asb40-50-Id-CLU6.txt", 6)</f>
        <v>6</v>
      </c>
      <c r="AA64">
        <f>HYPERLINK("http://exon.niaid.nih.gov/transcriptome/C_felis/S1/links/cluster/cf-5-36-asb40-50-Id-CLTL6.txt", 4)</f>
        <v>4</v>
      </c>
      <c r="AB64" s="4" t="str">
        <f>HYPERLINK("http://exon.niaid.nih.gov/transcriptome/C_felis/S1/links/XC-ASB/cf-contig_25-XC-ASB.txt","XC-contig_41")</f>
        <v>XC-contig_41</v>
      </c>
      <c r="AC64">
        <v>0.01</v>
      </c>
      <c r="AD64" s="10" t="s">
        <v>4600</v>
      </c>
      <c r="AE64" t="s">
        <v>4601</v>
      </c>
      <c r="AI64" s="4" t="str">
        <f>HYPERLINK("http://exon.niaid.nih.gov/transcriptome/C_felis/S1/links/NR/cf-contig_66-NR.txt","FS-H precursor")</f>
        <v>FS-H precursor</v>
      </c>
      <c r="AJ64" t="str">
        <f>HYPERLINK("http://www.ncbi.nlm.nih.gov/sutils/blink.cgi?pid=1575479","1E-006")</f>
        <v>1E-006</v>
      </c>
      <c r="AK64" t="str">
        <f t="shared" si="2"/>
        <v>gi|1575479</v>
      </c>
      <c r="AL64">
        <v>56.6</v>
      </c>
      <c r="AM64">
        <v>22</v>
      </c>
      <c r="AN64">
        <v>98</v>
      </c>
      <c r="AO64">
        <v>95</v>
      </c>
      <c r="AP64">
        <v>23</v>
      </c>
      <c r="AQ64">
        <v>1</v>
      </c>
      <c r="AR64">
        <v>0</v>
      </c>
      <c r="AS64">
        <v>76</v>
      </c>
      <c r="AT64">
        <v>6</v>
      </c>
      <c r="AU64">
        <v>1</v>
      </c>
      <c r="AV64">
        <v>3</v>
      </c>
      <c r="AW64" t="s">
        <v>12</v>
      </c>
      <c r="AY64" t="s">
        <v>1676</v>
      </c>
      <c r="AZ64" t="s">
        <v>1728</v>
      </c>
      <c r="BA64" s="4" t="str">
        <f>HYPERLINK("http://exon.niaid.nih.gov/transcriptome/C_felis/S1/links/SWISSP/cf-contig_66-SWISSP.txt","Protein dopey homolog PFC0245c")</f>
        <v>Protein dopey homolog PFC0245c</v>
      </c>
      <c r="BB64" t="str">
        <f>HYPERLINK("http://www.uniprot.org/uniprot/O97239","1.2")</f>
        <v>1.2</v>
      </c>
      <c r="BC64" t="s">
        <v>1915</v>
      </c>
      <c r="BD64">
        <v>32</v>
      </c>
      <c r="BE64">
        <v>108</v>
      </c>
      <c r="BF64">
        <v>3933</v>
      </c>
      <c r="BG64">
        <v>22</v>
      </c>
      <c r="BH64">
        <v>3</v>
      </c>
      <c r="BI64">
        <v>84</v>
      </c>
      <c r="BJ64">
        <v>10</v>
      </c>
      <c r="BK64">
        <v>812</v>
      </c>
      <c r="BL64">
        <v>19</v>
      </c>
      <c r="BM64">
        <v>1</v>
      </c>
      <c r="BN64">
        <v>-3</v>
      </c>
      <c r="BO64" t="s">
        <v>12</v>
      </c>
      <c r="BP64">
        <v>3.7040000000000002</v>
      </c>
      <c r="BQ64" t="s">
        <v>1666</v>
      </c>
      <c r="BR64" t="s">
        <v>1724</v>
      </c>
      <c r="BS64" s="4" t="str">
        <f>HYPERLINK("http://exon.niaid.nih.gov/transcriptome/C_felis/S1/links/CDD/cf-contig_66-CDD.txt","ND1")</f>
        <v>ND1</v>
      </c>
      <c r="BT64" t="str">
        <f>HYPERLINK("http://www.ncbi.nlm.nih.gov/Structure/cdd/cddsrv.cgi?uid=MTH00058&amp;version=v4.0","0.39")</f>
        <v>0.39</v>
      </c>
      <c r="BU64" t="s">
        <v>1916</v>
      </c>
      <c r="BV64" s="4" t="s">
        <v>42</v>
      </c>
      <c r="BW64" t="s">
        <v>42</v>
      </c>
      <c r="BX64" t="s">
        <v>42</v>
      </c>
      <c r="BY64" t="s">
        <v>42</v>
      </c>
      <c r="BZ64" t="s">
        <v>42</v>
      </c>
      <c r="CA64" t="s">
        <v>42</v>
      </c>
      <c r="CB64" t="s">
        <v>42</v>
      </c>
      <c r="CC64" t="s">
        <v>42</v>
      </c>
      <c r="CD64" t="s">
        <v>42</v>
      </c>
      <c r="CE64" t="s">
        <v>42</v>
      </c>
      <c r="CF64" t="s">
        <v>42</v>
      </c>
      <c r="CG64" t="s">
        <v>42</v>
      </c>
      <c r="CH64" t="s">
        <v>42</v>
      </c>
      <c r="CI64" t="s">
        <v>42</v>
      </c>
      <c r="CJ64" t="s">
        <v>42</v>
      </c>
      <c r="CK64" t="s">
        <v>42</v>
      </c>
      <c r="CL64" t="s">
        <v>42</v>
      </c>
      <c r="CM64" t="s">
        <v>42</v>
      </c>
      <c r="CN64" t="s">
        <v>42</v>
      </c>
      <c r="CO64" t="s">
        <v>42</v>
      </c>
      <c r="CP64" t="s">
        <v>42</v>
      </c>
      <c r="CQ64" t="s">
        <v>42</v>
      </c>
      <c r="CR64" t="s">
        <v>42</v>
      </c>
      <c r="CS64" s="4" t="str">
        <f>HYPERLINK("http://exon.niaid.nih.gov/transcriptome/C_felis/S1/links/KOG/cf-contig_66-KOG.txt","ER lumen protein retaining receptor")</f>
        <v>ER lumen protein retaining receptor</v>
      </c>
      <c r="CT64" t="str">
        <f>HYPERLINK("http://www.ncbi.nlm.nih.gov/COG/grace/shokog.cgi?KOG3106","1.1")</f>
        <v>1.1</v>
      </c>
      <c r="CU64" t="s">
        <v>1686</v>
      </c>
      <c r="CV64" s="4" t="str">
        <f>HYPERLINK("http://exon.niaid.nih.gov/transcriptome/C_felis/S1/links/PFAM/cf-contig_66-PFAM.txt","Toluene_X")</f>
        <v>Toluene_X</v>
      </c>
      <c r="CW64" t="str">
        <f>HYPERLINK("http://pfam.sanger.ac.uk/family?acc=PF03349","0.26")</f>
        <v>0.26</v>
      </c>
      <c r="CX64" s="4" t="str">
        <f>HYPERLINK("http://exon.niaid.nih.gov/transcriptome/C_felis/S1/links/SMART/cf-contig_66-SMART.txt","Sec7")</f>
        <v>Sec7</v>
      </c>
      <c r="CY64" t="str">
        <f>HYPERLINK("http://smart.embl-heidelberg.de/smart/do_annotation.pl?DOMAIN=Sec7&amp;BLAST=DUMMY","0.15")</f>
        <v>0.15</v>
      </c>
      <c r="CZ64" s="4" t="s">
        <v>42</v>
      </c>
      <c r="DA64" t="s">
        <v>42</v>
      </c>
      <c r="DB64" t="s">
        <v>42</v>
      </c>
      <c r="DC64" t="s">
        <v>42</v>
      </c>
      <c r="DD64" t="s">
        <v>42</v>
      </c>
      <c r="DE64" t="s">
        <v>42</v>
      </c>
      <c r="DF64" t="s">
        <v>42</v>
      </c>
      <c r="DG64" t="s">
        <v>42</v>
      </c>
      <c r="DH64" s="4" t="s">
        <v>42</v>
      </c>
      <c r="DI64" t="s">
        <v>42</v>
      </c>
      <c r="DJ64" s="4" t="s">
        <v>42</v>
      </c>
      <c r="DK64" t="s">
        <v>42</v>
      </c>
      <c r="DL64" s="4">
        <f>HYPERLINK("http://exon.niaid.nih.gov/transcriptome/C_felis/S1/links/cluster/cf-5-36-asb30-50-Id-CLU8.txt", 8)</f>
        <v>8</v>
      </c>
      <c r="DM64">
        <f>HYPERLINK("http://exon.niaid.nih.gov/transcriptome/C_felis/S1/links/cluster/cf-5-36-asb30-50-Id-CLTL8.txt", 4)</f>
        <v>4</v>
      </c>
      <c r="DN64" s="4">
        <f>HYPERLINK("http://exon.niaid.nih.gov/transcriptome/C_felis/S1/links/cluster/cf-5-36-asb35-50-Id-CLU8.txt", 8)</f>
        <v>8</v>
      </c>
      <c r="DO64">
        <f>HYPERLINK("http://exon.niaid.nih.gov/transcriptome/C_felis/S1/links/cluster/cf-5-36-asb35-50-Id-CLTL8.txt", 4)</f>
        <v>4</v>
      </c>
      <c r="DP64" s="4">
        <f>HYPERLINK("http://exon.niaid.nih.gov/transcriptome/C_felis/S1/links/cluster/cf-5-36-asb40-50-Id-CLU6.txt", 6)</f>
        <v>6</v>
      </c>
      <c r="DQ64">
        <f>HYPERLINK("http://exon.niaid.nih.gov/transcriptome/C_felis/S1/links/cluster/cf-5-36-asb40-50-Id-CLTL6.txt", 4)</f>
        <v>4</v>
      </c>
      <c r="DR64" s="4">
        <f>HYPERLINK("http://exon.niaid.nih.gov/transcriptome/C_felis/S1/links/cluster/cf-5-36-asb45-50-Id-CLU6.txt", 6)</f>
        <v>6</v>
      </c>
      <c r="DS64">
        <f>HYPERLINK("http://exon.niaid.nih.gov/transcriptome/C_felis/S1/links/cluster/cf-5-36-asb45-50-Id-CLTL6.txt", 4)</f>
        <v>4</v>
      </c>
      <c r="DT64" s="4">
        <f>HYPERLINK("http://exon.niaid.nih.gov/transcriptome/C_felis/S1/links/cluster/cf-5-36-asb50-50-Id-CLU6.txt", 6)</f>
        <v>6</v>
      </c>
      <c r="DU64">
        <f>HYPERLINK("http://exon.niaid.nih.gov/transcriptome/C_felis/S1/links/cluster/cf-5-36-asb50-50-Id-CLTL6.txt", 4)</f>
        <v>4</v>
      </c>
      <c r="DV64" s="4">
        <f>HYPERLINK("http://exon.niaid.nih.gov/transcriptome/C_felis/S1/links/cluster/cf-5-36-asb55-50-Id-CLU18.txt", 18)</f>
        <v>18</v>
      </c>
      <c r="DW64">
        <f>HYPERLINK("http://exon.niaid.nih.gov/transcriptome/C_felis/S1/links/cluster/cf-5-36-asb55-50-Id-CLTL18.txt", 2)</f>
        <v>2</v>
      </c>
      <c r="DX64" s="4">
        <v>80</v>
      </c>
      <c r="DY64">
        <v>1</v>
      </c>
      <c r="DZ64" s="4">
        <v>78</v>
      </c>
      <c r="EA64">
        <v>1</v>
      </c>
      <c r="EB64" s="4">
        <v>78</v>
      </c>
      <c r="EC64">
        <v>1</v>
      </c>
      <c r="ED64" s="4">
        <v>79</v>
      </c>
      <c r="EE64">
        <v>1</v>
      </c>
      <c r="EF64" s="4">
        <v>74</v>
      </c>
      <c r="EG64">
        <v>1</v>
      </c>
      <c r="EH64" s="4">
        <v>68</v>
      </c>
      <c r="EI64">
        <v>1</v>
      </c>
      <c r="EJ64" s="4">
        <v>66</v>
      </c>
      <c r="EK64">
        <v>1</v>
      </c>
    </row>
    <row r="65" spans="1:141" x14ac:dyDescent="0.2">
      <c r="A65" t="str">
        <f>HYPERLINK("http://exon.niaid.nih.gov/transcriptome/C_felis/S1/links/cf/cf-contig_69.txt","cf-contig_69")</f>
        <v>cf-contig_69</v>
      </c>
      <c r="B65">
        <v>1</v>
      </c>
      <c r="C65" s="10" t="s">
        <v>4600</v>
      </c>
      <c r="D65">
        <v>1</v>
      </c>
      <c r="E65" t="str">
        <f>HYPERLINK("http://exon.niaid.nih.gov/transcriptome/C_felis/S1/links/cf/cf-5-36-asb-69.txt","Contig-69")</f>
        <v>Contig-69</v>
      </c>
      <c r="F65" t="str">
        <f>HYPERLINK("http://exon.niaid.nih.gov/transcriptome/C_felis/S1/links/cf/cf-5-36-69-CLU.txt","Contig69")</f>
        <v>Contig69</v>
      </c>
      <c r="G65" t="str">
        <f>HYPERLINK("http://exon.niaid.nih.gov/transcriptome/C_felis/S1/links/cf/cf-5-36-69-qual.txt","65.2")</f>
        <v>65.2</v>
      </c>
      <c r="H65" t="s">
        <v>11</v>
      </c>
      <c r="I65">
        <v>74.2</v>
      </c>
      <c r="J65">
        <v>481</v>
      </c>
      <c r="K65" t="s">
        <v>12</v>
      </c>
      <c r="L65">
        <v>1</v>
      </c>
      <c r="M65" t="s">
        <v>82</v>
      </c>
      <c r="N65">
        <v>481</v>
      </c>
      <c r="O65">
        <v>500</v>
      </c>
      <c r="P65">
        <v>141</v>
      </c>
      <c r="Q65" t="s">
        <v>887</v>
      </c>
      <c r="R65">
        <v>1</v>
      </c>
      <c r="S65" s="7" t="s">
        <v>4585</v>
      </c>
      <c r="U65">
        <v>1</v>
      </c>
      <c r="V65" s="4">
        <f>HYPERLINK("http://exon.niaid.nih.gov/transcriptome/C_felis/S1/links/cluster/cf-5-36-asb30-50-Id-CLU8.txt", 8)</f>
        <v>8</v>
      </c>
      <c r="W65">
        <f>HYPERLINK("http://exon.niaid.nih.gov/transcriptome/C_felis/S1/links/cluster/cf-5-36-asb30-50-Id-CLTL8.txt", 4)</f>
        <v>4</v>
      </c>
      <c r="X65" s="4">
        <f>HYPERLINK("http://exon.niaid.nih.gov/transcriptome/C_felis/S1/links/cluster/cf-5-36-asb35-50-Id-CLU8.txt", 8)</f>
        <v>8</v>
      </c>
      <c r="Y65">
        <f>HYPERLINK("http://exon.niaid.nih.gov/transcriptome/C_felis/S1/links/cluster/cf-5-36-asb35-50-Id-CLTL8.txt", 4)</f>
        <v>4</v>
      </c>
      <c r="Z65" s="4">
        <f>HYPERLINK("http://exon.niaid.nih.gov/transcriptome/C_felis/S1/links/cluster/cf-5-36-asb40-50-Id-CLU6.txt", 6)</f>
        <v>6</v>
      </c>
      <c r="AA65">
        <f>HYPERLINK("http://exon.niaid.nih.gov/transcriptome/C_felis/S1/links/cluster/cf-5-36-asb40-50-Id-CLTL6.txt", 4)</f>
        <v>4</v>
      </c>
      <c r="AB65" s="4" t="str">
        <f>HYPERLINK("http://exon.niaid.nih.gov/transcriptome/C_felis/S1/links/XC-ASB/cf-contig_120-XC-ASB.txt","XC-contig_14")</f>
        <v>XC-contig_14</v>
      </c>
      <c r="AC65">
        <v>4.8000000000000001E-2</v>
      </c>
      <c r="AD65" s="10" t="s">
        <v>4600</v>
      </c>
      <c r="AE65" t="s">
        <v>4601</v>
      </c>
      <c r="AI65" s="4" t="str">
        <f>HYPERLINK("http://exon.niaid.nih.gov/transcriptome/C_felis/S1/links/NR/cf-contig_69-NR.txt","FS-H precursor")</f>
        <v>FS-H precursor</v>
      </c>
      <c r="AJ65" t="str">
        <f>HYPERLINK("http://www.ncbi.nlm.nih.gov/sutils/blink.cgi?pid=1575479","0.015")</f>
        <v>0.015</v>
      </c>
      <c r="AK65" t="str">
        <f t="shared" si="2"/>
        <v>gi|1575479</v>
      </c>
      <c r="AL65">
        <v>43.1</v>
      </c>
      <c r="AM65">
        <v>17</v>
      </c>
      <c r="AN65">
        <v>98</v>
      </c>
      <c r="AO65">
        <v>88</v>
      </c>
      <c r="AP65">
        <v>18</v>
      </c>
      <c r="AQ65">
        <v>2</v>
      </c>
      <c r="AR65">
        <v>0</v>
      </c>
      <c r="AS65">
        <v>81</v>
      </c>
      <c r="AT65">
        <v>7</v>
      </c>
      <c r="AU65">
        <v>1</v>
      </c>
      <c r="AV65">
        <v>1</v>
      </c>
      <c r="AW65" t="s">
        <v>12</v>
      </c>
      <c r="AY65" t="s">
        <v>1676</v>
      </c>
      <c r="AZ65" t="s">
        <v>1728</v>
      </c>
      <c r="BA65" s="4" t="str">
        <f>HYPERLINK("http://exon.niaid.nih.gov/transcriptome/C_felis/S1/links/SWISSP/cf-contig_69-SWISSP.txt","Uncharacterized protein PFL1135c")</f>
        <v>Uncharacterized protein PFL1135c</v>
      </c>
      <c r="BB65" t="str">
        <f>HYPERLINK("http://www.uniprot.org/uniprot/Q8I5I1","0.18")</f>
        <v>0.18</v>
      </c>
      <c r="BC65" t="s">
        <v>1920</v>
      </c>
      <c r="BD65">
        <v>35.4</v>
      </c>
      <c r="BE65">
        <v>92</v>
      </c>
      <c r="BF65">
        <v>1560</v>
      </c>
      <c r="BG65">
        <v>29</v>
      </c>
      <c r="BH65">
        <v>6</v>
      </c>
      <c r="BI65">
        <v>66</v>
      </c>
      <c r="BJ65">
        <v>3</v>
      </c>
      <c r="BK65">
        <v>1072</v>
      </c>
      <c r="BL65">
        <v>171</v>
      </c>
      <c r="BM65">
        <v>1</v>
      </c>
      <c r="BN65">
        <v>-1</v>
      </c>
      <c r="BO65" t="s">
        <v>12</v>
      </c>
      <c r="BP65">
        <v>6.5220000000000002</v>
      </c>
      <c r="BQ65" t="s">
        <v>1666</v>
      </c>
      <c r="BR65" t="s">
        <v>1724</v>
      </c>
      <c r="BS65" s="4" t="str">
        <f>HYPERLINK("http://exon.niaid.nih.gov/transcriptome/C_felis/S1/links/CDD/cf-contig_69-CDD.txt","ND1")</f>
        <v>ND1</v>
      </c>
      <c r="BT65" t="str">
        <f>HYPERLINK("http://www.ncbi.nlm.nih.gov/Structure/cdd/cddsrv.cgi?uid=MTH00058&amp;version=v4.0","0.11")</f>
        <v>0.11</v>
      </c>
      <c r="BU65" t="s">
        <v>1921</v>
      </c>
      <c r="BV65" s="4" t="s">
        <v>42</v>
      </c>
      <c r="BW65" t="s">
        <v>42</v>
      </c>
      <c r="BX65" t="s">
        <v>42</v>
      </c>
      <c r="BY65" t="s">
        <v>42</v>
      </c>
      <c r="BZ65" t="s">
        <v>42</v>
      </c>
      <c r="CA65" t="s">
        <v>42</v>
      </c>
      <c r="CB65" t="s">
        <v>42</v>
      </c>
      <c r="CC65" t="s">
        <v>42</v>
      </c>
      <c r="CD65" t="s">
        <v>42</v>
      </c>
      <c r="CE65" t="s">
        <v>42</v>
      </c>
      <c r="CF65" t="s">
        <v>42</v>
      </c>
      <c r="CG65" t="s">
        <v>42</v>
      </c>
      <c r="CH65" t="s">
        <v>42</v>
      </c>
      <c r="CI65" t="s">
        <v>42</v>
      </c>
      <c r="CJ65" t="s">
        <v>42</v>
      </c>
      <c r="CK65" t="s">
        <v>42</v>
      </c>
      <c r="CL65" t="s">
        <v>42</v>
      </c>
      <c r="CM65" t="s">
        <v>42</v>
      </c>
      <c r="CN65" t="s">
        <v>42</v>
      </c>
      <c r="CO65" t="s">
        <v>42</v>
      </c>
      <c r="CP65" t="s">
        <v>42</v>
      </c>
      <c r="CQ65" t="s">
        <v>42</v>
      </c>
      <c r="CR65" t="s">
        <v>42</v>
      </c>
      <c r="CS65" s="4" t="str">
        <f>HYPERLINK("http://exon.niaid.nih.gov/transcriptome/C_felis/S1/links/KOG/cf-contig_69-KOG.txt","Endosomal membrane proteins, EMP70")</f>
        <v>Endosomal membrane proteins, EMP70</v>
      </c>
      <c r="CT65" t="str">
        <f>HYPERLINK("http://www.ncbi.nlm.nih.gov/COG/grace/shokog.cgi?KOG1278","3.2")</f>
        <v>3.2</v>
      </c>
      <c r="CU65" t="s">
        <v>1686</v>
      </c>
      <c r="CV65" s="4" t="str">
        <f>HYPERLINK("http://exon.niaid.nih.gov/transcriptome/C_felis/S1/links/PFAM/cf-contig_69-PFAM.txt","7TM_GPCR_Srz")</f>
        <v>7TM_GPCR_Srz</v>
      </c>
      <c r="CW65" t="str">
        <f>HYPERLINK("http://pfam.sanger.ac.uk/family?acc=PF10325","0.12")</f>
        <v>0.12</v>
      </c>
      <c r="CX65" s="4" t="str">
        <f>HYPERLINK("http://exon.niaid.nih.gov/transcriptome/C_felis/S1/links/SMART/cf-contig_69-SMART.txt","Brr6_like_C_C")</f>
        <v>Brr6_like_C_C</v>
      </c>
      <c r="CY65" t="str">
        <f>HYPERLINK("http://smart.embl-heidelberg.de/smart/do_annotation.pl?DOMAIN=Brr6_like_C_C&amp;BLAST=DUMMY","0.20")</f>
        <v>0.20</v>
      </c>
      <c r="CZ65" s="4" t="s">
        <v>42</v>
      </c>
      <c r="DA65" t="s">
        <v>42</v>
      </c>
      <c r="DB65" t="s">
        <v>42</v>
      </c>
      <c r="DC65" t="s">
        <v>42</v>
      </c>
      <c r="DD65" t="s">
        <v>42</v>
      </c>
      <c r="DE65" t="s">
        <v>42</v>
      </c>
      <c r="DF65" t="s">
        <v>42</v>
      </c>
      <c r="DG65" t="s">
        <v>42</v>
      </c>
      <c r="DH65" s="4" t="s">
        <v>42</v>
      </c>
      <c r="DI65" t="s">
        <v>42</v>
      </c>
      <c r="DJ65" s="4" t="s">
        <v>42</v>
      </c>
      <c r="DK65" t="s">
        <v>42</v>
      </c>
      <c r="DL65" s="4">
        <f>HYPERLINK("http://exon.niaid.nih.gov/transcriptome/C_felis/S1/links/cluster/cf-5-36-asb30-50-Id-CLU8.txt", 8)</f>
        <v>8</v>
      </c>
      <c r="DM65">
        <f>HYPERLINK("http://exon.niaid.nih.gov/transcriptome/C_felis/S1/links/cluster/cf-5-36-asb30-50-Id-CLTL8.txt", 4)</f>
        <v>4</v>
      </c>
      <c r="DN65" s="4">
        <f>HYPERLINK("http://exon.niaid.nih.gov/transcriptome/C_felis/S1/links/cluster/cf-5-36-asb35-50-Id-CLU8.txt", 8)</f>
        <v>8</v>
      </c>
      <c r="DO65">
        <f>HYPERLINK("http://exon.niaid.nih.gov/transcriptome/C_felis/S1/links/cluster/cf-5-36-asb35-50-Id-CLTL8.txt", 4)</f>
        <v>4</v>
      </c>
      <c r="DP65" s="4">
        <f>HYPERLINK("http://exon.niaid.nih.gov/transcriptome/C_felis/S1/links/cluster/cf-5-36-asb40-50-Id-CLU6.txt", 6)</f>
        <v>6</v>
      </c>
      <c r="DQ65">
        <f>HYPERLINK("http://exon.niaid.nih.gov/transcriptome/C_felis/S1/links/cluster/cf-5-36-asb40-50-Id-CLTL6.txt", 4)</f>
        <v>4</v>
      </c>
      <c r="DR65" s="4">
        <f>HYPERLINK("http://exon.niaid.nih.gov/transcriptome/C_felis/S1/links/cluster/cf-5-36-asb45-50-Id-CLU6.txt", 6)</f>
        <v>6</v>
      </c>
      <c r="DS65">
        <f>HYPERLINK("http://exon.niaid.nih.gov/transcriptome/C_felis/S1/links/cluster/cf-5-36-asb45-50-Id-CLTL6.txt", 4)</f>
        <v>4</v>
      </c>
      <c r="DT65" s="4">
        <f>HYPERLINK("http://exon.niaid.nih.gov/transcriptome/C_felis/S1/links/cluster/cf-5-36-asb50-50-Id-CLU6.txt", 6)</f>
        <v>6</v>
      </c>
      <c r="DU65">
        <f>HYPERLINK("http://exon.niaid.nih.gov/transcriptome/C_felis/S1/links/cluster/cf-5-36-asb50-50-Id-CLTL6.txt", 4)</f>
        <v>4</v>
      </c>
      <c r="DV65" s="4">
        <f>HYPERLINK("http://exon.niaid.nih.gov/transcriptome/C_felis/S1/links/cluster/cf-5-36-asb55-50-Id-CLU18.txt", 18)</f>
        <v>18</v>
      </c>
      <c r="DW65">
        <f>HYPERLINK("http://exon.niaid.nih.gov/transcriptome/C_felis/S1/links/cluster/cf-5-36-asb55-50-Id-CLTL18.txt", 2)</f>
        <v>2</v>
      </c>
      <c r="DX65" s="4">
        <v>82</v>
      </c>
      <c r="DY65">
        <v>1</v>
      </c>
      <c r="DZ65" s="4">
        <v>80</v>
      </c>
      <c r="EA65">
        <v>1</v>
      </c>
      <c r="EB65" s="4">
        <v>80</v>
      </c>
      <c r="EC65">
        <v>1</v>
      </c>
      <c r="ED65" s="4">
        <v>81</v>
      </c>
      <c r="EE65">
        <v>1</v>
      </c>
      <c r="EF65" s="4">
        <v>76</v>
      </c>
      <c r="EG65">
        <v>1</v>
      </c>
      <c r="EH65" s="4">
        <v>71</v>
      </c>
      <c r="EI65">
        <v>1</v>
      </c>
      <c r="EJ65" s="4">
        <v>69</v>
      </c>
      <c r="EK65">
        <v>1</v>
      </c>
    </row>
    <row r="66" spans="1:141" x14ac:dyDescent="0.2">
      <c r="A66" t="str">
        <f>HYPERLINK("http://exon.niaid.nih.gov/transcriptome/C_felis/S1/links/cf/cf-contig_70.txt","cf-contig_70")</f>
        <v>cf-contig_70</v>
      </c>
      <c r="B66">
        <v>1</v>
      </c>
      <c r="C66" s="10" t="s">
        <v>4600</v>
      </c>
      <c r="D66">
        <v>1</v>
      </c>
      <c r="E66" t="str">
        <f>HYPERLINK("http://exon.niaid.nih.gov/transcriptome/C_felis/S1/links/cf/cf-5-36-asb-70.txt","Contig-70")</f>
        <v>Contig-70</v>
      </c>
      <c r="F66" t="str">
        <f>HYPERLINK("http://exon.niaid.nih.gov/transcriptome/C_felis/S1/links/cf/cf-5-36-70-CLU.txt","Contig70")</f>
        <v>Contig70</v>
      </c>
      <c r="G66" t="str">
        <f>HYPERLINK("http://exon.niaid.nih.gov/transcriptome/C_felis/S1/links/cf/cf-5-36-70-qual.txt","64.")</f>
        <v>64.</v>
      </c>
      <c r="H66" t="s">
        <v>11</v>
      </c>
      <c r="I66">
        <v>72.2</v>
      </c>
      <c r="J66">
        <v>351</v>
      </c>
      <c r="K66" t="s">
        <v>12</v>
      </c>
      <c r="L66">
        <v>1</v>
      </c>
      <c r="M66" t="s">
        <v>83</v>
      </c>
      <c r="N66">
        <v>351</v>
      </c>
      <c r="O66">
        <v>370</v>
      </c>
      <c r="P66">
        <v>126</v>
      </c>
      <c r="Q66" t="s">
        <v>890</v>
      </c>
      <c r="R66">
        <v>1</v>
      </c>
      <c r="S66" s="7" t="s">
        <v>4585</v>
      </c>
      <c r="U66">
        <v>1</v>
      </c>
      <c r="V66" s="4">
        <f>HYPERLINK("http://exon.niaid.nih.gov/transcriptome/C_felis/S1/links/cluster/cf-5-36-asb30-50-Id-CLU8.txt", 8)</f>
        <v>8</v>
      </c>
      <c r="W66">
        <f>HYPERLINK("http://exon.niaid.nih.gov/transcriptome/C_felis/S1/links/cluster/cf-5-36-asb30-50-Id-CLTL8.txt", 4)</f>
        <v>4</v>
      </c>
      <c r="X66" s="4">
        <f>HYPERLINK("http://exon.niaid.nih.gov/transcriptome/C_felis/S1/links/cluster/cf-5-36-asb35-50-Id-CLU8.txt", 8)</f>
        <v>8</v>
      </c>
      <c r="Y66">
        <f>HYPERLINK("http://exon.niaid.nih.gov/transcriptome/C_felis/S1/links/cluster/cf-5-36-asb35-50-Id-CLTL8.txt", 4)</f>
        <v>4</v>
      </c>
      <c r="Z66" s="4">
        <f>HYPERLINK("http://exon.niaid.nih.gov/transcriptome/C_felis/S1/links/cluster/cf-5-36-asb40-50-Id-CLU6.txt", 6)</f>
        <v>6</v>
      </c>
      <c r="AA66">
        <f>HYPERLINK("http://exon.niaid.nih.gov/transcriptome/C_felis/S1/links/cluster/cf-5-36-asb40-50-Id-CLTL6.txt", 4)</f>
        <v>4</v>
      </c>
      <c r="AB66" s="4" t="str">
        <f>HYPERLINK("http://exon.niaid.nih.gov/transcriptome/C_felis/S1/links/XC-ASB/cf-contig_143-XC-ASB.txt","XC-contig_57")</f>
        <v>XC-contig_57</v>
      </c>
      <c r="AC66">
        <v>1.9999999999999999E-6</v>
      </c>
      <c r="AD66" s="10" t="s">
        <v>4600</v>
      </c>
      <c r="AE66" t="s">
        <v>4601</v>
      </c>
      <c r="AI66" s="4" t="str">
        <f>HYPERLINK("http://exon.niaid.nih.gov/transcriptome/C_felis/S1/links/NR/cf-contig_70-NR.txt","FS-H precursor")</f>
        <v>FS-H precursor</v>
      </c>
      <c r="AJ66" t="str">
        <f>HYPERLINK("http://www.ncbi.nlm.nih.gov/sutils/blink.cgi?pid=1575479","3E-005")</f>
        <v>3E-005</v>
      </c>
      <c r="AK66" t="str">
        <f t="shared" si="2"/>
        <v>gi|1575479</v>
      </c>
      <c r="AL66">
        <v>52.4</v>
      </c>
      <c r="AM66">
        <v>26</v>
      </c>
      <c r="AN66">
        <v>98</v>
      </c>
      <c r="AO66">
        <v>74</v>
      </c>
      <c r="AP66">
        <v>28</v>
      </c>
      <c r="AQ66">
        <v>7</v>
      </c>
      <c r="AR66">
        <v>0</v>
      </c>
      <c r="AS66">
        <v>72</v>
      </c>
      <c r="AT66">
        <v>15</v>
      </c>
      <c r="AU66">
        <v>1</v>
      </c>
      <c r="AV66">
        <v>3</v>
      </c>
      <c r="AW66" t="s">
        <v>12</v>
      </c>
      <c r="AY66" t="s">
        <v>1676</v>
      </c>
      <c r="AZ66" t="s">
        <v>1728</v>
      </c>
      <c r="BA66" s="4" t="str">
        <f>HYPERLINK("http://exon.niaid.nih.gov/transcriptome/C_felis/S1/links/SWISSP/cf-contig_70-SWISSP.txt","DNA-directed RNA polymerase subunit beta''")</f>
        <v>DNA-directed RNA polymerase subunit beta''</v>
      </c>
      <c r="BB66" t="str">
        <f>HYPERLINK("http://www.uniprot.org/uniprot/Q25802","0.055")</f>
        <v>0.055</v>
      </c>
      <c r="BC66" t="s">
        <v>1918</v>
      </c>
      <c r="BD66">
        <v>28.5</v>
      </c>
      <c r="BE66">
        <v>109</v>
      </c>
      <c r="BF66">
        <v>960</v>
      </c>
      <c r="BG66">
        <v>31</v>
      </c>
      <c r="BH66">
        <v>11</v>
      </c>
      <c r="BI66">
        <v>32</v>
      </c>
      <c r="BJ66">
        <v>4</v>
      </c>
      <c r="BK66">
        <v>364</v>
      </c>
      <c r="BL66">
        <v>19</v>
      </c>
      <c r="BM66">
        <v>2</v>
      </c>
      <c r="BN66">
        <v>-2</v>
      </c>
      <c r="BO66" t="s">
        <v>1689</v>
      </c>
      <c r="BQ66" t="s">
        <v>1666</v>
      </c>
      <c r="BR66" t="s">
        <v>1791</v>
      </c>
      <c r="BS66" s="4" t="str">
        <f>HYPERLINK("http://exon.niaid.nih.gov/transcriptome/C_felis/S1/links/CDD/cf-contig_70-CDD.txt","ND1")</f>
        <v>ND1</v>
      </c>
      <c r="BT66" t="str">
        <f>HYPERLINK("http://www.ncbi.nlm.nih.gov/Structure/cdd/cddsrv.cgi?uid=MTH00058&amp;version=v4.0","0.076")</f>
        <v>0.076</v>
      </c>
      <c r="BU66" t="s">
        <v>1922</v>
      </c>
      <c r="BV66" s="4" t="s">
        <v>42</v>
      </c>
      <c r="BW66" t="s">
        <v>42</v>
      </c>
      <c r="BX66" t="s">
        <v>42</v>
      </c>
      <c r="BY66" t="s">
        <v>42</v>
      </c>
      <c r="BZ66" t="s">
        <v>42</v>
      </c>
      <c r="CA66" t="s">
        <v>42</v>
      </c>
      <c r="CB66" t="s">
        <v>42</v>
      </c>
      <c r="CC66" t="s">
        <v>42</v>
      </c>
      <c r="CD66" t="s">
        <v>42</v>
      </c>
      <c r="CE66" t="s">
        <v>42</v>
      </c>
      <c r="CF66" t="s">
        <v>42</v>
      </c>
      <c r="CG66" t="s">
        <v>42</v>
      </c>
      <c r="CH66" t="s">
        <v>42</v>
      </c>
      <c r="CI66" t="s">
        <v>42</v>
      </c>
      <c r="CJ66" t="s">
        <v>42</v>
      </c>
      <c r="CK66" t="s">
        <v>42</v>
      </c>
      <c r="CL66" t="s">
        <v>42</v>
      </c>
      <c r="CM66" t="s">
        <v>42</v>
      </c>
      <c r="CN66" t="s">
        <v>42</v>
      </c>
      <c r="CO66" t="s">
        <v>42</v>
      </c>
      <c r="CP66" t="s">
        <v>42</v>
      </c>
      <c r="CQ66" t="s">
        <v>42</v>
      </c>
      <c r="CR66" t="s">
        <v>42</v>
      </c>
      <c r="CS66" s="4" t="str">
        <f>HYPERLINK("http://exon.niaid.nih.gov/transcriptome/C_felis/S1/links/KOG/cf-contig_70-KOG.txt","Cullins")</f>
        <v>Cullins</v>
      </c>
      <c r="CT66" t="str">
        <f>HYPERLINK("http://www.ncbi.nlm.nih.gov/COG/grace/shokog.cgi?KOG2166","0.83")</f>
        <v>0.83</v>
      </c>
      <c r="CU66" t="s">
        <v>1750</v>
      </c>
      <c r="CV66" s="4" t="str">
        <f>HYPERLINK("http://exon.niaid.nih.gov/transcriptome/C_felis/S1/links/PFAM/cf-contig_70-PFAM.txt","YfhO")</f>
        <v>YfhO</v>
      </c>
      <c r="CW66" t="str">
        <f>HYPERLINK("http://pfam.sanger.ac.uk/family?acc=PF09586","0.087")</f>
        <v>0.087</v>
      </c>
      <c r="CX66" s="4" t="str">
        <f>HYPERLINK("http://exon.niaid.nih.gov/transcriptome/C_felis/S1/links/SMART/cf-contig_70-SMART.txt","Sec7")</f>
        <v>Sec7</v>
      </c>
      <c r="CY66" t="str">
        <f>HYPERLINK("http://smart.embl-heidelberg.de/smart/do_annotation.pl?DOMAIN=Sec7&amp;BLAST=DUMMY","0.007")</f>
        <v>0.007</v>
      </c>
      <c r="CZ66" s="4" t="s">
        <v>42</v>
      </c>
      <c r="DA66" t="s">
        <v>42</v>
      </c>
      <c r="DB66" t="s">
        <v>42</v>
      </c>
      <c r="DC66" t="s">
        <v>42</v>
      </c>
      <c r="DD66" t="s">
        <v>42</v>
      </c>
      <c r="DE66" t="s">
        <v>42</v>
      </c>
      <c r="DF66" t="s">
        <v>42</v>
      </c>
      <c r="DG66" t="s">
        <v>42</v>
      </c>
      <c r="DH66" s="4" t="s">
        <v>42</v>
      </c>
      <c r="DI66" t="s">
        <v>42</v>
      </c>
      <c r="DJ66" s="4" t="s">
        <v>42</v>
      </c>
      <c r="DK66" t="s">
        <v>42</v>
      </c>
      <c r="DL66" s="4">
        <f>HYPERLINK("http://exon.niaid.nih.gov/transcriptome/C_felis/S1/links/cluster/cf-5-36-asb30-50-Id-CLU8.txt", 8)</f>
        <v>8</v>
      </c>
      <c r="DM66">
        <f>HYPERLINK("http://exon.niaid.nih.gov/transcriptome/C_felis/S1/links/cluster/cf-5-36-asb30-50-Id-CLTL8.txt", 4)</f>
        <v>4</v>
      </c>
      <c r="DN66" s="4">
        <f>HYPERLINK("http://exon.niaid.nih.gov/transcriptome/C_felis/S1/links/cluster/cf-5-36-asb35-50-Id-CLU8.txt", 8)</f>
        <v>8</v>
      </c>
      <c r="DO66">
        <f>HYPERLINK("http://exon.niaid.nih.gov/transcriptome/C_felis/S1/links/cluster/cf-5-36-asb35-50-Id-CLTL8.txt", 4)</f>
        <v>4</v>
      </c>
      <c r="DP66" s="4">
        <f>HYPERLINK("http://exon.niaid.nih.gov/transcriptome/C_felis/S1/links/cluster/cf-5-36-asb40-50-Id-CLU6.txt", 6)</f>
        <v>6</v>
      </c>
      <c r="DQ66">
        <f>HYPERLINK("http://exon.niaid.nih.gov/transcriptome/C_felis/S1/links/cluster/cf-5-36-asb40-50-Id-CLTL6.txt", 4)</f>
        <v>4</v>
      </c>
      <c r="DR66" s="4">
        <f>HYPERLINK("http://exon.niaid.nih.gov/transcriptome/C_felis/S1/links/cluster/cf-5-36-asb45-50-Id-CLU6.txt", 6)</f>
        <v>6</v>
      </c>
      <c r="DS66">
        <f>HYPERLINK("http://exon.niaid.nih.gov/transcriptome/C_felis/S1/links/cluster/cf-5-36-asb45-50-Id-CLTL6.txt", 4)</f>
        <v>4</v>
      </c>
      <c r="DT66" s="4">
        <f>HYPERLINK("http://exon.niaid.nih.gov/transcriptome/C_felis/S1/links/cluster/cf-5-36-asb50-50-Id-CLU6.txt", 6)</f>
        <v>6</v>
      </c>
      <c r="DU66">
        <f>HYPERLINK("http://exon.niaid.nih.gov/transcriptome/C_felis/S1/links/cluster/cf-5-36-asb50-50-Id-CLTL6.txt", 4)</f>
        <v>4</v>
      </c>
      <c r="DV66" s="4">
        <v>84</v>
      </c>
      <c r="DW66">
        <v>1</v>
      </c>
      <c r="DX66" s="4">
        <v>83</v>
      </c>
      <c r="DY66">
        <v>1</v>
      </c>
      <c r="DZ66" s="4">
        <v>81</v>
      </c>
      <c r="EA66">
        <v>1</v>
      </c>
      <c r="EB66" s="4">
        <v>81</v>
      </c>
      <c r="EC66">
        <v>1</v>
      </c>
      <c r="ED66" s="4">
        <v>82</v>
      </c>
      <c r="EE66">
        <v>1</v>
      </c>
      <c r="EF66" s="4">
        <v>77</v>
      </c>
      <c r="EG66">
        <v>1</v>
      </c>
      <c r="EH66" s="4">
        <v>72</v>
      </c>
      <c r="EI66">
        <v>1</v>
      </c>
      <c r="EJ66" s="4">
        <v>70</v>
      </c>
      <c r="EK66">
        <v>1</v>
      </c>
    </row>
    <row r="67" spans="1:141" x14ac:dyDescent="0.2">
      <c r="A67" t="str">
        <f>HYPERLINK("http://exon.niaid.nih.gov/transcriptome/C_felis/S1/links/cf/cf-contig_71.txt","cf-contig_71")</f>
        <v>cf-contig_71</v>
      </c>
      <c r="B67">
        <v>1</v>
      </c>
      <c r="C67" s="10" t="s">
        <v>4600</v>
      </c>
      <c r="D67">
        <v>1</v>
      </c>
      <c r="E67" t="str">
        <f>HYPERLINK("http://exon.niaid.nih.gov/transcriptome/C_felis/S1/links/cf/cf-5-36-asb-71.txt","Contig-71")</f>
        <v>Contig-71</v>
      </c>
      <c r="F67" t="str">
        <f>HYPERLINK("http://exon.niaid.nih.gov/transcriptome/C_felis/S1/links/cf/cf-5-36-71-CLU.txt","Contig71")</f>
        <v>Contig71</v>
      </c>
      <c r="G67" t="str">
        <f>HYPERLINK("http://exon.niaid.nih.gov/transcriptome/C_felis/S1/links/cf/cf-5-36-71-qual.txt","62.9")</f>
        <v>62.9</v>
      </c>
      <c r="H67" t="s">
        <v>11</v>
      </c>
      <c r="I67">
        <v>73.599999999999994</v>
      </c>
      <c r="J67">
        <v>356</v>
      </c>
      <c r="K67" t="s">
        <v>12</v>
      </c>
      <c r="L67">
        <v>1</v>
      </c>
      <c r="M67" t="s">
        <v>84</v>
      </c>
      <c r="N67">
        <v>356</v>
      </c>
      <c r="O67">
        <v>375</v>
      </c>
      <c r="P67">
        <v>117</v>
      </c>
      <c r="Q67" t="s">
        <v>891</v>
      </c>
      <c r="R67">
        <v>1</v>
      </c>
      <c r="S67" s="7" t="s">
        <v>4585</v>
      </c>
      <c r="U67">
        <v>1</v>
      </c>
      <c r="V67" s="4">
        <f>HYPERLINK("http://exon.niaid.nih.gov/transcriptome/C_felis/S1/links/cluster/cf-5-36-asb30-50-Id-CLU8.txt", 8)</f>
        <v>8</v>
      </c>
      <c r="W67">
        <f>HYPERLINK("http://exon.niaid.nih.gov/transcriptome/C_felis/S1/links/cluster/cf-5-36-asb30-50-Id-CLTL8.txt", 4)</f>
        <v>4</v>
      </c>
      <c r="X67" s="4">
        <f>HYPERLINK("http://exon.niaid.nih.gov/transcriptome/C_felis/S1/links/cluster/cf-5-36-asb35-50-Id-CLU8.txt", 8)</f>
        <v>8</v>
      </c>
      <c r="Y67">
        <f>HYPERLINK("http://exon.niaid.nih.gov/transcriptome/C_felis/S1/links/cluster/cf-5-36-asb35-50-Id-CLTL8.txt", 4)</f>
        <v>4</v>
      </c>
      <c r="Z67" s="4">
        <f>HYPERLINK("http://exon.niaid.nih.gov/transcriptome/C_felis/S1/links/cluster/cf-5-36-asb40-50-Id-CLU6.txt", 6)</f>
        <v>6</v>
      </c>
      <c r="AA67">
        <f>HYPERLINK("http://exon.niaid.nih.gov/transcriptome/C_felis/S1/links/cluster/cf-5-36-asb40-50-Id-CLTL6.txt", 4)</f>
        <v>4</v>
      </c>
      <c r="AB67" s="4" t="str">
        <f>HYPERLINK("http://exon.niaid.nih.gov/transcriptome/C_felis/S1/links/XC-ASB/cf-contig_230-XC-ASB.txt","XC-contig_60")</f>
        <v>XC-contig_60</v>
      </c>
      <c r="AC67">
        <v>2.8000000000000001E-2</v>
      </c>
      <c r="AD67" s="10" t="s">
        <v>4600</v>
      </c>
      <c r="AE67" t="s">
        <v>4601</v>
      </c>
      <c r="AI67" s="4" t="str">
        <f>HYPERLINK("http://exon.niaid.nih.gov/transcriptome/C_felis/S1/links/NR/cf-contig_71-NR.txt","FS-H precursor")</f>
        <v>FS-H precursor</v>
      </c>
      <c r="AJ67" t="str">
        <f>HYPERLINK("http://www.ncbi.nlm.nih.gov/sutils/blink.cgi?pid=1575479","6E-007")</f>
        <v>6E-007</v>
      </c>
      <c r="AK67" t="str">
        <f t="shared" si="2"/>
        <v>gi|1575479</v>
      </c>
      <c r="AL67">
        <v>57.8</v>
      </c>
      <c r="AM67">
        <v>23</v>
      </c>
      <c r="AN67">
        <v>98</v>
      </c>
      <c r="AO67">
        <v>91</v>
      </c>
      <c r="AP67">
        <v>24</v>
      </c>
      <c r="AQ67">
        <v>2</v>
      </c>
      <c r="AR67">
        <v>0</v>
      </c>
      <c r="AS67">
        <v>75</v>
      </c>
      <c r="AT67">
        <v>6</v>
      </c>
      <c r="AU67">
        <v>1</v>
      </c>
      <c r="AV67">
        <v>3</v>
      </c>
      <c r="AW67" t="s">
        <v>12</v>
      </c>
      <c r="AY67" t="s">
        <v>1676</v>
      </c>
      <c r="AZ67" t="s">
        <v>1728</v>
      </c>
      <c r="BA67" s="4" t="str">
        <f>HYPERLINK("http://exon.niaid.nih.gov/transcriptome/C_felis/S1/links/SWISSP/cf-contig_71-SWISSP.txt","Protein crumbs")</f>
        <v>Protein crumbs</v>
      </c>
      <c r="BB67" t="str">
        <f>HYPERLINK("http://www.uniprot.org/uniprot/P10040","0.42")</f>
        <v>0.42</v>
      </c>
      <c r="BC67" t="s">
        <v>1803</v>
      </c>
      <c r="BD67">
        <v>33.5</v>
      </c>
      <c r="BE67">
        <v>23</v>
      </c>
      <c r="BF67">
        <v>2146</v>
      </c>
      <c r="BG67">
        <v>54</v>
      </c>
      <c r="BH67">
        <v>1</v>
      </c>
      <c r="BI67">
        <v>11</v>
      </c>
      <c r="BJ67">
        <v>0</v>
      </c>
      <c r="BK67">
        <v>552</v>
      </c>
      <c r="BL67">
        <v>6</v>
      </c>
      <c r="BM67">
        <v>1</v>
      </c>
      <c r="BN67">
        <v>3</v>
      </c>
      <c r="BO67" t="s">
        <v>12</v>
      </c>
      <c r="BQ67" t="s">
        <v>1676</v>
      </c>
      <c r="BR67" t="s">
        <v>1804</v>
      </c>
      <c r="BS67" s="4" t="str">
        <f>HYPERLINK("http://exon.niaid.nih.gov/transcriptome/C_felis/S1/links/CDD/cf-contig_71-CDD.txt","EGF_2")</f>
        <v>EGF_2</v>
      </c>
      <c r="BT67" t="str">
        <f>HYPERLINK("http://www.ncbi.nlm.nih.gov/Structure/cdd/cddsrv.cgi?uid=pfam07974&amp;version=v4.0","0.13")</f>
        <v>0.13</v>
      </c>
      <c r="BU67" t="s">
        <v>1923</v>
      </c>
      <c r="BV67" s="4" t="s">
        <v>42</v>
      </c>
      <c r="BW67" t="s">
        <v>42</v>
      </c>
      <c r="BX67" t="s">
        <v>42</v>
      </c>
      <c r="BY67" t="s">
        <v>42</v>
      </c>
      <c r="BZ67" t="s">
        <v>42</v>
      </c>
      <c r="CA67" t="s">
        <v>42</v>
      </c>
      <c r="CB67" t="s">
        <v>42</v>
      </c>
      <c r="CC67" t="s">
        <v>42</v>
      </c>
      <c r="CD67" t="s">
        <v>42</v>
      </c>
      <c r="CE67" t="s">
        <v>42</v>
      </c>
      <c r="CF67" t="s">
        <v>42</v>
      </c>
      <c r="CG67" t="s">
        <v>42</v>
      </c>
      <c r="CH67" t="s">
        <v>42</v>
      </c>
      <c r="CI67" t="s">
        <v>42</v>
      </c>
      <c r="CJ67" t="s">
        <v>42</v>
      </c>
      <c r="CK67" t="s">
        <v>42</v>
      </c>
      <c r="CL67" t="s">
        <v>42</v>
      </c>
      <c r="CM67" t="s">
        <v>42</v>
      </c>
      <c r="CN67" t="s">
        <v>42</v>
      </c>
      <c r="CO67" t="s">
        <v>42</v>
      </c>
      <c r="CP67" t="s">
        <v>42</v>
      </c>
      <c r="CQ67" t="s">
        <v>42</v>
      </c>
      <c r="CR67" t="s">
        <v>42</v>
      </c>
      <c r="CS67" s="4" t="str">
        <f>HYPERLINK("http://exon.niaid.nih.gov/transcriptome/C_felis/S1/links/KOG/cf-contig_71-KOG.txt","WD40 repeat protein")</f>
        <v>WD40 repeat protein</v>
      </c>
      <c r="CT67" t="str">
        <f>HYPERLINK("http://www.ncbi.nlm.nih.gov/COG/grace/shokog.cgi?KOG1407","1.1")</f>
        <v>1.1</v>
      </c>
      <c r="CU67" t="s">
        <v>1711</v>
      </c>
      <c r="CV67" s="4" t="str">
        <f>HYPERLINK("http://exon.niaid.nih.gov/transcriptome/C_felis/S1/links/PFAM/cf-contig_71-PFAM.txt","EGF_2")</f>
        <v>EGF_2</v>
      </c>
      <c r="CW67" t="str">
        <f>HYPERLINK("http://pfam.sanger.ac.uk/family?acc=PF07974","0.031")</f>
        <v>0.031</v>
      </c>
      <c r="CX67" s="4" t="str">
        <f>HYPERLINK("http://exon.niaid.nih.gov/transcriptome/C_felis/S1/links/SMART/cf-contig_71-SMART.txt","TOP2c")</f>
        <v>TOP2c</v>
      </c>
      <c r="CY67" t="str">
        <f>HYPERLINK("http://smart.embl-heidelberg.de/smart/do_annotation.pl?DOMAIN=TOP2c&amp;BLAST=DUMMY","0.22")</f>
        <v>0.22</v>
      </c>
      <c r="CZ67" s="4" t="s">
        <v>42</v>
      </c>
      <c r="DA67" t="s">
        <v>42</v>
      </c>
      <c r="DB67" t="s">
        <v>42</v>
      </c>
      <c r="DC67" t="s">
        <v>42</v>
      </c>
      <c r="DD67" t="s">
        <v>42</v>
      </c>
      <c r="DE67" t="s">
        <v>42</v>
      </c>
      <c r="DF67" t="s">
        <v>42</v>
      </c>
      <c r="DG67" t="s">
        <v>42</v>
      </c>
      <c r="DH67" s="4" t="s">
        <v>42</v>
      </c>
      <c r="DI67" t="s">
        <v>42</v>
      </c>
      <c r="DJ67" s="4" t="s">
        <v>42</v>
      </c>
      <c r="DK67" t="s">
        <v>42</v>
      </c>
      <c r="DL67" s="4">
        <f>HYPERLINK("http://exon.niaid.nih.gov/transcriptome/C_felis/S1/links/cluster/cf-5-36-asb30-50-Id-CLU8.txt", 8)</f>
        <v>8</v>
      </c>
      <c r="DM67">
        <f>HYPERLINK("http://exon.niaid.nih.gov/transcriptome/C_felis/S1/links/cluster/cf-5-36-asb30-50-Id-CLTL8.txt", 4)</f>
        <v>4</v>
      </c>
      <c r="DN67" s="4">
        <f>HYPERLINK("http://exon.niaid.nih.gov/transcriptome/C_felis/S1/links/cluster/cf-5-36-asb35-50-Id-CLU8.txt", 8)</f>
        <v>8</v>
      </c>
      <c r="DO67">
        <f>HYPERLINK("http://exon.niaid.nih.gov/transcriptome/C_felis/S1/links/cluster/cf-5-36-asb35-50-Id-CLTL8.txt", 4)</f>
        <v>4</v>
      </c>
      <c r="DP67" s="4">
        <f>HYPERLINK("http://exon.niaid.nih.gov/transcriptome/C_felis/S1/links/cluster/cf-5-36-asb40-50-Id-CLU6.txt", 6)</f>
        <v>6</v>
      </c>
      <c r="DQ67">
        <f>HYPERLINK("http://exon.niaid.nih.gov/transcriptome/C_felis/S1/links/cluster/cf-5-36-asb40-50-Id-CLTL6.txt", 4)</f>
        <v>4</v>
      </c>
      <c r="DR67" s="4">
        <f>HYPERLINK("http://exon.niaid.nih.gov/transcriptome/C_felis/S1/links/cluster/cf-5-36-asb45-50-Id-CLU6.txt", 6)</f>
        <v>6</v>
      </c>
      <c r="DS67">
        <f>HYPERLINK("http://exon.niaid.nih.gov/transcriptome/C_felis/S1/links/cluster/cf-5-36-asb45-50-Id-CLTL6.txt", 4)</f>
        <v>4</v>
      </c>
      <c r="DT67" s="4">
        <f>HYPERLINK("http://exon.niaid.nih.gov/transcriptome/C_felis/S1/links/cluster/cf-5-36-asb50-50-Id-CLU6.txt", 6)</f>
        <v>6</v>
      </c>
      <c r="DU67">
        <f>HYPERLINK("http://exon.niaid.nih.gov/transcriptome/C_felis/S1/links/cluster/cf-5-36-asb50-50-Id-CLTL6.txt", 4)</f>
        <v>4</v>
      </c>
      <c r="DV67" s="4">
        <v>85</v>
      </c>
      <c r="DW67">
        <v>1</v>
      </c>
      <c r="DX67" s="4">
        <v>84</v>
      </c>
      <c r="DY67">
        <v>1</v>
      </c>
      <c r="DZ67" s="4">
        <v>82</v>
      </c>
      <c r="EA67">
        <v>1</v>
      </c>
      <c r="EB67" s="4">
        <v>82</v>
      </c>
      <c r="EC67">
        <v>1</v>
      </c>
      <c r="ED67" s="4">
        <v>83</v>
      </c>
      <c r="EE67">
        <v>1</v>
      </c>
      <c r="EF67" s="4">
        <v>78</v>
      </c>
      <c r="EG67">
        <v>1</v>
      </c>
      <c r="EH67" s="4">
        <v>73</v>
      </c>
      <c r="EI67">
        <v>1</v>
      </c>
      <c r="EJ67" s="4">
        <v>71</v>
      </c>
      <c r="EK67">
        <v>1</v>
      </c>
    </row>
    <row r="68" spans="1:141" x14ac:dyDescent="0.2">
      <c r="A68" t="str">
        <f>HYPERLINK("http://exon.niaid.nih.gov/transcriptome/C_felis/S1/links/cf/cf-contig_63.txt","cf-contig_63")</f>
        <v>cf-contig_63</v>
      </c>
      <c r="B68">
        <v>2</v>
      </c>
      <c r="C68" s="10" t="s">
        <v>4600</v>
      </c>
      <c r="D68">
        <v>2</v>
      </c>
      <c r="E68" t="str">
        <f>HYPERLINK("http://exon.niaid.nih.gov/transcriptome/C_felis/S1/links/cf/cf-5-36-asb-63.txt","Contig-63")</f>
        <v>Contig-63</v>
      </c>
      <c r="F68" t="str">
        <f>HYPERLINK("http://exon.niaid.nih.gov/transcriptome/C_felis/S1/links/cf/cf-5-36-63-CLU.txt","Contig63")</f>
        <v>Contig63</v>
      </c>
      <c r="G68" t="str">
        <f>HYPERLINK("http://exon.niaid.nih.gov/transcriptome/C_felis/S1/links/cf/cf-5-36-63-qual.txt","66.9")</f>
        <v>66.9</v>
      </c>
      <c r="H68" t="s">
        <v>11</v>
      </c>
      <c r="I68">
        <v>76.3</v>
      </c>
      <c r="J68">
        <v>370</v>
      </c>
      <c r="K68" t="s">
        <v>12</v>
      </c>
      <c r="L68">
        <v>2</v>
      </c>
      <c r="M68" t="s">
        <v>76</v>
      </c>
      <c r="N68">
        <v>370</v>
      </c>
      <c r="O68">
        <v>389</v>
      </c>
      <c r="P68">
        <v>93</v>
      </c>
      <c r="Q68" t="s">
        <v>885</v>
      </c>
      <c r="R68">
        <v>3</v>
      </c>
      <c r="S68" s="7" t="s">
        <v>4585</v>
      </c>
      <c r="U68">
        <v>2</v>
      </c>
      <c r="V68" s="4">
        <f>HYPERLINK("http://exon.niaid.nih.gov/transcriptome/C_felis/S1/links/cluster/cf-5-36-asb30-50-Id-CLU15.txt", 15)</f>
        <v>15</v>
      </c>
      <c r="W68">
        <f>HYPERLINK("http://exon.niaid.nih.gov/transcriptome/C_felis/S1/links/cluster/cf-5-36-asb30-50-Id-CLTL15.txt", 3)</f>
        <v>3</v>
      </c>
      <c r="X68" s="4">
        <f>HYPERLINK("http://exon.niaid.nih.gov/transcriptome/C_felis/S1/links/cluster/cf-5-36-asb35-50-Id-CLU13.txt", 13)</f>
        <v>13</v>
      </c>
      <c r="Y68">
        <f>HYPERLINK("http://exon.niaid.nih.gov/transcriptome/C_felis/S1/links/cluster/cf-5-36-asb35-50-Id-CLTL13.txt", 3)</f>
        <v>3</v>
      </c>
      <c r="Z68" s="4">
        <f>HYPERLINK("http://exon.niaid.nih.gov/transcriptome/C_felis/S1/links/cluster/cf-5-36-asb40-50-Id-CLU13.txt", 13)</f>
        <v>13</v>
      </c>
      <c r="AA68">
        <f>HYPERLINK("http://exon.niaid.nih.gov/transcriptome/C_felis/S1/links/cluster/cf-5-36-asb40-50-Id-CLTL13.txt", 3)</f>
        <v>3</v>
      </c>
      <c r="AB68" s="4" t="str">
        <f>HYPERLINK("http://exon.niaid.nih.gov/transcriptome/C_felis/S1/links/XC-ASB/cf-contig_802-XC-ASB.txt","XC-contig_43")</f>
        <v>XC-contig_43</v>
      </c>
      <c r="AC68">
        <v>6.9999999999999994E-5</v>
      </c>
      <c r="AD68" s="10" t="s">
        <v>4600</v>
      </c>
      <c r="AE68" t="s">
        <v>4601</v>
      </c>
      <c r="AI68" s="4" t="str">
        <f>HYPERLINK("http://exon.niaid.nih.gov/transcriptome/C_felis/S1/links/NR/cf-contig_63-NR.txt","FS-H precursor")</f>
        <v>FS-H precursor</v>
      </c>
      <c r="AJ68" t="str">
        <f>HYPERLINK("http://www.ncbi.nlm.nih.gov/sutils/blink.cgi?pid=1575479","8E-004")</f>
        <v>8E-004</v>
      </c>
      <c r="AK68" t="str">
        <f t="shared" si="2"/>
        <v>gi|1575479</v>
      </c>
      <c r="AL68">
        <v>47.4</v>
      </c>
      <c r="AM68">
        <v>20</v>
      </c>
      <c r="AN68">
        <v>98</v>
      </c>
      <c r="AO68">
        <v>80</v>
      </c>
      <c r="AP68">
        <v>21</v>
      </c>
      <c r="AQ68">
        <v>4</v>
      </c>
      <c r="AR68">
        <v>0</v>
      </c>
      <c r="AS68">
        <v>78</v>
      </c>
      <c r="AT68">
        <v>8</v>
      </c>
      <c r="AU68">
        <v>1</v>
      </c>
      <c r="AV68">
        <v>2</v>
      </c>
      <c r="AW68" t="s">
        <v>12</v>
      </c>
      <c r="AY68" t="s">
        <v>1676</v>
      </c>
      <c r="AZ68" t="s">
        <v>1728</v>
      </c>
      <c r="BA68" s="4" t="str">
        <f>HYPERLINK("http://exon.niaid.nih.gov/transcriptome/C_felis/S1/links/SWISSP/cf-contig_63-SWISSP.txt","GPI mannosyltransferase 4")</f>
        <v>GPI mannosyltransferase 4</v>
      </c>
      <c r="BB68" t="str">
        <f>HYPERLINK("http://www.uniprot.org/uniprot/Q6FMA9","3.6")</f>
        <v>3.6</v>
      </c>
      <c r="BC68" t="s">
        <v>1910</v>
      </c>
      <c r="BD68">
        <v>30.4</v>
      </c>
      <c r="BE68">
        <v>41</v>
      </c>
      <c r="BF68">
        <v>496</v>
      </c>
      <c r="BG68">
        <v>30</v>
      </c>
      <c r="BH68">
        <v>8</v>
      </c>
      <c r="BI68">
        <v>29</v>
      </c>
      <c r="BJ68">
        <v>0</v>
      </c>
      <c r="BK68">
        <v>89</v>
      </c>
      <c r="BL68">
        <v>213</v>
      </c>
      <c r="BM68">
        <v>1</v>
      </c>
      <c r="BN68">
        <v>3</v>
      </c>
      <c r="BO68" t="s">
        <v>12</v>
      </c>
      <c r="BP68">
        <v>7.3170000000000002</v>
      </c>
      <c r="BQ68" t="s">
        <v>1676</v>
      </c>
      <c r="BR68" t="s">
        <v>1911</v>
      </c>
      <c r="BS68" s="4" t="str">
        <f>HYPERLINK("http://exon.niaid.nih.gov/transcriptome/C_felis/S1/links/CDD/cf-contig_63-CDD.txt","7TM_GPCR_Sru")</f>
        <v>7TM_GPCR_Sru</v>
      </c>
      <c r="BT68" t="str">
        <f>HYPERLINK("http://www.ncbi.nlm.nih.gov/Structure/cdd/cddsrv.cgi?uid=pfam10322&amp;version=v4.0","0.22")</f>
        <v>0.22</v>
      </c>
      <c r="BU68" t="s">
        <v>1912</v>
      </c>
      <c r="BV68" s="4" t="s">
        <v>42</v>
      </c>
      <c r="BW68" t="s">
        <v>42</v>
      </c>
      <c r="BX68" t="s">
        <v>42</v>
      </c>
      <c r="BY68" t="s">
        <v>42</v>
      </c>
      <c r="BZ68" t="s">
        <v>42</v>
      </c>
      <c r="CA68" t="s">
        <v>42</v>
      </c>
      <c r="CB68" t="s">
        <v>42</v>
      </c>
      <c r="CC68" t="s">
        <v>42</v>
      </c>
      <c r="CD68" t="s">
        <v>42</v>
      </c>
      <c r="CE68" t="s">
        <v>42</v>
      </c>
      <c r="CF68" t="s">
        <v>42</v>
      </c>
      <c r="CG68" t="s">
        <v>42</v>
      </c>
      <c r="CH68" t="s">
        <v>42</v>
      </c>
      <c r="CI68" t="s">
        <v>42</v>
      </c>
      <c r="CJ68" t="s">
        <v>42</v>
      </c>
      <c r="CK68" t="s">
        <v>42</v>
      </c>
      <c r="CL68" t="s">
        <v>42</v>
      </c>
      <c r="CM68" t="s">
        <v>42</v>
      </c>
      <c r="CN68" t="s">
        <v>42</v>
      </c>
      <c r="CO68" t="s">
        <v>42</v>
      </c>
      <c r="CP68" t="s">
        <v>42</v>
      </c>
      <c r="CQ68" t="s">
        <v>42</v>
      </c>
      <c r="CR68" t="s">
        <v>42</v>
      </c>
      <c r="CS68" s="4" t="str">
        <f>HYPERLINK("http://exon.niaid.nih.gov/transcriptome/C_felis/S1/links/KOG/cf-contig_63-KOG.txt","Uncharacterized conserved protein")</f>
        <v>Uncharacterized conserved protein</v>
      </c>
      <c r="CT68" t="str">
        <f>HYPERLINK("http://www.ncbi.nlm.nih.gov/COG/grace/shokog.cgi?KOG4255","2.5")</f>
        <v>2.5</v>
      </c>
      <c r="CU68" t="s">
        <v>1711</v>
      </c>
      <c r="CV68" s="4" t="str">
        <f>HYPERLINK("http://exon.niaid.nih.gov/transcriptome/C_felis/S1/links/PFAM/cf-contig_63-PFAM.txt","7TM_GPCR_Sru")</f>
        <v>7TM_GPCR_Sru</v>
      </c>
      <c r="CW68" t="str">
        <f>HYPERLINK("http://pfam.sanger.ac.uk/family?acc=PF10322","0.051")</f>
        <v>0.051</v>
      </c>
      <c r="CX68" s="4" t="str">
        <f>HYPERLINK("http://exon.niaid.nih.gov/transcriptome/C_felis/S1/links/SMART/cf-contig_63-SMART.txt","TLC")</f>
        <v>TLC</v>
      </c>
      <c r="CY68" t="str">
        <f>HYPERLINK("http://smart.embl-heidelberg.de/smart/do_annotation.pl?DOMAIN=TLC&amp;BLAST=DUMMY","0.11")</f>
        <v>0.11</v>
      </c>
      <c r="CZ68" s="4" t="s">
        <v>42</v>
      </c>
      <c r="DA68" t="s">
        <v>42</v>
      </c>
      <c r="DB68" t="s">
        <v>42</v>
      </c>
      <c r="DC68" t="s">
        <v>42</v>
      </c>
      <c r="DD68" t="s">
        <v>42</v>
      </c>
      <c r="DE68" t="s">
        <v>42</v>
      </c>
      <c r="DF68" t="s">
        <v>42</v>
      </c>
      <c r="DG68" t="s">
        <v>42</v>
      </c>
      <c r="DH68" s="4" t="s">
        <v>42</v>
      </c>
      <c r="DI68" t="s">
        <v>42</v>
      </c>
      <c r="DJ68" s="4" t="s">
        <v>42</v>
      </c>
      <c r="DK68" t="s">
        <v>42</v>
      </c>
      <c r="DL68" s="4">
        <f>HYPERLINK("http://exon.niaid.nih.gov/transcriptome/C_felis/S1/links/cluster/cf-5-36-asb30-50-Id-CLU15.txt", 15)</f>
        <v>15</v>
      </c>
      <c r="DM68">
        <f>HYPERLINK("http://exon.niaid.nih.gov/transcriptome/C_felis/S1/links/cluster/cf-5-36-asb30-50-Id-CLTL15.txt", 3)</f>
        <v>3</v>
      </c>
      <c r="DN68" s="4">
        <f>HYPERLINK("http://exon.niaid.nih.gov/transcriptome/C_felis/S1/links/cluster/cf-5-36-asb35-50-Id-CLU13.txt", 13)</f>
        <v>13</v>
      </c>
      <c r="DO68">
        <f>HYPERLINK("http://exon.niaid.nih.gov/transcriptome/C_felis/S1/links/cluster/cf-5-36-asb35-50-Id-CLTL13.txt", 3)</f>
        <v>3</v>
      </c>
      <c r="DP68" s="4">
        <f>HYPERLINK("http://exon.niaid.nih.gov/transcriptome/C_felis/S1/links/cluster/cf-5-36-asb40-50-Id-CLU13.txt", 13)</f>
        <v>13</v>
      </c>
      <c r="DQ68">
        <f>HYPERLINK("http://exon.niaid.nih.gov/transcriptome/C_felis/S1/links/cluster/cf-5-36-asb40-50-Id-CLTL13.txt", 3)</f>
        <v>3</v>
      </c>
      <c r="DR68" s="4">
        <f>HYPERLINK("http://exon.niaid.nih.gov/transcriptome/C_felis/S1/links/cluster/cf-5-36-asb45-50-Id-CLU11.txt", 11)</f>
        <v>11</v>
      </c>
      <c r="DS68">
        <f>HYPERLINK("http://exon.niaid.nih.gov/transcriptome/C_felis/S1/links/cluster/cf-5-36-asb45-50-Id-CLTL11.txt", 3)</f>
        <v>3</v>
      </c>
      <c r="DT68" s="4">
        <f>HYPERLINK("http://exon.niaid.nih.gov/transcriptome/C_felis/S1/links/cluster/cf-5-36-asb50-50-Id-CLU8.txt", 8)</f>
        <v>8</v>
      </c>
      <c r="DU68">
        <f>HYPERLINK("http://exon.niaid.nih.gov/transcriptome/C_felis/S1/links/cluster/cf-5-36-asb50-50-Id-CLTL8.txt", 3)</f>
        <v>3</v>
      </c>
      <c r="DV68" s="4">
        <f>HYPERLINK("http://exon.niaid.nih.gov/transcriptome/C_felis/S1/links/cluster/cf-5-36-asb55-50-Id-CLU8.txt", 8)</f>
        <v>8</v>
      </c>
      <c r="DW68">
        <f>HYPERLINK("http://exon.niaid.nih.gov/transcriptome/C_felis/S1/links/cluster/cf-5-36-asb55-50-Id-CLTL8.txt", 3)</f>
        <v>3</v>
      </c>
      <c r="DX68" s="4">
        <f>HYPERLINK("http://exon.niaid.nih.gov/transcriptome/C_felis/S1/links/cluster/cf-5-36-asb60-50-Id-CLU6.txt", 6)</f>
        <v>6</v>
      </c>
      <c r="DY68">
        <f>HYPERLINK("http://exon.niaid.nih.gov/transcriptome/C_felis/S1/links/cluster/cf-5-36-asb60-50-Id-CLTL6.txt", 3)</f>
        <v>3</v>
      </c>
      <c r="DZ68" s="4">
        <f>HYPERLINK("http://exon.niaid.nih.gov/transcriptome/C_felis/S1/links/cluster/cf-5-36-asb65-50-Id-CLU2.txt", 2)</f>
        <v>2</v>
      </c>
      <c r="EA68">
        <f>HYPERLINK("http://exon.niaid.nih.gov/transcriptome/C_felis/S1/links/cluster/cf-5-36-asb65-50-Id-CLTL2.txt", 3)</f>
        <v>3</v>
      </c>
      <c r="EB68" s="4">
        <f>HYPERLINK("http://exon.niaid.nih.gov/transcriptome/C_felis/S1/links/cluster/cf-5-36-asb70-50-Id-CLU2.txt", 2)</f>
        <v>2</v>
      </c>
      <c r="EC68">
        <f>HYPERLINK("http://exon.niaid.nih.gov/transcriptome/C_felis/S1/links/cluster/cf-5-36-asb70-50-Id-CLTL2.txt", 3)</f>
        <v>3</v>
      </c>
      <c r="ED68" s="4">
        <f>HYPERLINK("http://exon.niaid.nih.gov/transcriptome/C_felis/S1/links/cluster/cf-5-36-asb75-50-Id-CLU2.txt", 2)</f>
        <v>2</v>
      </c>
      <c r="EE68">
        <f>HYPERLINK("http://exon.niaid.nih.gov/transcriptome/C_felis/S1/links/cluster/cf-5-36-asb75-50-Id-CLTL2.txt", 3)</f>
        <v>3</v>
      </c>
      <c r="EF68" s="4">
        <f>HYPERLINK("http://exon.niaid.nih.gov/transcriptome/C_felis/S1/links/cluster/cf-5-36-asb80-50-Id-CLU2.txt", 2)</f>
        <v>2</v>
      </c>
      <c r="EG68">
        <f>HYPERLINK("http://exon.niaid.nih.gov/transcriptome/C_felis/S1/links/cluster/cf-5-36-asb80-50-Id-CLTL2.txt", 3)</f>
        <v>3</v>
      </c>
      <c r="EH68" s="4">
        <v>65</v>
      </c>
      <c r="EI68">
        <v>1</v>
      </c>
      <c r="EJ68" s="4">
        <v>63</v>
      </c>
      <c r="EK68">
        <v>1</v>
      </c>
    </row>
    <row r="69" spans="1:141" x14ac:dyDescent="0.2">
      <c r="A69" t="str">
        <f>HYPERLINK("http://exon.niaid.nih.gov/transcriptome/C_felis/S1/links/cf/cf-contig_64.txt","cf-contig_64")</f>
        <v>cf-contig_64</v>
      </c>
      <c r="B69">
        <v>2</v>
      </c>
      <c r="C69" s="10" t="s">
        <v>4600</v>
      </c>
      <c r="D69">
        <v>2</v>
      </c>
      <c r="E69" t="str">
        <f>HYPERLINK("http://exon.niaid.nih.gov/transcriptome/C_felis/S1/links/cf/cf-5-36-asb-64.txt","Contig-64")</f>
        <v>Contig-64</v>
      </c>
      <c r="F69" t="str">
        <f>HYPERLINK("http://exon.niaid.nih.gov/transcriptome/C_felis/S1/links/cf/cf-5-36-64-CLU.txt","Contig64")</f>
        <v>Contig64</v>
      </c>
      <c r="G69" t="str">
        <f>HYPERLINK("http://exon.niaid.nih.gov/transcriptome/C_felis/S1/links/cf/cf-5-36-64-qual.txt","74.")</f>
        <v>74.</v>
      </c>
      <c r="H69" t="s">
        <v>11</v>
      </c>
      <c r="I69">
        <v>77.099999999999994</v>
      </c>
      <c r="J69" t="s">
        <v>42</v>
      </c>
      <c r="K69" t="s">
        <v>12</v>
      </c>
      <c r="L69">
        <v>2</v>
      </c>
      <c r="M69" t="s">
        <v>77</v>
      </c>
      <c r="N69">
        <v>368</v>
      </c>
      <c r="O69">
        <v>385</v>
      </c>
      <c r="P69">
        <v>93</v>
      </c>
      <c r="Q69" t="s">
        <v>885</v>
      </c>
      <c r="R69">
        <v>3</v>
      </c>
      <c r="S69" s="7" t="s">
        <v>4585</v>
      </c>
      <c r="U69">
        <v>2</v>
      </c>
      <c r="V69" s="4">
        <f>HYPERLINK("http://exon.niaid.nih.gov/transcriptome/C_felis/S1/links/cluster/cf-5-36-asb30-50-Id-CLU15.txt", 15)</f>
        <v>15</v>
      </c>
      <c r="W69">
        <f>HYPERLINK("http://exon.niaid.nih.gov/transcriptome/C_felis/S1/links/cluster/cf-5-36-asb30-50-Id-CLTL15.txt", 3)</f>
        <v>3</v>
      </c>
      <c r="X69" s="4">
        <f>HYPERLINK("http://exon.niaid.nih.gov/transcriptome/C_felis/S1/links/cluster/cf-5-36-asb35-50-Id-CLU13.txt", 13)</f>
        <v>13</v>
      </c>
      <c r="Y69">
        <f>HYPERLINK("http://exon.niaid.nih.gov/transcriptome/C_felis/S1/links/cluster/cf-5-36-asb35-50-Id-CLTL13.txt", 3)</f>
        <v>3</v>
      </c>
      <c r="Z69" s="4">
        <f>HYPERLINK("http://exon.niaid.nih.gov/transcriptome/C_felis/S1/links/cluster/cf-5-36-asb40-50-Id-CLU13.txt", 13)</f>
        <v>13</v>
      </c>
      <c r="AA69">
        <f>HYPERLINK("http://exon.niaid.nih.gov/transcriptome/C_felis/S1/links/cluster/cf-5-36-asb40-50-Id-CLTL13.txt", 3)</f>
        <v>3</v>
      </c>
      <c r="AB69" s="4" t="str">
        <f>HYPERLINK("http://exon.niaid.nih.gov/transcriptome/C_felis/S1/links/XC-ASB/cf-contig_51-XC-ASB.txt","XC-contig_95")</f>
        <v>XC-contig_95</v>
      </c>
      <c r="AC69">
        <v>2.0000000000000001E-25</v>
      </c>
      <c r="AD69" s="10" t="s">
        <v>4600</v>
      </c>
      <c r="AE69" t="s">
        <v>4601</v>
      </c>
      <c r="AI69" s="4" t="str">
        <f>HYPERLINK("http://exon.niaid.nih.gov/transcriptome/C_felis/S1/links/NR/cf-contig_64-NR.txt","FS-H precursor")</f>
        <v>FS-H precursor</v>
      </c>
      <c r="AJ69" t="str">
        <f>HYPERLINK("http://www.ncbi.nlm.nih.gov/sutils/blink.cgi?pid=1575479","8E-004")</f>
        <v>8E-004</v>
      </c>
      <c r="AK69" t="str">
        <f t="shared" si="2"/>
        <v>gi|1575479</v>
      </c>
      <c r="AL69">
        <v>47.4</v>
      </c>
      <c r="AM69">
        <v>20</v>
      </c>
      <c r="AN69">
        <v>98</v>
      </c>
      <c r="AO69">
        <v>80</v>
      </c>
      <c r="AP69">
        <v>21</v>
      </c>
      <c r="AQ69">
        <v>4</v>
      </c>
      <c r="AR69">
        <v>0</v>
      </c>
      <c r="AS69">
        <v>78</v>
      </c>
      <c r="AT69">
        <v>8</v>
      </c>
      <c r="AU69">
        <v>1</v>
      </c>
      <c r="AV69">
        <v>2</v>
      </c>
      <c r="AW69" t="s">
        <v>12</v>
      </c>
      <c r="AY69" t="s">
        <v>1676</v>
      </c>
      <c r="AZ69" t="s">
        <v>1728</v>
      </c>
      <c r="BA69" s="4" t="str">
        <f>HYPERLINK("http://exon.niaid.nih.gov/transcriptome/C_felis/S1/links/SWISSP/cf-contig_64-SWISSP.txt","Protein crumbs")</f>
        <v>Protein crumbs</v>
      </c>
      <c r="BB69" t="str">
        <f>HYPERLINK("http://www.uniprot.org/uniprot/P10040","6.2")</f>
        <v>6.2</v>
      </c>
      <c r="BC69" t="s">
        <v>1803</v>
      </c>
      <c r="BD69">
        <v>29.6</v>
      </c>
      <c r="BE69">
        <v>19</v>
      </c>
      <c r="BF69">
        <v>2146</v>
      </c>
      <c r="BG69">
        <v>55</v>
      </c>
      <c r="BH69">
        <v>1</v>
      </c>
      <c r="BI69">
        <v>9</v>
      </c>
      <c r="BJ69">
        <v>0</v>
      </c>
      <c r="BK69">
        <v>556</v>
      </c>
      <c r="BL69">
        <v>11</v>
      </c>
      <c r="BM69">
        <v>1</v>
      </c>
      <c r="BN69">
        <v>2</v>
      </c>
      <c r="BO69" t="s">
        <v>12</v>
      </c>
      <c r="BQ69" t="s">
        <v>1676</v>
      </c>
      <c r="BR69" t="s">
        <v>1804</v>
      </c>
      <c r="BS69" s="4" t="str">
        <f>HYPERLINK("http://exon.niaid.nih.gov/transcriptome/C_felis/S1/links/CDD/cf-contig_64-CDD.txt","7TM_GPCR_Srx")</f>
        <v>7TM_GPCR_Srx</v>
      </c>
      <c r="BT69" t="str">
        <f>HYPERLINK("http://www.ncbi.nlm.nih.gov/Structure/cdd/cddsrv.cgi?uid=pfam10328&amp;version=v4.0","1.4")</f>
        <v>1.4</v>
      </c>
      <c r="BU69" t="s">
        <v>1913</v>
      </c>
      <c r="BV69" s="4" t="s">
        <v>42</v>
      </c>
      <c r="BW69" t="s">
        <v>42</v>
      </c>
      <c r="BX69" t="s">
        <v>42</v>
      </c>
      <c r="BY69" t="s">
        <v>42</v>
      </c>
      <c r="BZ69" t="s">
        <v>42</v>
      </c>
      <c r="CA69" t="s">
        <v>42</v>
      </c>
      <c r="CB69" t="s">
        <v>42</v>
      </c>
      <c r="CC69" t="s">
        <v>42</v>
      </c>
      <c r="CD69" t="s">
        <v>42</v>
      </c>
      <c r="CE69" t="s">
        <v>42</v>
      </c>
      <c r="CF69" t="s">
        <v>42</v>
      </c>
      <c r="CG69" t="s">
        <v>42</v>
      </c>
      <c r="CH69" t="s">
        <v>42</v>
      </c>
      <c r="CI69" t="s">
        <v>42</v>
      </c>
      <c r="CJ69" t="s">
        <v>42</v>
      </c>
      <c r="CK69" t="s">
        <v>42</v>
      </c>
      <c r="CL69" t="s">
        <v>42</v>
      </c>
      <c r="CM69" t="s">
        <v>42</v>
      </c>
      <c r="CN69" t="s">
        <v>42</v>
      </c>
      <c r="CO69" t="s">
        <v>42</v>
      </c>
      <c r="CP69" t="s">
        <v>42</v>
      </c>
      <c r="CQ69" t="s">
        <v>42</v>
      </c>
      <c r="CR69" t="s">
        <v>42</v>
      </c>
      <c r="CS69" s="4" t="str">
        <f>HYPERLINK("http://exon.niaid.nih.gov/transcriptome/C_felis/S1/links/KOG/cf-contig_64-KOG.txt","Uncharacterized conserved protein")</f>
        <v>Uncharacterized conserved protein</v>
      </c>
      <c r="CT69" t="str">
        <f>HYPERLINK("http://www.ncbi.nlm.nih.gov/COG/grace/shokog.cgi?KOG4255","0.63")</f>
        <v>0.63</v>
      </c>
      <c r="CU69" t="s">
        <v>1711</v>
      </c>
      <c r="CV69" s="4" t="str">
        <f>HYPERLINK("http://exon.niaid.nih.gov/transcriptome/C_felis/S1/links/PFAM/cf-contig_64-PFAM.txt","7TM_GPCR_Srx")</f>
        <v>7TM_GPCR_Srx</v>
      </c>
      <c r="CW69" t="str">
        <f>HYPERLINK("http://pfam.sanger.ac.uk/family?acc=PF10328","0.32")</f>
        <v>0.32</v>
      </c>
      <c r="CX69" s="4" t="str">
        <f>HYPERLINK("http://exon.niaid.nih.gov/transcriptome/C_felis/S1/links/SMART/cf-contig_64-SMART.txt","TLC")</f>
        <v>TLC</v>
      </c>
      <c r="CY69" t="str">
        <f>HYPERLINK("http://smart.embl-heidelberg.de/smart/do_annotation.pl?DOMAIN=TLC&amp;BLAST=DUMMY","0.11")</f>
        <v>0.11</v>
      </c>
      <c r="CZ69" s="4" t="s">
        <v>42</v>
      </c>
      <c r="DA69" t="s">
        <v>42</v>
      </c>
      <c r="DB69" t="s">
        <v>42</v>
      </c>
      <c r="DC69" t="s">
        <v>42</v>
      </c>
      <c r="DD69" t="s">
        <v>42</v>
      </c>
      <c r="DE69" t="s">
        <v>42</v>
      </c>
      <c r="DF69" t="s">
        <v>42</v>
      </c>
      <c r="DG69" t="s">
        <v>42</v>
      </c>
      <c r="DH69" s="4" t="s">
        <v>42</v>
      </c>
      <c r="DI69" t="s">
        <v>42</v>
      </c>
      <c r="DJ69" s="4" t="s">
        <v>42</v>
      </c>
      <c r="DK69" t="s">
        <v>42</v>
      </c>
      <c r="DL69" s="4">
        <f>HYPERLINK("http://exon.niaid.nih.gov/transcriptome/C_felis/S1/links/cluster/cf-5-36-asb30-50-Id-CLU15.txt", 15)</f>
        <v>15</v>
      </c>
      <c r="DM69">
        <f>HYPERLINK("http://exon.niaid.nih.gov/transcriptome/C_felis/S1/links/cluster/cf-5-36-asb30-50-Id-CLTL15.txt", 3)</f>
        <v>3</v>
      </c>
      <c r="DN69" s="4">
        <f>HYPERLINK("http://exon.niaid.nih.gov/transcriptome/C_felis/S1/links/cluster/cf-5-36-asb35-50-Id-CLU13.txt", 13)</f>
        <v>13</v>
      </c>
      <c r="DO69">
        <f>HYPERLINK("http://exon.niaid.nih.gov/transcriptome/C_felis/S1/links/cluster/cf-5-36-asb35-50-Id-CLTL13.txt", 3)</f>
        <v>3</v>
      </c>
      <c r="DP69" s="4">
        <f>HYPERLINK("http://exon.niaid.nih.gov/transcriptome/C_felis/S1/links/cluster/cf-5-36-asb40-50-Id-CLU13.txt", 13)</f>
        <v>13</v>
      </c>
      <c r="DQ69">
        <f>HYPERLINK("http://exon.niaid.nih.gov/transcriptome/C_felis/S1/links/cluster/cf-5-36-asb40-50-Id-CLTL13.txt", 3)</f>
        <v>3</v>
      </c>
      <c r="DR69" s="4">
        <f>HYPERLINK("http://exon.niaid.nih.gov/transcriptome/C_felis/S1/links/cluster/cf-5-36-asb45-50-Id-CLU11.txt", 11)</f>
        <v>11</v>
      </c>
      <c r="DS69">
        <f>HYPERLINK("http://exon.niaid.nih.gov/transcriptome/C_felis/S1/links/cluster/cf-5-36-asb45-50-Id-CLTL11.txt", 3)</f>
        <v>3</v>
      </c>
      <c r="DT69" s="4">
        <f>HYPERLINK("http://exon.niaid.nih.gov/transcriptome/C_felis/S1/links/cluster/cf-5-36-asb50-50-Id-CLU8.txt", 8)</f>
        <v>8</v>
      </c>
      <c r="DU69">
        <f>HYPERLINK("http://exon.niaid.nih.gov/transcriptome/C_felis/S1/links/cluster/cf-5-36-asb50-50-Id-CLTL8.txt", 3)</f>
        <v>3</v>
      </c>
      <c r="DV69" s="4">
        <f>HYPERLINK("http://exon.niaid.nih.gov/transcriptome/C_felis/S1/links/cluster/cf-5-36-asb55-50-Id-CLU8.txt", 8)</f>
        <v>8</v>
      </c>
      <c r="DW69">
        <f>HYPERLINK("http://exon.niaid.nih.gov/transcriptome/C_felis/S1/links/cluster/cf-5-36-asb55-50-Id-CLTL8.txt", 3)</f>
        <v>3</v>
      </c>
      <c r="DX69" s="4">
        <f>HYPERLINK("http://exon.niaid.nih.gov/transcriptome/C_felis/S1/links/cluster/cf-5-36-asb60-50-Id-CLU6.txt", 6)</f>
        <v>6</v>
      </c>
      <c r="DY69">
        <f>HYPERLINK("http://exon.niaid.nih.gov/transcriptome/C_felis/S1/links/cluster/cf-5-36-asb60-50-Id-CLTL6.txt", 3)</f>
        <v>3</v>
      </c>
      <c r="DZ69" s="4">
        <f>HYPERLINK("http://exon.niaid.nih.gov/transcriptome/C_felis/S1/links/cluster/cf-5-36-asb65-50-Id-CLU2.txt", 2)</f>
        <v>2</v>
      </c>
      <c r="EA69">
        <f>HYPERLINK("http://exon.niaid.nih.gov/transcriptome/C_felis/S1/links/cluster/cf-5-36-asb65-50-Id-CLTL2.txt", 3)</f>
        <v>3</v>
      </c>
      <c r="EB69" s="4">
        <f>HYPERLINK("http://exon.niaid.nih.gov/transcriptome/C_felis/S1/links/cluster/cf-5-36-asb70-50-Id-CLU2.txt", 2)</f>
        <v>2</v>
      </c>
      <c r="EC69">
        <f>HYPERLINK("http://exon.niaid.nih.gov/transcriptome/C_felis/S1/links/cluster/cf-5-36-asb70-50-Id-CLTL2.txt", 3)</f>
        <v>3</v>
      </c>
      <c r="ED69" s="4">
        <f>HYPERLINK("http://exon.niaid.nih.gov/transcriptome/C_felis/S1/links/cluster/cf-5-36-asb75-50-Id-CLU2.txt", 2)</f>
        <v>2</v>
      </c>
      <c r="EE69">
        <f>HYPERLINK("http://exon.niaid.nih.gov/transcriptome/C_felis/S1/links/cluster/cf-5-36-asb75-50-Id-CLTL2.txt", 3)</f>
        <v>3</v>
      </c>
      <c r="EF69" s="4">
        <f>HYPERLINK("http://exon.niaid.nih.gov/transcriptome/C_felis/S1/links/cluster/cf-5-36-asb80-50-Id-CLU2.txt", 2)</f>
        <v>2</v>
      </c>
      <c r="EG69">
        <f>HYPERLINK("http://exon.niaid.nih.gov/transcriptome/C_felis/S1/links/cluster/cf-5-36-asb80-50-Id-CLTL2.txt", 3)</f>
        <v>3</v>
      </c>
      <c r="EH69" s="4">
        <v>66</v>
      </c>
      <c r="EI69">
        <v>1</v>
      </c>
      <c r="EJ69" s="4">
        <v>64</v>
      </c>
      <c r="EK69">
        <v>1</v>
      </c>
    </row>
    <row r="70" spans="1:141" x14ac:dyDescent="0.2">
      <c r="A70" t="str">
        <f>HYPERLINK("http://exon.niaid.nih.gov/transcriptome/C_felis/S1/links/cf/cf-contig_67.txt","cf-contig_67")</f>
        <v>cf-contig_67</v>
      </c>
      <c r="B70">
        <v>1</v>
      </c>
      <c r="C70" s="10" t="s">
        <v>4603</v>
      </c>
      <c r="D70">
        <v>1</v>
      </c>
      <c r="E70" t="str">
        <f>HYPERLINK("http://exon.niaid.nih.gov/transcriptome/C_felis/S1/links/cf/cf-5-36-asb-67.txt","Contig-67")</f>
        <v>Contig-67</v>
      </c>
      <c r="F70" t="str">
        <f>HYPERLINK("http://exon.niaid.nih.gov/transcriptome/C_felis/S1/links/cf/cf-5-36-67-CLU.txt","Contig67")</f>
        <v>Contig67</v>
      </c>
      <c r="G70" t="str">
        <f>HYPERLINK("http://exon.niaid.nih.gov/transcriptome/C_felis/S1/links/cf/cf-5-36-67-qual.txt","60.3")</f>
        <v>60.3</v>
      </c>
      <c r="H70" t="s">
        <v>11</v>
      </c>
      <c r="I70">
        <v>72.7</v>
      </c>
      <c r="J70">
        <v>424</v>
      </c>
      <c r="K70" t="s">
        <v>12</v>
      </c>
      <c r="L70">
        <v>1</v>
      </c>
      <c r="M70" t="s">
        <v>80</v>
      </c>
      <c r="N70">
        <v>424</v>
      </c>
      <c r="O70">
        <v>443</v>
      </c>
      <c r="P70">
        <v>132</v>
      </c>
      <c r="Q70" t="s">
        <v>888</v>
      </c>
      <c r="R70">
        <v>3</v>
      </c>
      <c r="S70" s="7" t="s">
        <v>4585</v>
      </c>
      <c r="U70">
        <v>1</v>
      </c>
      <c r="V70" s="4">
        <f>HYPERLINK("http://exon.niaid.nih.gov/transcriptome/C_felis/S1/links/cluster/cf-5-36-asb30-50-Id-CLU15.txt", 15)</f>
        <v>15</v>
      </c>
      <c r="W70">
        <f>HYPERLINK("http://exon.niaid.nih.gov/transcriptome/C_felis/S1/links/cluster/cf-5-36-asb30-50-Id-CLTL15.txt", 3)</f>
        <v>3</v>
      </c>
      <c r="X70" s="4">
        <f>HYPERLINK("http://exon.niaid.nih.gov/transcriptome/C_felis/S1/links/cluster/cf-5-36-asb35-50-Id-CLU13.txt", 13)</f>
        <v>13</v>
      </c>
      <c r="Y70">
        <f>HYPERLINK("http://exon.niaid.nih.gov/transcriptome/C_felis/S1/links/cluster/cf-5-36-asb35-50-Id-CLTL13.txt", 3)</f>
        <v>3</v>
      </c>
      <c r="Z70" s="4">
        <f>HYPERLINK("http://exon.niaid.nih.gov/transcriptome/C_felis/S1/links/cluster/cf-5-36-asb40-50-Id-CLU13.txt", 13)</f>
        <v>13</v>
      </c>
      <c r="AA70">
        <f>HYPERLINK("http://exon.niaid.nih.gov/transcriptome/C_felis/S1/links/cluster/cf-5-36-asb40-50-Id-CLTL13.txt", 3)</f>
        <v>3</v>
      </c>
      <c r="AB70" s="4" t="str">
        <f>HYPERLINK("http://exon.niaid.nih.gov/transcriptome/C_felis/S1/links/XC-ASB/cf-contig_52-XC-ASB.txt","XC-contig_95")</f>
        <v>XC-contig_95</v>
      </c>
      <c r="AC70">
        <v>2.9999999999999998E-31</v>
      </c>
      <c r="AD70" s="10" t="s">
        <v>4603</v>
      </c>
      <c r="AE70" t="s">
        <v>4599</v>
      </c>
      <c r="AF70" t="str">
        <f>HYPERLINK("http://exon.niaid.nih.gov/transcriptome/C_felis/S1/links/NR/cf-contig_67-NR.txt","NR")</f>
        <v>NR</v>
      </c>
      <c r="AG70">
        <v>9.9999999999999995E-8</v>
      </c>
      <c r="AH70">
        <v>30.8</v>
      </c>
      <c r="AI70" s="4" t="str">
        <f>HYPERLINK("http://exon.niaid.nih.gov/transcriptome/C_felis/S1/links/NR/cf-contig_67-NR.txt","FS-H precursor")</f>
        <v>FS-H precursor</v>
      </c>
      <c r="AJ70" t="str">
        <f>HYPERLINK("http://www.ncbi.nlm.nih.gov/sutils/blink.cgi?pid=1575479","1E-009")</f>
        <v>1E-009</v>
      </c>
      <c r="AK70" t="str">
        <f t="shared" si="2"/>
        <v>gi|1575479</v>
      </c>
      <c r="AL70">
        <v>67</v>
      </c>
      <c r="AM70">
        <v>28</v>
      </c>
      <c r="AN70">
        <v>98</v>
      </c>
      <c r="AO70">
        <v>86</v>
      </c>
      <c r="AP70">
        <v>30</v>
      </c>
      <c r="AQ70">
        <v>4</v>
      </c>
      <c r="AR70">
        <v>0</v>
      </c>
      <c r="AS70">
        <v>70</v>
      </c>
      <c r="AT70">
        <v>41</v>
      </c>
      <c r="AU70">
        <v>1</v>
      </c>
      <c r="AV70">
        <v>2</v>
      </c>
      <c r="AW70" t="s">
        <v>12</v>
      </c>
      <c r="AY70" t="s">
        <v>1676</v>
      </c>
      <c r="AZ70" t="s">
        <v>1728</v>
      </c>
      <c r="BA70" s="4" t="str">
        <f>HYPERLINK("http://exon.niaid.nih.gov/transcriptome/C_felis/S1/links/SWISSP/cf-contig_67-SWISSP.txt","Protein crumbs")</f>
        <v>Protein crumbs</v>
      </c>
      <c r="BB70" t="str">
        <f>HYPERLINK("http://www.uniprot.org/uniprot/P10040","0.007")</f>
        <v>0.007</v>
      </c>
      <c r="BC70" t="s">
        <v>1803</v>
      </c>
      <c r="BD70">
        <v>39.700000000000003</v>
      </c>
      <c r="BE70">
        <v>41</v>
      </c>
      <c r="BF70">
        <v>2146</v>
      </c>
      <c r="BG70">
        <v>45</v>
      </c>
      <c r="BH70">
        <v>2</v>
      </c>
      <c r="BI70">
        <v>23</v>
      </c>
      <c r="BJ70">
        <v>0</v>
      </c>
      <c r="BK70">
        <v>534</v>
      </c>
      <c r="BL70">
        <v>2</v>
      </c>
      <c r="BM70">
        <v>1</v>
      </c>
      <c r="BN70">
        <v>2</v>
      </c>
      <c r="BO70" t="s">
        <v>12</v>
      </c>
      <c r="BQ70" t="s">
        <v>1676</v>
      </c>
      <c r="BR70" t="s">
        <v>1804</v>
      </c>
      <c r="BS70" s="4" t="str">
        <f>HYPERLINK("http://exon.niaid.nih.gov/transcriptome/C_felis/S1/links/CDD/cf-contig_67-CDD.txt","EGF_2")</f>
        <v>EGF_2</v>
      </c>
      <c r="BT70" t="str">
        <f>HYPERLINK("http://www.ncbi.nlm.nih.gov/Structure/cdd/cddsrv.cgi?uid=pfam07974&amp;version=v4.0","0.036")</f>
        <v>0.036</v>
      </c>
      <c r="BU70" t="s">
        <v>1917</v>
      </c>
      <c r="BV70" s="4" t="s">
        <v>42</v>
      </c>
      <c r="BW70" t="s">
        <v>42</v>
      </c>
      <c r="BX70" t="s">
        <v>42</v>
      </c>
      <c r="BY70" t="s">
        <v>42</v>
      </c>
      <c r="BZ70" t="s">
        <v>42</v>
      </c>
      <c r="CA70" t="s">
        <v>42</v>
      </c>
      <c r="CB70" t="s">
        <v>42</v>
      </c>
      <c r="CC70" t="s">
        <v>42</v>
      </c>
      <c r="CD70" t="s">
        <v>42</v>
      </c>
      <c r="CE70" t="s">
        <v>42</v>
      </c>
      <c r="CF70" t="s">
        <v>42</v>
      </c>
      <c r="CG70" t="s">
        <v>42</v>
      </c>
      <c r="CH70" t="s">
        <v>42</v>
      </c>
      <c r="CI70" t="s">
        <v>42</v>
      </c>
      <c r="CJ70" t="s">
        <v>42</v>
      </c>
      <c r="CK70" t="s">
        <v>42</v>
      </c>
      <c r="CL70" t="s">
        <v>42</v>
      </c>
      <c r="CM70" t="s">
        <v>42</v>
      </c>
      <c r="CN70" t="s">
        <v>42</v>
      </c>
      <c r="CO70" t="s">
        <v>42</v>
      </c>
      <c r="CP70" t="s">
        <v>42</v>
      </c>
      <c r="CQ70" t="s">
        <v>42</v>
      </c>
      <c r="CR70" t="s">
        <v>42</v>
      </c>
      <c r="CS70" s="4" t="str">
        <f>HYPERLINK("http://exon.niaid.nih.gov/transcriptome/C_felis/S1/links/KOG/cf-contig_67-KOG.txt","Uncharacterized conserved protein")</f>
        <v>Uncharacterized conserved protein</v>
      </c>
      <c r="CT70" t="str">
        <f>HYPERLINK("http://www.ncbi.nlm.nih.gov/COG/grace/shokog.cgi?KOG4260","0.047")</f>
        <v>0.047</v>
      </c>
      <c r="CU70" t="s">
        <v>1711</v>
      </c>
      <c r="CV70" s="4" t="str">
        <f>HYPERLINK("http://exon.niaid.nih.gov/transcriptome/C_felis/S1/links/PFAM/cf-contig_67-PFAM.txt","EGF_2")</f>
        <v>EGF_2</v>
      </c>
      <c r="CW70" t="str">
        <f>HYPERLINK("http://pfam.sanger.ac.uk/family?acc=PF07974","0.008")</f>
        <v>0.008</v>
      </c>
      <c r="CX70" s="4" t="str">
        <f>HYPERLINK("http://exon.niaid.nih.gov/transcriptome/C_felis/S1/links/SMART/cf-contig_67-SMART.txt","EGF_CA")</f>
        <v>EGF_CA</v>
      </c>
      <c r="CY70" t="str">
        <f>HYPERLINK("http://smart.embl-heidelberg.de/smart/do_annotation.pl?DOMAIN=EGF_CA&amp;BLAST=DUMMY","0.022")</f>
        <v>0.022</v>
      </c>
      <c r="CZ70" s="4" t="s">
        <v>42</v>
      </c>
      <c r="DA70" t="s">
        <v>42</v>
      </c>
      <c r="DB70" t="s">
        <v>42</v>
      </c>
      <c r="DC70" t="s">
        <v>42</v>
      </c>
      <c r="DD70" t="s">
        <v>42</v>
      </c>
      <c r="DE70" t="s">
        <v>42</v>
      </c>
      <c r="DF70" t="s">
        <v>42</v>
      </c>
      <c r="DG70" t="s">
        <v>42</v>
      </c>
      <c r="DH70" s="4" t="s">
        <v>42</v>
      </c>
      <c r="DI70" t="s">
        <v>42</v>
      </c>
      <c r="DJ70" s="4" t="s">
        <v>42</v>
      </c>
      <c r="DK70" t="s">
        <v>42</v>
      </c>
      <c r="DL70" s="4">
        <f>HYPERLINK("http://exon.niaid.nih.gov/transcriptome/C_felis/S1/links/cluster/cf-5-36-asb30-50-Id-CLU15.txt", 15)</f>
        <v>15</v>
      </c>
      <c r="DM70">
        <f>HYPERLINK("http://exon.niaid.nih.gov/transcriptome/C_felis/S1/links/cluster/cf-5-36-asb30-50-Id-CLTL15.txt", 3)</f>
        <v>3</v>
      </c>
      <c r="DN70" s="4">
        <f>HYPERLINK("http://exon.niaid.nih.gov/transcriptome/C_felis/S1/links/cluster/cf-5-36-asb35-50-Id-CLU13.txt", 13)</f>
        <v>13</v>
      </c>
      <c r="DO70">
        <f>HYPERLINK("http://exon.niaid.nih.gov/transcriptome/C_felis/S1/links/cluster/cf-5-36-asb35-50-Id-CLTL13.txt", 3)</f>
        <v>3</v>
      </c>
      <c r="DP70" s="4">
        <f>HYPERLINK("http://exon.niaid.nih.gov/transcriptome/C_felis/S1/links/cluster/cf-5-36-asb40-50-Id-CLU13.txt", 13)</f>
        <v>13</v>
      </c>
      <c r="DQ70">
        <f>HYPERLINK("http://exon.niaid.nih.gov/transcriptome/C_felis/S1/links/cluster/cf-5-36-asb40-50-Id-CLTL13.txt", 3)</f>
        <v>3</v>
      </c>
      <c r="DR70" s="4">
        <f>HYPERLINK("http://exon.niaid.nih.gov/transcriptome/C_felis/S1/links/cluster/cf-5-36-asb45-50-Id-CLU11.txt", 11)</f>
        <v>11</v>
      </c>
      <c r="DS70">
        <f>HYPERLINK("http://exon.niaid.nih.gov/transcriptome/C_felis/S1/links/cluster/cf-5-36-asb45-50-Id-CLTL11.txt", 3)</f>
        <v>3</v>
      </c>
      <c r="DT70" s="4">
        <f>HYPERLINK("http://exon.niaid.nih.gov/transcriptome/C_felis/S1/links/cluster/cf-5-36-asb50-50-Id-CLU8.txt", 8)</f>
        <v>8</v>
      </c>
      <c r="DU70">
        <f>HYPERLINK("http://exon.niaid.nih.gov/transcriptome/C_felis/S1/links/cluster/cf-5-36-asb50-50-Id-CLTL8.txt", 3)</f>
        <v>3</v>
      </c>
      <c r="DV70" s="4">
        <f>HYPERLINK("http://exon.niaid.nih.gov/transcriptome/C_felis/S1/links/cluster/cf-5-36-asb55-50-Id-CLU8.txt", 8)</f>
        <v>8</v>
      </c>
      <c r="DW70">
        <f>HYPERLINK("http://exon.niaid.nih.gov/transcriptome/C_felis/S1/links/cluster/cf-5-36-asb55-50-Id-CLTL8.txt", 3)</f>
        <v>3</v>
      </c>
      <c r="DX70" s="4">
        <f>HYPERLINK("http://exon.niaid.nih.gov/transcriptome/C_felis/S1/links/cluster/cf-5-36-asb60-50-Id-CLU6.txt", 6)</f>
        <v>6</v>
      </c>
      <c r="DY70">
        <f>HYPERLINK("http://exon.niaid.nih.gov/transcriptome/C_felis/S1/links/cluster/cf-5-36-asb60-50-Id-CLTL6.txt", 3)</f>
        <v>3</v>
      </c>
      <c r="DZ70" s="4">
        <f>HYPERLINK("http://exon.niaid.nih.gov/transcriptome/C_felis/S1/links/cluster/cf-5-36-asb65-50-Id-CLU2.txt", 2)</f>
        <v>2</v>
      </c>
      <c r="EA70">
        <f>HYPERLINK("http://exon.niaid.nih.gov/transcriptome/C_felis/S1/links/cluster/cf-5-36-asb65-50-Id-CLTL2.txt", 3)</f>
        <v>3</v>
      </c>
      <c r="EB70" s="4">
        <f>HYPERLINK("http://exon.niaid.nih.gov/transcriptome/C_felis/S1/links/cluster/cf-5-36-asb70-50-Id-CLU2.txt", 2)</f>
        <v>2</v>
      </c>
      <c r="EC70">
        <f>HYPERLINK("http://exon.niaid.nih.gov/transcriptome/C_felis/S1/links/cluster/cf-5-36-asb70-50-Id-CLTL2.txt", 3)</f>
        <v>3</v>
      </c>
      <c r="ED70" s="4">
        <f>HYPERLINK("http://exon.niaid.nih.gov/transcriptome/C_felis/S1/links/cluster/cf-5-36-asb75-50-Id-CLU2.txt", 2)</f>
        <v>2</v>
      </c>
      <c r="EE70">
        <f>HYPERLINK("http://exon.niaid.nih.gov/transcriptome/C_felis/S1/links/cluster/cf-5-36-asb75-50-Id-CLTL2.txt", 3)</f>
        <v>3</v>
      </c>
      <c r="EF70" s="4">
        <f>HYPERLINK("http://exon.niaid.nih.gov/transcriptome/C_felis/S1/links/cluster/cf-5-36-asb80-50-Id-CLU2.txt", 2)</f>
        <v>2</v>
      </c>
      <c r="EG70">
        <f>HYPERLINK("http://exon.niaid.nih.gov/transcriptome/C_felis/S1/links/cluster/cf-5-36-asb80-50-Id-CLTL2.txt", 3)</f>
        <v>3</v>
      </c>
      <c r="EH70" s="4">
        <v>69</v>
      </c>
      <c r="EI70">
        <v>1</v>
      </c>
      <c r="EJ70" s="4">
        <v>67</v>
      </c>
      <c r="EK70">
        <v>1</v>
      </c>
    </row>
    <row r="71" spans="1:141" x14ac:dyDescent="0.2">
      <c r="A71" t="str">
        <f>HYPERLINK("http://exon.niaid.nih.gov/transcriptome/C_felis/S1/links/cf/cf-contig_94.txt","cf-contig_94")</f>
        <v>cf-contig_94</v>
      </c>
      <c r="B71">
        <v>8</v>
      </c>
      <c r="C71" s="10" t="s">
        <v>4603</v>
      </c>
      <c r="D71">
        <v>8</v>
      </c>
      <c r="E71" t="str">
        <f>HYPERLINK("http://exon.niaid.nih.gov/transcriptome/C_felis/S1/links/cf/cf-5-36-asb-94.txt","Contig-94")</f>
        <v>Contig-94</v>
      </c>
      <c r="F71" t="str">
        <f>HYPERLINK("http://exon.niaid.nih.gov/transcriptome/C_felis/S1/links/cf/cf-5-36-94-CLU.txt","Contig94")</f>
        <v>Contig94</v>
      </c>
      <c r="G71" t="str">
        <f>HYPERLINK("http://exon.niaid.nih.gov/transcriptome/C_felis/S1/links/cf/cf-5-36-94-qual.txt","90.8")</f>
        <v>90.8</v>
      </c>
      <c r="H71" t="s">
        <v>11</v>
      </c>
      <c r="I71">
        <v>72.3</v>
      </c>
      <c r="J71">
        <v>364</v>
      </c>
      <c r="K71" t="s">
        <v>12</v>
      </c>
      <c r="L71">
        <v>8</v>
      </c>
      <c r="M71" t="s">
        <v>107</v>
      </c>
      <c r="N71">
        <v>370</v>
      </c>
      <c r="O71">
        <v>386</v>
      </c>
      <c r="P71">
        <v>132</v>
      </c>
      <c r="Q71" t="s">
        <v>914</v>
      </c>
      <c r="R71">
        <v>1</v>
      </c>
      <c r="S71" s="7" t="s">
        <v>4585</v>
      </c>
      <c r="U71">
        <v>8</v>
      </c>
      <c r="V71" s="4">
        <f>HYPERLINK("http://exon.niaid.nih.gov/transcriptome/C_felis/S1/links/cluster/cf-5-36-asb30-50-Id-CLU38.txt", 38)</f>
        <v>38</v>
      </c>
      <c r="W71">
        <f>HYPERLINK("http://exon.niaid.nih.gov/transcriptome/C_felis/S1/links/cluster/cf-5-36-asb30-50-Id-CLTL38.txt", 2)</f>
        <v>2</v>
      </c>
      <c r="X71" s="4">
        <f>HYPERLINK("http://exon.niaid.nih.gov/transcriptome/C_felis/S1/links/cluster/cf-5-36-asb35-50-Id-CLU31.txt", 31)</f>
        <v>31</v>
      </c>
      <c r="Y71">
        <f>HYPERLINK("http://exon.niaid.nih.gov/transcriptome/C_felis/S1/links/cluster/cf-5-36-asb35-50-Id-CLTL31.txt", 2)</f>
        <v>2</v>
      </c>
      <c r="Z71" s="4">
        <f>HYPERLINK("http://exon.niaid.nih.gov/transcriptome/C_felis/S1/links/cluster/cf-5-36-asb40-50-Id-CLU29.txt", 29)</f>
        <v>29</v>
      </c>
      <c r="AA71">
        <f>HYPERLINK("http://exon.niaid.nih.gov/transcriptome/C_felis/S1/links/cluster/cf-5-36-asb40-50-Id-CLTL29.txt", 2)</f>
        <v>2</v>
      </c>
      <c r="AB71" s="4" t="str">
        <f>HYPERLINK("http://exon.niaid.nih.gov/transcriptome/C_felis/S1/links/XC-ASB/cf-contig_64-XC-ASB.txt","XC-contig_169")</f>
        <v>XC-contig_169</v>
      </c>
      <c r="AC71">
        <v>7.0000000000000005E-8</v>
      </c>
      <c r="AD71" s="10" t="s">
        <v>4603</v>
      </c>
      <c r="AE71" t="s">
        <v>4599</v>
      </c>
      <c r="AF71" t="str">
        <f>HYPERLINK("http://exon.niaid.nih.gov/transcriptome/C_felis/S1/links/NR/cf-contig_94-NR.txt","NR")</f>
        <v>NR</v>
      </c>
      <c r="AG71">
        <v>3.9999999999999998E-6</v>
      </c>
      <c r="AH71">
        <v>31.9</v>
      </c>
      <c r="AI71" s="4" t="str">
        <f>HYPERLINK("http://exon.niaid.nih.gov/transcriptome/C_felis/S1/links/NR/cf-contig_94-NR.txt","FS-H precursor")</f>
        <v>FS-H precursor</v>
      </c>
      <c r="AJ71" t="str">
        <f>HYPERLINK("http://www.ncbi.nlm.nih.gov/sutils/blink.cgi?pid=1575479","5E-009")</f>
        <v>5E-009</v>
      </c>
      <c r="AK71" t="str">
        <f t="shared" si="2"/>
        <v>gi|1575479</v>
      </c>
      <c r="AL71">
        <v>64.7</v>
      </c>
      <c r="AM71">
        <v>29</v>
      </c>
      <c r="AN71">
        <v>98</v>
      </c>
      <c r="AO71">
        <v>83</v>
      </c>
      <c r="AP71">
        <v>31</v>
      </c>
      <c r="AQ71">
        <v>5</v>
      </c>
      <c r="AR71">
        <v>0</v>
      </c>
      <c r="AS71">
        <v>69</v>
      </c>
      <c r="AT71">
        <v>8</v>
      </c>
      <c r="AU71">
        <v>1</v>
      </c>
      <c r="AV71">
        <v>2</v>
      </c>
      <c r="AW71" t="s">
        <v>12</v>
      </c>
      <c r="AY71" t="s">
        <v>1676</v>
      </c>
      <c r="AZ71" t="s">
        <v>1728</v>
      </c>
      <c r="BA71" s="4" t="str">
        <f>HYPERLINK("http://exon.niaid.nih.gov/transcriptome/C_felis/S1/links/SWISSP/cf-contig_94-SWISSP.txt","Protein cueball")</f>
        <v>Protein cueball</v>
      </c>
      <c r="BB71" t="str">
        <f>HYPERLINK("http://www.uniprot.org/uniprot/B4MLE8","0.56")</f>
        <v>0.56</v>
      </c>
      <c r="BC71" t="s">
        <v>2025</v>
      </c>
      <c r="BD71">
        <v>26.6</v>
      </c>
      <c r="BE71">
        <v>62</v>
      </c>
      <c r="BF71">
        <v>651</v>
      </c>
      <c r="BG71">
        <v>45</v>
      </c>
      <c r="BH71">
        <v>10</v>
      </c>
      <c r="BI71">
        <v>12</v>
      </c>
      <c r="BJ71">
        <v>0</v>
      </c>
      <c r="BK71">
        <v>383</v>
      </c>
      <c r="BL71">
        <v>32</v>
      </c>
      <c r="BM71">
        <v>2</v>
      </c>
      <c r="BN71">
        <v>2</v>
      </c>
      <c r="BO71" t="s">
        <v>12</v>
      </c>
      <c r="BQ71" t="s">
        <v>1676</v>
      </c>
      <c r="BR71" t="s">
        <v>2026</v>
      </c>
      <c r="BS71" s="4" t="str">
        <f>HYPERLINK("http://exon.niaid.nih.gov/transcriptome/C_felis/S1/links/CDD/cf-contig_94-CDD.txt","EGF_2")</f>
        <v>EGF_2</v>
      </c>
      <c r="BT71" t="str">
        <f>HYPERLINK("http://www.ncbi.nlm.nih.gov/Structure/cdd/cddsrv.cgi?uid=pfam07974&amp;version=v4.0","0.033")</f>
        <v>0.033</v>
      </c>
      <c r="BU71" t="s">
        <v>2027</v>
      </c>
      <c r="BV71" s="4" t="s">
        <v>42</v>
      </c>
      <c r="BW71" t="s">
        <v>42</v>
      </c>
      <c r="BX71" t="s">
        <v>42</v>
      </c>
      <c r="BY71" t="s">
        <v>42</v>
      </c>
      <c r="BZ71" t="s">
        <v>42</v>
      </c>
      <c r="CA71" t="s">
        <v>42</v>
      </c>
      <c r="CB71" t="s">
        <v>42</v>
      </c>
      <c r="CC71" t="s">
        <v>42</v>
      </c>
      <c r="CD71" t="s">
        <v>42</v>
      </c>
      <c r="CE71" t="s">
        <v>42</v>
      </c>
      <c r="CF71" t="s">
        <v>42</v>
      </c>
      <c r="CG71" t="s">
        <v>42</v>
      </c>
      <c r="CH71" t="s">
        <v>42</v>
      </c>
      <c r="CI71" t="s">
        <v>42</v>
      </c>
      <c r="CJ71" t="s">
        <v>42</v>
      </c>
      <c r="CK71" t="s">
        <v>42</v>
      </c>
      <c r="CL71" t="s">
        <v>42</v>
      </c>
      <c r="CM71" t="s">
        <v>42</v>
      </c>
      <c r="CN71" t="s">
        <v>42</v>
      </c>
      <c r="CO71" t="s">
        <v>42</v>
      </c>
      <c r="CP71" t="s">
        <v>42</v>
      </c>
      <c r="CQ71" t="s">
        <v>42</v>
      </c>
      <c r="CR71" t="s">
        <v>42</v>
      </c>
      <c r="CS71" s="4" t="str">
        <f>HYPERLINK("http://exon.niaid.nih.gov/transcriptome/C_felis/S1/links/KOG/cf-contig_94-KOG.txt","Uncharacterized conserved protein")</f>
        <v>Uncharacterized conserved protein</v>
      </c>
      <c r="CT71" t="str">
        <f>HYPERLINK("http://www.ncbi.nlm.nih.gov/COG/grace/shokog.cgi?KOG4260","0.23")</f>
        <v>0.23</v>
      </c>
      <c r="CU71" t="s">
        <v>1711</v>
      </c>
      <c r="CV71" s="4" t="str">
        <f>HYPERLINK("http://exon.niaid.nih.gov/transcriptome/C_felis/S1/links/PFAM/cf-contig_94-PFAM.txt","EGF_2")</f>
        <v>EGF_2</v>
      </c>
      <c r="CW71" t="str">
        <f>HYPERLINK("http://pfam.sanger.ac.uk/family?acc=PF07974","0.008")</f>
        <v>0.008</v>
      </c>
      <c r="CX71" s="4" t="str">
        <f>HYPERLINK("http://exon.niaid.nih.gov/transcriptome/C_felis/S1/links/SMART/cf-contig_94-SMART.txt","RhoGEF")</f>
        <v>RhoGEF</v>
      </c>
      <c r="CY71" t="str">
        <f>HYPERLINK("http://smart.embl-heidelberg.de/smart/do_annotation.pl?DOMAIN=RhoGEF&amp;BLAST=DUMMY","0.093")</f>
        <v>0.093</v>
      </c>
      <c r="CZ71" s="4" t="s">
        <v>42</v>
      </c>
      <c r="DA71" t="s">
        <v>42</v>
      </c>
      <c r="DB71" t="s">
        <v>42</v>
      </c>
      <c r="DC71" t="s">
        <v>42</v>
      </c>
      <c r="DD71" t="s">
        <v>42</v>
      </c>
      <c r="DE71" t="s">
        <v>42</v>
      </c>
      <c r="DF71" t="s">
        <v>42</v>
      </c>
      <c r="DG71" t="s">
        <v>42</v>
      </c>
      <c r="DH71" s="4" t="s">
        <v>42</v>
      </c>
      <c r="DI71" t="s">
        <v>42</v>
      </c>
      <c r="DJ71" s="4" t="s">
        <v>42</v>
      </c>
      <c r="DK71" t="s">
        <v>42</v>
      </c>
      <c r="DL71" s="4">
        <f>HYPERLINK("http://exon.niaid.nih.gov/transcriptome/C_felis/S1/links/cluster/cf-5-36-asb30-50-Id-CLU38.txt", 38)</f>
        <v>38</v>
      </c>
      <c r="DM71">
        <f>HYPERLINK("http://exon.niaid.nih.gov/transcriptome/C_felis/S1/links/cluster/cf-5-36-asb30-50-Id-CLTL38.txt", 2)</f>
        <v>2</v>
      </c>
      <c r="DN71" s="4">
        <f>HYPERLINK("http://exon.niaid.nih.gov/transcriptome/C_felis/S1/links/cluster/cf-5-36-asb35-50-Id-CLU31.txt", 31)</f>
        <v>31</v>
      </c>
      <c r="DO71">
        <f>HYPERLINK("http://exon.niaid.nih.gov/transcriptome/C_felis/S1/links/cluster/cf-5-36-asb35-50-Id-CLTL31.txt", 2)</f>
        <v>2</v>
      </c>
      <c r="DP71" s="4">
        <f>HYPERLINK("http://exon.niaid.nih.gov/transcriptome/C_felis/S1/links/cluster/cf-5-36-asb40-50-Id-CLU29.txt", 29)</f>
        <v>29</v>
      </c>
      <c r="DQ71">
        <f>HYPERLINK("http://exon.niaid.nih.gov/transcriptome/C_felis/S1/links/cluster/cf-5-36-asb40-50-Id-CLTL29.txt", 2)</f>
        <v>2</v>
      </c>
      <c r="DR71" s="4">
        <f>HYPERLINK("http://exon.niaid.nih.gov/transcriptome/C_felis/S1/links/cluster/cf-5-36-asb45-50-Id-CLU27.txt", 27)</f>
        <v>27</v>
      </c>
      <c r="DS71">
        <f>HYPERLINK("http://exon.niaid.nih.gov/transcriptome/C_felis/S1/links/cluster/cf-5-36-asb45-50-Id-CLTL27.txt", 2)</f>
        <v>2</v>
      </c>
      <c r="DT71" s="4">
        <f>HYPERLINK("http://exon.niaid.nih.gov/transcriptome/C_felis/S1/links/cluster/cf-5-36-asb50-50-Id-CLU23.txt", 23)</f>
        <v>23</v>
      </c>
      <c r="DU71">
        <f>HYPERLINK("http://exon.niaid.nih.gov/transcriptome/C_felis/S1/links/cluster/cf-5-36-asb50-50-Id-CLTL23.txt", 2)</f>
        <v>2</v>
      </c>
      <c r="DV71" s="4">
        <f>HYPERLINK("http://exon.niaid.nih.gov/transcriptome/C_felis/S1/links/cluster/cf-5-36-asb55-50-Id-CLU20.txt", 20)</f>
        <v>20</v>
      </c>
      <c r="DW71">
        <f>HYPERLINK("http://exon.niaid.nih.gov/transcriptome/C_felis/S1/links/cluster/cf-5-36-asb55-50-Id-CLTL20.txt", 2)</f>
        <v>2</v>
      </c>
      <c r="DX71" s="4">
        <f>HYPERLINK("http://exon.niaid.nih.gov/transcriptome/C_felis/S1/links/cluster/cf-5-36-asb60-50-Id-CLU18.txt", 18)</f>
        <v>18</v>
      </c>
      <c r="DY71">
        <f>HYPERLINK("http://exon.niaid.nih.gov/transcriptome/C_felis/S1/links/cluster/cf-5-36-asb60-50-Id-CLTL18.txt", 2)</f>
        <v>2</v>
      </c>
      <c r="DZ71" s="4">
        <f>HYPERLINK("http://exon.niaid.nih.gov/transcriptome/C_felis/S1/links/cluster/cf-5-36-asb65-50-Id-CLU16.txt", 16)</f>
        <v>16</v>
      </c>
      <c r="EA71">
        <f>HYPERLINK("http://exon.niaid.nih.gov/transcriptome/C_felis/S1/links/cluster/cf-5-36-asb65-50-Id-CLTL16.txt", 2)</f>
        <v>2</v>
      </c>
      <c r="EB71" s="4">
        <f>HYPERLINK("http://exon.niaid.nih.gov/transcriptome/C_felis/S1/links/cluster/cf-5-36-asb70-50-Id-CLU12.txt", 12)</f>
        <v>12</v>
      </c>
      <c r="EC71">
        <f>HYPERLINK("http://exon.niaid.nih.gov/transcriptome/C_felis/S1/links/cluster/cf-5-36-asb70-50-Id-CLTL12.txt", 2)</f>
        <v>2</v>
      </c>
      <c r="ED71" s="4">
        <f>HYPERLINK("http://exon.niaid.nih.gov/transcriptome/C_felis/S1/links/cluster/cf-5-36-asb75-50-Id-CLU10.txt", 10)</f>
        <v>10</v>
      </c>
      <c r="EE71">
        <f>HYPERLINK("http://exon.niaid.nih.gov/transcriptome/C_felis/S1/links/cluster/cf-5-36-asb75-50-Id-CLTL10.txt", 2)</f>
        <v>2</v>
      </c>
      <c r="EF71" s="4">
        <f>HYPERLINK("http://exon.niaid.nih.gov/transcriptome/C_felis/S1/links/cluster/cf-5-36-asb80-50-Id-CLU8.txt", 8)</f>
        <v>8</v>
      </c>
      <c r="EG71">
        <f>HYPERLINK("http://exon.niaid.nih.gov/transcriptome/C_felis/S1/links/cluster/cf-5-36-asb80-50-Id-CLTL8.txt", 2)</f>
        <v>2</v>
      </c>
      <c r="EH71" s="4">
        <v>96</v>
      </c>
      <c r="EI71">
        <v>1</v>
      </c>
      <c r="EJ71" s="4">
        <v>94</v>
      </c>
      <c r="EK71">
        <v>1</v>
      </c>
    </row>
    <row r="72" spans="1:141" x14ac:dyDescent="0.2">
      <c r="A72" t="str">
        <f>HYPERLINK("http://exon.niaid.nih.gov/transcriptome/C_felis/S1/links/cf/cf-contig_95.txt","cf-contig_95")</f>
        <v>cf-contig_95</v>
      </c>
      <c r="B72">
        <v>1</v>
      </c>
      <c r="C72" s="10" t="s">
        <v>4603</v>
      </c>
      <c r="D72">
        <v>1</v>
      </c>
      <c r="E72" t="str">
        <f>HYPERLINK("http://exon.niaid.nih.gov/transcriptome/C_felis/S1/links/cf/cf-5-36-asb-95.txt","Contig-95")</f>
        <v>Contig-95</v>
      </c>
      <c r="F72" t="str">
        <f>HYPERLINK("http://exon.niaid.nih.gov/transcriptome/C_felis/S1/links/cf/cf-5-36-95-CLU.txt","Contig95")</f>
        <v>Contig95</v>
      </c>
      <c r="G72" t="str">
        <f>HYPERLINK("http://exon.niaid.nih.gov/transcriptome/C_felis/S1/links/cf/cf-5-36-95-qual.txt","64.2")</f>
        <v>64.2</v>
      </c>
      <c r="H72" t="s">
        <v>11</v>
      </c>
      <c r="I72">
        <v>72.900000000000006</v>
      </c>
      <c r="J72">
        <v>346</v>
      </c>
      <c r="K72" t="s">
        <v>12</v>
      </c>
      <c r="L72">
        <v>1</v>
      </c>
      <c r="M72" t="s">
        <v>108</v>
      </c>
      <c r="N72">
        <v>346</v>
      </c>
      <c r="O72">
        <v>365</v>
      </c>
      <c r="P72">
        <v>132</v>
      </c>
      <c r="Q72" t="s">
        <v>915</v>
      </c>
      <c r="R72">
        <v>3</v>
      </c>
      <c r="S72" s="7" t="s">
        <v>4585</v>
      </c>
      <c r="U72">
        <v>1</v>
      </c>
      <c r="V72" s="4">
        <f>HYPERLINK("http://exon.niaid.nih.gov/transcriptome/C_felis/S1/links/cluster/cf-5-36-asb30-50-Id-CLU38.txt", 38)</f>
        <v>38</v>
      </c>
      <c r="W72">
        <f>HYPERLINK("http://exon.niaid.nih.gov/transcriptome/C_felis/S1/links/cluster/cf-5-36-asb30-50-Id-CLTL38.txt", 2)</f>
        <v>2</v>
      </c>
      <c r="X72" s="4">
        <f>HYPERLINK("http://exon.niaid.nih.gov/transcriptome/C_felis/S1/links/cluster/cf-5-36-asb35-50-Id-CLU31.txt", 31)</f>
        <v>31</v>
      </c>
      <c r="Y72">
        <f>HYPERLINK("http://exon.niaid.nih.gov/transcriptome/C_felis/S1/links/cluster/cf-5-36-asb35-50-Id-CLTL31.txt", 2)</f>
        <v>2</v>
      </c>
      <c r="Z72" s="4">
        <f>HYPERLINK("http://exon.niaid.nih.gov/transcriptome/C_felis/S1/links/cluster/cf-5-36-asb40-50-Id-CLU29.txt", 29)</f>
        <v>29</v>
      </c>
      <c r="AA72">
        <f>HYPERLINK("http://exon.niaid.nih.gov/transcriptome/C_felis/S1/links/cluster/cf-5-36-asb40-50-Id-CLTL29.txt", 2)</f>
        <v>2</v>
      </c>
      <c r="AB72" s="4" t="str">
        <f>HYPERLINK("http://exon.niaid.nih.gov/transcriptome/C_felis/S1/links/XC-ASB/cf-contig_66-XC-ASB.txt","XC-contig_169")</f>
        <v>XC-contig_169</v>
      </c>
      <c r="AC72">
        <v>4.9999999999999998E-8</v>
      </c>
      <c r="AD72" s="10" t="s">
        <v>4603</v>
      </c>
      <c r="AE72" t="s">
        <v>4599</v>
      </c>
      <c r="AI72" s="4" t="str">
        <f>HYPERLINK("http://exon.niaid.nih.gov/transcriptome/C_felis/S1/links/NR/cf-contig_95-NR.txt","FS-H precursor")</f>
        <v>FS-H precursor</v>
      </c>
      <c r="AJ72" t="str">
        <f>HYPERLINK("http://www.ncbi.nlm.nih.gov/sutils/blink.cgi?pid=1575479","1E-005")</f>
        <v>1E-005</v>
      </c>
      <c r="AK72" t="str">
        <f t="shared" si="2"/>
        <v>gi|1575479</v>
      </c>
      <c r="AL72">
        <v>53.1</v>
      </c>
      <c r="AM72">
        <v>23</v>
      </c>
      <c r="AN72">
        <v>98</v>
      </c>
      <c r="AO72">
        <v>83</v>
      </c>
      <c r="AP72">
        <v>24</v>
      </c>
      <c r="AQ72">
        <v>4</v>
      </c>
      <c r="AR72">
        <v>0</v>
      </c>
      <c r="AS72">
        <v>75</v>
      </c>
      <c r="AT72">
        <v>4</v>
      </c>
      <c r="AU72">
        <v>1</v>
      </c>
      <c r="AV72">
        <v>1</v>
      </c>
      <c r="AW72" t="s">
        <v>12</v>
      </c>
      <c r="AY72" t="s">
        <v>1676</v>
      </c>
      <c r="AZ72" t="s">
        <v>1728</v>
      </c>
      <c r="BA72" s="4" t="str">
        <f>HYPERLINK("http://exon.niaid.nih.gov/transcriptome/C_felis/S1/links/SWISSP/cf-contig_95-SWISSP.txt","Protein cueball")</f>
        <v>Protein cueball</v>
      </c>
      <c r="BB72" t="str">
        <f>HYPERLINK("http://www.uniprot.org/uniprot/B4MLE8","0.55")</f>
        <v>0.55</v>
      </c>
      <c r="BC72" t="s">
        <v>2025</v>
      </c>
      <c r="BD72">
        <v>26.6</v>
      </c>
      <c r="BE72">
        <v>62</v>
      </c>
      <c r="BF72">
        <v>651</v>
      </c>
      <c r="BG72">
        <v>45</v>
      </c>
      <c r="BH72">
        <v>10</v>
      </c>
      <c r="BI72">
        <v>12</v>
      </c>
      <c r="BJ72">
        <v>0</v>
      </c>
      <c r="BK72">
        <v>383</v>
      </c>
      <c r="BL72">
        <v>10</v>
      </c>
      <c r="BM72">
        <v>2</v>
      </c>
      <c r="BN72">
        <v>1</v>
      </c>
      <c r="BO72" t="s">
        <v>12</v>
      </c>
      <c r="BQ72" t="s">
        <v>1676</v>
      </c>
      <c r="BR72" t="s">
        <v>2026</v>
      </c>
      <c r="BS72" s="4" t="str">
        <f>HYPERLINK("http://exon.niaid.nih.gov/transcriptome/C_felis/S1/links/CDD/cf-contig_95-CDD.txt","EGF_2")</f>
        <v>EGF_2</v>
      </c>
      <c r="BT72" t="str">
        <f>HYPERLINK("http://www.ncbi.nlm.nih.gov/Structure/cdd/cddsrv.cgi?uid=pfam07974&amp;version=v4.0","0.086")</f>
        <v>0.086</v>
      </c>
      <c r="BU72" t="s">
        <v>2028</v>
      </c>
      <c r="BV72" s="4" t="s">
        <v>42</v>
      </c>
      <c r="BW72" t="s">
        <v>42</v>
      </c>
      <c r="BX72" t="s">
        <v>42</v>
      </c>
      <c r="BY72" t="s">
        <v>42</v>
      </c>
      <c r="BZ72" t="s">
        <v>42</v>
      </c>
      <c r="CA72" t="s">
        <v>42</v>
      </c>
      <c r="CB72" t="s">
        <v>42</v>
      </c>
      <c r="CC72" t="s">
        <v>42</v>
      </c>
      <c r="CD72" t="s">
        <v>42</v>
      </c>
      <c r="CE72" t="s">
        <v>42</v>
      </c>
      <c r="CF72" t="s">
        <v>42</v>
      </c>
      <c r="CG72" t="s">
        <v>42</v>
      </c>
      <c r="CH72" t="s">
        <v>42</v>
      </c>
      <c r="CI72" t="s">
        <v>42</v>
      </c>
      <c r="CJ72" t="s">
        <v>42</v>
      </c>
      <c r="CK72" t="s">
        <v>42</v>
      </c>
      <c r="CL72" t="s">
        <v>42</v>
      </c>
      <c r="CM72" t="s">
        <v>42</v>
      </c>
      <c r="CN72" t="s">
        <v>42</v>
      </c>
      <c r="CO72" t="s">
        <v>42</v>
      </c>
      <c r="CP72" t="s">
        <v>42</v>
      </c>
      <c r="CQ72" t="s">
        <v>42</v>
      </c>
      <c r="CR72" t="s">
        <v>42</v>
      </c>
      <c r="CS72" s="4" t="str">
        <f>HYPERLINK("http://exon.niaid.nih.gov/transcriptome/C_felis/S1/links/KOG/cf-contig_95-KOG.txt","Uncharacterized conserved protein")</f>
        <v>Uncharacterized conserved protein</v>
      </c>
      <c r="CT72" t="str">
        <f>HYPERLINK("http://www.ncbi.nlm.nih.gov/COG/grace/shokog.cgi?KOG4474","1.6")</f>
        <v>1.6</v>
      </c>
      <c r="CU72" t="s">
        <v>1711</v>
      </c>
      <c r="CV72" s="4" t="str">
        <f>HYPERLINK("http://exon.niaid.nih.gov/transcriptome/C_felis/S1/links/PFAM/cf-contig_95-PFAM.txt","EGF_2")</f>
        <v>EGF_2</v>
      </c>
      <c r="CW72" t="str">
        <f>HYPERLINK("http://pfam.sanger.ac.uk/family?acc=PF07974","0.020")</f>
        <v>0.020</v>
      </c>
      <c r="CX72" s="4" t="str">
        <f>HYPERLINK("http://exon.niaid.nih.gov/transcriptome/C_felis/S1/links/SMART/cf-contig_95-SMART.txt","RhoGEF")</f>
        <v>RhoGEF</v>
      </c>
      <c r="CY72" t="str">
        <f>HYPERLINK("http://smart.embl-heidelberg.de/smart/do_annotation.pl?DOMAIN=RhoGEF&amp;BLAST=DUMMY","0.087")</f>
        <v>0.087</v>
      </c>
      <c r="CZ72" s="4" t="s">
        <v>42</v>
      </c>
      <c r="DA72" t="s">
        <v>42</v>
      </c>
      <c r="DB72" t="s">
        <v>42</v>
      </c>
      <c r="DC72" t="s">
        <v>42</v>
      </c>
      <c r="DD72" t="s">
        <v>42</v>
      </c>
      <c r="DE72" t="s">
        <v>42</v>
      </c>
      <c r="DF72" t="s">
        <v>42</v>
      </c>
      <c r="DG72" t="s">
        <v>42</v>
      </c>
      <c r="DH72" s="4" t="s">
        <v>42</v>
      </c>
      <c r="DI72" t="s">
        <v>42</v>
      </c>
      <c r="DJ72" s="4" t="s">
        <v>42</v>
      </c>
      <c r="DK72" t="s">
        <v>42</v>
      </c>
      <c r="DL72" s="4">
        <f>HYPERLINK("http://exon.niaid.nih.gov/transcriptome/C_felis/S1/links/cluster/cf-5-36-asb30-50-Id-CLU38.txt", 38)</f>
        <v>38</v>
      </c>
      <c r="DM72">
        <f>HYPERLINK("http://exon.niaid.nih.gov/transcriptome/C_felis/S1/links/cluster/cf-5-36-asb30-50-Id-CLTL38.txt", 2)</f>
        <v>2</v>
      </c>
      <c r="DN72" s="4">
        <f>HYPERLINK("http://exon.niaid.nih.gov/transcriptome/C_felis/S1/links/cluster/cf-5-36-asb35-50-Id-CLU31.txt", 31)</f>
        <v>31</v>
      </c>
      <c r="DO72">
        <f>HYPERLINK("http://exon.niaid.nih.gov/transcriptome/C_felis/S1/links/cluster/cf-5-36-asb35-50-Id-CLTL31.txt", 2)</f>
        <v>2</v>
      </c>
      <c r="DP72" s="4">
        <f>HYPERLINK("http://exon.niaid.nih.gov/transcriptome/C_felis/S1/links/cluster/cf-5-36-asb40-50-Id-CLU29.txt", 29)</f>
        <v>29</v>
      </c>
      <c r="DQ72">
        <f>HYPERLINK("http://exon.niaid.nih.gov/transcriptome/C_felis/S1/links/cluster/cf-5-36-asb40-50-Id-CLTL29.txt", 2)</f>
        <v>2</v>
      </c>
      <c r="DR72" s="4">
        <f>HYPERLINK("http://exon.niaid.nih.gov/transcriptome/C_felis/S1/links/cluster/cf-5-36-asb45-50-Id-CLU27.txt", 27)</f>
        <v>27</v>
      </c>
      <c r="DS72">
        <f>HYPERLINK("http://exon.niaid.nih.gov/transcriptome/C_felis/S1/links/cluster/cf-5-36-asb45-50-Id-CLTL27.txt", 2)</f>
        <v>2</v>
      </c>
      <c r="DT72" s="4">
        <f>HYPERLINK("http://exon.niaid.nih.gov/transcriptome/C_felis/S1/links/cluster/cf-5-36-asb50-50-Id-CLU23.txt", 23)</f>
        <v>23</v>
      </c>
      <c r="DU72">
        <f>HYPERLINK("http://exon.niaid.nih.gov/transcriptome/C_felis/S1/links/cluster/cf-5-36-asb50-50-Id-CLTL23.txt", 2)</f>
        <v>2</v>
      </c>
      <c r="DV72" s="4">
        <f>HYPERLINK("http://exon.niaid.nih.gov/transcriptome/C_felis/S1/links/cluster/cf-5-36-asb55-50-Id-CLU20.txt", 20)</f>
        <v>20</v>
      </c>
      <c r="DW72">
        <f>HYPERLINK("http://exon.niaid.nih.gov/transcriptome/C_felis/S1/links/cluster/cf-5-36-asb55-50-Id-CLTL20.txt", 2)</f>
        <v>2</v>
      </c>
      <c r="DX72" s="4">
        <f>HYPERLINK("http://exon.niaid.nih.gov/transcriptome/C_felis/S1/links/cluster/cf-5-36-asb60-50-Id-CLU18.txt", 18)</f>
        <v>18</v>
      </c>
      <c r="DY72">
        <f>HYPERLINK("http://exon.niaid.nih.gov/transcriptome/C_felis/S1/links/cluster/cf-5-36-asb60-50-Id-CLTL18.txt", 2)</f>
        <v>2</v>
      </c>
      <c r="DZ72" s="4">
        <f>HYPERLINK("http://exon.niaid.nih.gov/transcriptome/C_felis/S1/links/cluster/cf-5-36-asb65-50-Id-CLU16.txt", 16)</f>
        <v>16</v>
      </c>
      <c r="EA72">
        <f>HYPERLINK("http://exon.niaid.nih.gov/transcriptome/C_felis/S1/links/cluster/cf-5-36-asb65-50-Id-CLTL16.txt", 2)</f>
        <v>2</v>
      </c>
      <c r="EB72" s="4">
        <f>HYPERLINK("http://exon.niaid.nih.gov/transcriptome/C_felis/S1/links/cluster/cf-5-36-asb70-50-Id-CLU12.txt", 12)</f>
        <v>12</v>
      </c>
      <c r="EC72">
        <f>HYPERLINK("http://exon.niaid.nih.gov/transcriptome/C_felis/S1/links/cluster/cf-5-36-asb70-50-Id-CLTL12.txt", 2)</f>
        <v>2</v>
      </c>
      <c r="ED72" s="4">
        <f>HYPERLINK("http://exon.niaid.nih.gov/transcriptome/C_felis/S1/links/cluster/cf-5-36-asb75-50-Id-CLU10.txt", 10)</f>
        <v>10</v>
      </c>
      <c r="EE72">
        <f>HYPERLINK("http://exon.niaid.nih.gov/transcriptome/C_felis/S1/links/cluster/cf-5-36-asb75-50-Id-CLTL10.txt", 2)</f>
        <v>2</v>
      </c>
      <c r="EF72" s="4">
        <f>HYPERLINK("http://exon.niaid.nih.gov/transcriptome/C_felis/S1/links/cluster/cf-5-36-asb80-50-Id-CLU8.txt", 8)</f>
        <v>8</v>
      </c>
      <c r="EG72">
        <f>HYPERLINK("http://exon.niaid.nih.gov/transcriptome/C_felis/S1/links/cluster/cf-5-36-asb80-50-Id-CLTL8.txt", 2)</f>
        <v>2</v>
      </c>
      <c r="EH72" s="4">
        <v>97</v>
      </c>
      <c r="EI72">
        <v>1</v>
      </c>
      <c r="EJ72" s="4">
        <v>95</v>
      </c>
      <c r="EK72">
        <v>1</v>
      </c>
    </row>
    <row r="73" spans="1:141" x14ac:dyDescent="0.2">
      <c r="A73" t="str">
        <f>HYPERLINK("http://exon.niaid.nih.gov/transcriptome/C_felis/S1/links/cf/cf-contig_65.txt","cf-contig_65")</f>
        <v>cf-contig_65</v>
      </c>
      <c r="B73">
        <v>4</v>
      </c>
      <c r="C73" s="10" t="s">
        <v>4602</v>
      </c>
      <c r="D73">
        <v>4</v>
      </c>
      <c r="E73" t="str">
        <f>HYPERLINK("http://exon.niaid.nih.gov/transcriptome/C_felis/S1/links/cf/cf-5-36-asb-65.txt","Contig-65")</f>
        <v>Contig-65</v>
      </c>
      <c r="F73" t="str">
        <f>HYPERLINK("http://exon.niaid.nih.gov/transcriptome/C_felis/S1/links/cf/cf-5-36-65-CLU.txt","Contig65")</f>
        <v>Contig65</v>
      </c>
      <c r="G73" t="str">
        <f>HYPERLINK("http://exon.niaid.nih.gov/transcriptome/C_felis/S1/links/cf/cf-5-36-65-qual.txt","94.1")</f>
        <v>94.1</v>
      </c>
      <c r="H73" t="s">
        <v>11</v>
      </c>
      <c r="I73">
        <v>74.599999999999994</v>
      </c>
      <c r="J73">
        <v>633</v>
      </c>
      <c r="K73" t="s">
        <v>12</v>
      </c>
      <c r="L73">
        <v>4</v>
      </c>
      <c r="M73" t="s">
        <v>78</v>
      </c>
      <c r="N73">
        <v>664</v>
      </c>
      <c r="O73">
        <v>654</v>
      </c>
      <c r="P73">
        <v>324</v>
      </c>
      <c r="Q73" t="s">
        <v>886</v>
      </c>
      <c r="R73">
        <v>2</v>
      </c>
      <c r="S73" s="7" t="str">
        <f>HYPERLINK("http://exon.niaid.nih.gov/transcriptome/C_felis/S1/links/Sigp/CF-CONTIG_65-SigP.txt","SIG")</f>
        <v>SIG</v>
      </c>
      <c r="T73" t="s">
        <v>4583</v>
      </c>
      <c r="U73">
        <v>4</v>
      </c>
      <c r="V73" s="4">
        <v>108</v>
      </c>
      <c r="W73">
        <v>1</v>
      </c>
      <c r="X73" s="4">
        <v>102</v>
      </c>
      <c r="Y73">
        <v>1</v>
      </c>
      <c r="Z73" s="4">
        <v>97</v>
      </c>
      <c r="AA73">
        <v>1</v>
      </c>
      <c r="AB73" s="4" t="str">
        <f>HYPERLINK("http://exon.niaid.nih.gov/transcriptome/C_felis/S1/links/XC-ASB/cf-contig_67-XC-ASB.txt","XC-contig_169")</f>
        <v>XC-contig_169</v>
      </c>
      <c r="AC73">
        <v>7.0000000000000001E-15</v>
      </c>
      <c r="AD73" s="10" t="s">
        <v>4602</v>
      </c>
      <c r="AE73" t="s">
        <v>4599</v>
      </c>
      <c r="AF73" t="str">
        <f>HYPERLINK("http://exon.niaid.nih.gov/transcriptome/C_felis/S1/links/NR/cf-contig_65-NR.txt","NR")</f>
        <v>NR</v>
      </c>
      <c r="AG73" s="5">
        <v>9.9999999999999996E-24</v>
      </c>
      <c r="AH73">
        <v>104.2</v>
      </c>
      <c r="AI73" s="4" t="str">
        <f>HYPERLINK("http://exon.niaid.nih.gov/transcriptome/C_felis/S1/links/NR/cf-contig_65-NR.txt","FS-H precursor")</f>
        <v>FS-H precursor</v>
      </c>
      <c r="AJ73" t="str">
        <f>HYPERLINK("http://www.ncbi.nlm.nih.gov/sutils/blink.cgi?pid=1575479","2E-039")</f>
        <v>2E-039</v>
      </c>
      <c r="AK73" t="str">
        <f t="shared" si="2"/>
        <v>gi|1575479</v>
      </c>
      <c r="AL73">
        <v>166</v>
      </c>
      <c r="AM73">
        <v>97</v>
      </c>
      <c r="AN73">
        <v>98</v>
      </c>
      <c r="AO73">
        <v>73</v>
      </c>
      <c r="AP73">
        <v>100</v>
      </c>
      <c r="AQ73">
        <v>26</v>
      </c>
      <c r="AR73">
        <v>0</v>
      </c>
      <c r="AS73">
        <v>1</v>
      </c>
      <c r="AT73">
        <v>68</v>
      </c>
      <c r="AU73">
        <v>1</v>
      </c>
      <c r="AV73">
        <v>2</v>
      </c>
      <c r="AW73" t="s">
        <v>12</v>
      </c>
      <c r="AY73" t="s">
        <v>1676</v>
      </c>
      <c r="AZ73" t="s">
        <v>1728</v>
      </c>
      <c r="BA73" s="4" t="str">
        <f>HYPERLINK("http://exon.niaid.nih.gov/transcriptome/C_felis/S1/links/SWISSP/cf-contig_65-SWISSP.txt","Salivary antigen 1")</f>
        <v>Salivary antigen 1</v>
      </c>
      <c r="BB73" t="str">
        <f>HYPERLINK("http://www.uniprot.org/uniprot/Q94424","2E-004")</f>
        <v>2E-004</v>
      </c>
      <c r="BC73" t="s">
        <v>1727</v>
      </c>
      <c r="BD73">
        <v>46.2</v>
      </c>
      <c r="BE73">
        <v>170</v>
      </c>
      <c r="BF73">
        <v>176</v>
      </c>
      <c r="BG73">
        <v>30</v>
      </c>
      <c r="BH73">
        <v>97</v>
      </c>
      <c r="BI73">
        <v>72</v>
      </c>
      <c r="BJ73">
        <v>9</v>
      </c>
      <c r="BK73">
        <v>1</v>
      </c>
      <c r="BL73">
        <v>68</v>
      </c>
      <c r="BM73">
        <v>2</v>
      </c>
      <c r="BN73">
        <v>2</v>
      </c>
      <c r="BO73" t="s">
        <v>12</v>
      </c>
      <c r="BQ73" t="s">
        <v>1676</v>
      </c>
      <c r="BR73" t="s">
        <v>1728</v>
      </c>
      <c r="BS73" s="4" t="str">
        <f>HYPERLINK("http://exon.niaid.nih.gov/transcriptome/C_felis/S1/links/CDD/cf-contig_65-CDD.txt","ND4")</f>
        <v>ND4</v>
      </c>
      <c r="BT73" t="str">
        <f>HYPERLINK("http://www.ncbi.nlm.nih.gov/Structure/cdd/cddsrv.cgi?uid=MTH00062&amp;version=v4.0","0.11")</f>
        <v>0.11</v>
      </c>
      <c r="BU73" t="s">
        <v>1914</v>
      </c>
      <c r="BV73" s="4" t="s">
        <v>42</v>
      </c>
      <c r="BW73" t="s">
        <v>42</v>
      </c>
      <c r="BX73" t="s">
        <v>42</v>
      </c>
      <c r="BY73" t="s">
        <v>42</v>
      </c>
      <c r="BZ73" t="s">
        <v>42</v>
      </c>
      <c r="CA73" t="s">
        <v>42</v>
      </c>
      <c r="CB73" t="s">
        <v>42</v>
      </c>
      <c r="CC73" t="s">
        <v>42</v>
      </c>
      <c r="CD73" t="s">
        <v>42</v>
      </c>
      <c r="CE73" t="s">
        <v>42</v>
      </c>
      <c r="CF73" t="s">
        <v>42</v>
      </c>
      <c r="CG73" t="s">
        <v>42</v>
      </c>
      <c r="CH73" t="s">
        <v>42</v>
      </c>
      <c r="CI73" t="s">
        <v>42</v>
      </c>
      <c r="CJ73" t="s">
        <v>42</v>
      </c>
      <c r="CK73" t="s">
        <v>42</v>
      </c>
      <c r="CL73" t="s">
        <v>42</v>
      </c>
      <c r="CM73" t="s">
        <v>42</v>
      </c>
      <c r="CN73" t="s">
        <v>42</v>
      </c>
      <c r="CO73" t="s">
        <v>42</v>
      </c>
      <c r="CP73" t="s">
        <v>42</v>
      </c>
      <c r="CQ73" t="s">
        <v>42</v>
      </c>
      <c r="CR73" t="s">
        <v>42</v>
      </c>
      <c r="CS73" s="4" t="str">
        <f>HYPERLINK("http://exon.niaid.nih.gov/transcriptome/C_felis/S1/links/KOG/cf-contig_65-KOG.txt","Na+/K+ symporter")</f>
        <v>Na+/K+ symporter</v>
      </c>
      <c r="CT73" t="str">
        <f>HYPERLINK("http://www.ncbi.nlm.nih.gov/COG/grace/shokog.cgi?KOG2083","0.57")</f>
        <v>0.57</v>
      </c>
      <c r="CU73" t="s">
        <v>1681</v>
      </c>
      <c r="CV73" s="4" t="str">
        <f>HYPERLINK("http://exon.niaid.nih.gov/transcriptome/C_felis/S1/links/PFAM/cf-contig_65-PFAM.txt","Spc97_Spc98")</f>
        <v>Spc97_Spc98</v>
      </c>
      <c r="CW73" t="str">
        <f>HYPERLINK("http://pfam.sanger.ac.uk/family?acc=PF04130","0.033")</f>
        <v>0.033</v>
      </c>
      <c r="CX73" s="4" t="str">
        <f>HYPERLINK("http://exon.niaid.nih.gov/transcriptome/C_felis/S1/links/SMART/cf-contig_65-SMART.txt","PI3K_rbd")</f>
        <v>PI3K_rbd</v>
      </c>
      <c r="CY73" t="str">
        <f>HYPERLINK("http://smart.embl-heidelberg.de/smart/do_annotation.pl?DOMAIN=PI3K_rbd&amp;BLAST=DUMMY","0.075")</f>
        <v>0.075</v>
      </c>
      <c r="CZ73" s="4" t="s">
        <v>42</v>
      </c>
      <c r="DA73" t="s">
        <v>42</v>
      </c>
      <c r="DB73" t="s">
        <v>42</v>
      </c>
      <c r="DC73" t="s">
        <v>42</v>
      </c>
      <c r="DD73" t="s">
        <v>42</v>
      </c>
      <c r="DE73" t="s">
        <v>42</v>
      </c>
      <c r="DF73" t="s">
        <v>42</v>
      </c>
      <c r="DG73" t="s">
        <v>42</v>
      </c>
      <c r="DH73" s="4" t="s">
        <v>42</v>
      </c>
      <c r="DI73" t="s">
        <v>42</v>
      </c>
      <c r="DJ73" s="4" t="s">
        <v>42</v>
      </c>
      <c r="DK73" t="s">
        <v>42</v>
      </c>
      <c r="DL73" s="4">
        <v>108</v>
      </c>
      <c r="DM73">
        <v>1</v>
      </c>
      <c r="DN73" s="4">
        <v>102</v>
      </c>
      <c r="DO73">
        <v>1</v>
      </c>
      <c r="DP73" s="4">
        <v>97</v>
      </c>
      <c r="DQ73">
        <v>1</v>
      </c>
      <c r="DR73" s="4">
        <v>88</v>
      </c>
      <c r="DS73">
        <v>1</v>
      </c>
      <c r="DT73" s="4">
        <v>81</v>
      </c>
      <c r="DU73">
        <v>1</v>
      </c>
      <c r="DV73" s="4">
        <v>82</v>
      </c>
      <c r="DW73">
        <v>1</v>
      </c>
      <c r="DX73" s="4">
        <v>79</v>
      </c>
      <c r="DY73">
        <v>1</v>
      </c>
      <c r="DZ73" s="4">
        <v>77</v>
      </c>
      <c r="EA73">
        <v>1</v>
      </c>
      <c r="EB73" s="4">
        <v>77</v>
      </c>
      <c r="EC73">
        <v>1</v>
      </c>
      <c r="ED73" s="4">
        <v>78</v>
      </c>
      <c r="EE73">
        <v>1</v>
      </c>
      <c r="EF73" s="4">
        <v>73</v>
      </c>
      <c r="EG73">
        <v>1</v>
      </c>
      <c r="EH73" s="4">
        <v>67</v>
      </c>
      <c r="EI73">
        <v>1</v>
      </c>
      <c r="EJ73" s="4">
        <v>65</v>
      </c>
      <c r="EK73">
        <v>1</v>
      </c>
    </row>
    <row r="74" spans="1:141" x14ac:dyDescent="0.2">
      <c r="A74" t="str">
        <f>HYPERLINK("http://exon.niaid.nih.gov/transcriptome/C_felis/S1/links/cf/cf-contig_68.txt","cf-contig_68")</f>
        <v>cf-contig_68</v>
      </c>
      <c r="B74">
        <v>1</v>
      </c>
      <c r="C74" s="10" t="s">
        <v>4600</v>
      </c>
      <c r="D74">
        <v>1</v>
      </c>
      <c r="E74" t="str">
        <f>HYPERLINK("http://exon.niaid.nih.gov/transcriptome/C_felis/S1/links/cf/cf-5-36-asb-68.txt","Contig-68")</f>
        <v>Contig-68</v>
      </c>
      <c r="F74" t="str">
        <f>HYPERLINK("http://exon.niaid.nih.gov/transcriptome/C_felis/S1/links/cf/cf-5-36-68-CLU.txt","Contig68")</f>
        <v>Contig68</v>
      </c>
      <c r="G74" t="str">
        <f>HYPERLINK("http://exon.niaid.nih.gov/transcriptome/C_felis/S1/links/cf/cf-5-36-68-qual.txt","57.7")</f>
        <v>57.7</v>
      </c>
      <c r="H74">
        <v>0.1</v>
      </c>
      <c r="I74">
        <v>76.099999999999994</v>
      </c>
      <c r="J74">
        <v>667</v>
      </c>
      <c r="K74" t="s">
        <v>12</v>
      </c>
      <c r="L74">
        <v>1</v>
      </c>
      <c r="M74" t="s">
        <v>81</v>
      </c>
      <c r="N74">
        <v>667</v>
      </c>
      <c r="O74">
        <v>686</v>
      </c>
      <c r="P74">
        <v>210</v>
      </c>
      <c r="Q74" t="s">
        <v>889</v>
      </c>
      <c r="R74">
        <v>1</v>
      </c>
      <c r="S74" s="7" t="s">
        <v>4585</v>
      </c>
      <c r="U74">
        <v>1</v>
      </c>
      <c r="V74" s="4">
        <v>109</v>
      </c>
      <c r="W74">
        <v>1</v>
      </c>
      <c r="X74" s="4">
        <v>103</v>
      </c>
      <c r="Y74">
        <v>1</v>
      </c>
      <c r="Z74" s="4">
        <v>98</v>
      </c>
      <c r="AA74">
        <v>1</v>
      </c>
      <c r="AB74" s="4" t="str">
        <f>HYPERLINK("http://exon.niaid.nih.gov/transcriptome/C_felis/S1/links/XC-ASB/cf-contig_75-XC-ASB.txt","XC-contig_51")</f>
        <v>XC-contig_51</v>
      </c>
      <c r="AC74">
        <v>2.9999999999999998E-25</v>
      </c>
      <c r="AD74" s="10" t="s">
        <v>4600</v>
      </c>
      <c r="AE74" t="s">
        <v>4601</v>
      </c>
      <c r="AI74" s="4" t="str">
        <f>HYPERLINK("http://exon.niaid.nih.gov/transcriptome/C_felis/S1/links/NR/cf-contig_68-NR.txt","FS-H precursor")</f>
        <v>FS-H precursor</v>
      </c>
      <c r="AJ74" t="str">
        <f>HYPERLINK("http://www.ncbi.nlm.nih.gov/sutils/blink.cgi?pid=1575479","8E-005")</f>
        <v>8E-005</v>
      </c>
      <c r="AK74" t="str">
        <f t="shared" si="2"/>
        <v>gi|1575479</v>
      </c>
      <c r="AL74">
        <v>52</v>
      </c>
      <c r="AM74">
        <v>23</v>
      </c>
      <c r="AN74">
        <v>98</v>
      </c>
      <c r="AO74">
        <v>83</v>
      </c>
      <c r="AP74">
        <v>24</v>
      </c>
      <c r="AQ74">
        <v>4</v>
      </c>
      <c r="AR74">
        <v>0</v>
      </c>
      <c r="AS74">
        <v>75</v>
      </c>
      <c r="AT74">
        <v>6</v>
      </c>
      <c r="AU74">
        <v>1</v>
      </c>
      <c r="AV74">
        <v>3</v>
      </c>
      <c r="AW74" t="s">
        <v>12</v>
      </c>
      <c r="AY74" t="s">
        <v>1676</v>
      </c>
      <c r="AZ74" t="s">
        <v>1728</v>
      </c>
      <c r="BA74" s="4" t="str">
        <f>HYPERLINK("http://exon.niaid.nih.gov/transcriptome/C_felis/S1/links/SWISSP/cf-contig_68-SWISSP.txt","DNA-directed RNA polymerase subunit beta''")</f>
        <v>DNA-directed RNA polymerase subunit beta''</v>
      </c>
      <c r="BB74" t="str">
        <f>HYPERLINK("http://www.uniprot.org/uniprot/Q25802","0.27")</f>
        <v>0.27</v>
      </c>
      <c r="BC74" t="s">
        <v>1918</v>
      </c>
      <c r="BD74">
        <v>35.799999999999997</v>
      </c>
      <c r="BE74">
        <v>294</v>
      </c>
      <c r="BF74">
        <v>960</v>
      </c>
      <c r="BG74">
        <v>25</v>
      </c>
      <c r="BH74">
        <v>31</v>
      </c>
      <c r="BI74">
        <v>106</v>
      </c>
      <c r="BJ74">
        <v>17</v>
      </c>
      <c r="BK74">
        <v>361</v>
      </c>
      <c r="BL74">
        <v>31</v>
      </c>
      <c r="BM74">
        <v>2</v>
      </c>
      <c r="BN74">
        <v>-2</v>
      </c>
      <c r="BO74" t="s">
        <v>1689</v>
      </c>
      <c r="BP74">
        <v>1.361</v>
      </c>
      <c r="BQ74" t="s">
        <v>1666</v>
      </c>
      <c r="BR74" t="s">
        <v>1791</v>
      </c>
      <c r="BS74" s="4" t="str">
        <f>HYPERLINK("http://exon.niaid.nih.gov/transcriptome/C_felis/S1/links/CDD/cf-contig_68-CDD.txt","ND2")</f>
        <v>ND2</v>
      </c>
      <c r="BT74" t="str">
        <f>HYPERLINK("http://www.ncbi.nlm.nih.gov/Structure/cdd/cddsrv.cgi?uid=MTH00160&amp;version=v4.0","2E-004")</f>
        <v>2E-004</v>
      </c>
      <c r="BU74" t="s">
        <v>1919</v>
      </c>
      <c r="BV74" s="4" t="s">
        <v>42</v>
      </c>
      <c r="BW74" t="s">
        <v>42</v>
      </c>
      <c r="BX74" t="s">
        <v>42</v>
      </c>
      <c r="BY74" t="s">
        <v>42</v>
      </c>
      <c r="BZ74" t="s">
        <v>42</v>
      </c>
      <c r="CA74" t="s">
        <v>42</v>
      </c>
      <c r="CB74" t="s">
        <v>42</v>
      </c>
      <c r="CC74" t="s">
        <v>42</v>
      </c>
      <c r="CD74" t="s">
        <v>42</v>
      </c>
      <c r="CE74" t="s">
        <v>42</v>
      </c>
      <c r="CF74" t="s">
        <v>42</v>
      </c>
      <c r="CG74" t="s">
        <v>42</v>
      </c>
      <c r="CH74" t="s">
        <v>42</v>
      </c>
      <c r="CI74" t="s">
        <v>42</v>
      </c>
      <c r="CJ74" t="s">
        <v>42</v>
      </c>
      <c r="CK74" t="s">
        <v>42</v>
      </c>
      <c r="CL74" t="s">
        <v>42</v>
      </c>
      <c r="CM74" t="s">
        <v>42</v>
      </c>
      <c r="CN74" t="s">
        <v>42</v>
      </c>
      <c r="CO74" t="s">
        <v>42</v>
      </c>
      <c r="CP74" t="s">
        <v>42</v>
      </c>
      <c r="CQ74" t="s">
        <v>42</v>
      </c>
      <c r="CR74" t="s">
        <v>42</v>
      </c>
      <c r="CS74" s="4" t="str">
        <f>HYPERLINK("http://exon.niaid.nih.gov/transcriptome/C_felis/S1/links/KOG/cf-contig_68-KOG.txt","Protein required for meiotic chromosome segregation")</f>
        <v>Protein required for meiotic chromosome segregation</v>
      </c>
      <c r="CT74" t="str">
        <f>HYPERLINK("http://www.ncbi.nlm.nih.gov/COG/grace/shokog.cgi?KOG2513","0.37")</f>
        <v>0.37</v>
      </c>
      <c r="CU74" t="s">
        <v>1750</v>
      </c>
      <c r="CV74" s="4" t="str">
        <f>HYPERLINK("http://exon.niaid.nih.gov/transcriptome/C_felis/S1/links/PFAM/cf-contig_68-PFAM.txt","7TM_GPCR_Srz")</f>
        <v>7TM_GPCR_Srz</v>
      </c>
      <c r="CW74" t="str">
        <f>HYPERLINK("http://pfam.sanger.ac.uk/family?acc=PF10325","3E-004")</f>
        <v>3E-004</v>
      </c>
      <c r="CX74" s="4" t="str">
        <f>HYPERLINK("http://exon.niaid.nih.gov/transcriptome/C_felis/S1/links/SMART/cf-contig_68-SMART.txt","AgrB")</f>
        <v>AgrB</v>
      </c>
      <c r="CY74" t="str">
        <f>HYPERLINK("http://smart.embl-heidelberg.de/smart/do_annotation.pl?DOMAIN=AgrB&amp;BLAST=DUMMY","0.010")</f>
        <v>0.010</v>
      </c>
      <c r="CZ74" s="4" t="s">
        <v>42</v>
      </c>
      <c r="DA74" t="s">
        <v>42</v>
      </c>
      <c r="DB74" t="s">
        <v>42</v>
      </c>
      <c r="DC74" t="s">
        <v>42</v>
      </c>
      <c r="DD74" t="s">
        <v>42</v>
      </c>
      <c r="DE74" t="s">
        <v>42</v>
      </c>
      <c r="DF74" t="s">
        <v>42</v>
      </c>
      <c r="DG74" t="s">
        <v>42</v>
      </c>
      <c r="DH74" s="4" t="s">
        <v>42</v>
      </c>
      <c r="DI74" t="s">
        <v>42</v>
      </c>
      <c r="DJ74" s="4" t="s">
        <v>42</v>
      </c>
      <c r="DK74" t="s">
        <v>42</v>
      </c>
      <c r="DL74" s="4">
        <v>109</v>
      </c>
      <c r="DM74">
        <v>1</v>
      </c>
      <c r="DN74" s="4">
        <v>103</v>
      </c>
      <c r="DO74">
        <v>1</v>
      </c>
      <c r="DP74" s="4">
        <v>98</v>
      </c>
      <c r="DQ74">
        <v>1</v>
      </c>
      <c r="DR74" s="4">
        <v>89</v>
      </c>
      <c r="DS74">
        <v>1</v>
      </c>
      <c r="DT74" s="4">
        <v>82</v>
      </c>
      <c r="DU74">
        <v>1</v>
      </c>
      <c r="DV74" s="4">
        <v>83</v>
      </c>
      <c r="DW74">
        <v>1</v>
      </c>
      <c r="DX74" s="4">
        <v>81</v>
      </c>
      <c r="DY74">
        <v>1</v>
      </c>
      <c r="DZ74" s="4">
        <v>79</v>
      </c>
      <c r="EA74">
        <v>1</v>
      </c>
      <c r="EB74" s="4">
        <v>79</v>
      </c>
      <c r="EC74">
        <v>1</v>
      </c>
      <c r="ED74" s="4">
        <v>80</v>
      </c>
      <c r="EE74">
        <v>1</v>
      </c>
      <c r="EF74" s="4">
        <v>75</v>
      </c>
      <c r="EG74">
        <v>1</v>
      </c>
      <c r="EH74" s="4">
        <v>70</v>
      </c>
      <c r="EI74">
        <v>1</v>
      </c>
      <c r="EJ74" s="4">
        <v>68</v>
      </c>
      <c r="EK74">
        <v>1</v>
      </c>
    </row>
    <row r="75" spans="1:141" x14ac:dyDescent="0.2">
      <c r="A75" t="str">
        <f>HYPERLINK("http://exon.niaid.nih.gov/transcriptome/C_felis/S1/links/cf/cf-contig_724.txt","cf-contig_724")</f>
        <v>cf-contig_724</v>
      </c>
      <c r="B75">
        <v>1</v>
      </c>
      <c r="C75" s="10" t="s">
        <v>4603</v>
      </c>
      <c r="D75">
        <v>1</v>
      </c>
      <c r="E75" t="str">
        <f>HYPERLINK("http://exon.niaid.nih.gov/transcriptome/C_felis/S1/links/cf/cf-5-36-asb-724.txt","Contig-724")</f>
        <v>Contig-724</v>
      </c>
      <c r="F75" t="str">
        <f>HYPERLINK("http://exon.niaid.nih.gov/transcriptome/C_felis/S1/links/cf/cf-5-36-724-CLU.txt","Contig724")</f>
        <v>Contig724</v>
      </c>
      <c r="G75" t="str">
        <f>HYPERLINK("http://exon.niaid.nih.gov/transcriptome/C_felis/S1/links/cf/cf-5-36-724-qual.txt","59.1")</f>
        <v>59.1</v>
      </c>
      <c r="H75" t="s">
        <v>11</v>
      </c>
      <c r="I75">
        <v>69.599999999999994</v>
      </c>
      <c r="J75">
        <v>441</v>
      </c>
      <c r="K75" t="s">
        <v>12</v>
      </c>
      <c r="L75">
        <v>1</v>
      </c>
      <c r="M75" t="s">
        <v>737</v>
      </c>
      <c r="N75">
        <v>441</v>
      </c>
      <c r="O75">
        <v>460</v>
      </c>
      <c r="P75">
        <v>240</v>
      </c>
      <c r="Q75" t="s">
        <v>1543</v>
      </c>
      <c r="R75">
        <v>1</v>
      </c>
      <c r="S75" s="7" t="str">
        <f>HYPERLINK("http://exon.niaid.nih.gov/transcriptome/C_felis/S1/links/Sigp/CF-CONTIG_724-SigP.txt","Cyt")</f>
        <v>Cyt</v>
      </c>
      <c r="U75">
        <v>1</v>
      </c>
      <c r="V75" s="4">
        <v>587</v>
      </c>
      <c r="W75">
        <v>1</v>
      </c>
      <c r="X75" s="4">
        <v>603</v>
      </c>
      <c r="Y75">
        <v>1</v>
      </c>
      <c r="Z75" s="4">
        <v>616</v>
      </c>
      <c r="AA75">
        <v>1</v>
      </c>
      <c r="AB75" s="4" t="str">
        <f>HYPERLINK("http://exon.niaid.nih.gov/transcriptome/C_felis/S1/links/XC-ASB/cf-contig_189-XC-ASB.txt","XC-contig_51")</f>
        <v>XC-contig_51</v>
      </c>
      <c r="AC75">
        <v>7.0000000000000007E-2</v>
      </c>
      <c r="AD75" s="10" t="s">
        <v>4603</v>
      </c>
      <c r="AE75" t="s">
        <v>4599</v>
      </c>
      <c r="AF75" t="str">
        <f>HYPERLINK("http://exon.niaid.nih.gov/transcriptome/C_felis/S1/links/NR/cf-contig_724-NR.txt","NR")</f>
        <v>NR</v>
      </c>
      <c r="AG75">
        <v>6.0000000000000003E-12</v>
      </c>
      <c r="AH75">
        <v>72.3</v>
      </c>
      <c r="AI75" s="4" t="str">
        <f>HYPERLINK("http://exon.niaid.nih.gov/transcriptome/C_felis/S1/links/NR/cf-contig_724-NR.txt","FS-H precursor")</f>
        <v>FS-H precursor</v>
      </c>
      <c r="AJ75" t="str">
        <f>HYPERLINK("http://www.ncbi.nlm.nih.gov/sutils/blink.cgi?pid=1575479","3E-016")</f>
        <v>3E-016</v>
      </c>
      <c r="AK75" t="str">
        <f t="shared" si="2"/>
        <v>gi|1575479</v>
      </c>
      <c r="AL75">
        <v>88.6</v>
      </c>
      <c r="AM75">
        <v>68</v>
      </c>
      <c r="AN75">
        <v>98</v>
      </c>
      <c r="AO75">
        <v>57</v>
      </c>
      <c r="AP75">
        <v>70</v>
      </c>
      <c r="AQ75">
        <v>29</v>
      </c>
      <c r="AR75">
        <v>1</v>
      </c>
      <c r="AS75">
        <v>30</v>
      </c>
      <c r="AT75">
        <v>9</v>
      </c>
      <c r="AU75">
        <v>1</v>
      </c>
      <c r="AV75">
        <v>3</v>
      </c>
      <c r="AW75" t="s">
        <v>12</v>
      </c>
      <c r="AY75" t="s">
        <v>1676</v>
      </c>
      <c r="AZ75" t="s">
        <v>1728</v>
      </c>
      <c r="BA75" s="4" t="str">
        <f>HYPERLINK("http://exon.niaid.nih.gov/transcriptome/C_felis/S1/links/SWISSP/cf-contig_724-SWISSP.txt","Cysteine-rich with EGF-like domain protein 2-B")</f>
        <v>Cysteine-rich with EGF-like domain protein 2-B</v>
      </c>
      <c r="BB75" t="str">
        <f>HYPERLINK("http://www.uniprot.org/uniprot/Q4V7M2","0.084")</f>
        <v>0.084</v>
      </c>
      <c r="BC75" t="s">
        <v>4289</v>
      </c>
      <c r="BD75">
        <v>36.200000000000003</v>
      </c>
      <c r="BE75">
        <v>46</v>
      </c>
      <c r="BF75">
        <v>361</v>
      </c>
      <c r="BG75">
        <v>40</v>
      </c>
      <c r="BH75">
        <v>13</v>
      </c>
      <c r="BI75">
        <v>29</v>
      </c>
      <c r="BJ75">
        <v>3</v>
      </c>
      <c r="BK75">
        <v>126</v>
      </c>
      <c r="BL75">
        <v>75</v>
      </c>
      <c r="BM75">
        <v>1</v>
      </c>
      <c r="BN75">
        <v>3</v>
      </c>
      <c r="BO75" t="s">
        <v>12</v>
      </c>
      <c r="BQ75" t="s">
        <v>1676</v>
      </c>
      <c r="BR75" t="s">
        <v>1832</v>
      </c>
      <c r="BS75" s="4" t="str">
        <f>HYPERLINK("http://exon.niaid.nih.gov/transcriptome/C_felis/S1/links/CDD/cf-contig_724-CDD.txt","Baculo_helicase")</f>
        <v>Baculo_helicase</v>
      </c>
      <c r="BT75" t="str">
        <f>HYPERLINK("http://www.ncbi.nlm.nih.gov/Structure/cdd/cddsrv.cgi?uid=pfam04735&amp;version=v4.0","0.22")</f>
        <v>0.22</v>
      </c>
      <c r="BU75" t="s">
        <v>4290</v>
      </c>
      <c r="BV75" s="4" t="s">
        <v>42</v>
      </c>
      <c r="BW75" t="s">
        <v>42</v>
      </c>
      <c r="BX75" t="s">
        <v>42</v>
      </c>
      <c r="BY75" t="s">
        <v>42</v>
      </c>
      <c r="BZ75" t="s">
        <v>42</v>
      </c>
      <c r="CA75" t="s">
        <v>42</v>
      </c>
      <c r="CB75" t="s">
        <v>42</v>
      </c>
      <c r="CC75" t="s">
        <v>42</v>
      </c>
      <c r="CD75" t="s">
        <v>42</v>
      </c>
      <c r="CE75" t="s">
        <v>42</v>
      </c>
      <c r="CF75" t="s">
        <v>42</v>
      </c>
      <c r="CG75" t="s">
        <v>42</v>
      </c>
      <c r="CH75" t="s">
        <v>42</v>
      </c>
      <c r="CI75" t="s">
        <v>42</v>
      </c>
      <c r="CJ75" t="s">
        <v>42</v>
      </c>
      <c r="CK75" t="s">
        <v>42</v>
      </c>
      <c r="CL75" t="s">
        <v>42</v>
      </c>
      <c r="CM75" t="s">
        <v>42</v>
      </c>
      <c r="CN75" t="s">
        <v>42</v>
      </c>
      <c r="CO75" t="s">
        <v>42</v>
      </c>
      <c r="CP75" t="s">
        <v>42</v>
      </c>
      <c r="CQ75" t="s">
        <v>42</v>
      </c>
      <c r="CR75" t="s">
        <v>42</v>
      </c>
      <c r="CS75" s="4" t="str">
        <f>HYPERLINK("http://exon.niaid.nih.gov/transcriptome/C_felis/S1/links/KOG/cf-contig_724-KOG.txt","Uncharacterized conserved protein")</f>
        <v>Uncharacterized conserved protein</v>
      </c>
      <c r="CT75" t="str">
        <f>HYPERLINK("http://www.ncbi.nlm.nih.gov/COG/grace/shokog.cgi?KOG4260","0.007")</f>
        <v>0.007</v>
      </c>
      <c r="CU75" t="s">
        <v>1711</v>
      </c>
      <c r="CV75" s="4" t="str">
        <f>HYPERLINK("http://exon.niaid.nih.gov/transcriptome/C_felis/S1/links/PFAM/cf-contig_724-PFAM.txt","Baculo_helicase")</f>
        <v>Baculo_helicase</v>
      </c>
      <c r="CW75" t="str">
        <f>HYPERLINK("http://pfam.sanger.ac.uk/family?acc=PF04735","0.048")</f>
        <v>0.048</v>
      </c>
      <c r="CX75" s="4" t="str">
        <f>HYPERLINK("http://exon.niaid.nih.gov/transcriptome/C_felis/S1/links/SMART/cf-contig_724-SMART.txt","CPW_WPC")</f>
        <v>CPW_WPC</v>
      </c>
      <c r="CY75" t="str">
        <f>HYPERLINK("http://smart.embl-heidelberg.de/smart/do_annotation.pl?DOMAIN=CPW_WPC&amp;BLAST=DUMMY","0.006")</f>
        <v>0.006</v>
      </c>
      <c r="CZ75" s="4" t="s">
        <v>42</v>
      </c>
      <c r="DA75" t="s">
        <v>42</v>
      </c>
      <c r="DB75" t="s">
        <v>42</v>
      </c>
      <c r="DC75" t="s">
        <v>42</v>
      </c>
      <c r="DD75" t="s">
        <v>42</v>
      </c>
      <c r="DE75" t="s">
        <v>42</v>
      </c>
      <c r="DF75" t="s">
        <v>42</v>
      </c>
      <c r="DG75" t="s">
        <v>42</v>
      </c>
      <c r="DH75" s="4" t="s">
        <v>42</v>
      </c>
      <c r="DI75" t="s">
        <v>42</v>
      </c>
      <c r="DJ75" s="4" t="s">
        <v>42</v>
      </c>
      <c r="DK75" t="s">
        <v>42</v>
      </c>
      <c r="DL75" s="4">
        <v>587</v>
      </c>
      <c r="DM75">
        <v>1</v>
      </c>
      <c r="DN75" s="4">
        <v>603</v>
      </c>
      <c r="DO75">
        <v>1</v>
      </c>
      <c r="DP75" s="4">
        <v>616</v>
      </c>
      <c r="DQ75">
        <v>1</v>
      </c>
      <c r="DR75" s="4">
        <v>637</v>
      </c>
      <c r="DS75">
        <v>1</v>
      </c>
      <c r="DT75" s="4">
        <v>652</v>
      </c>
      <c r="DU75">
        <v>1</v>
      </c>
      <c r="DV75" s="4">
        <v>667</v>
      </c>
      <c r="DW75">
        <v>1</v>
      </c>
      <c r="DX75" s="4">
        <v>678</v>
      </c>
      <c r="DY75">
        <v>1</v>
      </c>
      <c r="DZ75" s="4">
        <v>688</v>
      </c>
      <c r="EA75">
        <v>1</v>
      </c>
      <c r="EB75" s="4">
        <v>694</v>
      </c>
      <c r="EC75">
        <v>1</v>
      </c>
      <c r="ED75" s="4">
        <v>699</v>
      </c>
      <c r="EE75">
        <v>1</v>
      </c>
      <c r="EF75" s="4">
        <v>705</v>
      </c>
      <c r="EG75">
        <v>1</v>
      </c>
      <c r="EH75" s="4">
        <v>715</v>
      </c>
      <c r="EI75">
        <v>1</v>
      </c>
      <c r="EJ75" s="4">
        <v>724</v>
      </c>
      <c r="EK75">
        <v>1</v>
      </c>
    </row>
    <row r="76" spans="1:141" s="6" customFormat="1" x14ac:dyDescent="0.2">
      <c r="A76" s="12" t="s">
        <v>4921</v>
      </c>
      <c r="D76" s="6">
        <f>SUM(D77:D84)</f>
        <v>116</v>
      </c>
    </row>
    <row r="77" spans="1:141" x14ac:dyDescent="0.2">
      <c r="A77" t="str">
        <f>HYPERLINK("http://exon.niaid.nih.gov/transcriptome/C_felis/S1/links/cf/cf-contig_19.txt","cf-contig_19")</f>
        <v>cf-contig_19</v>
      </c>
      <c r="B77">
        <v>1</v>
      </c>
      <c r="C77" s="10" t="s">
        <v>4603</v>
      </c>
      <c r="D77">
        <v>1</v>
      </c>
      <c r="E77" t="str">
        <f>HYPERLINK("http://exon.niaid.nih.gov/transcriptome/C_felis/S1/links/cf/cf-5-36-asb-19.txt","Contig-19")</f>
        <v>Contig-19</v>
      </c>
      <c r="F77" t="str">
        <f>HYPERLINK("http://exon.niaid.nih.gov/transcriptome/C_felis/S1/links/cf/cf-5-36-19-CLU.txt","Contig19")</f>
        <v>Contig19</v>
      </c>
      <c r="G77" t="str">
        <f>HYPERLINK("http://exon.niaid.nih.gov/transcriptome/C_felis/S1/links/cf/cf-5-36-19-qual.txt","65.2")</f>
        <v>65.2</v>
      </c>
      <c r="H77" t="s">
        <v>11</v>
      </c>
      <c r="I77">
        <v>73.900000000000006</v>
      </c>
      <c r="J77">
        <v>338</v>
      </c>
      <c r="K77" t="s">
        <v>12</v>
      </c>
      <c r="L77">
        <v>1</v>
      </c>
      <c r="M77" t="s">
        <v>31</v>
      </c>
      <c r="N77">
        <v>338</v>
      </c>
      <c r="O77">
        <v>357</v>
      </c>
      <c r="P77">
        <v>180</v>
      </c>
      <c r="Q77" t="s">
        <v>841</v>
      </c>
      <c r="R77">
        <v>1</v>
      </c>
      <c r="S77" s="7" t="str">
        <f>HYPERLINK("http://exon.niaid.nih.gov/transcriptome/C_felis/S1/links/Sigp/CF-CONTIG_19-SigP.txt","Cyt")</f>
        <v>Cyt</v>
      </c>
      <c r="U77">
        <v>1</v>
      </c>
      <c r="V77" s="4">
        <f t="shared" ref="V77:V84" si="5">HYPERLINK("http://exon.niaid.nih.gov/transcriptome/C_felis/S1/links/cluster/cf-5-36-asb30-50-Id-CLU3.txt", 3)</f>
        <v>3</v>
      </c>
      <c r="W77">
        <f t="shared" ref="W77:W84" si="6">HYPERLINK("http://exon.niaid.nih.gov/transcriptome/C_felis/S1/links/cluster/cf-5-36-asb30-50-Id-CLTL3.txt", 9)</f>
        <v>9</v>
      </c>
      <c r="X77" s="4">
        <f>HYPERLINK("http://exon.niaid.nih.gov/transcriptome/C_felis/S1/links/cluster/cf-5-36-asb35-50-Id-CLU3.txt", 3)</f>
        <v>3</v>
      </c>
      <c r="Y77">
        <f>HYPERLINK("http://exon.niaid.nih.gov/transcriptome/C_felis/S1/links/cluster/cf-5-36-asb35-50-Id-CLTL3.txt", 6)</f>
        <v>6</v>
      </c>
      <c r="Z77" s="4">
        <f>HYPERLINK("http://exon.niaid.nih.gov/transcriptome/C_felis/S1/links/cluster/cf-5-36-asb40-50-Id-CLU3.txt", 3)</f>
        <v>3</v>
      </c>
      <c r="AA77">
        <f>HYPERLINK("http://exon.niaid.nih.gov/transcriptome/C_felis/S1/links/cluster/cf-5-36-asb40-50-Id-CLTL3.txt", 5)</f>
        <v>5</v>
      </c>
      <c r="AB77" s="4" t="str">
        <f>HYPERLINK("http://exon.niaid.nih.gov/transcriptome/C_felis/S1/links/XC-ASB/cf-contig_148-XC-ASB.txt","XC-contig_209")</f>
        <v>XC-contig_209</v>
      </c>
      <c r="AC77">
        <v>1E-3</v>
      </c>
      <c r="AD77" s="10" t="s">
        <v>4603</v>
      </c>
      <c r="AE77" t="s">
        <v>4599</v>
      </c>
      <c r="AF77" t="str">
        <f>HYPERLINK("http://exon.niaid.nih.gov/transcriptome/C_felis/S1/links/NR/cf-contig_19-NR.txt","NR")</f>
        <v>NR</v>
      </c>
      <c r="AG77">
        <v>3.0000000000000001E-5</v>
      </c>
      <c r="AH77">
        <v>71.599999999999994</v>
      </c>
      <c r="AI77" s="4" t="str">
        <f>HYPERLINK("http://exon.niaid.nih.gov/transcriptome/C_felis/S1/links/NR/cf-contig_19-NR.txt","putative secreted salivary protein")</f>
        <v>putative secreted salivary protein</v>
      </c>
      <c r="AJ77" t="str">
        <f>HYPERLINK("http://www.ncbi.nlm.nih.gov/sutils/blink.cgi?pid=121511950","3E-005")</f>
        <v>3E-005</v>
      </c>
      <c r="AK77" t="str">
        <f t="shared" ref="AK77:AK83" si="7">HYPERLINK("http://www.ncbi.nlm.nih.gov/protein/121511950","gi|121511950")</f>
        <v>gi|121511950</v>
      </c>
      <c r="AL77">
        <v>52</v>
      </c>
      <c r="AM77">
        <v>46</v>
      </c>
      <c r="AN77">
        <v>74</v>
      </c>
      <c r="AO77">
        <v>43</v>
      </c>
      <c r="AP77">
        <v>64</v>
      </c>
      <c r="AQ77">
        <v>30</v>
      </c>
      <c r="AR77">
        <v>0</v>
      </c>
      <c r="AS77">
        <v>28</v>
      </c>
      <c r="AT77">
        <v>9</v>
      </c>
      <c r="AU77">
        <v>1</v>
      </c>
      <c r="AV77">
        <v>3</v>
      </c>
      <c r="AW77" t="s">
        <v>12</v>
      </c>
      <c r="AY77" t="s">
        <v>1676</v>
      </c>
      <c r="AZ77" t="s">
        <v>1717</v>
      </c>
      <c r="BA77" s="4" t="str">
        <f>HYPERLINK("http://exon.niaid.nih.gov/transcriptome/C_felis/S1/links/SWISSP/cf-contig_19-SWISSP.txt","Dynein heavy chain-like protein PF11_0240")</f>
        <v>Dynein heavy chain-like protein PF11_0240</v>
      </c>
      <c r="BB77" t="str">
        <f>HYPERLINK("http://www.uniprot.org/uniprot/Q8IID4","0.43")</f>
        <v>0.43</v>
      </c>
      <c r="BC77" t="s">
        <v>1723</v>
      </c>
      <c r="BD77">
        <v>33.5</v>
      </c>
      <c r="BE77">
        <v>38</v>
      </c>
      <c r="BF77">
        <v>5251</v>
      </c>
      <c r="BG77">
        <v>36</v>
      </c>
      <c r="BH77">
        <v>1</v>
      </c>
      <c r="BI77">
        <v>26</v>
      </c>
      <c r="BJ77">
        <v>0</v>
      </c>
      <c r="BK77">
        <v>1808</v>
      </c>
      <c r="BL77">
        <v>209</v>
      </c>
      <c r="BM77">
        <v>1</v>
      </c>
      <c r="BN77">
        <v>2</v>
      </c>
      <c r="BO77" t="s">
        <v>12</v>
      </c>
      <c r="BQ77" t="s">
        <v>1676</v>
      </c>
      <c r="BR77" t="s">
        <v>1724</v>
      </c>
      <c r="BS77" s="4" t="str">
        <f>HYPERLINK("http://exon.niaid.nih.gov/transcriptome/C_felis/S1/links/CDD/cf-contig_19-CDD.txt","ND4")</f>
        <v>ND4</v>
      </c>
      <c r="BT77" t="str">
        <f>HYPERLINK("http://www.ncbi.nlm.nih.gov/Structure/cdd/cddsrv.cgi?uid=MTH00163&amp;version=v4.0","0.37")</f>
        <v>0.37</v>
      </c>
      <c r="BU77" t="s">
        <v>1741</v>
      </c>
      <c r="BV77" s="4" t="s">
        <v>42</v>
      </c>
      <c r="BW77" t="s">
        <v>42</v>
      </c>
      <c r="BX77" t="s">
        <v>42</v>
      </c>
      <c r="BY77" t="s">
        <v>42</v>
      </c>
      <c r="BZ77" t="s">
        <v>42</v>
      </c>
      <c r="CA77" t="s">
        <v>42</v>
      </c>
      <c r="CB77" t="s">
        <v>42</v>
      </c>
      <c r="CC77" t="s">
        <v>42</v>
      </c>
      <c r="CD77" t="s">
        <v>42</v>
      </c>
      <c r="CE77" t="s">
        <v>42</v>
      </c>
      <c r="CF77" t="s">
        <v>42</v>
      </c>
      <c r="CG77" t="s">
        <v>42</v>
      </c>
      <c r="CH77" t="s">
        <v>42</v>
      </c>
      <c r="CI77" t="s">
        <v>42</v>
      </c>
      <c r="CJ77" t="s">
        <v>42</v>
      </c>
      <c r="CK77" t="s">
        <v>42</v>
      </c>
      <c r="CL77" t="s">
        <v>42</v>
      </c>
      <c r="CM77" t="s">
        <v>42</v>
      </c>
      <c r="CN77" t="s">
        <v>42</v>
      </c>
      <c r="CO77" t="s">
        <v>42</v>
      </c>
      <c r="CP77" t="s">
        <v>42</v>
      </c>
      <c r="CQ77" t="s">
        <v>42</v>
      </c>
      <c r="CR77" t="s">
        <v>42</v>
      </c>
      <c r="CS77" s="4" t="str">
        <f>HYPERLINK("http://exon.niaid.nih.gov/transcriptome/C_felis/S1/links/KOG/cf-contig_19-KOG.txt","von Willebrand factor and related coagulation proteins")</f>
        <v>von Willebrand factor and related coagulation proteins</v>
      </c>
      <c r="CT77" t="str">
        <f>HYPERLINK("http://www.ncbi.nlm.nih.gov/COG/grace/shokog.cgi?KOG1216","0.18")</f>
        <v>0.18</v>
      </c>
      <c r="CU77" t="s">
        <v>1733</v>
      </c>
      <c r="CV77" s="4" t="str">
        <f>HYPERLINK("http://exon.niaid.nih.gov/transcriptome/C_felis/S1/links/PFAM/cf-contig_19-PFAM.txt","PFEMP")</f>
        <v>PFEMP</v>
      </c>
      <c r="CW77" t="str">
        <f>HYPERLINK("http://pfam.sanger.ac.uk/family?acc=PF03011","0.087")</f>
        <v>0.087</v>
      </c>
      <c r="CX77" s="4" t="str">
        <f>HYPERLINK("http://exon.niaid.nih.gov/transcriptome/C_felis/S1/links/SMART/cf-contig_19-SMART.txt","Knot1")</f>
        <v>Knot1</v>
      </c>
      <c r="CY77" t="str">
        <f>HYPERLINK("http://smart.embl-heidelberg.de/smart/do_annotation.pl?DOMAIN=Knot1&amp;BLAST=DUMMY","0.11")</f>
        <v>0.11</v>
      </c>
      <c r="CZ77" s="4" t="s">
        <v>42</v>
      </c>
      <c r="DA77" t="s">
        <v>42</v>
      </c>
      <c r="DB77" t="s">
        <v>42</v>
      </c>
      <c r="DC77" t="s">
        <v>42</v>
      </c>
      <c r="DD77" t="s">
        <v>42</v>
      </c>
      <c r="DE77" t="s">
        <v>42</v>
      </c>
      <c r="DF77" t="s">
        <v>42</v>
      </c>
      <c r="DG77" t="s">
        <v>42</v>
      </c>
      <c r="DH77" s="4" t="s">
        <v>42</v>
      </c>
      <c r="DI77" t="s">
        <v>42</v>
      </c>
      <c r="DJ77" s="4" t="s">
        <v>42</v>
      </c>
      <c r="DK77" t="s">
        <v>42</v>
      </c>
      <c r="DL77" s="4">
        <f t="shared" ref="DL77:DL84" si="8">HYPERLINK("http://exon.niaid.nih.gov/transcriptome/C_felis/S1/links/cluster/cf-5-36-asb30-50-Id-CLU3.txt", 3)</f>
        <v>3</v>
      </c>
      <c r="DM77">
        <f t="shared" ref="DM77:DM84" si="9">HYPERLINK("http://exon.niaid.nih.gov/transcriptome/C_felis/S1/links/cluster/cf-5-36-asb30-50-Id-CLTL3.txt", 9)</f>
        <v>9</v>
      </c>
      <c r="DN77" s="4">
        <f>HYPERLINK("http://exon.niaid.nih.gov/transcriptome/C_felis/S1/links/cluster/cf-5-36-asb35-50-Id-CLU3.txt", 3)</f>
        <v>3</v>
      </c>
      <c r="DO77">
        <f>HYPERLINK("http://exon.niaid.nih.gov/transcriptome/C_felis/S1/links/cluster/cf-5-36-asb35-50-Id-CLTL3.txt", 6)</f>
        <v>6</v>
      </c>
      <c r="DP77" s="4">
        <f>HYPERLINK("http://exon.niaid.nih.gov/transcriptome/C_felis/S1/links/cluster/cf-5-36-asb40-50-Id-CLU3.txt", 3)</f>
        <v>3</v>
      </c>
      <c r="DQ77">
        <f>HYPERLINK("http://exon.niaid.nih.gov/transcriptome/C_felis/S1/links/cluster/cf-5-36-asb40-50-Id-CLTL3.txt", 5)</f>
        <v>5</v>
      </c>
      <c r="DR77" s="4">
        <f>HYPERLINK("http://exon.niaid.nih.gov/transcriptome/C_felis/S1/links/cluster/cf-5-36-asb45-50-Id-CLU3.txt", 3)</f>
        <v>3</v>
      </c>
      <c r="DS77">
        <f>HYPERLINK("http://exon.niaid.nih.gov/transcriptome/C_felis/S1/links/cluster/cf-5-36-asb45-50-Id-CLTL3.txt", 5)</f>
        <v>5</v>
      </c>
      <c r="DT77" s="4">
        <f>HYPERLINK("http://exon.niaid.nih.gov/transcriptome/C_felis/S1/links/cluster/cf-5-36-asb50-50-Id-CLU3.txt", 3)</f>
        <v>3</v>
      </c>
      <c r="DU77">
        <f>HYPERLINK("http://exon.niaid.nih.gov/transcriptome/C_felis/S1/links/cluster/cf-5-36-asb50-50-Id-CLTL3.txt", 5)</f>
        <v>5</v>
      </c>
      <c r="DV77" s="4">
        <f>HYPERLINK("http://exon.niaid.nih.gov/transcriptome/C_felis/S1/links/cluster/cf-5-36-asb55-50-Id-CLU7.txt", 7)</f>
        <v>7</v>
      </c>
      <c r="DW77">
        <f>HYPERLINK("http://exon.niaid.nih.gov/transcriptome/C_felis/S1/links/cluster/cf-5-36-asb55-50-Id-CLTL7.txt", 3)</f>
        <v>3</v>
      </c>
      <c r="DX77" s="4">
        <f>HYPERLINK("http://exon.niaid.nih.gov/transcriptome/C_felis/S1/links/cluster/cf-5-36-asb60-50-Id-CLU12.txt", 12)</f>
        <v>12</v>
      </c>
      <c r="DY77">
        <f>HYPERLINK("http://exon.niaid.nih.gov/transcriptome/C_felis/S1/links/cluster/cf-5-36-asb60-50-Id-CLTL12.txt", 2)</f>
        <v>2</v>
      </c>
      <c r="DZ77" s="4">
        <f>HYPERLINK("http://exon.niaid.nih.gov/transcriptome/C_felis/S1/links/cluster/cf-5-36-asb65-50-Id-CLU9.txt", 9)</f>
        <v>9</v>
      </c>
      <c r="EA77">
        <f>HYPERLINK("http://exon.niaid.nih.gov/transcriptome/C_felis/S1/links/cluster/cf-5-36-asb65-50-Id-CLTL9.txt", 2)</f>
        <v>2</v>
      </c>
      <c r="EB77" s="4">
        <f>HYPERLINK("http://exon.niaid.nih.gov/transcriptome/C_felis/S1/links/cluster/cf-5-36-asb70-50-Id-CLU7.txt", 7)</f>
        <v>7</v>
      </c>
      <c r="EC77">
        <f>HYPERLINK("http://exon.niaid.nih.gov/transcriptome/C_felis/S1/links/cluster/cf-5-36-asb70-50-Id-CLTL7.txt", 2)</f>
        <v>2</v>
      </c>
      <c r="ED77" s="4">
        <v>42</v>
      </c>
      <c r="EE77">
        <v>1</v>
      </c>
      <c r="EF77" s="4">
        <v>36</v>
      </c>
      <c r="EG77">
        <v>1</v>
      </c>
      <c r="EH77" s="4">
        <v>24</v>
      </c>
      <c r="EI77">
        <v>1</v>
      </c>
      <c r="EJ77" s="4">
        <v>19</v>
      </c>
      <c r="EK77">
        <v>1</v>
      </c>
    </row>
    <row r="78" spans="1:141" x14ac:dyDescent="0.2">
      <c r="A78" t="str">
        <f>HYPERLINK("http://exon.niaid.nih.gov/transcriptome/C_felis/S1/links/cf/cf-contig_12.txt","cf-contig_12")</f>
        <v>cf-contig_12</v>
      </c>
      <c r="B78">
        <v>76</v>
      </c>
      <c r="C78" s="10" t="s">
        <v>4602</v>
      </c>
      <c r="D78">
        <v>76</v>
      </c>
      <c r="E78" t="str">
        <f>HYPERLINK("http://exon.niaid.nih.gov/transcriptome/C_felis/S1/links/cf/cf-5-36-asb-12.txt","Contig-12")</f>
        <v>Contig-12</v>
      </c>
      <c r="F78" t="str">
        <f>HYPERLINK("http://exon.niaid.nih.gov/transcriptome/C_felis/S1/links/cf/cf-5-36-12-CLU.txt","Contig12")</f>
        <v>Contig12</v>
      </c>
      <c r="G78" t="str">
        <f>HYPERLINK("http://exon.niaid.nih.gov/transcriptome/C_felis/S1/links/cf/cf-5-36-12-qual.txt","92.4")</f>
        <v>92.4</v>
      </c>
      <c r="H78" t="s">
        <v>11</v>
      </c>
      <c r="I78">
        <v>73.5</v>
      </c>
      <c r="J78">
        <v>527</v>
      </c>
      <c r="K78" t="s">
        <v>12</v>
      </c>
      <c r="L78">
        <v>76</v>
      </c>
      <c r="M78" t="s">
        <v>24</v>
      </c>
      <c r="N78">
        <v>555</v>
      </c>
      <c r="O78">
        <v>554</v>
      </c>
      <c r="P78">
        <v>273</v>
      </c>
      <c r="Q78" t="s">
        <v>835</v>
      </c>
      <c r="R78">
        <v>2</v>
      </c>
      <c r="S78" s="7" t="str">
        <f>HYPERLINK("http://exon.niaid.nih.gov/transcriptome/C_felis/S1/links/Sigp/CF-CONTIG_12-SigP.txt","SIG")</f>
        <v>SIG</v>
      </c>
      <c r="T78" t="s">
        <v>4583</v>
      </c>
      <c r="U78">
        <v>76</v>
      </c>
      <c r="V78" s="4">
        <f t="shared" si="5"/>
        <v>3</v>
      </c>
      <c r="W78">
        <f t="shared" si="6"/>
        <v>9</v>
      </c>
      <c r="X78" s="4">
        <f>HYPERLINK("http://exon.niaid.nih.gov/transcriptome/C_felis/S1/links/cluster/cf-5-36-asb35-50-Id-CLU3.txt", 3)</f>
        <v>3</v>
      </c>
      <c r="Y78">
        <f>HYPERLINK("http://exon.niaid.nih.gov/transcriptome/C_felis/S1/links/cluster/cf-5-36-asb35-50-Id-CLTL3.txt", 6)</f>
        <v>6</v>
      </c>
      <c r="Z78" s="4">
        <f>HYPERLINK("http://exon.niaid.nih.gov/transcriptome/C_felis/S1/links/cluster/cf-5-36-asb40-50-Id-CLU3.txt", 3)</f>
        <v>3</v>
      </c>
      <c r="AA78">
        <f>HYPERLINK("http://exon.niaid.nih.gov/transcriptome/C_felis/S1/links/cluster/cf-5-36-asb40-50-Id-CLTL3.txt", 5)</f>
        <v>5</v>
      </c>
      <c r="AB78" s="4" t="str">
        <f>HYPERLINK("http://exon.niaid.nih.gov/transcriptome/C_felis/S1/links/XC-ASB/cf-contig_220-XC-ASB.txt","XC-contig_69")</f>
        <v>XC-contig_69</v>
      </c>
      <c r="AC78">
        <v>1E-3</v>
      </c>
      <c r="AD78" s="10" t="s">
        <v>4602</v>
      </c>
      <c r="AE78" t="s">
        <v>4599</v>
      </c>
      <c r="AF78" t="str">
        <f>HYPERLINK("http://exon.niaid.nih.gov/transcriptome/C_felis/S1/links/NR/cf-contig_12-NR.txt","NR")</f>
        <v>NR</v>
      </c>
      <c r="AG78">
        <v>9.9999999999999998E-13</v>
      </c>
      <c r="AH78">
        <v>109.4</v>
      </c>
      <c r="AI78" s="4" t="str">
        <f>HYPERLINK("http://exon.niaid.nih.gov/transcriptome/C_felis/S1/links/NR/cf-contig_12-NR.txt","putative secreted salivary protein")</f>
        <v>putative secreted salivary protein</v>
      </c>
      <c r="AJ78" t="str">
        <f>HYPERLINK("http://www.ncbi.nlm.nih.gov/sutils/blink.cgi?pid=121511950","1E-012")</f>
        <v>1E-012</v>
      </c>
      <c r="AK78" t="str">
        <f t="shared" si="7"/>
        <v>gi|121511950</v>
      </c>
      <c r="AL78">
        <v>77</v>
      </c>
      <c r="AM78">
        <v>73</v>
      </c>
      <c r="AN78">
        <v>74</v>
      </c>
      <c r="AO78">
        <v>45</v>
      </c>
      <c r="AP78">
        <v>100</v>
      </c>
      <c r="AQ78">
        <v>44</v>
      </c>
      <c r="AR78">
        <v>0</v>
      </c>
      <c r="AS78">
        <v>1</v>
      </c>
      <c r="AT78">
        <v>113</v>
      </c>
      <c r="AU78">
        <v>1</v>
      </c>
      <c r="AV78">
        <v>2</v>
      </c>
      <c r="AW78" t="s">
        <v>12</v>
      </c>
      <c r="AY78" t="s">
        <v>1676</v>
      </c>
      <c r="AZ78" t="s">
        <v>1717</v>
      </c>
      <c r="BA78" s="4" t="str">
        <f>HYPERLINK("http://exon.niaid.nih.gov/transcriptome/C_felis/S1/links/SWISSP/cf-contig_12-SWISSP.txt","Balbiani ring protein 3")</f>
        <v>Balbiani ring protein 3</v>
      </c>
      <c r="BB78" t="str">
        <f>HYPERLINK("http://www.uniprot.org/uniprot/Q03376","1.2")</f>
        <v>1.2</v>
      </c>
      <c r="BC78" t="s">
        <v>1718</v>
      </c>
      <c r="BD78">
        <v>33.1</v>
      </c>
      <c r="BE78">
        <v>1260</v>
      </c>
      <c r="BF78">
        <v>1700</v>
      </c>
      <c r="BG78">
        <v>40</v>
      </c>
      <c r="BH78">
        <v>74</v>
      </c>
      <c r="BI78">
        <v>25</v>
      </c>
      <c r="BJ78">
        <v>1</v>
      </c>
      <c r="BK78">
        <v>63</v>
      </c>
      <c r="BL78">
        <v>170</v>
      </c>
      <c r="BM78">
        <v>4</v>
      </c>
      <c r="BN78">
        <v>2</v>
      </c>
      <c r="BO78" t="s">
        <v>12</v>
      </c>
      <c r="BQ78" t="s">
        <v>1676</v>
      </c>
      <c r="BR78" t="s">
        <v>1719</v>
      </c>
      <c r="BS78" s="4" t="str">
        <f>HYPERLINK("http://exon.niaid.nih.gov/transcriptome/C_felis/S1/links/CDD/cf-contig_12-CDD.txt","ND2")</f>
        <v>ND2</v>
      </c>
      <c r="BT78" t="str">
        <f>HYPERLINK("http://www.ncbi.nlm.nih.gov/Structure/cdd/cddsrv.cgi?uid=MTH00041&amp;version=v4.0","0.009")</f>
        <v>0.009</v>
      </c>
      <c r="BU78" t="s">
        <v>1720</v>
      </c>
      <c r="BV78" s="4" t="s">
        <v>42</v>
      </c>
      <c r="BW78" t="s">
        <v>42</v>
      </c>
      <c r="BX78" t="s">
        <v>42</v>
      </c>
      <c r="BY78" t="s">
        <v>42</v>
      </c>
      <c r="BZ78" t="s">
        <v>42</v>
      </c>
      <c r="CA78" t="s">
        <v>42</v>
      </c>
      <c r="CB78" t="s">
        <v>42</v>
      </c>
      <c r="CC78" t="s">
        <v>42</v>
      </c>
      <c r="CD78" t="s">
        <v>42</v>
      </c>
      <c r="CE78" t="s">
        <v>42</v>
      </c>
      <c r="CF78" t="s">
        <v>42</v>
      </c>
      <c r="CG78" t="s">
        <v>42</v>
      </c>
      <c r="CH78" t="s">
        <v>42</v>
      </c>
      <c r="CI78" t="s">
        <v>42</v>
      </c>
      <c r="CJ78" t="s">
        <v>42</v>
      </c>
      <c r="CK78" t="s">
        <v>42</v>
      </c>
      <c r="CL78" t="s">
        <v>42</v>
      </c>
      <c r="CM78" t="s">
        <v>42</v>
      </c>
      <c r="CN78" t="s">
        <v>42</v>
      </c>
      <c r="CO78" t="s">
        <v>42</v>
      </c>
      <c r="CP78" t="s">
        <v>42</v>
      </c>
      <c r="CQ78" t="s">
        <v>42</v>
      </c>
      <c r="CR78" t="s">
        <v>42</v>
      </c>
      <c r="CS78" s="4" t="str">
        <f>HYPERLINK("http://exon.niaid.nih.gov/transcriptome/C_felis/S1/links/KOG/cf-contig_12-KOG.txt","Predicted small molecule transporter involved in cellular pH homeostasis (Batten disease protein in human)")</f>
        <v>Predicted small molecule transporter involved in cellular pH homeostasis (Batten disease protein in human)</v>
      </c>
      <c r="CT78" t="str">
        <f>HYPERLINK("http://www.ncbi.nlm.nih.gov/COG/grace/shokog.cgi?KOG3880","0.044")</f>
        <v>0.044</v>
      </c>
      <c r="CU78" t="s">
        <v>1721</v>
      </c>
      <c r="CV78" s="4" t="str">
        <f>HYPERLINK("http://exon.niaid.nih.gov/transcriptome/C_felis/S1/links/PFAM/cf-contig_12-PFAM.txt","DUF2206")</f>
        <v>DUF2206</v>
      </c>
      <c r="CW78" t="str">
        <f>HYPERLINK("http://pfam.sanger.ac.uk/family?acc=PF09971","0.004")</f>
        <v>0.004</v>
      </c>
      <c r="CX78" s="4" t="str">
        <f>HYPERLINK("http://exon.niaid.nih.gov/transcriptome/C_felis/S1/links/SMART/cf-contig_12-SMART.txt","PSN")</f>
        <v>PSN</v>
      </c>
      <c r="CY78" t="str">
        <f>HYPERLINK("http://smart.embl-heidelberg.de/smart/do_annotation.pl?DOMAIN=PSN&amp;BLAST=DUMMY","0.17")</f>
        <v>0.17</v>
      </c>
      <c r="CZ78" s="4" t="s">
        <v>42</v>
      </c>
      <c r="DA78" t="s">
        <v>42</v>
      </c>
      <c r="DB78" t="s">
        <v>42</v>
      </c>
      <c r="DC78" t="s">
        <v>42</v>
      </c>
      <c r="DD78" t="s">
        <v>42</v>
      </c>
      <c r="DE78" t="s">
        <v>42</v>
      </c>
      <c r="DF78" t="s">
        <v>42</v>
      </c>
      <c r="DG78" t="s">
        <v>42</v>
      </c>
      <c r="DH78" s="4" t="s">
        <v>42</v>
      </c>
      <c r="DI78" t="s">
        <v>42</v>
      </c>
      <c r="DJ78" s="4" t="s">
        <v>42</v>
      </c>
      <c r="DK78" t="s">
        <v>42</v>
      </c>
      <c r="DL78" s="4">
        <f t="shared" si="8"/>
        <v>3</v>
      </c>
      <c r="DM78">
        <f t="shared" si="9"/>
        <v>9</v>
      </c>
      <c r="DN78" s="4">
        <f>HYPERLINK("http://exon.niaid.nih.gov/transcriptome/C_felis/S1/links/cluster/cf-5-36-asb35-50-Id-CLU3.txt", 3)</f>
        <v>3</v>
      </c>
      <c r="DO78">
        <f>HYPERLINK("http://exon.niaid.nih.gov/transcriptome/C_felis/S1/links/cluster/cf-5-36-asb35-50-Id-CLTL3.txt", 6)</f>
        <v>6</v>
      </c>
      <c r="DP78" s="4">
        <f>HYPERLINK("http://exon.niaid.nih.gov/transcriptome/C_felis/S1/links/cluster/cf-5-36-asb40-50-Id-CLU3.txt", 3)</f>
        <v>3</v>
      </c>
      <c r="DQ78">
        <f>HYPERLINK("http://exon.niaid.nih.gov/transcriptome/C_felis/S1/links/cluster/cf-5-36-asb40-50-Id-CLTL3.txt", 5)</f>
        <v>5</v>
      </c>
      <c r="DR78" s="4">
        <f>HYPERLINK("http://exon.niaid.nih.gov/transcriptome/C_felis/S1/links/cluster/cf-5-36-asb45-50-Id-CLU3.txt", 3)</f>
        <v>3</v>
      </c>
      <c r="DS78">
        <f>HYPERLINK("http://exon.niaid.nih.gov/transcriptome/C_felis/S1/links/cluster/cf-5-36-asb45-50-Id-CLTL3.txt", 5)</f>
        <v>5</v>
      </c>
      <c r="DT78" s="4">
        <f>HYPERLINK("http://exon.niaid.nih.gov/transcriptome/C_felis/S1/links/cluster/cf-5-36-asb50-50-Id-CLU3.txt", 3)</f>
        <v>3</v>
      </c>
      <c r="DU78">
        <f>HYPERLINK("http://exon.niaid.nih.gov/transcriptome/C_felis/S1/links/cluster/cf-5-36-asb50-50-Id-CLTL3.txt", 5)</f>
        <v>5</v>
      </c>
      <c r="DV78" s="4">
        <f>HYPERLINK("http://exon.niaid.nih.gov/transcriptome/C_felis/S1/links/cluster/cf-5-36-asb55-50-Id-CLU13.txt", 13)</f>
        <v>13</v>
      </c>
      <c r="DW78">
        <f>HYPERLINK("http://exon.niaid.nih.gov/transcriptome/C_felis/S1/links/cluster/cf-5-36-asb55-50-Id-CLTL13.txt", 2)</f>
        <v>2</v>
      </c>
      <c r="DX78" s="4">
        <f>HYPERLINK("http://exon.niaid.nih.gov/transcriptome/C_felis/S1/links/cluster/cf-5-36-asb60-50-Id-CLU10.txt", 10)</f>
        <v>10</v>
      </c>
      <c r="DY78">
        <f>HYPERLINK("http://exon.niaid.nih.gov/transcriptome/C_felis/S1/links/cluster/cf-5-36-asb60-50-Id-CLTL10.txt", 2)</f>
        <v>2</v>
      </c>
      <c r="DZ78" s="4">
        <f>HYPERLINK("http://exon.niaid.nih.gov/transcriptome/C_felis/S1/links/cluster/cf-5-36-asb65-50-Id-CLU7.txt", 7)</f>
        <v>7</v>
      </c>
      <c r="EA78">
        <f>HYPERLINK("http://exon.niaid.nih.gov/transcriptome/C_felis/S1/links/cluster/cf-5-36-asb65-50-Id-CLTL7.txt", 2)</f>
        <v>2</v>
      </c>
      <c r="EB78" s="4">
        <f>HYPERLINK("http://exon.niaid.nih.gov/transcriptome/C_felis/S1/links/cluster/cf-5-36-asb70-50-Id-CLU6.txt", 6)</f>
        <v>6</v>
      </c>
      <c r="EC78">
        <f>HYPERLINK("http://exon.niaid.nih.gov/transcriptome/C_felis/S1/links/cluster/cf-5-36-asb70-50-Id-CLTL6.txt", 2)</f>
        <v>2</v>
      </c>
      <c r="ED78" s="4">
        <f>HYPERLINK("http://exon.niaid.nih.gov/transcriptome/C_felis/S1/links/cluster/cf-5-36-asb75-50-Id-CLU5.txt", 5)</f>
        <v>5</v>
      </c>
      <c r="EE78">
        <f>HYPERLINK("http://exon.niaid.nih.gov/transcriptome/C_felis/S1/links/cluster/cf-5-36-asb75-50-Id-CLTL5.txt", 2)</f>
        <v>2</v>
      </c>
      <c r="EF78" s="4">
        <f>HYPERLINK("http://exon.niaid.nih.gov/transcriptome/C_felis/S1/links/cluster/cf-5-36-asb80-50-Id-CLU5.txt", 5)</f>
        <v>5</v>
      </c>
      <c r="EG78">
        <f>HYPERLINK("http://exon.niaid.nih.gov/transcriptome/C_felis/S1/links/cluster/cf-5-36-asb80-50-Id-CLTL5.txt", 2)</f>
        <v>2</v>
      </c>
      <c r="EH78" s="4">
        <f>HYPERLINK("http://exon.niaid.nih.gov/transcriptome/C_felis/S1/links/cluster/cf-5-36-asb90-50-Id-CLU3.txt", 3)</f>
        <v>3</v>
      </c>
      <c r="EI78">
        <f>HYPERLINK("http://exon.niaid.nih.gov/transcriptome/C_felis/S1/links/cluster/cf-5-36-asb90-50-Id-CLTL3.txt", 2)</f>
        <v>2</v>
      </c>
      <c r="EJ78" s="4">
        <v>12</v>
      </c>
      <c r="EK78">
        <v>1</v>
      </c>
    </row>
    <row r="79" spans="1:141" x14ac:dyDescent="0.2">
      <c r="A79" t="str">
        <f>HYPERLINK("http://exon.niaid.nih.gov/transcriptome/C_felis/S1/links/cf/cf-contig_13.txt","cf-contig_13")</f>
        <v>cf-contig_13</v>
      </c>
      <c r="B79">
        <v>9</v>
      </c>
      <c r="C79" s="10" t="s">
        <v>4602</v>
      </c>
      <c r="D79">
        <v>9</v>
      </c>
      <c r="E79" t="str">
        <f>HYPERLINK("http://exon.niaid.nih.gov/transcriptome/C_felis/S1/links/cf/cf-5-36-asb-13.txt","Contig-13")</f>
        <v>Contig-13</v>
      </c>
      <c r="F79" t="str">
        <f>HYPERLINK("http://exon.niaid.nih.gov/transcriptome/C_felis/S1/links/cf/cf-5-36-13-CLU.txt","Contig13")</f>
        <v>Contig13</v>
      </c>
      <c r="G79" t="str">
        <f>HYPERLINK("http://exon.niaid.nih.gov/transcriptome/C_felis/S1/links/cf/cf-5-36-13-qual.txt","95.4")</f>
        <v>95.4</v>
      </c>
      <c r="H79" t="s">
        <v>11</v>
      </c>
      <c r="I79">
        <v>73.900000000000006</v>
      </c>
      <c r="J79">
        <v>531</v>
      </c>
      <c r="K79" t="s">
        <v>12</v>
      </c>
      <c r="L79">
        <v>9</v>
      </c>
      <c r="M79" t="s">
        <v>25</v>
      </c>
      <c r="N79">
        <v>560</v>
      </c>
      <c r="O79">
        <v>568</v>
      </c>
      <c r="P79">
        <v>273</v>
      </c>
      <c r="Q79" t="s">
        <v>835</v>
      </c>
      <c r="R79">
        <v>2</v>
      </c>
      <c r="S79" s="7" t="str">
        <f>HYPERLINK("http://exon.niaid.nih.gov/transcriptome/C_felis/S1/links/Sigp/CF-CONTIG_13-SigP.txt","SIG")</f>
        <v>SIG</v>
      </c>
      <c r="T79" t="s">
        <v>4583</v>
      </c>
      <c r="U79">
        <v>9</v>
      </c>
      <c r="V79" s="4">
        <f t="shared" si="5"/>
        <v>3</v>
      </c>
      <c r="W79">
        <f t="shared" si="6"/>
        <v>9</v>
      </c>
      <c r="X79" s="4">
        <f>HYPERLINK("http://exon.niaid.nih.gov/transcriptome/C_felis/S1/links/cluster/cf-5-36-asb35-50-Id-CLU3.txt", 3)</f>
        <v>3</v>
      </c>
      <c r="Y79">
        <f>HYPERLINK("http://exon.niaid.nih.gov/transcriptome/C_felis/S1/links/cluster/cf-5-36-asb35-50-Id-CLTL3.txt", 6)</f>
        <v>6</v>
      </c>
      <c r="Z79" s="4">
        <f>HYPERLINK("http://exon.niaid.nih.gov/transcriptome/C_felis/S1/links/cluster/cf-5-36-asb40-50-Id-CLU3.txt", 3)</f>
        <v>3</v>
      </c>
      <c r="AA79">
        <f>HYPERLINK("http://exon.niaid.nih.gov/transcriptome/C_felis/S1/links/cluster/cf-5-36-asb40-50-Id-CLTL3.txt", 5)</f>
        <v>5</v>
      </c>
      <c r="AB79" s="4" t="str">
        <f>HYPERLINK("http://exon.niaid.nih.gov/transcriptome/C_felis/S1/links/XC-ASB/cf-contig_370-XC-ASB.txt","XC-contig_1")</f>
        <v>XC-contig_1</v>
      </c>
      <c r="AC79">
        <v>1.4999999999999999E-2</v>
      </c>
      <c r="AD79" s="10" t="s">
        <v>4602</v>
      </c>
      <c r="AE79" t="s">
        <v>4599</v>
      </c>
      <c r="AF79" t="str">
        <f>HYPERLINK("http://exon.niaid.nih.gov/transcriptome/C_felis/S1/links/NR/cf-contig_13-NR.txt","NR")</f>
        <v>NR</v>
      </c>
      <c r="AG79">
        <v>9.9999999999999998E-13</v>
      </c>
      <c r="AH79">
        <v>109.4</v>
      </c>
      <c r="AI79" s="4" t="str">
        <f>HYPERLINK("http://exon.niaid.nih.gov/transcriptome/C_felis/S1/links/NR/cf-contig_13-NR.txt","putative secreted salivary protein")</f>
        <v>putative secreted salivary protein</v>
      </c>
      <c r="AJ79" t="str">
        <f>HYPERLINK("http://www.ncbi.nlm.nih.gov/sutils/blink.cgi?pid=121511950","1E-012")</f>
        <v>1E-012</v>
      </c>
      <c r="AK79" t="str">
        <f t="shared" si="7"/>
        <v>gi|121511950</v>
      </c>
      <c r="AL79">
        <v>77</v>
      </c>
      <c r="AM79">
        <v>73</v>
      </c>
      <c r="AN79">
        <v>74</v>
      </c>
      <c r="AO79">
        <v>45</v>
      </c>
      <c r="AP79">
        <v>100</v>
      </c>
      <c r="AQ79">
        <v>44</v>
      </c>
      <c r="AR79">
        <v>0</v>
      </c>
      <c r="AS79">
        <v>1</v>
      </c>
      <c r="AT79">
        <v>113</v>
      </c>
      <c r="AU79">
        <v>1</v>
      </c>
      <c r="AV79">
        <v>2</v>
      </c>
      <c r="AW79" t="s">
        <v>12</v>
      </c>
      <c r="AY79" t="s">
        <v>1676</v>
      </c>
      <c r="AZ79" t="s">
        <v>1717</v>
      </c>
      <c r="BA79" s="4" t="str">
        <f>HYPERLINK("http://exon.niaid.nih.gov/transcriptome/C_felis/S1/links/SWISSP/cf-contig_13-SWISSP.txt","Balbiani ring protein 3")</f>
        <v>Balbiani ring protein 3</v>
      </c>
      <c r="BB79" t="str">
        <f>HYPERLINK("http://www.uniprot.org/uniprot/Q03376","1.2")</f>
        <v>1.2</v>
      </c>
      <c r="BC79" t="s">
        <v>1718</v>
      </c>
      <c r="BD79">
        <v>33.1</v>
      </c>
      <c r="BE79">
        <v>1260</v>
      </c>
      <c r="BF79">
        <v>1700</v>
      </c>
      <c r="BG79">
        <v>40</v>
      </c>
      <c r="BH79">
        <v>74</v>
      </c>
      <c r="BI79">
        <v>25</v>
      </c>
      <c r="BJ79">
        <v>1</v>
      </c>
      <c r="BK79">
        <v>63</v>
      </c>
      <c r="BL79">
        <v>170</v>
      </c>
      <c r="BM79">
        <v>4</v>
      </c>
      <c r="BN79">
        <v>2</v>
      </c>
      <c r="BO79" t="s">
        <v>12</v>
      </c>
      <c r="BQ79" t="s">
        <v>1676</v>
      </c>
      <c r="BR79" t="s">
        <v>1719</v>
      </c>
      <c r="BS79" s="4" t="str">
        <f>HYPERLINK("http://exon.niaid.nih.gov/transcriptome/C_felis/S1/links/CDD/cf-contig_13-CDD.txt","ND2")</f>
        <v>ND2</v>
      </c>
      <c r="BT79" t="str">
        <f>HYPERLINK("http://www.ncbi.nlm.nih.gov/Structure/cdd/cddsrv.cgi?uid=MTH00041&amp;version=v4.0","0.009")</f>
        <v>0.009</v>
      </c>
      <c r="BU79" t="s">
        <v>1722</v>
      </c>
      <c r="BV79" s="4" t="s">
        <v>42</v>
      </c>
      <c r="BW79" t="s">
        <v>42</v>
      </c>
      <c r="BX79" t="s">
        <v>42</v>
      </c>
      <c r="BY79" t="s">
        <v>42</v>
      </c>
      <c r="BZ79" t="s">
        <v>42</v>
      </c>
      <c r="CA79" t="s">
        <v>42</v>
      </c>
      <c r="CB79" t="s">
        <v>42</v>
      </c>
      <c r="CC79" t="s">
        <v>42</v>
      </c>
      <c r="CD79" t="s">
        <v>42</v>
      </c>
      <c r="CE79" t="s">
        <v>42</v>
      </c>
      <c r="CF79" t="s">
        <v>42</v>
      </c>
      <c r="CG79" t="s">
        <v>42</v>
      </c>
      <c r="CH79" t="s">
        <v>42</v>
      </c>
      <c r="CI79" t="s">
        <v>42</v>
      </c>
      <c r="CJ79" t="s">
        <v>42</v>
      </c>
      <c r="CK79" t="s">
        <v>42</v>
      </c>
      <c r="CL79" t="s">
        <v>42</v>
      </c>
      <c r="CM79" t="s">
        <v>42</v>
      </c>
      <c r="CN79" t="s">
        <v>42</v>
      </c>
      <c r="CO79" t="s">
        <v>42</v>
      </c>
      <c r="CP79" t="s">
        <v>42</v>
      </c>
      <c r="CQ79" t="s">
        <v>42</v>
      </c>
      <c r="CR79" t="s">
        <v>42</v>
      </c>
      <c r="CS79" s="4" t="str">
        <f>HYPERLINK("http://exon.niaid.nih.gov/transcriptome/C_felis/S1/links/KOG/cf-contig_13-KOG.txt","Predicted small molecule transporter involved in cellular pH homeostasis (Batten disease protein in human)")</f>
        <v>Predicted small molecule transporter involved in cellular pH homeostasis (Batten disease protein in human)</v>
      </c>
      <c r="CT79" t="str">
        <f>HYPERLINK("http://www.ncbi.nlm.nih.gov/COG/grace/shokog.cgi?KOG3880","0.046")</f>
        <v>0.046</v>
      </c>
      <c r="CU79" t="s">
        <v>1721</v>
      </c>
      <c r="CV79" s="4" t="str">
        <f>HYPERLINK("http://exon.niaid.nih.gov/transcriptome/C_felis/S1/links/PFAM/cf-contig_13-PFAM.txt","DUF2206")</f>
        <v>DUF2206</v>
      </c>
      <c r="CW79" t="str">
        <f>HYPERLINK("http://pfam.sanger.ac.uk/family?acc=PF09971","0.004")</f>
        <v>0.004</v>
      </c>
      <c r="CX79" s="4" t="str">
        <f>HYPERLINK("http://exon.niaid.nih.gov/transcriptome/C_felis/S1/links/SMART/cf-contig_13-SMART.txt","PSN")</f>
        <v>PSN</v>
      </c>
      <c r="CY79" t="str">
        <f>HYPERLINK("http://smart.embl-heidelberg.de/smart/do_annotation.pl?DOMAIN=PSN&amp;BLAST=DUMMY","0.17")</f>
        <v>0.17</v>
      </c>
      <c r="CZ79" s="4" t="s">
        <v>42</v>
      </c>
      <c r="DA79" t="s">
        <v>42</v>
      </c>
      <c r="DB79" t="s">
        <v>42</v>
      </c>
      <c r="DC79" t="s">
        <v>42</v>
      </c>
      <c r="DD79" t="s">
        <v>42</v>
      </c>
      <c r="DE79" t="s">
        <v>42</v>
      </c>
      <c r="DF79" t="s">
        <v>42</v>
      </c>
      <c r="DG79" t="s">
        <v>42</v>
      </c>
      <c r="DH79" s="4" t="s">
        <v>42</v>
      </c>
      <c r="DI79" t="s">
        <v>42</v>
      </c>
      <c r="DJ79" s="4" t="s">
        <v>42</v>
      </c>
      <c r="DK79" t="s">
        <v>42</v>
      </c>
      <c r="DL79" s="4">
        <f t="shared" si="8"/>
        <v>3</v>
      </c>
      <c r="DM79">
        <f t="shared" si="9"/>
        <v>9</v>
      </c>
      <c r="DN79" s="4">
        <f>HYPERLINK("http://exon.niaid.nih.gov/transcriptome/C_felis/S1/links/cluster/cf-5-36-asb35-50-Id-CLU3.txt", 3)</f>
        <v>3</v>
      </c>
      <c r="DO79">
        <f>HYPERLINK("http://exon.niaid.nih.gov/transcriptome/C_felis/S1/links/cluster/cf-5-36-asb35-50-Id-CLTL3.txt", 6)</f>
        <v>6</v>
      </c>
      <c r="DP79" s="4">
        <f>HYPERLINK("http://exon.niaid.nih.gov/transcriptome/C_felis/S1/links/cluster/cf-5-36-asb40-50-Id-CLU3.txt", 3)</f>
        <v>3</v>
      </c>
      <c r="DQ79">
        <f>HYPERLINK("http://exon.niaid.nih.gov/transcriptome/C_felis/S1/links/cluster/cf-5-36-asb40-50-Id-CLTL3.txt", 5)</f>
        <v>5</v>
      </c>
      <c r="DR79" s="4">
        <f>HYPERLINK("http://exon.niaid.nih.gov/transcriptome/C_felis/S1/links/cluster/cf-5-36-asb45-50-Id-CLU3.txt", 3)</f>
        <v>3</v>
      </c>
      <c r="DS79">
        <f>HYPERLINK("http://exon.niaid.nih.gov/transcriptome/C_felis/S1/links/cluster/cf-5-36-asb45-50-Id-CLTL3.txt", 5)</f>
        <v>5</v>
      </c>
      <c r="DT79" s="4">
        <f>HYPERLINK("http://exon.niaid.nih.gov/transcriptome/C_felis/S1/links/cluster/cf-5-36-asb50-50-Id-CLU3.txt", 3)</f>
        <v>3</v>
      </c>
      <c r="DU79">
        <f>HYPERLINK("http://exon.niaid.nih.gov/transcriptome/C_felis/S1/links/cluster/cf-5-36-asb50-50-Id-CLTL3.txt", 5)</f>
        <v>5</v>
      </c>
      <c r="DV79" s="4">
        <f>HYPERLINK("http://exon.niaid.nih.gov/transcriptome/C_felis/S1/links/cluster/cf-5-36-asb55-50-Id-CLU13.txt", 13)</f>
        <v>13</v>
      </c>
      <c r="DW79">
        <f>HYPERLINK("http://exon.niaid.nih.gov/transcriptome/C_felis/S1/links/cluster/cf-5-36-asb55-50-Id-CLTL13.txt", 2)</f>
        <v>2</v>
      </c>
      <c r="DX79" s="4">
        <f>HYPERLINK("http://exon.niaid.nih.gov/transcriptome/C_felis/S1/links/cluster/cf-5-36-asb60-50-Id-CLU10.txt", 10)</f>
        <v>10</v>
      </c>
      <c r="DY79">
        <f>HYPERLINK("http://exon.niaid.nih.gov/transcriptome/C_felis/S1/links/cluster/cf-5-36-asb60-50-Id-CLTL10.txt", 2)</f>
        <v>2</v>
      </c>
      <c r="DZ79" s="4">
        <f>HYPERLINK("http://exon.niaid.nih.gov/transcriptome/C_felis/S1/links/cluster/cf-5-36-asb65-50-Id-CLU7.txt", 7)</f>
        <v>7</v>
      </c>
      <c r="EA79">
        <f>HYPERLINK("http://exon.niaid.nih.gov/transcriptome/C_felis/S1/links/cluster/cf-5-36-asb65-50-Id-CLTL7.txt", 2)</f>
        <v>2</v>
      </c>
      <c r="EB79" s="4">
        <f>HYPERLINK("http://exon.niaid.nih.gov/transcriptome/C_felis/S1/links/cluster/cf-5-36-asb70-50-Id-CLU6.txt", 6)</f>
        <v>6</v>
      </c>
      <c r="EC79">
        <f>HYPERLINK("http://exon.niaid.nih.gov/transcriptome/C_felis/S1/links/cluster/cf-5-36-asb70-50-Id-CLTL6.txt", 2)</f>
        <v>2</v>
      </c>
      <c r="ED79" s="4">
        <f>HYPERLINK("http://exon.niaid.nih.gov/transcriptome/C_felis/S1/links/cluster/cf-5-36-asb75-50-Id-CLU5.txt", 5)</f>
        <v>5</v>
      </c>
      <c r="EE79">
        <f>HYPERLINK("http://exon.niaid.nih.gov/transcriptome/C_felis/S1/links/cluster/cf-5-36-asb75-50-Id-CLTL5.txt", 2)</f>
        <v>2</v>
      </c>
      <c r="EF79" s="4">
        <f>HYPERLINK("http://exon.niaid.nih.gov/transcriptome/C_felis/S1/links/cluster/cf-5-36-asb80-50-Id-CLU5.txt", 5)</f>
        <v>5</v>
      </c>
      <c r="EG79">
        <f>HYPERLINK("http://exon.niaid.nih.gov/transcriptome/C_felis/S1/links/cluster/cf-5-36-asb80-50-Id-CLTL5.txt", 2)</f>
        <v>2</v>
      </c>
      <c r="EH79" s="4">
        <f>HYPERLINK("http://exon.niaid.nih.gov/transcriptome/C_felis/S1/links/cluster/cf-5-36-asb90-50-Id-CLU3.txt", 3)</f>
        <v>3</v>
      </c>
      <c r="EI79">
        <f>HYPERLINK("http://exon.niaid.nih.gov/transcriptome/C_felis/S1/links/cluster/cf-5-36-asb90-50-Id-CLTL3.txt", 2)</f>
        <v>2</v>
      </c>
      <c r="EJ79" s="4">
        <v>13</v>
      </c>
      <c r="EK79">
        <v>1</v>
      </c>
    </row>
    <row r="80" spans="1:141" x14ac:dyDescent="0.2">
      <c r="A80" t="str">
        <f>HYPERLINK("http://exon.niaid.nih.gov/transcriptome/C_felis/S1/links/cf/cf-contig_14.txt","cf-contig_14")</f>
        <v>cf-contig_14</v>
      </c>
      <c r="B80">
        <v>6</v>
      </c>
      <c r="C80" s="10" t="s">
        <v>4602</v>
      </c>
      <c r="D80">
        <v>6</v>
      </c>
      <c r="E80" t="str">
        <f>HYPERLINK("http://exon.niaid.nih.gov/transcriptome/C_felis/S1/links/cf/cf-5-36-asb-14.txt","Contig-14")</f>
        <v>Contig-14</v>
      </c>
      <c r="F80" t="str">
        <f>HYPERLINK("http://exon.niaid.nih.gov/transcriptome/C_felis/S1/links/cf/cf-5-36-14-CLU.txt","Contig14")</f>
        <v>Contig14</v>
      </c>
      <c r="G80" t="str">
        <f>HYPERLINK("http://exon.niaid.nih.gov/transcriptome/C_felis/S1/links/cf/cf-5-36-14-qual.txt","84.3")</f>
        <v>84.3</v>
      </c>
      <c r="H80" t="s">
        <v>11</v>
      </c>
      <c r="I80">
        <v>74.900000000000006</v>
      </c>
      <c r="J80">
        <v>515</v>
      </c>
      <c r="K80" t="s">
        <v>12</v>
      </c>
      <c r="L80">
        <v>6</v>
      </c>
      <c r="M80" t="s">
        <v>26</v>
      </c>
      <c r="N80">
        <v>534</v>
      </c>
      <c r="O80">
        <v>554</v>
      </c>
      <c r="P80">
        <v>273</v>
      </c>
      <c r="Q80" t="s">
        <v>836</v>
      </c>
      <c r="R80">
        <v>3</v>
      </c>
      <c r="S80" s="7" t="str">
        <f>HYPERLINK("http://exon.niaid.nih.gov/transcriptome/C_felis/S1/links/Sigp/CF-CONTIG_14-SigP.txt","SIG")</f>
        <v>SIG</v>
      </c>
      <c r="T80" t="s">
        <v>4586</v>
      </c>
      <c r="U80">
        <v>6</v>
      </c>
      <c r="V80" s="4">
        <f t="shared" si="5"/>
        <v>3</v>
      </c>
      <c r="W80">
        <f t="shared" si="6"/>
        <v>9</v>
      </c>
      <c r="X80" s="4">
        <f>HYPERLINK("http://exon.niaid.nih.gov/transcriptome/C_felis/S1/links/cluster/cf-5-36-asb35-50-Id-CLU3.txt", 3)</f>
        <v>3</v>
      </c>
      <c r="Y80">
        <f>HYPERLINK("http://exon.niaid.nih.gov/transcriptome/C_felis/S1/links/cluster/cf-5-36-asb35-50-Id-CLTL3.txt", 6)</f>
        <v>6</v>
      </c>
      <c r="Z80" s="4">
        <f>HYPERLINK("http://exon.niaid.nih.gov/transcriptome/C_felis/S1/links/cluster/cf-5-36-asb40-50-Id-CLU3.txt", 3)</f>
        <v>3</v>
      </c>
      <c r="AA80">
        <f>HYPERLINK("http://exon.niaid.nih.gov/transcriptome/C_felis/S1/links/cluster/cf-5-36-asb40-50-Id-CLTL3.txt", 5)</f>
        <v>5</v>
      </c>
      <c r="AB80" s="4" t="str">
        <f>HYPERLINK("http://exon.niaid.nih.gov/transcriptome/C_felis/S1/links/XC-ASB/cf-contig_246-XC-ASB.txt","XC-contig_27")</f>
        <v>XC-contig_27</v>
      </c>
      <c r="AC80">
        <v>1E-4</v>
      </c>
      <c r="AD80" s="10" t="s">
        <v>4602</v>
      </c>
      <c r="AE80" t="s">
        <v>4599</v>
      </c>
      <c r="AF80" t="str">
        <f>HYPERLINK("http://exon.niaid.nih.gov/transcriptome/C_felis/S1/links/NR/cf-contig_14-NR.txt","NR")</f>
        <v>NR</v>
      </c>
      <c r="AG80">
        <v>5.9999999999999997E-13</v>
      </c>
      <c r="AH80">
        <v>109.4</v>
      </c>
      <c r="AI80" s="4" t="str">
        <f>HYPERLINK("http://exon.niaid.nih.gov/transcriptome/C_felis/S1/links/NR/cf-contig_14-NR.txt","putative secreted salivary protein")</f>
        <v>putative secreted salivary protein</v>
      </c>
      <c r="AJ80" t="str">
        <f>HYPERLINK("http://www.ncbi.nlm.nih.gov/sutils/blink.cgi?pid=121511950","6E-013")</f>
        <v>6E-013</v>
      </c>
      <c r="AK80" t="str">
        <f t="shared" si="7"/>
        <v>gi|121511950</v>
      </c>
      <c r="AL80">
        <v>78.2</v>
      </c>
      <c r="AM80">
        <v>73</v>
      </c>
      <c r="AN80">
        <v>74</v>
      </c>
      <c r="AO80">
        <v>44</v>
      </c>
      <c r="AP80">
        <v>100</v>
      </c>
      <c r="AQ80">
        <v>45</v>
      </c>
      <c r="AR80">
        <v>0</v>
      </c>
      <c r="AS80">
        <v>1</v>
      </c>
      <c r="AT80">
        <v>102</v>
      </c>
      <c r="AU80">
        <v>1</v>
      </c>
      <c r="AV80">
        <v>3</v>
      </c>
      <c r="AW80" t="s">
        <v>12</v>
      </c>
      <c r="AY80" t="s">
        <v>1676</v>
      </c>
      <c r="AZ80" t="s">
        <v>1717</v>
      </c>
      <c r="BA80" s="4" t="str">
        <f>HYPERLINK("http://exon.niaid.nih.gov/transcriptome/C_felis/S1/links/SWISSP/cf-contig_14-SWISSP.txt","Dynein heavy chain-like protein PF11_0240")</f>
        <v>Dynein heavy chain-like protein PF11_0240</v>
      </c>
      <c r="BB80" t="str">
        <f>HYPERLINK("http://www.uniprot.org/uniprot/Q8IID4","0.88")</f>
        <v>0.88</v>
      </c>
      <c r="BC80" t="s">
        <v>1723</v>
      </c>
      <c r="BD80">
        <v>33.5</v>
      </c>
      <c r="BE80">
        <v>38</v>
      </c>
      <c r="BF80">
        <v>5251</v>
      </c>
      <c r="BG80">
        <v>36</v>
      </c>
      <c r="BH80">
        <v>1</v>
      </c>
      <c r="BI80">
        <v>26</v>
      </c>
      <c r="BJ80">
        <v>0</v>
      </c>
      <c r="BK80">
        <v>1808</v>
      </c>
      <c r="BL80">
        <v>386</v>
      </c>
      <c r="BM80">
        <v>1</v>
      </c>
      <c r="BN80">
        <v>2</v>
      </c>
      <c r="BO80" t="s">
        <v>12</v>
      </c>
      <c r="BQ80" t="s">
        <v>1676</v>
      </c>
      <c r="BR80" t="s">
        <v>1724</v>
      </c>
      <c r="BS80" s="4" t="str">
        <f>HYPERLINK("http://exon.niaid.nih.gov/transcriptome/C_felis/S1/links/CDD/cf-contig_14-CDD.txt","Aa_trans")</f>
        <v>Aa_trans</v>
      </c>
      <c r="BT80" t="str">
        <f>HYPERLINK("http://www.ncbi.nlm.nih.gov/Structure/cdd/cddsrv.cgi?uid=pfam01490&amp;version=v4.0","0.48")</f>
        <v>0.48</v>
      </c>
      <c r="BU80" t="s">
        <v>1725</v>
      </c>
      <c r="BV80" s="4" t="s">
        <v>42</v>
      </c>
      <c r="BW80" t="s">
        <v>42</v>
      </c>
      <c r="BX80" t="s">
        <v>42</v>
      </c>
      <c r="BY80" t="s">
        <v>42</v>
      </c>
      <c r="BZ80" t="s">
        <v>42</v>
      </c>
      <c r="CA80" t="s">
        <v>42</v>
      </c>
      <c r="CB80" t="s">
        <v>42</v>
      </c>
      <c r="CC80" t="s">
        <v>42</v>
      </c>
      <c r="CD80" t="s">
        <v>42</v>
      </c>
      <c r="CE80" t="s">
        <v>42</v>
      </c>
      <c r="CF80" t="s">
        <v>42</v>
      </c>
      <c r="CG80" t="s">
        <v>42</v>
      </c>
      <c r="CH80" t="s">
        <v>42</v>
      </c>
      <c r="CI80" t="s">
        <v>42</v>
      </c>
      <c r="CJ80" t="s">
        <v>42</v>
      </c>
      <c r="CK80" t="s">
        <v>42</v>
      </c>
      <c r="CL80" t="s">
        <v>42</v>
      </c>
      <c r="CM80" t="s">
        <v>42</v>
      </c>
      <c r="CN80" t="s">
        <v>42</v>
      </c>
      <c r="CO80" t="s">
        <v>42</v>
      </c>
      <c r="CP80" t="s">
        <v>42</v>
      </c>
      <c r="CQ80" t="s">
        <v>42</v>
      </c>
      <c r="CR80" t="s">
        <v>42</v>
      </c>
      <c r="CS80" s="4" t="str">
        <f>HYPERLINK("http://exon.niaid.nih.gov/transcriptome/C_felis/S1/links/KOG/cf-contig_14-KOG.txt","Integrin beta subunit (N-terminal portion of extracellular region)")</f>
        <v>Integrin beta subunit (N-terminal portion of extracellular region)</v>
      </c>
      <c r="CT80" t="str">
        <f>HYPERLINK("http://www.ncbi.nlm.nih.gov/COG/grace/shokog.cgi?KOG1226","0.25")</f>
        <v>0.25</v>
      </c>
      <c r="CU80" t="s">
        <v>1726</v>
      </c>
      <c r="CV80" s="4" t="str">
        <f>HYPERLINK("http://exon.niaid.nih.gov/transcriptome/C_felis/S1/links/PFAM/cf-contig_14-PFAM.txt","Aa_trans")</f>
        <v>Aa_trans</v>
      </c>
      <c r="CW80" t="str">
        <f>HYPERLINK("http://pfam.sanger.ac.uk/family?acc=PF01490","0.099")</f>
        <v>0.099</v>
      </c>
      <c r="CX80" s="4" t="str">
        <f>HYPERLINK("http://exon.niaid.nih.gov/transcriptome/C_felis/S1/links/SMART/cf-contig_14-SMART.txt","VWC_out")</f>
        <v>VWC_out</v>
      </c>
      <c r="CY80" t="str">
        <f>HYPERLINK("http://smart.embl-heidelberg.de/smart/do_annotation.pl?DOMAIN=VWC_out&amp;BLAST=DUMMY","0.049")</f>
        <v>0.049</v>
      </c>
      <c r="CZ80" s="4" t="s">
        <v>42</v>
      </c>
      <c r="DA80" t="s">
        <v>42</v>
      </c>
      <c r="DB80" t="s">
        <v>42</v>
      </c>
      <c r="DC80" t="s">
        <v>42</v>
      </c>
      <c r="DD80" t="s">
        <v>42</v>
      </c>
      <c r="DE80" t="s">
        <v>42</v>
      </c>
      <c r="DF80" t="s">
        <v>42</v>
      </c>
      <c r="DG80" t="s">
        <v>42</v>
      </c>
      <c r="DH80" s="4" t="s">
        <v>42</v>
      </c>
      <c r="DI80" t="s">
        <v>42</v>
      </c>
      <c r="DJ80" s="4" t="s">
        <v>42</v>
      </c>
      <c r="DK80" t="s">
        <v>42</v>
      </c>
      <c r="DL80" s="4">
        <f t="shared" si="8"/>
        <v>3</v>
      </c>
      <c r="DM80">
        <f t="shared" si="9"/>
        <v>9</v>
      </c>
      <c r="DN80" s="4">
        <f>HYPERLINK("http://exon.niaid.nih.gov/transcriptome/C_felis/S1/links/cluster/cf-5-36-asb35-50-Id-CLU3.txt", 3)</f>
        <v>3</v>
      </c>
      <c r="DO80">
        <f>HYPERLINK("http://exon.niaid.nih.gov/transcriptome/C_felis/S1/links/cluster/cf-5-36-asb35-50-Id-CLTL3.txt", 6)</f>
        <v>6</v>
      </c>
      <c r="DP80" s="4">
        <f>HYPERLINK("http://exon.niaid.nih.gov/transcriptome/C_felis/S1/links/cluster/cf-5-36-asb40-50-Id-CLU3.txt", 3)</f>
        <v>3</v>
      </c>
      <c r="DQ80">
        <f>HYPERLINK("http://exon.niaid.nih.gov/transcriptome/C_felis/S1/links/cluster/cf-5-36-asb40-50-Id-CLTL3.txt", 5)</f>
        <v>5</v>
      </c>
      <c r="DR80" s="4">
        <f>HYPERLINK("http://exon.niaid.nih.gov/transcriptome/C_felis/S1/links/cluster/cf-5-36-asb45-50-Id-CLU3.txt", 3)</f>
        <v>3</v>
      </c>
      <c r="DS80">
        <f>HYPERLINK("http://exon.niaid.nih.gov/transcriptome/C_felis/S1/links/cluster/cf-5-36-asb45-50-Id-CLTL3.txt", 5)</f>
        <v>5</v>
      </c>
      <c r="DT80" s="4">
        <f>HYPERLINK("http://exon.niaid.nih.gov/transcriptome/C_felis/S1/links/cluster/cf-5-36-asb50-50-Id-CLU3.txt", 3)</f>
        <v>3</v>
      </c>
      <c r="DU80">
        <f>HYPERLINK("http://exon.niaid.nih.gov/transcriptome/C_felis/S1/links/cluster/cf-5-36-asb50-50-Id-CLTL3.txt", 5)</f>
        <v>5</v>
      </c>
      <c r="DV80" s="4">
        <f>HYPERLINK("http://exon.niaid.nih.gov/transcriptome/C_felis/S1/links/cluster/cf-5-36-asb55-50-Id-CLU7.txt", 7)</f>
        <v>7</v>
      </c>
      <c r="DW80">
        <f>HYPERLINK("http://exon.niaid.nih.gov/transcriptome/C_felis/S1/links/cluster/cf-5-36-asb55-50-Id-CLTL7.txt", 3)</f>
        <v>3</v>
      </c>
      <c r="DX80" s="4">
        <v>50</v>
      </c>
      <c r="DY80">
        <v>1</v>
      </c>
      <c r="DZ80" s="4">
        <v>45</v>
      </c>
      <c r="EA80">
        <v>1</v>
      </c>
      <c r="EB80" s="4">
        <v>39</v>
      </c>
      <c r="EC80">
        <v>1</v>
      </c>
      <c r="ED80" s="4">
        <v>37</v>
      </c>
      <c r="EE80">
        <v>1</v>
      </c>
      <c r="EF80" s="4">
        <v>31</v>
      </c>
      <c r="EG80">
        <v>1</v>
      </c>
      <c r="EH80" s="4">
        <v>19</v>
      </c>
      <c r="EI80">
        <v>1</v>
      </c>
      <c r="EJ80" s="4">
        <v>14</v>
      </c>
      <c r="EK80">
        <v>1</v>
      </c>
    </row>
    <row r="81" spans="1:141" x14ac:dyDescent="0.2">
      <c r="A81" t="str">
        <f>HYPERLINK("http://exon.niaid.nih.gov/transcriptome/C_felis/S1/links/cf/cf-contig_16.txt","cf-contig_16")</f>
        <v>cf-contig_16</v>
      </c>
      <c r="B81">
        <v>8</v>
      </c>
      <c r="C81" s="10" t="s">
        <v>4600</v>
      </c>
      <c r="D81">
        <v>8</v>
      </c>
      <c r="E81" t="str">
        <f>HYPERLINK("http://exon.niaid.nih.gov/transcriptome/C_felis/S1/links/cf/cf-5-36-asb-16.txt","Contig-16")</f>
        <v>Contig-16</v>
      </c>
      <c r="F81" t="str">
        <f>HYPERLINK("http://exon.niaid.nih.gov/transcriptome/C_felis/S1/links/cf/cf-5-36-16-CLU.txt","Contig16")</f>
        <v>Contig16</v>
      </c>
      <c r="G81" t="str">
        <f>HYPERLINK("http://exon.niaid.nih.gov/transcriptome/C_felis/S1/links/cf/cf-5-36-16-qual.txt","94.2")</f>
        <v>94.2</v>
      </c>
      <c r="H81" t="s">
        <v>11</v>
      </c>
      <c r="I81">
        <v>71.099999999999994</v>
      </c>
      <c r="J81">
        <v>270</v>
      </c>
      <c r="K81" t="s">
        <v>12</v>
      </c>
      <c r="L81">
        <v>8</v>
      </c>
      <c r="M81" t="s">
        <v>28</v>
      </c>
      <c r="N81">
        <v>294</v>
      </c>
      <c r="O81">
        <v>291</v>
      </c>
      <c r="P81">
        <v>180</v>
      </c>
      <c r="Q81" t="s">
        <v>838</v>
      </c>
      <c r="R81">
        <v>2</v>
      </c>
      <c r="S81" s="7" t="str">
        <f>HYPERLINK("http://exon.niaid.nih.gov/transcriptome/C_felis/S1/links/Sigp/CF-CONTIG_16-SigP.txt","Cyt")</f>
        <v>Cyt</v>
      </c>
      <c r="U81">
        <v>8</v>
      </c>
      <c r="V81" s="4">
        <f t="shared" si="5"/>
        <v>3</v>
      </c>
      <c r="W81">
        <f t="shared" si="6"/>
        <v>9</v>
      </c>
      <c r="X81" s="4">
        <f>HYPERLINK("http://exon.niaid.nih.gov/transcriptome/C_felis/S1/links/cluster/cf-5-36-asb35-50-Id-CLU3.txt", 3)</f>
        <v>3</v>
      </c>
      <c r="Y81">
        <f>HYPERLINK("http://exon.niaid.nih.gov/transcriptome/C_felis/S1/links/cluster/cf-5-36-asb35-50-Id-CLTL3.txt", 6)</f>
        <v>6</v>
      </c>
      <c r="Z81" s="4">
        <f>HYPERLINK("http://exon.niaid.nih.gov/transcriptome/C_felis/S1/links/cluster/cf-5-36-asb40-50-Id-CLU3.txt", 3)</f>
        <v>3</v>
      </c>
      <c r="AA81">
        <f>HYPERLINK("http://exon.niaid.nih.gov/transcriptome/C_felis/S1/links/cluster/cf-5-36-asb40-50-Id-CLTL3.txt", 5)</f>
        <v>5</v>
      </c>
      <c r="AB81" s="4" t="str">
        <f>HYPERLINK("http://exon.niaid.nih.gov/transcriptome/C_felis/S1/links/XC-ASB/cf-contig_806-XC-ASB.txt","XC-contig_140")</f>
        <v>XC-contig_140</v>
      </c>
      <c r="AC81">
        <v>1.3</v>
      </c>
      <c r="AD81" s="10" t="s">
        <v>4600</v>
      </c>
      <c r="AE81" t="s">
        <v>4601</v>
      </c>
      <c r="AI81" s="4" t="str">
        <f>HYPERLINK("http://exon.niaid.nih.gov/transcriptome/C_felis/S1/links/NR/cf-contig_16-NR.txt","putative secreted salivary protein")</f>
        <v>putative secreted salivary protein</v>
      </c>
      <c r="AJ81" t="str">
        <f>HYPERLINK("http://www.ncbi.nlm.nih.gov/sutils/blink.cgi?pid=121511950","3E-004")</f>
        <v>3E-004</v>
      </c>
      <c r="AK81" t="str">
        <f t="shared" si="7"/>
        <v>gi|121511950</v>
      </c>
      <c r="AL81">
        <v>48.9</v>
      </c>
      <c r="AM81">
        <v>46</v>
      </c>
      <c r="AN81">
        <v>74</v>
      </c>
      <c r="AO81">
        <v>41</v>
      </c>
      <c r="AP81">
        <v>64</v>
      </c>
      <c r="AQ81">
        <v>31</v>
      </c>
      <c r="AR81">
        <v>0</v>
      </c>
      <c r="AS81">
        <v>28</v>
      </c>
      <c r="AT81">
        <v>13</v>
      </c>
      <c r="AU81">
        <v>1</v>
      </c>
      <c r="AV81">
        <v>1</v>
      </c>
      <c r="AW81" t="s">
        <v>12</v>
      </c>
      <c r="AY81" t="s">
        <v>1676</v>
      </c>
      <c r="AZ81" t="s">
        <v>1717</v>
      </c>
      <c r="BA81" s="4" t="str">
        <f>HYPERLINK("http://exon.niaid.nih.gov/transcriptome/C_felis/S1/links/SWISSP/cf-contig_16-SWISSP.txt","Insulin growth factor-like family member 3")</f>
        <v>Insulin growth factor-like family member 3</v>
      </c>
      <c r="BB81" t="str">
        <f>HYPERLINK("http://www.uniprot.org/uniprot/Q6UXB1","3.7")</f>
        <v>3.7</v>
      </c>
      <c r="BC81" t="s">
        <v>1731</v>
      </c>
      <c r="BD81">
        <v>30.4</v>
      </c>
      <c r="BE81">
        <v>43</v>
      </c>
      <c r="BF81">
        <v>125</v>
      </c>
      <c r="BG81">
        <v>35</v>
      </c>
      <c r="BH81">
        <v>35</v>
      </c>
      <c r="BI81">
        <v>31</v>
      </c>
      <c r="BJ81">
        <v>0</v>
      </c>
      <c r="BK81">
        <v>21</v>
      </c>
      <c r="BL81">
        <v>46</v>
      </c>
      <c r="BM81">
        <v>1</v>
      </c>
      <c r="BN81">
        <v>1</v>
      </c>
      <c r="BO81" t="s">
        <v>12</v>
      </c>
      <c r="BP81">
        <v>2.3260000000000001</v>
      </c>
      <c r="BQ81" t="s">
        <v>1676</v>
      </c>
      <c r="BR81" t="s">
        <v>1690</v>
      </c>
      <c r="BS81" s="4" t="str">
        <f>HYPERLINK("http://exon.niaid.nih.gov/transcriptome/C_felis/S1/links/CDD/cf-contig_16-CDD.txt","b_cpa1")</f>
        <v>b_cpa1</v>
      </c>
      <c r="BT81" t="str">
        <f>HYPERLINK("http://www.ncbi.nlm.nih.gov/Structure/cdd/cddsrv.cgi?uid=TIGR00840&amp;version=v4.0","0.23")</f>
        <v>0.23</v>
      </c>
      <c r="BU81" t="s">
        <v>1732</v>
      </c>
      <c r="BV81" s="4" t="s">
        <v>42</v>
      </c>
      <c r="BW81" t="s">
        <v>42</v>
      </c>
      <c r="BX81" t="s">
        <v>42</v>
      </c>
      <c r="BY81" t="s">
        <v>42</v>
      </c>
      <c r="BZ81" t="s">
        <v>42</v>
      </c>
      <c r="CA81" t="s">
        <v>42</v>
      </c>
      <c r="CB81" t="s">
        <v>42</v>
      </c>
      <c r="CC81" t="s">
        <v>42</v>
      </c>
      <c r="CD81" t="s">
        <v>42</v>
      </c>
      <c r="CE81" t="s">
        <v>42</v>
      </c>
      <c r="CF81" t="s">
        <v>42</v>
      </c>
      <c r="CG81" t="s">
        <v>42</v>
      </c>
      <c r="CH81" t="s">
        <v>42</v>
      </c>
      <c r="CI81" t="s">
        <v>42</v>
      </c>
      <c r="CJ81" t="s">
        <v>42</v>
      </c>
      <c r="CK81" t="s">
        <v>42</v>
      </c>
      <c r="CL81" t="s">
        <v>42</v>
      </c>
      <c r="CM81" t="s">
        <v>42</v>
      </c>
      <c r="CN81" t="s">
        <v>42</v>
      </c>
      <c r="CO81" t="s">
        <v>42</v>
      </c>
      <c r="CP81" t="s">
        <v>42</v>
      </c>
      <c r="CQ81" t="s">
        <v>42</v>
      </c>
      <c r="CR81" t="s">
        <v>42</v>
      </c>
      <c r="CS81" s="4" t="str">
        <f>HYPERLINK("http://exon.niaid.nih.gov/transcriptome/C_felis/S1/links/KOG/cf-contig_16-KOG.txt","von Willebrand factor and related coagulation proteins")</f>
        <v>von Willebrand factor and related coagulation proteins</v>
      </c>
      <c r="CT81" t="str">
        <f>HYPERLINK("http://www.ncbi.nlm.nih.gov/COG/grace/shokog.cgi?KOG1216","0.53")</f>
        <v>0.53</v>
      </c>
      <c r="CU81" t="s">
        <v>1733</v>
      </c>
      <c r="CV81" s="4" t="str">
        <f>HYPERLINK("http://exon.niaid.nih.gov/transcriptome/C_felis/S1/links/PFAM/cf-contig_16-PFAM.txt","PFEMP")</f>
        <v>PFEMP</v>
      </c>
      <c r="CW81" t="str">
        <f>HYPERLINK("http://pfam.sanger.ac.uk/family?acc=PF03011","0.13")</f>
        <v>0.13</v>
      </c>
      <c r="CX81" s="4" t="str">
        <f>HYPERLINK("http://exon.niaid.nih.gov/transcriptome/C_felis/S1/links/SMART/cf-contig_16-SMART.txt","VWC_out")</f>
        <v>VWC_out</v>
      </c>
      <c r="CY81" t="str">
        <f>HYPERLINK("http://smart.embl-heidelberg.de/smart/do_annotation.pl?DOMAIN=VWC_out&amp;BLAST=DUMMY","0.019")</f>
        <v>0.019</v>
      </c>
      <c r="CZ81" s="4" t="s">
        <v>42</v>
      </c>
      <c r="DA81" t="s">
        <v>42</v>
      </c>
      <c r="DB81" t="s">
        <v>42</v>
      </c>
      <c r="DC81" t="s">
        <v>42</v>
      </c>
      <c r="DD81" t="s">
        <v>42</v>
      </c>
      <c r="DE81" t="s">
        <v>42</v>
      </c>
      <c r="DF81" t="s">
        <v>42</v>
      </c>
      <c r="DG81" t="s">
        <v>42</v>
      </c>
      <c r="DH81" s="4" t="s">
        <v>42</v>
      </c>
      <c r="DI81" t="s">
        <v>42</v>
      </c>
      <c r="DJ81" s="4" t="s">
        <v>42</v>
      </c>
      <c r="DK81" t="s">
        <v>42</v>
      </c>
      <c r="DL81" s="4">
        <f t="shared" si="8"/>
        <v>3</v>
      </c>
      <c r="DM81">
        <f t="shared" si="9"/>
        <v>9</v>
      </c>
      <c r="DN81" s="4">
        <f>HYPERLINK("http://exon.niaid.nih.gov/transcriptome/C_felis/S1/links/cluster/cf-5-36-asb35-50-Id-CLU3.txt", 3)</f>
        <v>3</v>
      </c>
      <c r="DO81">
        <f>HYPERLINK("http://exon.niaid.nih.gov/transcriptome/C_felis/S1/links/cluster/cf-5-36-asb35-50-Id-CLTL3.txt", 6)</f>
        <v>6</v>
      </c>
      <c r="DP81" s="4">
        <f>HYPERLINK("http://exon.niaid.nih.gov/transcriptome/C_felis/S1/links/cluster/cf-5-36-asb40-50-Id-CLU3.txt", 3)</f>
        <v>3</v>
      </c>
      <c r="DQ81">
        <f>HYPERLINK("http://exon.niaid.nih.gov/transcriptome/C_felis/S1/links/cluster/cf-5-36-asb40-50-Id-CLTL3.txt", 5)</f>
        <v>5</v>
      </c>
      <c r="DR81" s="4">
        <f>HYPERLINK("http://exon.niaid.nih.gov/transcriptome/C_felis/S1/links/cluster/cf-5-36-asb45-50-Id-CLU3.txt", 3)</f>
        <v>3</v>
      </c>
      <c r="DS81">
        <f>HYPERLINK("http://exon.niaid.nih.gov/transcriptome/C_felis/S1/links/cluster/cf-5-36-asb45-50-Id-CLTL3.txt", 5)</f>
        <v>5</v>
      </c>
      <c r="DT81" s="4">
        <f>HYPERLINK("http://exon.niaid.nih.gov/transcriptome/C_felis/S1/links/cluster/cf-5-36-asb50-50-Id-CLU3.txt", 3)</f>
        <v>3</v>
      </c>
      <c r="DU81">
        <f>HYPERLINK("http://exon.niaid.nih.gov/transcriptome/C_felis/S1/links/cluster/cf-5-36-asb50-50-Id-CLTL3.txt", 5)</f>
        <v>5</v>
      </c>
      <c r="DV81" s="4">
        <f>HYPERLINK("http://exon.niaid.nih.gov/transcriptome/C_felis/S1/links/cluster/cf-5-36-asb55-50-Id-CLU7.txt", 7)</f>
        <v>7</v>
      </c>
      <c r="DW81">
        <f>HYPERLINK("http://exon.niaid.nih.gov/transcriptome/C_felis/S1/links/cluster/cf-5-36-asb55-50-Id-CLTL7.txt", 3)</f>
        <v>3</v>
      </c>
      <c r="DX81" s="4">
        <f>HYPERLINK("http://exon.niaid.nih.gov/transcriptome/C_felis/S1/links/cluster/cf-5-36-asb60-50-Id-CLU12.txt", 12)</f>
        <v>12</v>
      </c>
      <c r="DY81">
        <f>HYPERLINK("http://exon.niaid.nih.gov/transcriptome/C_felis/S1/links/cluster/cf-5-36-asb60-50-Id-CLTL12.txt", 2)</f>
        <v>2</v>
      </c>
      <c r="DZ81" s="4">
        <f>HYPERLINK("http://exon.niaid.nih.gov/transcriptome/C_felis/S1/links/cluster/cf-5-36-asb65-50-Id-CLU9.txt", 9)</f>
        <v>9</v>
      </c>
      <c r="EA81">
        <f>HYPERLINK("http://exon.niaid.nih.gov/transcriptome/C_felis/S1/links/cluster/cf-5-36-asb65-50-Id-CLTL9.txt", 2)</f>
        <v>2</v>
      </c>
      <c r="EB81" s="4">
        <f>HYPERLINK("http://exon.niaid.nih.gov/transcriptome/C_felis/S1/links/cluster/cf-5-36-asb70-50-Id-CLU7.txt", 7)</f>
        <v>7</v>
      </c>
      <c r="EC81">
        <f>HYPERLINK("http://exon.niaid.nih.gov/transcriptome/C_felis/S1/links/cluster/cf-5-36-asb70-50-Id-CLTL7.txt", 2)</f>
        <v>2</v>
      </c>
      <c r="ED81" s="4">
        <v>39</v>
      </c>
      <c r="EE81">
        <v>1</v>
      </c>
      <c r="EF81" s="4">
        <v>33</v>
      </c>
      <c r="EG81">
        <v>1</v>
      </c>
      <c r="EH81" s="4">
        <v>21</v>
      </c>
      <c r="EI81">
        <v>1</v>
      </c>
      <c r="EJ81" s="4">
        <v>16</v>
      </c>
      <c r="EK81">
        <v>1</v>
      </c>
    </row>
    <row r="82" spans="1:141" x14ac:dyDescent="0.2">
      <c r="A82" t="str">
        <f>HYPERLINK("http://exon.niaid.nih.gov/transcriptome/C_felis/S1/links/cf/cf-contig_17.txt","cf-contig_17")</f>
        <v>cf-contig_17</v>
      </c>
      <c r="B82">
        <v>1</v>
      </c>
      <c r="C82" s="10" t="s">
        <v>4602</v>
      </c>
      <c r="D82">
        <v>1</v>
      </c>
      <c r="E82" t="str">
        <f>HYPERLINK("http://exon.niaid.nih.gov/transcriptome/C_felis/S1/links/cf/cf-5-36-asb-17.txt","Contig-17")</f>
        <v>Contig-17</v>
      </c>
      <c r="F82" t="str">
        <f>HYPERLINK("http://exon.niaid.nih.gov/transcriptome/C_felis/S1/links/cf/cf-5-36-17-CLU.txt","Contig17")</f>
        <v>Contig17</v>
      </c>
      <c r="G82" t="str">
        <f>HYPERLINK("http://exon.niaid.nih.gov/transcriptome/C_felis/S1/links/cf/cf-5-36-17-qual.txt","55.5")</f>
        <v>55.5</v>
      </c>
      <c r="H82">
        <v>0.4</v>
      </c>
      <c r="I82">
        <v>70.5</v>
      </c>
      <c r="J82">
        <v>459</v>
      </c>
      <c r="K82" t="s">
        <v>12</v>
      </c>
      <c r="L82">
        <v>1</v>
      </c>
      <c r="M82" t="s">
        <v>29</v>
      </c>
      <c r="N82">
        <v>459</v>
      </c>
      <c r="O82">
        <v>478</v>
      </c>
      <c r="P82">
        <v>285</v>
      </c>
      <c r="Q82" t="s">
        <v>839</v>
      </c>
      <c r="R82">
        <v>3</v>
      </c>
      <c r="S82" s="7" t="str">
        <f>HYPERLINK("http://exon.niaid.nih.gov/transcriptome/C_felis/S1/links/Sigp/CF-CONTIG_17-SigP.txt","SIG")</f>
        <v>SIG</v>
      </c>
      <c r="T82" t="s">
        <v>4586</v>
      </c>
      <c r="U82">
        <v>1</v>
      </c>
      <c r="V82" s="4">
        <f t="shared" si="5"/>
        <v>3</v>
      </c>
      <c r="W82">
        <f t="shared" si="6"/>
        <v>9</v>
      </c>
      <c r="X82" s="4">
        <f>HYPERLINK("http://exon.niaid.nih.gov/transcriptome/C_felis/S1/links/cluster/cf-5-36-asb35-50-Id-CLU22.txt", 22)</f>
        <v>22</v>
      </c>
      <c r="Y82">
        <f>HYPERLINK("http://exon.niaid.nih.gov/transcriptome/C_felis/S1/links/cluster/cf-5-36-asb35-50-Id-CLTL22.txt", 2)</f>
        <v>2</v>
      </c>
      <c r="Z82" s="4">
        <f>HYPERLINK("http://exon.niaid.nih.gov/transcriptome/C_felis/S1/links/cluster/cf-5-36-asb40-50-Id-CLU20.txt", 20)</f>
        <v>20</v>
      </c>
      <c r="AA82">
        <f>HYPERLINK("http://exon.niaid.nih.gov/transcriptome/C_felis/S1/links/cluster/cf-5-36-asb40-50-Id-CLTL20.txt", 2)</f>
        <v>2</v>
      </c>
      <c r="AB82" s="4" t="str">
        <f>HYPERLINK("http://exon.niaid.nih.gov/transcriptome/C_felis/S1/links/XC-ASB/cf-contig_421-XC-ASB.txt","XC-contig_68")</f>
        <v>XC-contig_68</v>
      </c>
      <c r="AC82">
        <v>5.0000000000000002E-14</v>
      </c>
      <c r="AD82" s="10" t="s">
        <v>4602</v>
      </c>
      <c r="AE82" t="s">
        <v>4599</v>
      </c>
      <c r="AF82" t="str">
        <f>HYPERLINK("http://exon.niaid.nih.gov/transcriptome/C_felis/S1/links/NR/cf-contig_17-NR.txt","NR")</f>
        <v>NR</v>
      </c>
      <c r="AG82">
        <v>2.0000000000000001E-13</v>
      </c>
      <c r="AH82">
        <v>105.4</v>
      </c>
      <c r="AI82" s="4" t="str">
        <f>HYPERLINK("http://exon.niaid.nih.gov/transcriptome/C_felis/S1/links/NR/cf-contig_17-NR.txt","putative secreted salivary protein")</f>
        <v>putative secreted salivary protein</v>
      </c>
      <c r="AJ82" t="str">
        <f>HYPERLINK("http://www.ncbi.nlm.nih.gov/sutils/blink.cgi?pid=121511950","2E-013")</f>
        <v>2E-013</v>
      </c>
      <c r="AK82" t="str">
        <f t="shared" si="7"/>
        <v>gi|121511950</v>
      </c>
      <c r="AL82">
        <v>79.3</v>
      </c>
      <c r="AM82">
        <v>73</v>
      </c>
      <c r="AN82">
        <v>74</v>
      </c>
      <c r="AO82">
        <v>48</v>
      </c>
      <c r="AP82">
        <v>100</v>
      </c>
      <c r="AQ82">
        <v>40</v>
      </c>
      <c r="AR82">
        <v>0</v>
      </c>
      <c r="AS82">
        <v>1</v>
      </c>
      <c r="AT82">
        <v>54</v>
      </c>
      <c r="AU82">
        <v>1</v>
      </c>
      <c r="AV82">
        <v>3</v>
      </c>
      <c r="AW82" t="s">
        <v>12</v>
      </c>
      <c r="AY82" t="s">
        <v>1676</v>
      </c>
      <c r="AZ82" t="s">
        <v>1717</v>
      </c>
      <c r="BA82" s="4" t="str">
        <f>HYPERLINK("http://exon.niaid.nih.gov/transcriptome/C_felis/S1/links/SWISSP/cf-contig_17-SWISSP.txt","Low-density lipoprotein receptor-related protein")</f>
        <v>Low-density lipoprotein receptor-related protein</v>
      </c>
      <c r="BB82" t="str">
        <f>HYPERLINK("http://www.uniprot.org/uniprot/Q04833","0.46")</f>
        <v>0.46</v>
      </c>
      <c r="BC82" t="s">
        <v>1734</v>
      </c>
      <c r="BD82">
        <v>33.9</v>
      </c>
      <c r="BE82">
        <v>536</v>
      </c>
      <c r="BF82">
        <v>4753</v>
      </c>
      <c r="BG82">
        <v>25</v>
      </c>
      <c r="BH82">
        <v>11</v>
      </c>
      <c r="BI82">
        <v>42</v>
      </c>
      <c r="BJ82">
        <v>0</v>
      </c>
      <c r="BK82">
        <v>3168</v>
      </c>
      <c r="BL82">
        <v>114</v>
      </c>
      <c r="BM82">
        <v>2</v>
      </c>
      <c r="BN82">
        <v>3</v>
      </c>
      <c r="BO82" t="s">
        <v>12</v>
      </c>
      <c r="BQ82" t="s">
        <v>1676</v>
      </c>
      <c r="BR82" t="s">
        <v>1735</v>
      </c>
      <c r="BS82" s="4" t="str">
        <f>HYPERLINK("http://exon.niaid.nih.gov/transcriptome/C_felis/S1/links/CDD/cf-contig_17-CDD.txt","PRK05771")</f>
        <v>PRK05771</v>
      </c>
      <c r="BT82" t="str">
        <f>HYPERLINK("http://www.ncbi.nlm.nih.gov/Structure/cdd/cddsrv.cgi?uid=PRK05771&amp;version=v4.0","0.009")</f>
        <v>0.009</v>
      </c>
      <c r="BU82" t="s">
        <v>1736</v>
      </c>
      <c r="BV82" s="4" t="s">
        <v>42</v>
      </c>
      <c r="BW82" t="s">
        <v>42</v>
      </c>
      <c r="BX82" t="s">
        <v>42</v>
      </c>
      <c r="BY82" t="s">
        <v>42</v>
      </c>
      <c r="BZ82" t="s">
        <v>42</v>
      </c>
      <c r="CA82" t="s">
        <v>42</v>
      </c>
      <c r="CB82" t="s">
        <v>42</v>
      </c>
      <c r="CC82" t="s">
        <v>42</v>
      </c>
      <c r="CD82" t="s">
        <v>42</v>
      </c>
      <c r="CE82" t="s">
        <v>42</v>
      </c>
      <c r="CF82" t="s">
        <v>42</v>
      </c>
      <c r="CG82" t="s">
        <v>42</v>
      </c>
      <c r="CH82" t="s">
        <v>42</v>
      </c>
      <c r="CI82" t="s">
        <v>42</v>
      </c>
      <c r="CJ82" t="s">
        <v>42</v>
      </c>
      <c r="CK82" t="s">
        <v>42</v>
      </c>
      <c r="CL82" t="s">
        <v>42</v>
      </c>
      <c r="CM82" t="s">
        <v>42</v>
      </c>
      <c r="CN82" t="s">
        <v>42</v>
      </c>
      <c r="CO82" t="s">
        <v>42</v>
      </c>
      <c r="CP82" t="s">
        <v>42</v>
      </c>
      <c r="CQ82" t="s">
        <v>42</v>
      </c>
      <c r="CR82" t="s">
        <v>42</v>
      </c>
      <c r="CS82" s="4" t="str">
        <f>HYPERLINK("http://exon.niaid.nih.gov/transcriptome/C_felis/S1/links/KOG/cf-contig_17-KOG.txt","Transcription factor NF-X1, contains NFX-type Zn2+-binding and R3H domains")</f>
        <v>Transcription factor NF-X1, contains NFX-type Zn2+-binding and R3H domains</v>
      </c>
      <c r="CT82" t="str">
        <f>HYPERLINK("http://www.ncbi.nlm.nih.gov/COG/grace/shokog.cgi?KOG1952","0.23")</f>
        <v>0.23</v>
      </c>
      <c r="CU82" t="s">
        <v>1692</v>
      </c>
      <c r="CV82" s="4" t="str">
        <f>HYPERLINK("http://exon.niaid.nih.gov/transcriptome/C_felis/S1/links/PFAM/cf-contig_17-PFAM.txt","EI24")</f>
        <v>EI24</v>
      </c>
      <c r="CW82" t="str">
        <f>HYPERLINK("http://pfam.sanger.ac.uk/family?acc=PF07264","0.003")</f>
        <v>0.003</v>
      </c>
      <c r="CX82" s="4" t="str">
        <f>HYPERLINK("http://exon.niaid.nih.gov/transcriptome/C_felis/S1/links/SMART/cf-contig_17-SMART.txt","TLC")</f>
        <v>TLC</v>
      </c>
      <c r="CY82" t="str">
        <f>HYPERLINK("http://smart.embl-heidelberg.de/smart/do_annotation.pl?DOMAIN=TLC&amp;BLAST=DUMMY","0.010")</f>
        <v>0.010</v>
      </c>
      <c r="CZ82" s="4" t="s">
        <v>42</v>
      </c>
      <c r="DA82" t="s">
        <v>42</v>
      </c>
      <c r="DB82" t="s">
        <v>42</v>
      </c>
      <c r="DC82" t="s">
        <v>42</v>
      </c>
      <c r="DD82" t="s">
        <v>42</v>
      </c>
      <c r="DE82" t="s">
        <v>42</v>
      </c>
      <c r="DF82" t="s">
        <v>42</v>
      </c>
      <c r="DG82" t="s">
        <v>42</v>
      </c>
      <c r="DH82" s="4" t="s">
        <v>42</v>
      </c>
      <c r="DI82" t="s">
        <v>42</v>
      </c>
      <c r="DJ82" s="4" t="s">
        <v>42</v>
      </c>
      <c r="DK82" t="s">
        <v>42</v>
      </c>
      <c r="DL82" s="4">
        <f t="shared" si="8"/>
        <v>3</v>
      </c>
      <c r="DM82">
        <f t="shared" si="9"/>
        <v>9</v>
      </c>
      <c r="DN82" s="4">
        <f>HYPERLINK("http://exon.niaid.nih.gov/transcriptome/C_felis/S1/links/cluster/cf-5-36-asb35-50-Id-CLU22.txt", 22)</f>
        <v>22</v>
      </c>
      <c r="DO82">
        <f>HYPERLINK("http://exon.niaid.nih.gov/transcriptome/C_felis/S1/links/cluster/cf-5-36-asb35-50-Id-CLTL22.txt", 2)</f>
        <v>2</v>
      </c>
      <c r="DP82" s="4">
        <f>HYPERLINK("http://exon.niaid.nih.gov/transcriptome/C_felis/S1/links/cluster/cf-5-36-asb40-50-Id-CLU20.txt", 20)</f>
        <v>20</v>
      </c>
      <c r="DQ82">
        <f>HYPERLINK("http://exon.niaid.nih.gov/transcriptome/C_felis/S1/links/cluster/cf-5-36-asb40-50-Id-CLTL20.txt", 2)</f>
        <v>2</v>
      </c>
      <c r="DR82" s="4">
        <f>HYPERLINK("http://exon.niaid.nih.gov/transcriptome/C_felis/S1/links/cluster/cf-5-36-asb45-50-Id-CLU17.txt", 17)</f>
        <v>17</v>
      </c>
      <c r="DS82">
        <f>HYPERLINK("http://exon.niaid.nih.gov/transcriptome/C_felis/S1/links/cluster/cf-5-36-asb45-50-Id-CLTL17.txt", 2)</f>
        <v>2</v>
      </c>
      <c r="DT82" s="4">
        <f>HYPERLINK("http://exon.niaid.nih.gov/transcriptome/C_felis/S1/links/cluster/cf-5-36-asb50-50-Id-CLU13.txt", 13)</f>
        <v>13</v>
      </c>
      <c r="DU82">
        <f>HYPERLINK("http://exon.niaid.nih.gov/transcriptome/C_felis/S1/links/cluster/cf-5-36-asb50-50-Id-CLTL13.txt", 2)</f>
        <v>2</v>
      </c>
      <c r="DV82" s="4">
        <f>HYPERLINK("http://exon.niaid.nih.gov/transcriptome/C_felis/S1/links/cluster/cf-5-36-asb55-50-Id-CLU14.txt", 14)</f>
        <v>14</v>
      </c>
      <c r="DW82">
        <f>HYPERLINK("http://exon.niaid.nih.gov/transcriptome/C_felis/S1/links/cluster/cf-5-36-asb55-50-Id-CLTL14.txt", 2)</f>
        <v>2</v>
      </c>
      <c r="DX82" s="4">
        <f>HYPERLINK("http://exon.niaid.nih.gov/transcriptome/C_felis/S1/links/cluster/cf-5-36-asb60-50-Id-CLU11.txt", 11)</f>
        <v>11</v>
      </c>
      <c r="DY82">
        <f>HYPERLINK("http://exon.niaid.nih.gov/transcriptome/C_felis/S1/links/cluster/cf-5-36-asb60-50-Id-CLTL11.txt", 2)</f>
        <v>2</v>
      </c>
      <c r="DZ82" s="4">
        <f>HYPERLINK("http://exon.niaid.nih.gov/transcriptome/C_felis/S1/links/cluster/cf-5-36-asb65-50-Id-CLU8.txt", 8)</f>
        <v>8</v>
      </c>
      <c r="EA82">
        <f>HYPERLINK("http://exon.niaid.nih.gov/transcriptome/C_felis/S1/links/cluster/cf-5-36-asb65-50-Id-CLTL8.txt", 2)</f>
        <v>2</v>
      </c>
      <c r="EB82" s="4">
        <v>41</v>
      </c>
      <c r="EC82">
        <v>1</v>
      </c>
      <c r="ED82" s="4">
        <v>40</v>
      </c>
      <c r="EE82">
        <v>1</v>
      </c>
      <c r="EF82" s="4">
        <v>34</v>
      </c>
      <c r="EG82">
        <v>1</v>
      </c>
      <c r="EH82" s="4">
        <v>22</v>
      </c>
      <c r="EI82">
        <v>1</v>
      </c>
      <c r="EJ82" s="4">
        <v>17</v>
      </c>
      <c r="EK82">
        <v>1</v>
      </c>
    </row>
    <row r="83" spans="1:141" x14ac:dyDescent="0.2">
      <c r="A83" t="str">
        <f>HYPERLINK("http://exon.niaid.nih.gov/transcriptome/C_felis/S1/links/cf/cf-contig_15.txt","cf-contig_15")</f>
        <v>cf-contig_15</v>
      </c>
      <c r="B83">
        <v>14</v>
      </c>
      <c r="C83" s="10" t="s">
        <v>4600</v>
      </c>
      <c r="D83">
        <v>14</v>
      </c>
      <c r="E83" t="str">
        <f>HYPERLINK("http://exon.niaid.nih.gov/transcriptome/C_felis/S1/links/cf/cf-5-36-asb-15.txt","Contig-15")</f>
        <v>Contig-15</v>
      </c>
      <c r="F83" t="str">
        <f>HYPERLINK("http://exon.niaid.nih.gov/transcriptome/C_felis/S1/links/cf/cf-5-36-15-CLU.txt","Contig15")</f>
        <v>Contig15</v>
      </c>
      <c r="G83" t="str">
        <f>HYPERLINK("http://exon.niaid.nih.gov/transcriptome/C_felis/S1/links/cf/cf-5-36-15-qual.txt","92.2")</f>
        <v>92.2</v>
      </c>
      <c r="H83" t="s">
        <v>11</v>
      </c>
      <c r="I83">
        <v>73</v>
      </c>
      <c r="J83">
        <v>338</v>
      </c>
      <c r="K83" t="s">
        <v>12</v>
      </c>
      <c r="L83">
        <v>14</v>
      </c>
      <c r="M83" t="s">
        <v>27</v>
      </c>
      <c r="N83">
        <v>367</v>
      </c>
      <c r="O83">
        <v>374</v>
      </c>
      <c r="P83">
        <v>168</v>
      </c>
      <c r="Q83" t="s">
        <v>837</v>
      </c>
      <c r="R83">
        <v>1</v>
      </c>
      <c r="S83" s="7" t="s">
        <v>4585</v>
      </c>
      <c r="U83">
        <v>14</v>
      </c>
      <c r="V83" s="4">
        <f t="shared" si="5"/>
        <v>3</v>
      </c>
      <c r="W83">
        <f t="shared" si="6"/>
        <v>9</v>
      </c>
      <c r="X83" s="4">
        <f>HYPERLINK("http://exon.niaid.nih.gov/transcriptome/C_felis/S1/links/cluster/cf-5-36-asb35-50-Id-CLU22.txt", 22)</f>
        <v>22</v>
      </c>
      <c r="Y83">
        <f>HYPERLINK("http://exon.niaid.nih.gov/transcriptome/C_felis/S1/links/cluster/cf-5-36-asb35-50-Id-CLTL22.txt", 2)</f>
        <v>2</v>
      </c>
      <c r="Z83" s="4">
        <f>HYPERLINK("http://exon.niaid.nih.gov/transcriptome/C_felis/S1/links/cluster/cf-5-36-asb40-50-Id-CLU20.txt", 20)</f>
        <v>20</v>
      </c>
      <c r="AA83">
        <f>HYPERLINK("http://exon.niaid.nih.gov/transcriptome/C_felis/S1/links/cluster/cf-5-36-asb40-50-Id-CLTL20.txt", 2)</f>
        <v>2</v>
      </c>
      <c r="AB83" s="4" t="str">
        <f>HYPERLINK("http://exon.niaid.nih.gov/transcriptome/C_felis/S1/links/XC-ASB/cf-contig_439-XC-ASB.txt","XC-contig_57")</f>
        <v>XC-contig_57</v>
      </c>
      <c r="AC83">
        <v>7.3999999999999996E-2</v>
      </c>
      <c r="AD83" s="10" t="s">
        <v>4600</v>
      </c>
      <c r="AE83" t="s">
        <v>4601</v>
      </c>
      <c r="AI83" s="4" t="str">
        <f>HYPERLINK("http://exon.niaid.nih.gov/transcriptome/C_felis/S1/links/NR/cf-contig_15-NR.txt","putative secreted salivary protein")</f>
        <v>putative secreted salivary protein</v>
      </c>
      <c r="AJ83" t="str">
        <f>HYPERLINK("http://www.ncbi.nlm.nih.gov/sutils/blink.cgi?pid=121511950","4E-004")</f>
        <v>4E-004</v>
      </c>
      <c r="AK83" t="str">
        <f t="shared" si="7"/>
        <v>gi|121511950</v>
      </c>
      <c r="AL83">
        <v>48.5</v>
      </c>
      <c r="AM83">
        <v>47</v>
      </c>
      <c r="AN83">
        <v>74</v>
      </c>
      <c r="AO83">
        <v>43</v>
      </c>
      <c r="AP83">
        <v>65</v>
      </c>
      <c r="AQ83">
        <v>29</v>
      </c>
      <c r="AR83">
        <v>0</v>
      </c>
      <c r="AS83">
        <v>27</v>
      </c>
      <c r="AT83">
        <v>16</v>
      </c>
      <c r="AU83">
        <v>1</v>
      </c>
      <c r="AV83">
        <v>1</v>
      </c>
      <c r="AW83" t="s">
        <v>12</v>
      </c>
      <c r="AY83" t="s">
        <v>1676</v>
      </c>
      <c r="AZ83" t="s">
        <v>1717</v>
      </c>
      <c r="BA83" s="4" t="str">
        <f>HYPERLINK("http://exon.niaid.nih.gov/transcriptome/C_felis/S1/links/SWISSP/cf-contig_15-SWISSP.txt","Salivary antigen 1")</f>
        <v>Salivary antigen 1</v>
      </c>
      <c r="BB83" t="str">
        <f>HYPERLINK("http://www.uniprot.org/uniprot/Q94424","1.2")</f>
        <v>1.2</v>
      </c>
      <c r="BC83" t="s">
        <v>1727</v>
      </c>
      <c r="BD83">
        <v>32</v>
      </c>
      <c r="BE83">
        <v>128</v>
      </c>
      <c r="BF83">
        <v>176</v>
      </c>
      <c r="BG83">
        <v>38</v>
      </c>
      <c r="BH83">
        <v>73</v>
      </c>
      <c r="BI83">
        <v>29</v>
      </c>
      <c r="BJ83">
        <v>5</v>
      </c>
      <c r="BK83">
        <v>43</v>
      </c>
      <c r="BL83">
        <v>16</v>
      </c>
      <c r="BM83">
        <v>2</v>
      </c>
      <c r="BN83">
        <v>1</v>
      </c>
      <c r="BO83" t="s">
        <v>12</v>
      </c>
      <c r="BQ83" t="s">
        <v>1676</v>
      </c>
      <c r="BR83" t="s">
        <v>1728</v>
      </c>
      <c r="BS83" s="4" t="str">
        <f>HYPERLINK("http://exon.niaid.nih.gov/transcriptome/C_felis/S1/links/CDD/cf-contig_15-CDD.txt","DUF3023")</f>
        <v>DUF3023</v>
      </c>
      <c r="BT83" t="str">
        <f>HYPERLINK("http://www.ncbi.nlm.nih.gov/Structure/cdd/cddsrv.cgi?uid=pfam11224&amp;version=v4.0","0.018")</f>
        <v>0.018</v>
      </c>
      <c r="BU83" t="s">
        <v>1729</v>
      </c>
      <c r="BV83" s="4" t="s">
        <v>42</v>
      </c>
      <c r="BW83" t="s">
        <v>42</v>
      </c>
      <c r="BX83" t="s">
        <v>42</v>
      </c>
      <c r="BY83" t="s">
        <v>42</v>
      </c>
      <c r="BZ83" t="s">
        <v>42</v>
      </c>
      <c r="CA83" t="s">
        <v>42</v>
      </c>
      <c r="CB83" t="s">
        <v>42</v>
      </c>
      <c r="CC83" t="s">
        <v>42</v>
      </c>
      <c r="CD83" t="s">
        <v>42</v>
      </c>
      <c r="CE83" t="s">
        <v>42</v>
      </c>
      <c r="CF83" t="s">
        <v>42</v>
      </c>
      <c r="CG83" t="s">
        <v>42</v>
      </c>
      <c r="CH83" t="s">
        <v>42</v>
      </c>
      <c r="CI83" t="s">
        <v>42</v>
      </c>
      <c r="CJ83" t="s">
        <v>42</v>
      </c>
      <c r="CK83" t="s">
        <v>42</v>
      </c>
      <c r="CL83" t="s">
        <v>42</v>
      </c>
      <c r="CM83" t="s">
        <v>42</v>
      </c>
      <c r="CN83" t="s">
        <v>42</v>
      </c>
      <c r="CO83" t="s">
        <v>42</v>
      </c>
      <c r="CP83" t="s">
        <v>42</v>
      </c>
      <c r="CQ83" t="s">
        <v>42</v>
      </c>
      <c r="CR83" t="s">
        <v>42</v>
      </c>
      <c r="CS83" s="4" t="str">
        <f>HYPERLINK("http://exon.niaid.nih.gov/transcriptome/C_felis/S1/links/KOG/cf-contig_15-KOG.txt","Pleiotropic drug resistance proteins (PDR1-15), ABC superfamily")</f>
        <v>Pleiotropic drug resistance proteins (PDR1-15), ABC superfamily</v>
      </c>
      <c r="CT83" t="str">
        <f>HYPERLINK("http://www.ncbi.nlm.nih.gov/COG/grace/shokog.cgi?KOG0065","0.39")</f>
        <v>0.39</v>
      </c>
      <c r="CU83" t="s">
        <v>1730</v>
      </c>
      <c r="CV83" s="4" t="str">
        <f>HYPERLINK("http://exon.niaid.nih.gov/transcriptome/C_felis/S1/links/PFAM/cf-contig_15-PFAM.txt","DUF3023")</f>
        <v>DUF3023</v>
      </c>
      <c r="CW83" t="str">
        <f>HYPERLINK("http://pfam.sanger.ac.uk/family?acc=PF11224","0.004")</f>
        <v>0.004</v>
      </c>
      <c r="CX83" s="4" t="str">
        <f>HYPERLINK("http://exon.niaid.nih.gov/transcriptome/C_felis/S1/links/SMART/cf-contig_15-SMART.txt","NL")</f>
        <v>NL</v>
      </c>
      <c r="CY83" t="str">
        <f>HYPERLINK("http://smart.embl-heidelberg.de/smart/do_annotation.pl?DOMAIN=NL&amp;BLAST=DUMMY","0.032")</f>
        <v>0.032</v>
      </c>
      <c r="CZ83" s="4" t="s">
        <v>42</v>
      </c>
      <c r="DA83" t="s">
        <v>42</v>
      </c>
      <c r="DB83" t="s">
        <v>42</v>
      </c>
      <c r="DC83" t="s">
        <v>42</v>
      </c>
      <c r="DD83" t="s">
        <v>42</v>
      </c>
      <c r="DE83" t="s">
        <v>42</v>
      </c>
      <c r="DF83" t="s">
        <v>42</v>
      </c>
      <c r="DG83" t="s">
        <v>42</v>
      </c>
      <c r="DH83" s="4" t="s">
        <v>42</v>
      </c>
      <c r="DI83" t="s">
        <v>42</v>
      </c>
      <c r="DJ83" s="4" t="s">
        <v>42</v>
      </c>
      <c r="DK83" t="s">
        <v>42</v>
      </c>
      <c r="DL83" s="4">
        <f t="shared" si="8"/>
        <v>3</v>
      </c>
      <c r="DM83">
        <f t="shared" si="9"/>
        <v>9</v>
      </c>
      <c r="DN83" s="4">
        <f>HYPERLINK("http://exon.niaid.nih.gov/transcriptome/C_felis/S1/links/cluster/cf-5-36-asb35-50-Id-CLU22.txt", 22)</f>
        <v>22</v>
      </c>
      <c r="DO83">
        <f>HYPERLINK("http://exon.niaid.nih.gov/transcriptome/C_felis/S1/links/cluster/cf-5-36-asb35-50-Id-CLTL22.txt", 2)</f>
        <v>2</v>
      </c>
      <c r="DP83" s="4">
        <f>HYPERLINK("http://exon.niaid.nih.gov/transcriptome/C_felis/S1/links/cluster/cf-5-36-asb40-50-Id-CLU20.txt", 20)</f>
        <v>20</v>
      </c>
      <c r="DQ83">
        <f>HYPERLINK("http://exon.niaid.nih.gov/transcriptome/C_felis/S1/links/cluster/cf-5-36-asb40-50-Id-CLTL20.txt", 2)</f>
        <v>2</v>
      </c>
      <c r="DR83" s="4">
        <f>HYPERLINK("http://exon.niaid.nih.gov/transcriptome/C_felis/S1/links/cluster/cf-5-36-asb45-50-Id-CLU17.txt", 17)</f>
        <v>17</v>
      </c>
      <c r="DS83">
        <f>HYPERLINK("http://exon.niaid.nih.gov/transcriptome/C_felis/S1/links/cluster/cf-5-36-asb45-50-Id-CLTL17.txt", 2)</f>
        <v>2</v>
      </c>
      <c r="DT83" s="4">
        <f>HYPERLINK("http://exon.niaid.nih.gov/transcriptome/C_felis/S1/links/cluster/cf-5-36-asb50-50-Id-CLU13.txt", 13)</f>
        <v>13</v>
      </c>
      <c r="DU83">
        <f>HYPERLINK("http://exon.niaid.nih.gov/transcriptome/C_felis/S1/links/cluster/cf-5-36-asb50-50-Id-CLTL13.txt", 2)</f>
        <v>2</v>
      </c>
      <c r="DV83" s="4">
        <f>HYPERLINK("http://exon.niaid.nih.gov/transcriptome/C_felis/S1/links/cluster/cf-5-36-asb55-50-Id-CLU14.txt", 14)</f>
        <v>14</v>
      </c>
      <c r="DW83">
        <f>HYPERLINK("http://exon.niaid.nih.gov/transcriptome/C_felis/S1/links/cluster/cf-5-36-asb55-50-Id-CLTL14.txt", 2)</f>
        <v>2</v>
      </c>
      <c r="DX83" s="4">
        <f>HYPERLINK("http://exon.niaid.nih.gov/transcriptome/C_felis/S1/links/cluster/cf-5-36-asb60-50-Id-CLU11.txt", 11)</f>
        <v>11</v>
      </c>
      <c r="DY83">
        <f>HYPERLINK("http://exon.niaid.nih.gov/transcriptome/C_felis/S1/links/cluster/cf-5-36-asb60-50-Id-CLTL11.txt", 2)</f>
        <v>2</v>
      </c>
      <c r="DZ83" s="4">
        <f>HYPERLINK("http://exon.niaid.nih.gov/transcriptome/C_felis/S1/links/cluster/cf-5-36-asb65-50-Id-CLU8.txt", 8)</f>
        <v>8</v>
      </c>
      <c r="EA83">
        <f>HYPERLINK("http://exon.niaid.nih.gov/transcriptome/C_felis/S1/links/cluster/cf-5-36-asb65-50-Id-CLTL8.txt", 2)</f>
        <v>2</v>
      </c>
      <c r="EB83" s="4">
        <v>40</v>
      </c>
      <c r="EC83">
        <v>1</v>
      </c>
      <c r="ED83" s="4">
        <v>38</v>
      </c>
      <c r="EE83">
        <v>1</v>
      </c>
      <c r="EF83" s="4">
        <v>32</v>
      </c>
      <c r="EG83">
        <v>1</v>
      </c>
      <c r="EH83" s="4">
        <v>20</v>
      </c>
      <c r="EI83">
        <v>1</v>
      </c>
      <c r="EJ83" s="4">
        <v>15</v>
      </c>
      <c r="EK83">
        <v>1</v>
      </c>
    </row>
    <row r="84" spans="1:141" x14ac:dyDescent="0.2">
      <c r="A84" t="str">
        <f>HYPERLINK("http://exon.niaid.nih.gov/transcriptome/C_felis/S1/links/cf/cf-contig_673.txt","cf-contig_673")</f>
        <v>cf-contig_673</v>
      </c>
      <c r="B84">
        <v>1</v>
      </c>
      <c r="C84" s="10" t="s">
        <v>4600</v>
      </c>
      <c r="D84">
        <v>1</v>
      </c>
      <c r="E84" t="str">
        <f>HYPERLINK("http://exon.niaid.nih.gov/transcriptome/C_felis/S1/links/cf/cf-5-36-asb-673.txt","Contig-673")</f>
        <v>Contig-673</v>
      </c>
      <c r="F84" t="str">
        <f>HYPERLINK("http://exon.niaid.nih.gov/transcriptome/C_felis/S1/links/cf/cf-5-36-673-CLU.txt","Contig673")</f>
        <v>Contig673</v>
      </c>
      <c r="G84" t="str">
        <f>HYPERLINK("http://exon.niaid.nih.gov/transcriptome/C_felis/S1/links/cf/cf-5-36-673-qual.txt","64.8")</f>
        <v>64.8</v>
      </c>
      <c r="H84" t="s">
        <v>11</v>
      </c>
      <c r="I84">
        <v>69.8</v>
      </c>
      <c r="J84">
        <v>306</v>
      </c>
      <c r="K84" t="s">
        <v>12</v>
      </c>
      <c r="L84">
        <v>1</v>
      </c>
      <c r="M84" t="s">
        <v>686</v>
      </c>
      <c r="N84">
        <v>306</v>
      </c>
      <c r="O84">
        <v>325</v>
      </c>
      <c r="P84">
        <v>207</v>
      </c>
      <c r="Q84" t="s">
        <v>1492</v>
      </c>
      <c r="R84">
        <v>2</v>
      </c>
      <c r="S84" s="7" t="str">
        <f>HYPERLINK("http://exon.niaid.nih.gov/transcriptome/C_felis/S1/links/Sigp/CF-CONTIG_673-SigP.txt","Cyt")</f>
        <v>Cyt</v>
      </c>
      <c r="U84">
        <v>1</v>
      </c>
      <c r="V84" s="4">
        <f t="shared" si="5"/>
        <v>3</v>
      </c>
      <c r="W84">
        <f t="shared" si="6"/>
        <v>9</v>
      </c>
      <c r="X84" s="4">
        <v>562</v>
      </c>
      <c r="Y84">
        <v>1</v>
      </c>
      <c r="Z84" s="4">
        <v>574</v>
      </c>
      <c r="AA84">
        <v>1</v>
      </c>
      <c r="AB84" s="4" t="str">
        <f>HYPERLINK("http://exon.niaid.nih.gov/transcriptome/C_felis/S1/links/XC-ASB/cf-contig_1-XC-ASB.txt","XC-contig_43")</f>
        <v>XC-contig_43</v>
      </c>
      <c r="AC84">
        <v>2.9999999999999997E-4</v>
      </c>
      <c r="AD84" s="10" t="s">
        <v>4600</v>
      </c>
      <c r="AE84" t="s">
        <v>4601</v>
      </c>
      <c r="AI84" s="4" t="str">
        <f>HYPERLINK("http://exon.niaid.nih.gov/transcriptome/C_felis/S1/links/NR/cf-contig_673-NR.txt","putative secreted salivary protein")</f>
        <v>putative secreted salivary protein</v>
      </c>
      <c r="AJ84" t="str">
        <f>HYPERLINK("http://www.ncbi.nlm.nih.gov/sutils/blink.cgi?pid=121512000","0.046")</f>
        <v>0.046</v>
      </c>
      <c r="AK84" t="str">
        <f>HYPERLINK("http://www.ncbi.nlm.nih.gov/protein/121512000","gi|121512000")</f>
        <v>gi|121512000</v>
      </c>
      <c r="AL84">
        <v>41.6</v>
      </c>
      <c r="AM84">
        <v>51</v>
      </c>
      <c r="AN84">
        <v>80</v>
      </c>
      <c r="AO84">
        <v>40</v>
      </c>
      <c r="AP84">
        <v>65</v>
      </c>
      <c r="AQ84">
        <v>31</v>
      </c>
      <c r="AR84">
        <v>7</v>
      </c>
      <c r="AS84">
        <v>27</v>
      </c>
      <c r="AT84">
        <v>55</v>
      </c>
      <c r="AU84">
        <v>1</v>
      </c>
      <c r="AV84">
        <v>1</v>
      </c>
      <c r="AW84" t="s">
        <v>12</v>
      </c>
      <c r="AY84" t="s">
        <v>1676</v>
      </c>
      <c r="AZ84" t="s">
        <v>1717</v>
      </c>
      <c r="BA84" s="4" t="str">
        <f>HYPERLINK("http://exon.niaid.nih.gov/transcriptome/C_felis/S1/links/SWISSP/cf-contig_673-SWISSP.txt","Blue-sensitive opsin")</f>
        <v>Blue-sensitive opsin</v>
      </c>
      <c r="BB84" t="str">
        <f>HYPERLINK("http://www.uniprot.org/uniprot/P87365","0.33")</f>
        <v>0.33</v>
      </c>
      <c r="BC84" t="s">
        <v>4120</v>
      </c>
      <c r="BD84">
        <v>33.9</v>
      </c>
      <c r="BE84">
        <v>34</v>
      </c>
      <c r="BF84">
        <v>352</v>
      </c>
      <c r="BG84">
        <v>43</v>
      </c>
      <c r="BH84">
        <v>10</v>
      </c>
      <c r="BI84">
        <v>21</v>
      </c>
      <c r="BJ84">
        <v>0</v>
      </c>
      <c r="BK84">
        <v>202</v>
      </c>
      <c r="BL84">
        <v>100</v>
      </c>
      <c r="BM84">
        <v>1</v>
      </c>
      <c r="BN84">
        <v>-2</v>
      </c>
      <c r="BO84" t="s">
        <v>12</v>
      </c>
      <c r="BQ84" t="s">
        <v>1666</v>
      </c>
      <c r="BR84" t="s">
        <v>4121</v>
      </c>
      <c r="BS84" s="4" t="str">
        <f>HYPERLINK("http://exon.niaid.nih.gov/transcriptome/C_felis/S1/links/CDD/cf-contig_673-CDD.txt","ndhA")</f>
        <v>ndhA</v>
      </c>
      <c r="BT84" t="str">
        <f>HYPERLINK("http://www.ncbi.nlm.nih.gov/Structure/cdd/cddsrv.cgi?uid=CHL00032&amp;version=v4.0","0.046")</f>
        <v>0.046</v>
      </c>
      <c r="BU84" t="s">
        <v>4122</v>
      </c>
      <c r="BV84" s="4" t="s">
        <v>42</v>
      </c>
      <c r="BW84" t="s">
        <v>42</v>
      </c>
      <c r="BX84" t="s">
        <v>42</v>
      </c>
      <c r="BY84" t="s">
        <v>42</v>
      </c>
      <c r="BZ84" t="s">
        <v>42</v>
      </c>
      <c r="CA84" t="s">
        <v>42</v>
      </c>
      <c r="CB84" t="s">
        <v>42</v>
      </c>
      <c r="CC84" t="s">
        <v>42</v>
      </c>
      <c r="CD84" t="s">
        <v>42</v>
      </c>
      <c r="CE84" t="s">
        <v>42</v>
      </c>
      <c r="CF84" t="s">
        <v>42</v>
      </c>
      <c r="CG84" t="s">
        <v>42</v>
      </c>
      <c r="CH84" t="s">
        <v>42</v>
      </c>
      <c r="CI84" t="s">
        <v>42</v>
      </c>
      <c r="CJ84" t="s">
        <v>42</v>
      </c>
      <c r="CK84" t="s">
        <v>42</v>
      </c>
      <c r="CL84" t="s">
        <v>42</v>
      </c>
      <c r="CM84" t="s">
        <v>42</v>
      </c>
      <c r="CN84" t="s">
        <v>42</v>
      </c>
      <c r="CO84" t="s">
        <v>42</v>
      </c>
      <c r="CP84" t="s">
        <v>42</v>
      </c>
      <c r="CQ84" t="s">
        <v>42</v>
      </c>
      <c r="CR84" t="s">
        <v>42</v>
      </c>
      <c r="CS84" s="4" t="str">
        <f>HYPERLINK("http://exon.niaid.nih.gov/transcriptome/C_felis/S1/links/KOG/cf-contig_673-KOG.txt","Transcription factor NF-X1, contains NFX-type Zn2+-binding and R3H domains")</f>
        <v>Transcription factor NF-X1, contains NFX-type Zn2+-binding and R3H domains</v>
      </c>
      <c r="CT84" t="str">
        <f>HYPERLINK("http://www.ncbi.nlm.nih.gov/COG/grace/shokog.cgi?KOG1952","0.041")</f>
        <v>0.041</v>
      </c>
      <c r="CU84" t="s">
        <v>1692</v>
      </c>
      <c r="CV84" s="4" t="str">
        <f>HYPERLINK("http://exon.niaid.nih.gov/transcriptome/C_felis/S1/links/PFAM/cf-contig_673-PFAM.txt","SLR1-BP")</f>
        <v>SLR1-BP</v>
      </c>
      <c r="CW84" t="str">
        <f>HYPERLINK("http://pfam.sanger.ac.uk/family?acc=PF07333","0.012")</f>
        <v>0.012</v>
      </c>
      <c r="CX84" s="4" t="str">
        <f>HYPERLINK("http://exon.niaid.nih.gov/transcriptome/C_felis/S1/links/SMART/cf-contig_673-SMART.txt","PA2c")</f>
        <v>PA2c</v>
      </c>
      <c r="CY84" t="str">
        <f>HYPERLINK("http://smart.embl-heidelberg.de/smart/do_annotation.pl?DOMAIN=PA2c&amp;BLAST=DUMMY","0.087")</f>
        <v>0.087</v>
      </c>
      <c r="CZ84" s="4" t="s">
        <v>42</v>
      </c>
      <c r="DA84" t="s">
        <v>42</v>
      </c>
      <c r="DB84" t="s">
        <v>42</v>
      </c>
      <c r="DC84" t="s">
        <v>42</v>
      </c>
      <c r="DD84" t="s">
        <v>42</v>
      </c>
      <c r="DE84" t="s">
        <v>42</v>
      </c>
      <c r="DF84" t="s">
        <v>42</v>
      </c>
      <c r="DG84" t="s">
        <v>42</v>
      </c>
      <c r="DH84" s="4" t="s">
        <v>42</v>
      </c>
      <c r="DI84" t="s">
        <v>42</v>
      </c>
      <c r="DJ84" s="4" t="s">
        <v>42</v>
      </c>
      <c r="DK84" t="s">
        <v>42</v>
      </c>
      <c r="DL84" s="4">
        <f t="shared" si="8"/>
        <v>3</v>
      </c>
      <c r="DM84">
        <f t="shared" si="9"/>
        <v>9</v>
      </c>
      <c r="DN84" s="4">
        <v>562</v>
      </c>
      <c r="DO84">
        <v>1</v>
      </c>
      <c r="DP84" s="4">
        <v>574</v>
      </c>
      <c r="DQ84">
        <v>1</v>
      </c>
      <c r="DR84" s="4">
        <v>595</v>
      </c>
      <c r="DS84">
        <v>1</v>
      </c>
      <c r="DT84" s="4">
        <v>609</v>
      </c>
      <c r="DU84">
        <v>1</v>
      </c>
      <c r="DV84" s="4">
        <v>623</v>
      </c>
      <c r="DW84">
        <v>1</v>
      </c>
      <c r="DX84" s="4">
        <v>632</v>
      </c>
      <c r="DY84">
        <v>1</v>
      </c>
      <c r="DZ84" s="4">
        <v>642</v>
      </c>
      <c r="EA84">
        <v>1</v>
      </c>
      <c r="EB84" s="4">
        <v>647</v>
      </c>
      <c r="EC84">
        <v>1</v>
      </c>
      <c r="ED84" s="4">
        <v>651</v>
      </c>
      <c r="EE84">
        <v>1</v>
      </c>
      <c r="EF84" s="4">
        <v>657</v>
      </c>
      <c r="EG84">
        <v>1</v>
      </c>
      <c r="EH84" s="4">
        <v>665</v>
      </c>
      <c r="EI84">
        <v>1</v>
      </c>
      <c r="EJ84" s="4">
        <v>673</v>
      </c>
      <c r="EK84">
        <v>1</v>
      </c>
    </row>
    <row r="85" spans="1:141" s="6" customFormat="1" x14ac:dyDescent="0.2">
      <c r="A85" s="12" t="s">
        <v>4923</v>
      </c>
      <c r="D85" s="6">
        <f>SUM(D86:D92)</f>
        <v>124</v>
      </c>
    </row>
    <row r="86" spans="1:141" x14ac:dyDescent="0.2">
      <c r="A86" t="str">
        <f>HYPERLINK("http://exon.niaid.nih.gov/transcriptome/C_felis/S1/links/cf/cf-contig_1.txt","cf-contig_1")</f>
        <v>cf-contig_1</v>
      </c>
      <c r="B86">
        <v>42</v>
      </c>
      <c r="C86" s="10" t="s">
        <v>4598</v>
      </c>
      <c r="D86">
        <v>42</v>
      </c>
      <c r="E86" t="str">
        <f>HYPERLINK("http://exon.niaid.nih.gov/transcriptome/C_felis/S1/links/cf/cf-5-36-asb-1.txt","Contig-1")</f>
        <v>Contig-1</v>
      </c>
      <c r="F86" t="str">
        <f>HYPERLINK("http://exon.niaid.nih.gov/transcriptome/C_felis/S1/links/cf/cf-5-36-1-CLU.txt","Contig1")</f>
        <v>Contig1</v>
      </c>
      <c r="G86" t="str">
        <f>HYPERLINK("http://exon.niaid.nih.gov/transcriptome/C_felis/S1/links/cf/cf-5-36-1-qual.txt","91.")</f>
        <v>91.</v>
      </c>
      <c r="H86" t="s">
        <v>11</v>
      </c>
      <c r="I86">
        <v>71.599999999999994</v>
      </c>
      <c r="J86">
        <v>260</v>
      </c>
      <c r="K86" t="s">
        <v>12</v>
      </c>
      <c r="L86">
        <v>42</v>
      </c>
      <c r="M86" t="s">
        <v>13</v>
      </c>
      <c r="N86">
        <v>332</v>
      </c>
      <c r="O86">
        <v>282</v>
      </c>
      <c r="P86">
        <v>153</v>
      </c>
      <c r="Q86" t="s">
        <v>824</v>
      </c>
      <c r="R86">
        <v>2</v>
      </c>
      <c r="S86" s="7" t="str">
        <f>HYPERLINK("http://exon.niaid.nih.gov/transcriptome/C_felis/S1/links/Sigp/CF-CONTIG_1-SigP.txt","SIG")</f>
        <v>SIG</v>
      </c>
      <c r="T86" t="s">
        <v>4583</v>
      </c>
      <c r="U86">
        <v>42</v>
      </c>
      <c r="V86" s="4">
        <f t="shared" ref="V86:V91" si="10">HYPERLINK("http://exon.niaid.nih.gov/transcriptome/C_felis/S1/links/cluster/cf-5-36-asb30-50-Id-CLU2.txt", 2)</f>
        <v>2</v>
      </c>
      <c r="W86">
        <f t="shared" ref="W86:W91" si="11">HYPERLINK("http://exon.niaid.nih.gov/transcriptome/C_felis/S1/links/cluster/cf-5-36-asb30-50-Id-CLTL2.txt", 11)</f>
        <v>11</v>
      </c>
      <c r="X86" s="4">
        <f t="shared" ref="X86:X91" si="12">HYPERLINK("http://exon.niaid.nih.gov/transcriptome/C_felis/S1/links/cluster/cf-5-36-asb35-50-Id-CLU1.txt", 1)</f>
        <v>1</v>
      </c>
      <c r="Y86">
        <f t="shared" ref="Y86:Y91" si="13">HYPERLINK("http://exon.niaid.nih.gov/transcriptome/C_felis/S1/links/cluster/cf-5-36-asb35-50-Id-CLTL1.txt", 11)</f>
        <v>11</v>
      </c>
      <c r="Z86" s="4">
        <f t="shared" ref="Z86:Z91" si="14">HYPERLINK("http://exon.niaid.nih.gov/transcriptome/C_felis/S1/links/cluster/cf-5-36-asb40-50-Id-CLU1.txt", 1)</f>
        <v>1</v>
      </c>
      <c r="AA86">
        <f t="shared" ref="AA86:AA91" si="15">HYPERLINK("http://exon.niaid.nih.gov/transcriptome/C_felis/S1/links/cluster/cf-5-36-asb40-50-Id-CLTL1.txt", 11)</f>
        <v>11</v>
      </c>
      <c r="AB86" s="4" t="str">
        <f>HYPERLINK("http://exon.niaid.nih.gov/transcriptome/C_felis/S1/links/XC-ASB/cf-contig_56-XC-ASB.txt","XC-contig_136")</f>
        <v>XC-contig_136</v>
      </c>
      <c r="AC86">
        <v>5.9999999999999999E-24</v>
      </c>
      <c r="AD86" s="10" t="s">
        <v>4598</v>
      </c>
      <c r="AE86" t="s">
        <v>4599</v>
      </c>
      <c r="AF86" t="str">
        <f>HYPERLINK("http://exon.niaid.nih.gov/transcriptome/C_felis/S1/links/Sigp/cf-contig_1-Sigp.txt","Sigp")</f>
        <v>Sigp</v>
      </c>
      <c r="AI86" s="4" t="str">
        <f>HYPERLINK("http://exon.niaid.nih.gov/transcriptome/C_felis/S1/links/NR/cf-contig_1-NR.txt","glycosyltransferase")</f>
        <v>glycosyltransferase</v>
      </c>
      <c r="AJ86" t="str">
        <f>HYPERLINK("http://www.ncbi.nlm.nih.gov/sutils/blink.cgi?pid=157693985","4.2")</f>
        <v>4.2</v>
      </c>
      <c r="AK86" t="str">
        <f>HYPERLINK("http://www.ncbi.nlm.nih.gov/protein/157693985","gi|157693985")</f>
        <v>gi|157693985</v>
      </c>
      <c r="AL86">
        <v>35</v>
      </c>
      <c r="AM86">
        <v>25</v>
      </c>
      <c r="AN86">
        <v>1204</v>
      </c>
      <c r="AO86">
        <v>50</v>
      </c>
      <c r="AP86">
        <v>2</v>
      </c>
      <c r="AQ86">
        <v>13</v>
      </c>
      <c r="AR86">
        <v>0</v>
      </c>
      <c r="AS86">
        <v>470</v>
      </c>
      <c r="AT86">
        <v>1</v>
      </c>
      <c r="AU86">
        <v>1</v>
      </c>
      <c r="AV86">
        <v>-1</v>
      </c>
      <c r="AW86" t="s">
        <v>12</v>
      </c>
      <c r="AY86" t="s">
        <v>1666</v>
      </c>
      <c r="AZ86" t="s">
        <v>1667</v>
      </c>
      <c r="BA86" s="4" t="str">
        <f>HYPERLINK("http://exon.niaid.nih.gov/transcriptome/C_felis/S1/links/SWISSP/cf-contig_1-SWISSP.txt","Actin cytoskeleton-regulatory complex protein pan1")</f>
        <v>Actin cytoskeleton-regulatory complex protein pan1</v>
      </c>
      <c r="BB86" t="str">
        <f>HYPERLINK("http://www.uniprot.org/uniprot/A1DC51","3.0")</f>
        <v>3.0</v>
      </c>
      <c r="BC86" t="s">
        <v>1668</v>
      </c>
      <c r="BD86">
        <v>28.1</v>
      </c>
      <c r="BE86">
        <v>46</v>
      </c>
      <c r="BF86">
        <v>1470</v>
      </c>
      <c r="BG86">
        <v>55</v>
      </c>
      <c r="BH86">
        <v>3</v>
      </c>
      <c r="BI86">
        <v>9</v>
      </c>
      <c r="BJ86">
        <v>0</v>
      </c>
      <c r="BK86">
        <v>1362</v>
      </c>
      <c r="BL86">
        <v>70</v>
      </c>
      <c r="BM86">
        <v>2</v>
      </c>
      <c r="BN86">
        <v>-1</v>
      </c>
      <c r="BO86" t="s">
        <v>12</v>
      </c>
      <c r="BQ86" t="s">
        <v>1666</v>
      </c>
      <c r="BR86" t="s">
        <v>1669</v>
      </c>
      <c r="BS86" s="4" t="str">
        <f>HYPERLINK("http://exon.niaid.nih.gov/transcriptome/C_felis/S1/links/CDD/cf-contig_1-CDD.txt","NKAIN")</f>
        <v>NKAIN</v>
      </c>
      <c r="BT86" t="str">
        <f>HYPERLINK("http://www.ncbi.nlm.nih.gov/Structure/cdd/cddsrv.cgi?uid=pfam05640&amp;version=v4.0","0.081")</f>
        <v>0.081</v>
      </c>
      <c r="BU86" t="s">
        <v>1670</v>
      </c>
      <c r="BV86" s="4" t="s">
        <v>42</v>
      </c>
      <c r="BW86" t="s">
        <v>42</v>
      </c>
      <c r="BX86" t="s">
        <v>42</v>
      </c>
      <c r="BY86" t="s">
        <v>42</v>
      </c>
      <c r="BZ86" t="s">
        <v>42</v>
      </c>
      <c r="CA86" t="s">
        <v>42</v>
      </c>
      <c r="CB86" t="s">
        <v>42</v>
      </c>
      <c r="CC86" t="s">
        <v>42</v>
      </c>
      <c r="CD86" t="s">
        <v>42</v>
      </c>
      <c r="CE86" t="s">
        <v>42</v>
      </c>
      <c r="CF86" t="s">
        <v>42</v>
      </c>
      <c r="CG86" t="s">
        <v>42</v>
      </c>
      <c r="CH86" t="s">
        <v>42</v>
      </c>
      <c r="CI86" t="s">
        <v>42</v>
      </c>
      <c r="CJ86" t="s">
        <v>42</v>
      </c>
      <c r="CK86" t="s">
        <v>42</v>
      </c>
      <c r="CL86" t="s">
        <v>42</v>
      </c>
      <c r="CM86" t="s">
        <v>42</v>
      </c>
      <c r="CN86" t="s">
        <v>42</v>
      </c>
      <c r="CO86" t="s">
        <v>42</v>
      </c>
      <c r="CP86" t="s">
        <v>42</v>
      </c>
      <c r="CQ86" t="s">
        <v>42</v>
      </c>
      <c r="CR86" t="s">
        <v>42</v>
      </c>
      <c r="CS86" s="4" t="str">
        <f>HYPERLINK("http://exon.niaid.nih.gov/transcriptome/C_felis/S1/links/KOG/cf-contig_1-KOG.txt","Actin regulatory protein (Wiskott-Aldrich syndrome protein)")</f>
        <v>Actin regulatory protein (Wiskott-Aldrich syndrome protein)</v>
      </c>
      <c r="CT86" t="str">
        <f>HYPERLINK("http://www.ncbi.nlm.nih.gov/COG/grace/shokog.cgi?KOG3671","0.23")</f>
        <v>0.23</v>
      </c>
      <c r="CU86" t="s">
        <v>1671</v>
      </c>
      <c r="CV86" s="4" t="str">
        <f>HYPERLINK("http://exon.niaid.nih.gov/transcriptome/C_felis/S1/links/PFAM/cf-contig_1-PFAM.txt","NKAIN")</f>
        <v>NKAIN</v>
      </c>
      <c r="CW86" t="str">
        <f>HYPERLINK("http://pfam.sanger.ac.uk/family?acc=PF05640","0.017")</f>
        <v>0.017</v>
      </c>
      <c r="CX86" s="4" t="str">
        <f>HYPERLINK("http://exon.niaid.nih.gov/transcriptome/C_felis/S1/links/SMART/cf-contig_1-SMART.txt","Bgal_small_N")</f>
        <v>Bgal_small_N</v>
      </c>
      <c r="CY86" t="str">
        <f>HYPERLINK("http://smart.embl-heidelberg.de/smart/do_annotation.pl?DOMAIN=Bgal_small_N&amp;BLAST=DUMMY","0.25")</f>
        <v>0.25</v>
      </c>
      <c r="CZ86" s="4" t="s">
        <v>42</v>
      </c>
      <c r="DA86" t="s">
        <v>42</v>
      </c>
      <c r="DB86" t="s">
        <v>42</v>
      </c>
      <c r="DC86" t="s">
        <v>42</v>
      </c>
      <c r="DD86" t="s">
        <v>42</v>
      </c>
      <c r="DE86" t="s">
        <v>42</v>
      </c>
      <c r="DF86" t="s">
        <v>42</v>
      </c>
      <c r="DG86" t="s">
        <v>42</v>
      </c>
      <c r="DH86" s="4" t="s">
        <v>42</v>
      </c>
      <c r="DI86" t="s">
        <v>42</v>
      </c>
      <c r="DJ86" s="4" t="s">
        <v>42</v>
      </c>
      <c r="DK86" t="s">
        <v>42</v>
      </c>
      <c r="DL86" s="4">
        <f t="shared" ref="DL86:DL91" si="16">HYPERLINK("http://exon.niaid.nih.gov/transcriptome/C_felis/S1/links/cluster/cf-5-36-asb30-50-Id-CLU2.txt", 2)</f>
        <v>2</v>
      </c>
      <c r="DM86">
        <f t="shared" ref="DM86:DM91" si="17">HYPERLINK("http://exon.niaid.nih.gov/transcriptome/C_felis/S1/links/cluster/cf-5-36-asb30-50-Id-CLTL2.txt", 11)</f>
        <v>11</v>
      </c>
      <c r="DN86" s="4">
        <f t="shared" ref="DN86:DN91" si="18">HYPERLINK("http://exon.niaid.nih.gov/transcriptome/C_felis/S1/links/cluster/cf-5-36-asb35-50-Id-CLU1.txt", 1)</f>
        <v>1</v>
      </c>
      <c r="DO86">
        <f t="shared" ref="DO86:DO91" si="19">HYPERLINK("http://exon.niaid.nih.gov/transcriptome/C_felis/S1/links/cluster/cf-5-36-asb35-50-Id-CLTL1.txt", 11)</f>
        <v>11</v>
      </c>
      <c r="DP86" s="4">
        <f t="shared" ref="DP86:DP91" si="20">HYPERLINK("http://exon.niaid.nih.gov/transcriptome/C_felis/S1/links/cluster/cf-5-36-asb40-50-Id-CLU1.txt", 1)</f>
        <v>1</v>
      </c>
      <c r="DQ86">
        <f t="shared" ref="DQ86:DQ91" si="21">HYPERLINK("http://exon.niaid.nih.gov/transcriptome/C_felis/S1/links/cluster/cf-5-36-asb40-50-Id-CLTL1.txt", 11)</f>
        <v>11</v>
      </c>
      <c r="DR86" s="4">
        <f>HYPERLINK("http://exon.niaid.nih.gov/transcriptome/C_felis/S1/links/cluster/cf-5-36-asb45-50-Id-CLU1.txt", 1)</f>
        <v>1</v>
      </c>
      <c r="DS86">
        <f>HYPERLINK("http://exon.niaid.nih.gov/transcriptome/C_felis/S1/links/cluster/cf-5-36-asb45-50-Id-CLTL1.txt", 9)</f>
        <v>9</v>
      </c>
      <c r="DT86" s="4">
        <f>HYPERLINK("http://exon.niaid.nih.gov/transcriptome/C_felis/S1/links/cluster/cf-5-36-asb50-50-Id-CLU1.txt", 1)</f>
        <v>1</v>
      </c>
      <c r="DU86">
        <f>HYPERLINK("http://exon.niaid.nih.gov/transcriptome/C_felis/S1/links/cluster/cf-5-36-asb50-50-Id-CLTL1.txt", 8)</f>
        <v>8</v>
      </c>
      <c r="DV86" s="4">
        <f>HYPERLINK("http://exon.niaid.nih.gov/transcriptome/C_felis/S1/links/cluster/cf-5-36-asb55-50-Id-CLU5.txt", 5)</f>
        <v>5</v>
      </c>
      <c r="DW86">
        <f>HYPERLINK("http://exon.niaid.nih.gov/transcriptome/C_felis/S1/links/cluster/cf-5-36-asb55-50-Id-CLTL5.txt", 3)</f>
        <v>3</v>
      </c>
      <c r="DX86" s="4">
        <f>HYPERLINK("http://exon.niaid.nih.gov/transcriptome/C_felis/S1/links/cluster/cf-5-36-asb60-50-Id-CLU3.txt", 3)</f>
        <v>3</v>
      </c>
      <c r="DY86">
        <f>HYPERLINK("http://exon.niaid.nih.gov/transcriptome/C_felis/S1/links/cluster/cf-5-36-asb60-50-Id-CLTL3.txt", 3)</f>
        <v>3</v>
      </c>
      <c r="DZ86" s="4">
        <f>HYPERLINK("http://exon.niaid.nih.gov/transcriptome/C_felis/S1/links/cluster/cf-5-36-asb65-50-Id-CLU6.txt", 6)</f>
        <v>6</v>
      </c>
      <c r="EA86">
        <f>HYPERLINK("http://exon.niaid.nih.gov/transcriptome/C_felis/S1/links/cluster/cf-5-36-asb65-50-Id-CLTL6.txt", 2)</f>
        <v>2</v>
      </c>
      <c r="EB86" s="4">
        <f>HYPERLINK("http://exon.niaid.nih.gov/transcriptome/C_felis/S1/links/cluster/cf-5-36-asb70-50-Id-CLU5.txt", 5)</f>
        <v>5</v>
      </c>
      <c r="EC86">
        <f>HYPERLINK("http://exon.niaid.nih.gov/transcriptome/C_felis/S1/links/cluster/cf-5-36-asb70-50-Id-CLTL5.txt", 2)</f>
        <v>2</v>
      </c>
      <c r="ED86" s="4">
        <v>26</v>
      </c>
      <c r="EE86">
        <v>1</v>
      </c>
      <c r="EF86" s="4">
        <v>20</v>
      </c>
      <c r="EG86">
        <v>1</v>
      </c>
      <c r="EH86" s="4">
        <v>8</v>
      </c>
      <c r="EI86">
        <v>1</v>
      </c>
      <c r="EJ86" s="4">
        <v>1</v>
      </c>
      <c r="EK86">
        <v>1</v>
      </c>
    </row>
    <row r="87" spans="1:141" x14ac:dyDescent="0.2">
      <c r="A87" t="str">
        <f>HYPERLINK("http://exon.niaid.nih.gov/transcriptome/C_felis/S1/links/cf/cf-contig_2.txt","cf-contig_2")</f>
        <v>cf-contig_2</v>
      </c>
      <c r="B87">
        <v>14</v>
      </c>
      <c r="C87" s="10" t="s">
        <v>4598</v>
      </c>
      <c r="D87">
        <v>14</v>
      </c>
      <c r="E87" t="str">
        <f>HYPERLINK("http://exon.niaid.nih.gov/transcriptome/C_felis/S1/links/cf/cf-5-36-asb-2.txt","Contig-2")</f>
        <v>Contig-2</v>
      </c>
      <c r="F87" t="str">
        <f>HYPERLINK("http://exon.niaid.nih.gov/transcriptome/C_felis/S1/links/cf/cf-5-36-2-CLU.txt","Contig2")</f>
        <v>Contig2</v>
      </c>
      <c r="G87" t="str">
        <f>HYPERLINK("http://exon.niaid.nih.gov/transcriptome/C_felis/S1/links/cf/cf-5-36-2-qual.txt","81.2")</f>
        <v>81.2</v>
      </c>
      <c r="H87" t="s">
        <v>11</v>
      </c>
      <c r="I87">
        <v>72.099999999999994</v>
      </c>
      <c r="J87">
        <v>292</v>
      </c>
      <c r="K87" t="s">
        <v>12</v>
      </c>
      <c r="L87">
        <v>14</v>
      </c>
      <c r="M87" t="s">
        <v>14</v>
      </c>
      <c r="N87">
        <v>312</v>
      </c>
      <c r="O87">
        <v>312</v>
      </c>
      <c r="P87">
        <v>144</v>
      </c>
      <c r="Q87" t="s">
        <v>825</v>
      </c>
      <c r="R87">
        <v>1</v>
      </c>
      <c r="S87" s="7" t="str">
        <f>HYPERLINK("http://exon.niaid.nih.gov/transcriptome/C_felis/S1/links/Sigp/CF-CONTIG_2-SigP.txt","SIG")</f>
        <v>SIG</v>
      </c>
      <c r="T87" t="s">
        <v>4584</v>
      </c>
      <c r="U87">
        <v>14</v>
      </c>
      <c r="V87" s="4">
        <f t="shared" si="10"/>
        <v>2</v>
      </c>
      <c r="W87">
        <f t="shared" si="11"/>
        <v>11</v>
      </c>
      <c r="X87" s="4">
        <f t="shared" si="12"/>
        <v>1</v>
      </c>
      <c r="Y87">
        <f t="shared" si="13"/>
        <v>11</v>
      </c>
      <c r="Z87" s="4">
        <f t="shared" si="14"/>
        <v>1</v>
      </c>
      <c r="AA87">
        <f t="shared" si="15"/>
        <v>11</v>
      </c>
      <c r="AB87" s="4" t="str">
        <f>HYPERLINK("http://exon.niaid.nih.gov/transcriptome/C_felis/S1/links/XC-ASB/cf-contig_100-XC-ASB.txt","XC-contig_136")</f>
        <v>XC-contig_136</v>
      </c>
      <c r="AC87">
        <v>3.0000000000000001E-59</v>
      </c>
      <c r="AD87" s="10" t="s">
        <v>4598</v>
      </c>
      <c r="AE87" t="s">
        <v>4599</v>
      </c>
      <c r="AF87" t="str">
        <f>HYPERLINK("http://exon.niaid.nih.gov/transcriptome/C_felis/S1/links/Sigp/cf-contig_2-Sigp.txt","Sigp")</f>
        <v>Sigp</v>
      </c>
      <c r="AI87" s="4" t="str">
        <f>HYPERLINK("http://exon.niaid.nih.gov/transcriptome/C_felis/S1/links/NR/cf-contig_2-NR.txt","actin associated protein Wsp1, putative")</f>
        <v>actin associated protein Wsp1, putative</v>
      </c>
      <c r="AJ87" t="str">
        <f>HYPERLINK("http://www.ncbi.nlm.nih.gov/sutils/blink.cgi?pid=121704024","4.2")</f>
        <v>4.2</v>
      </c>
      <c r="AK87" t="str">
        <f>HYPERLINK("http://www.ncbi.nlm.nih.gov/protein/121704024","gi|121704024")</f>
        <v>gi|121704024</v>
      </c>
      <c r="AL87">
        <v>35</v>
      </c>
      <c r="AM87">
        <v>24</v>
      </c>
      <c r="AN87">
        <v>642</v>
      </c>
      <c r="AO87">
        <v>64</v>
      </c>
      <c r="AP87">
        <v>4</v>
      </c>
      <c r="AQ87">
        <v>9</v>
      </c>
      <c r="AR87">
        <v>0</v>
      </c>
      <c r="AS87">
        <v>168</v>
      </c>
      <c r="AT87">
        <v>111</v>
      </c>
      <c r="AU87">
        <v>1</v>
      </c>
      <c r="AV87">
        <v>-2</v>
      </c>
      <c r="AW87" t="s">
        <v>12</v>
      </c>
      <c r="AY87" t="s">
        <v>1666</v>
      </c>
      <c r="AZ87" t="s">
        <v>1672</v>
      </c>
      <c r="BA87" s="4" t="str">
        <f>HYPERLINK("http://exon.niaid.nih.gov/transcriptome/C_felis/S1/links/SWISSP/cf-contig_2-SWISSP.txt","Pre-mRNA-splicing ATP-dependent RNA helicase prp28")</f>
        <v>Pre-mRNA-splicing ATP-dependent RNA helicase prp28</v>
      </c>
      <c r="BB87" t="str">
        <f>HYPERLINK("http://www.uniprot.org/uniprot/A2QIL2","0.95")</f>
        <v>0.95</v>
      </c>
      <c r="BC87" t="s">
        <v>1673</v>
      </c>
      <c r="BD87">
        <v>32.299999999999997</v>
      </c>
      <c r="BE87">
        <v>25</v>
      </c>
      <c r="BF87">
        <v>810</v>
      </c>
      <c r="BG87">
        <v>64</v>
      </c>
      <c r="BH87">
        <v>3</v>
      </c>
      <c r="BI87">
        <v>10</v>
      </c>
      <c r="BJ87">
        <v>1</v>
      </c>
      <c r="BK87">
        <v>45</v>
      </c>
      <c r="BL87">
        <v>90</v>
      </c>
      <c r="BM87">
        <v>1</v>
      </c>
      <c r="BN87">
        <v>-2</v>
      </c>
      <c r="BO87" t="s">
        <v>12</v>
      </c>
      <c r="BQ87" t="s">
        <v>1666</v>
      </c>
      <c r="BR87" t="s">
        <v>1674</v>
      </c>
      <c r="BS87" s="4" t="str">
        <f>HYPERLINK("http://exon.niaid.nih.gov/transcriptome/C_felis/S1/links/CDD/cf-contig_2-CDD.txt","PRK15398")</f>
        <v>PRK15398</v>
      </c>
      <c r="BT87" t="str">
        <f>HYPERLINK("http://www.ncbi.nlm.nih.gov/Structure/cdd/cddsrv.cgi?uid=PRK15398&amp;version=v4.0","0.72")</f>
        <v>0.72</v>
      </c>
      <c r="BU87" t="s">
        <v>1675</v>
      </c>
      <c r="BV87" s="4" t="s">
        <v>42</v>
      </c>
      <c r="BW87" t="s">
        <v>42</v>
      </c>
      <c r="BX87" t="s">
        <v>42</v>
      </c>
      <c r="BY87" t="s">
        <v>42</v>
      </c>
      <c r="BZ87" t="s">
        <v>42</v>
      </c>
      <c r="CA87" t="s">
        <v>42</v>
      </c>
      <c r="CB87" t="s">
        <v>42</v>
      </c>
      <c r="CC87" t="s">
        <v>42</v>
      </c>
      <c r="CD87" t="s">
        <v>42</v>
      </c>
      <c r="CE87" t="s">
        <v>42</v>
      </c>
      <c r="CF87" t="s">
        <v>42</v>
      </c>
      <c r="CG87" t="s">
        <v>42</v>
      </c>
      <c r="CH87" t="s">
        <v>42</v>
      </c>
      <c r="CI87" t="s">
        <v>42</v>
      </c>
      <c r="CJ87" t="s">
        <v>42</v>
      </c>
      <c r="CK87" t="s">
        <v>42</v>
      </c>
      <c r="CL87" t="s">
        <v>42</v>
      </c>
      <c r="CM87" t="s">
        <v>42</v>
      </c>
      <c r="CN87" t="s">
        <v>42</v>
      </c>
      <c r="CO87" t="s">
        <v>42</v>
      </c>
      <c r="CP87" t="s">
        <v>42</v>
      </c>
      <c r="CQ87" t="s">
        <v>42</v>
      </c>
      <c r="CR87" t="s">
        <v>42</v>
      </c>
      <c r="CS87" s="4" t="str">
        <f>HYPERLINK("http://exon.niaid.nih.gov/transcriptome/C_felis/S1/links/KOG/cf-contig_2-KOG.txt","Rho GTPase effector BNI1 and related formins")</f>
        <v>Rho GTPase effector BNI1 and related formins</v>
      </c>
      <c r="CT87" t="str">
        <f>HYPERLINK("http://www.ncbi.nlm.nih.gov/COG/grace/shokog.cgi?KOG1922","0.39")</f>
        <v>0.39</v>
      </c>
      <c r="CU87" t="s">
        <v>1671</v>
      </c>
      <c r="CV87" s="4" t="str">
        <f>HYPERLINK("http://exon.niaid.nih.gov/transcriptome/C_felis/S1/links/PFAM/cf-contig_2-PFAM.txt","DUF2189")</f>
        <v>DUF2189</v>
      </c>
      <c r="CW87" t="str">
        <f>HYPERLINK("http://pfam.sanger.ac.uk/family?acc=PF09955","0.35")</f>
        <v>0.35</v>
      </c>
      <c r="CX87" s="4" t="str">
        <f>HYPERLINK("http://exon.niaid.nih.gov/transcriptome/C_felis/S1/links/SMART/cf-contig_2-SMART.txt","s48_45")</f>
        <v>s48_45</v>
      </c>
      <c r="CY87" t="str">
        <f>HYPERLINK("http://smart.embl-heidelberg.de/smart/do_annotation.pl?DOMAIN=s48_45&amp;BLAST=DUMMY","0.030")</f>
        <v>0.030</v>
      </c>
      <c r="CZ87" s="4" t="s">
        <v>42</v>
      </c>
      <c r="DA87" t="s">
        <v>42</v>
      </c>
      <c r="DB87" t="s">
        <v>42</v>
      </c>
      <c r="DC87" t="s">
        <v>42</v>
      </c>
      <c r="DD87" t="s">
        <v>42</v>
      </c>
      <c r="DE87" t="s">
        <v>42</v>
      </c>
      <c r="DF87" t="s">
        <v>42</v>
      </c>
      <c r="DG87" t="s">
        <v>42</v>
      </c>
      <c r="DH87" s="4" t="s">
        <v>42</v>
      </c>
      <c r="DI87" t="s">
        <v>42</v>
      </c>
      <c r="DJ87" s="4" t="s">
        <v>42</v>
      </c>
      <c r="DK87" t="s">
        <v>42</v>
      </c>
      <c r="DL87" s="4">
        <f t="shared" si="16"/>
        <v>2</v>
      </c>
      <c r="DM87">
        <f t="shared" si="17"/>
        <v>11</v>
      </c>
      <c r="DN87" s="4">
        <f t="shared" si="18"/>
        <v>1</v>
      </c>
      <c r="DO87">
        <f t="shared" si="19"/>
        <v>11</v>
      </c>
      <c r="DP87" s="4">
        <f t="shared" si="20"/>
        <v>1</v>
      </c>
      <c r="DQ87">
        <f t="shared" si="21"/>
        <v>11</v>
      </c>
      <c r="DR87" s="4">
        <f>HYPERLINK("http://exon.niaid.nih.gov/transcriptome/C_felis/S1/links/cluster/cf-5-36-asb45-50-Id-CLU1.txt", 1)</f>
        <v>1</v>
      </c>
      <c r="DS87">
        <f>HYPERLINK("http://exon.niaid.nih.gov/transcriptome/C_felis/S1/links/cluster/cf-5-36-asb45-50-Id-CLTL1.txt", 9)</f>
        <v>9</v>
      </c>
      <c r="DT87" s="4">
        <f>HYPERLINK("http://exon.niaid.nih.gov/transcriptome/C_felis/S1/links/cluster/cf-5-36-asb50-50-Id-CLU1.txt", 1)</f>
        <v>1</v>
      </c>
      <c r="DU87">
        <f>HYPERLINK("http://exon.niaid.nih.gov/transcriptome/C_felis/S1/links/cluster/cf-5-36-asb50-50-Id-CLTL1.txt", 8)</f>
        <v>8</v>
      </c>
      <c r="DV87" s="4">
        <f>HYPERLINK("http://exon.niaid.nih.gov/transcriptome/C_felis/S1/links/cluster/cf-5-36-asb55-50-Id-CLU6.txt", 6)</f>
        <v>6</v>
      </c>
      <c r="DW87">
        <f>HYPERLINK("http://exon.niaid.nih.gov/transcriptome/C_felis/S1/links/cluster/cf-5-36-asb55-50-Id-CLTL6.txt", 3)</f>
        <v>3</v>
      </c>
      <c r="DX87" s="4">
        <f>HYPERLINK("http://exon.niaid.nih.gov/transcriptome/C_felis/S1/links/cluster/cf-5-36-asb60-50-Id-CLU4.txt", 4)</f>
        <v>4</v>
      </c>
      <c r="DY87">
        <f>HYPERLINK("http://exon.niaid.nih.gov/transcriptome/C_felis/S1/links/cluster/cf-5-36-asb60-50-Id-CLTL4.txt", 3)</f>
        <v>3</v>
      </c>
      <c r="DZ87" s="4">
        <v>36</v>
      </c>
      <c r="EA87">
        <v>1</v>
      </c>
      <c r="EB87" s="4">
        <v>30</v>
      </c>
      <c r="EC87">
        <v>1</v>
      </c>
      <c r="ED87" s="4">
        <v>27</v>
      </c>
      <c r="EE87">
        <v>1</v>
      </c>
      <c r="EF87" s="4">
        <v>21</v>
      </c>
      <c r="EG87">
        <v>1</v>
      </c>
      <c r="EH87" s="4">
        <v>9</v>
      </c>
      <c r="EI87">
        <v>1</v>
      </c>
      <c r="EJ87" s="4">
        <v>2</v>
      </c>
      <c r="EK87">
        <v>1</v>
      </c>
    </row>
    <row r="88" spans="1:141" x14ac:dyDescent="0.2">
      <c r="A88" t="str">
        <f>HYPERLINK("http://exon.niaid.nih.gov/transcriptome/C_felis/S1/links/cf/cf-contig_5.txt","cf-contig_5")</f>
        <v>cf-contig_5</v>
      </c>
      <c r="B88">
        <v>10</v>
      </c>
      <c r="C88" s="10" t="s">
        <v>4598</v>
      </c>
      <c r="D88">
        <v>10</v>
      </c>
      <c r="E88" t="str">
        <f>HYPERLINK("http://exon.niaid.nih.gov/transcriptome/C_felis/S1/links/cf/cf-5-36-asb-5.txt","Contig-5")</f>
        <v>Contig-5</v>
      </c>
      <c r="F88" t="str">
        <f>HYPERLINK("http://exon.niaid.nih.gov/transcriptome/C_felis/S1/links/cf/cf-5-36-5-CLU.txt","Contig5")</f>
        <v>Contig5</v>
      </c>
      <c r="G88" t="str">
        <f>HYPERLINK("http://exon.niaid.nih.gov/transcriptome/C_felis/S1/links/cf/cf-5-36-5-qual.txt","65.")</f>
        <v>65.</v>
      </c>
      <c r="H88" t="s">
        <v>11</v>
      </c>
      <c r="I88">
        <v>75</v>
      </c>
      <c r="J88">
        <v>329</v>
      </c>
      <c r="K88" t="s">
        <v>12</v>
      </c>
      <c r="L88">
        <v>10</v>
      </c>
      <c r="M88" t="s">
        <v>17</v>
      </c>
      <c r="N88">
        <v>361</v>
      </c>
      <c r="O88">
        <v>352</v>
      </c>
      <c r="P88">
        <v>174</v>
      </c>
      <c r="Q88" t="s">
        <v>828</v>
      </c>
      <c r="R88">
        <v>1</v>
      </c>
      <c r="S88" s="7" t="str">
        <f>HYPERLINK("http://exon.niaid.nih.gov/transcriptome/C_felis/S1/links/Sigp/CF-CONTIG_5-SigP.txt","SIG")</f>
        <v>SIG</v>
      </c>
      <c r="T88" t="s">
        <v>4584</v>
      </c>
      <c r="U88">
        <v>10</v>
      </c>
      <c r="V88" s="4">
        <f t="shared" si="10"/>
        <v>2</v>
      </c>
      <c r="W88">
        <f t="shared" si="11"/>
        <v>11</v>
      </c>
      <c r="X88" s="4">
        <f t="shared" si="12"/>
        <v>1</v>
      </c>
      <c r="Y88">
        <f t="shared" si="13"/>
        <v>11</v>
      </c>
      <c r="Z88" s="4">
        <f t="shared" si="14"/>
        <v>1</v>
      </c>
      <c r="AA88">
        <f t="shared" si="15"/>
        <v>11</v>
      </c>
      <c r="AB88" s="4" t="str">
        <f>HYPERLINK("http://exon.niaid.nih.gov/transcriptome/C_felis/S1/links/XC-ASB/cf-contig_781-XC-ASB.txt","XC-contig_136")</f>
        <v>XC-contig_136</v>
      </c>
      <c r="AC88">
        <v>1.9999999999999999E-47</v>
      </c>
      <c r="AD88" s="10" t="s">
        <v>4598</v>
      </c>
      <c r="AE88" t="s">
        <v>4599</v>
      </c>
      <c r="AF88" t="str">
        <f>HYPERLINK("http://exon.niaid.nih.gov/transcriptome/C_felis/S1/links/Sigp/cf-contig_5-Sigp.txt","Sigp")</f>
        <v>Sigp</v>
      </c>
      <c r="AI88" s="4" t="str">
        <f>HYPERLINK("http://exon.niaid.nih.gov/transcriptome/C_felis/S1/links/NR/cf-contig_5-NR.txt","hypothetical protein PseP1_19907")</f>
        <v>hypothetical protein PseP1_19907</v>
      </c>
      <c r="AJ88" t="str">
        <f>HYPERLINK("http://www.ncbi.nlm.nih.gov/sutils/blink.cgi?pid=325001051","3.3")</f>
        <v>3.3</v>
      </c>
      <c r="AK88" t="str">
        <f>HYPERLINK("http://www.ncbi.nlm.nih.gov/protein/325001051","gi|325001051")</f>
        <v>gi|325001051</v>
      </c>
      <c r="AL88">
        <v>35.4</v>
      </c>
      <c r="AM88">
        <v>62</v>
      </c>
      <c r="AN88">
        <v>110</v>
      </c>
      <c r="AO88">
        <v>26</v>
      </c>
      <c r="AP88">
        <v>57</v>
      </c>
      <c r="AQ88">
        <v>46</v>
      </c>
      <c r="AR88">
        <v>0</v>
      </c>
      <c r="AS88">
        <v>36</v>
      </c>
      <c r="AT88">
        <v>28</v>
      </c>
      <c r="AU88">
        <v>1</v>
      </c>
      <c r="AV88">
        <v>1</v>
      </c>
      <c r="AW88" t="s">
        <v>12</v>
      </c>
      <c r="AX88">
        <v>1.613</v>
      </c>
      <c r="AY88" t="s">
        <v>1676</v>
      </c>
      <c r="AZ88" t="s">
        <v>1687</v>
      </c>
      <c r="BA88" s="4" t="str">
        <f>HYPERLINK("http://exon.niaid.nih.gov/transcriptome/C_felis/S1/links/SWISSP/cf-contig_5-SWISSP.txt","Formin-1")</f>
        <v>Formin-1</v>
      </c>
      <c r="BB88" t="str">
        <f>HYPERLINK("http://www.uniprot.org/uniprot/Q68DA7","4.0")</f>
        <v>4.0</v>
      </c>
      <c r="BC88" t="s">
        <v>1688</v>
      </c>
      <c r="BD88">
        <v>27.7</v>
      </c>
      <c r="BE88">
        <v>59</v>
      </c>
      <c r="BF88">
        <v>1419</v>
      </c>
      <c r="BG88">
        <v>44</v>
      </c>
      <c r="BH88">
        <v>4</v>
      </c>
      <c r="BI88">
        <v>14</v>
      </c>
      <c r="BJ88">
        <v>0</v>
      </c>
      <c r="BK88">
        <v>917</v>
      </c>
      <c r="BL88">
        <v>126</v>
      </c>
      <c r="BM88">
        <v>2</v>
      </c>
      <c r="BN88">
        <v>-3</v>
      </c>
      <c r="BO88" t="s">
        <v>1689</v>
      </c>
      <c r="BQ88" t="s">
        <v>1666</v>
      </c>
      <c r="BR88" t="s">
        <v>1690</v>
      </c>
      <c r="BS88" s="4" t="str">
        <f>HYPERLINK("http://exon.niaid.nih.gov/transcriptome/C_felis/S1/links/CDD/cf-contig_5-CDD.txt","PHA03367")</f>
        <v>PHA03367</v>
      </c>
      <c r="BT88" t="str">
        <f>HYPERLINK("http://www.ncbi.nlm.nih.gov/Structure/cdd/cddsrv.cgi?uid=PHA03367&amp;version=v4.0","0.14")</f>
        <v>0.14</v>
      </c>
      <c r="BU88" t="s">
        <v>1691</v>
      </c>
      <c r="BV88" s="4" t="s">
        <v>42</v>
      </c>
      <c r="BW88" t="s">
        <v>42</v>
      </c>
      <c r="BX88" t="s">
        <v>42</v>
      </c>
      <c r="BY88" t="s">
        <v>42</v>
      </c>
      <c r="BZ88" t="s">
        <v>42</v>
      </c>
      <c r="CA88" t="s">
        <v>42</v>
      </c>
      <c r="CB88" t="s">
        <v>42</v>
      </c>
      <c r="CC88" t="s">
        <v>42</v>
      </c>
      <c r="CD88" t="s">
        <v>42</v>
      </c>
      <c r="CE88" t="s">
        <v>42</v>
      </c>
      <c r="CF88" t="s">
        <v>42</v>
      </c>
      <c r="CG88" t="s">
        <v>42</v>
      </c>
      <c r="CH88" t="s">
        <v>42</v>
      </c>
      <c r="CI88" t="s">
        <v>42</v>
      </c>
      <c r="CJ88" t="s">
        <v>42</v>
      </c>
      <c r="CK88" t="s">
        <v>42</v>
      </c>
      <c r="CL88" t="s">
        <v>42</v>
      </c>
      <c r="CM88" t="s">
        <v>42</v>
      </c>
      <c r="CN88" t="s">
        <v>42</v>
      </c>
      <c r="CO88" t="s">
        <v>42</v>
      </c>
      <c r="CP88" t="s">
        <v>42</v>
      </c>
      <c r="CQ88" t="s">
        <v>42</v>
      </c>
      <c r="CR88" t="s">
        <v>42</v>
      </c>
      <c r="CS88" s="4" t="str">
        <f>HYPERLINK("http://exon.niaid.nih.gov/transcriptome/C_felis/S1/links/KOG/cf-contig_5-KOG.txt","CCAAT displacement protein and related homeoproteins")</f>
        <v>CCAAT displacement protein and related homeoproteins</v>
      </c>
      <c r="CT88" t="str">
        <f>HYPERLINK("http://www.ncbi.nlm.nih.gov/COG/grace/shokog.cgi?KOG2252","0.81")</f>
        <v>0.81</v>
      </c>
      <c r="CU88" t="s">
        <v>1692</v>
      </c>
      <c r="CV88" s="4" t="str">
        <f>HYPERLINK("http://exon.niaid.nih.gov/transcriptome/C_felis/S1/links/PFAM/cf-contig_5-PFAM.txt","AA_permease")</f>
        <v>AA_permease</v>
      </c>
      <c r="CW88" t="str">
        <f>HYPERLINK("http://pfam.sanger.ac.uk/family?acc=PF00324","0.037")</f>
        <v>0.037</v>
      </c>
      <c r="CX88" s="4" t="str">
        <f>HYPERLINK("http://exon.niaid.nih.gov/transcriptome/C_felis/S1/links/SMART/cf-contig_5-SMART.txt","Bgal_small_N")</f>
        <v>Bgal_small_N</v>
      </c>
      <c r="CY88" t="str">
        <f>HYPERLINK("http://smart.embl-heidelberg.de/smart/do_annotation.pl?DOMAIN=Bgal_small_N&amp;BLAST=DUMMY","0.084")</f>
        <v>0.084</v>
      </c>
      <c r="CZ88" s="4" t="s">
        <v>42</v>
      </c>
      <c r="DA88" t="s">
        <v>42</v>
      </c>
      <c r="DB88" t="s">
        <v>42</v>
      </c>
      <c r="DC88" t="s">
        <v>42</v>
      </c>
      <c r="DD88" t="s">
        <v>42</v>
      </c>
      <c r="DE88" t="s">
        <v>42</v>
      </c>
      <c r="DF88" t="s">
        <v>42</v>
      </c>
      <c r="DG88" t="s">
        <v>42</v>
      </c>
      <c r="DH88" s="4" t="s">
        <v>42</v>
      </c>
      <c r="DI88" t="s">
        <v>42</v>
      </c>
      <c r="DJ88" s="4" t="s">
        <v>42</v>
      </c>
      <c r="DK88" t="s">
        <v>42</v>
      </c>
      <c r="DL88" s="4">
        <f t="shared" si="16"/>
        <v>2</v>
      </c>
      <c r="DM88">
        <f t="shared" si="17"/>
        <v>11</v>
      </c>
      <c r="DN88" s="4">
        <f t="shared" si="18"/>
        <v>1</v>
      </c>
      <c r="DO88">
        <f t="shared" si="19"/>
        <v>11</v>
      </c>
      <c r="DP88" s="4">
        <f t="shared" si="20"/>
        <v>1</v>
      </c>
      <c r="DQ88">
        <f t="shared" si="21"/>
        <v>11</v>
      </c>
      <c r="DR88" s="4">
        <f>HYPERLINK("http://exon.niaid.nih.gov/transcriptome/C_felis/S1/links/cluster/cf-5-36-asb45-50-Id-CLU1.txt", 1)</f>
        <v>1</v>
      </c>
      <c r="DS88">
        <f>HYPERLINK("http://exon.niaid.nih.gov/transcriptome/C_felis/S1/links/cluster/cf-5-36-asb45-50-Id-CLTL1.txt", 9)</f>
        <v>9</v>
      </c>
      <c r="DT88" s="4">
        <f>HYPERLINK("http://exon.niaid.nih.gov/transcriptome/C_felis/S1/links/cluster/cf-5-36-asb50-50-Id-CLU1.txt", 1)</f>
        <v>1</v>
      </c>
      <c r="DU88">
        <f>HYPERLINK("http://exon.niaid.nih.gov/transcriptome/C_felis/S1/links/cluster/cf-5-36-asb50-50-Id-CLTL1.txt", 8)</f>
        <v>8</v>
      </c>
      <c r="DV88" s="4">
        <f>HYPERLINK("http://exon.niaid.nih.gov/transcriptome/C_felis/S1/links/cluster/cf-5-36-asb55-50-Id-CLU6.txt", 6)</f>
        <v>6</v>
      </c>
      <c r="DW88">
        <f>HYPERLINK("http://exon.niaid.nih.gov/transcriptome/C_felis/S1/links/cluster/cf-5-36-asb55-50-Id-CLTL6.txt", 3)</f>
        <v>3</v>
      </c>
      <c r="DX88" s="4">
        <f>HYPERLINK("http://exon.niaid.nih.gov/transcriptome/C_felis/S1/links/cluster/cf-5-36-asb60-50-Id-CLU4.txt", 4)</f>
        <v>4</v>
      </c>
      <c r="DY88">
        <f>HYPERLINK("http://exon.niaid.nih.gov/transcriptome/C_felis/S1/links/cluster/cf-5-36-asb60-50-Id-CLTL4.txt", 3)</f>
        <v>3</v>
      </c>
      <c r="DZ88" s="4">
        <v>39</v>
      </c>
      <c r="EA88">
        <v>1</v>
      </c>
      <c r="EB88" s="4">
        <v>33</v>
      </c>
      <c r="EC88">
        <v>1</v>
      </c>
      <c r="ED88" s="4">
        <v>30</v>
      </c>
      <c r="EE88">
        <v>1</v>
      </c>
      <c r="EF88" s="4">
        <v>24</v>
      </c>
      <c r="EG88">
        <v>1</v>
      </c>
      <c r="EH88" s="4">
        <v>12</v>
      </c>
      <c r="EI88">
        <v>1</v>
      </c>
      <c r="EJ88" s="4">
        <v>5</v>
      </c>
      <c r="EK88">
        <v>1</v>
      </c>
    </row>
    <row r="89" spans="1:141" x14ac:dyDescent="0.2">
      <c r="A89" t="str">
        <f>HYPERLINK("http://exon.niaid.nih.gov/transcriptome/C_felis/S1/links/cf/cf-contig_6.txt","cf-contig_6")</f>
        <v>cf-contig_6</v>
      </c>
      <c r="B89">
        <v>19</v>
      </c>
      <c r="C89" s="10" t="s">
        <v>4598</v>
      </c>
      <c r="D89">
        <v>19</v>
      </c>
      <c r="E89" t="str">
        <f>HYPERLINK("http://exon.niaid.nih.gov/transcriptome/C_felis/S1/links/cf/cf-5-36-asb-6.txt","Contig-6")</f>
        <v>Contig-6</v>
      </c>
      <c r="F89" t="str">
        <f>HYPERLINK("http://exon.niaid.nih.gov/transcriptome/C_felis/S1/links/cf/cf-5-36-6-CLU.txt","Contig6")</f>
        <v>Contig6</v>
      </c>
      <c r="G89" t="str">
        <f>HYPERLINK("http://exon.niaid.nih.gov/transcriptome/C_felis/S1/links/cf/cf-5-36-6-qual.txt","82.8")</f>
        <v>82.8</v>
      </c>
      <c r="H89" t="s">
        <v>11</v>
      </c>
      <c r="I89">
        <v>75.7</v>
      </c>
      <c r="J89">
        <v>317</v>
      </c>
      <c r="K89" t="s">
        <v>12</v>
      </c>
      <c r="L89">
        <v>19</v>
      </c>
      <c r="M89" t="s">
        <v>18</v>
      </c>
      <c r="N89">
        <v>329</v>
      </c>
      <c r="O89">
        <v>341</v>
      </c>
      <c r="P89">
        <v>153</v>
      </c>
      <c r="Q89" t="s">
        <v>829</v>
      </c>
      <c r="R89">
        <v>1</v>
      </c>
      <c r="S89" s="7" t="str">
        <f>HYPERLINK("http://exon.niaid.nih.gov/transcriptome/C_felis/S1/links/Sigp/CF-CONTIG_6-SigP.txt","SIG")</f>
        <v>SIG</v>
      </c>
      <c r="T89" t="s">
        <v>4584</v>
      </c>
      <c r="U89">
        <v>19</v>
      </c>
      <c r="V89" s="4">
        <f t="shared" si="10"/>
        <v>2</v>
      </c>
      <c r="W89">
        <f t="shared" si="11"/>
        <v>11</v>
      </c>
      <c r="X89" s="4">
        <f t="shared" si="12"/>
        <v>1</v>
      </c>
      <c r="Y89">
        <f t="shared" si="13"/>
        <v>11</v>
      </c>
      <c r="Z89" s="4">
        <f t="shared" si="14"/>
        <v>1</v>
      </c>
      <c r="AA89">
        <f t="shared" si="15"/>
        <v>11</v>
      </c>
      <c r="AB89" s="4" t="str">
        <f>HYPERLINK("http://exon.niaid.nih.gov/transcriptome/C_felis/S1/links/XC-ASB/cf-contig_123-XC-ASB.txt","XC-contig_69")</f>
        <v>XC-contig_69</v>
      </c>
      <c r="AC89">
        <v>1.9999999999999999E-7</v>
      </c>
      <c r="AD89" s="10" t="s">
        <v>4598</v>
      </c>
      <c r="AE89" t="s">
        <v>4599</v>
      </c>
      <c r="AF89" t="str">
        <f>HYPERLINK("http://exon.niaid.nih.gov/transcriptome/C_felis/S1/links/Sigp/cf-contig_6-Sigp.txt","Sigp")</f>
        <v>Sigp</v>
      </c>
      <c r="AI89" s="4" t="str">
        <f>HYPERLINK("http://exon.niaid.nih.gov/transcriptome/C_felis/S1/links/NR/cf-contig_6-NR.txt","hypothetical protein pc0820")</f>
        <v>hypothetical protein pc0820</v>
      </c>
      <c r="AJ89" t="str">
        <f>HYPERLINK("http://www.ncbi.nlm.nih.gov/sutils/blink.cgi?pid=46446454","3.2")</f>
        <v>3.2</v>
      </c>
      <c r="AK89" t="str">
        <f>HYPERLINK("http://www.ncbi.nlm.nih.gov/protein/46446454","gi|46446454")</f>
        <v>gi|46446454</v>
      </c>
      <c r="AL89">
        <v>35.4</v>
      </c>
      <c r="AM89">
        <v>51</v>
      </c>
      <c r="AN89">
        <v>358</v>
      </c>
      <c r="AO89">
        <v>32</v>
      </c>
      <c r="AP89">
        <v>15</v>
      </c>
      <c r="AQ89">
        <v>44</v>
      </c>
      <c r="AR89">
        <v>3</v>
      </c>
      <c r="AS89">
        <v>292</v>
      </c>
      <c r="AT89">
        <v>112</v>
      </c>
      <c r="AU89">
        <v>1</v>
      </c>
      <c r="AV89">
        <v>-3</v>
      </c>
      <c r="AW89" t="s">
        <v>12</v>
      </c>
      <c r="AX89">
        <v>1.9610000000000001</v>
      </c>
      <c r="AY89" t="s">
        <v>1666</v>
      </c>
      <c r="AZ89" t="s">
        <v>1693</v>
      </c>
      <c r="BA89" s="4" t="str">
        <f>HYPERLINK("http://exon.niaid.nih.gov/transcriptome/C_felis/S1/links/SWISSP/cf-contig_6-SWISSP.txt","Nucleoporin nup132")</f>
        <v>Nucleoporin nup132</v>
      </c>
      <c r="BB89" t="str">
        <f>HYPERLINK("http://www.uniprot.org/uniprot/Q9UTH0","1.6")</f>
        <v>1.6</v>
      </c>
      <c r="BC89" t="s">
        <v>1694</v>
      </c>
      <c r="BD89">
        <v>31.6</v>
      </c>
      <c r="BE89">
        <v>60</v>
      </c>
      <c r="BF89">
        <v>1162</v>
      </c>
      <c r="BG89">
        <v>30</v>
      </c>
      <c r="BH89">
        <v>5</v>
      </c>
      <c r="BI89">
        <v>44</v>
      </c>
      <c r="BJ89">
        <v>0</v>
      </c>
      <c r="BK89">
        <v>304</v>
      </c>
      <c r="BL89">
        <v>112</v>
      </c>
      <c r="BM89">
        <v>1</v>
      </c>
      <c r="BN89">
        <v>-3</v>
      </c>
      <c r="BO89" t="s">
        <v>12</v>
      </c>
      <c r="BP89">
        <v>1.667</v>
      </c>
      <c r="BQ89" t="s">
        <v>1666</v>
      </c>
      <c r="BR89" t="s">
        <v>1695</v>
      </c>
      <c r="BS89" s="4" t="str">
        <f>HYPERLINK("http://exon.niaid.nih.gov/transcriptome/C_felis/S1/links/CDD/cf-contig_6-CDD.txt","fliP")</f>
        <v>fliP</v>
      </c>
      <c r="BT89" t="str">
        <f>HYPERLINK("http://www.ncbi.nlm.nih.gov/Structure/cdd/cddsrv.cgi?uid=TIGR01103&amp;version=v4.0","0.65")</f>
        <v>0.65</v>
      </c>
      <c r="BU89" t="s">
        <v>1696</v>
      </c>
      <c r="BV89" s="4" t="s">
        <v>42</v>
      </c>
      <c r="BW89" t="s">
        <v>42</v>
      </c>
      <c r="BX89" t="s">
        <v>42</v>
      </c>
      <c r="BY89" t="s">
        <v>42</v>
      </c>
      <c r="BZ89" t="s">
        <v>42</v>
      </c>
      <c r="CA89" t="s">
        <v>42</v>
      </c>
      <c r="CB89" t="s">
        <v>42</v>
      </c>
      <c r="CC89" t="s">
        <v>42</v>
      </c>
      <c r="CD89" t="s">
        <v>42</v>
      </c>
      <c r="CE89" t="s">
        <v>42</v>
      </c>
      <c r="CF89" t="s">
        <v>42</v>
      </c>
      <c r="CG89" t="s">
        <v>42</v>
      </c>
      <c r="CH89" t="s">
        <v>42</v>
      </c>
      <c r="CI89" t="s">
        <v>42</v>
      </c>
      <c r="CJ89" t="s">
        <v>42</v>
      </c>
      <c r="CK89" t="s">
        <v>42</v>
      </c>
      <c r="CL89" t="s">
        <v>42</v>
      </c>
      <c r="CM89" t="s">
        <v>42</v>
      </c>
      <c r="CN89" t="s">
        <v>42</v>
      </c>
      <c r="CO89" t="s">
        <v>42</v>
      </c>
      <c r="CP89" t="s">
        <v>42</v>
      </c>
      <c r="CQ89" t="s">
        <v>42</v>
      </c>
      <c r="CR89" t="s">
        <v>42</v>
      </c>
      <c r="CS89" s="4" t="str">
        <f>HYPERLINK("http://exon.niaid.nih.gov/transcriptome/C_felis/S1/links/KOG/cf-contig_6-KOG.txt","Cytochrome P450 CYP4/CYP19/CYP26 subfamilies")</f>
        <v>Cytochrome P450 CYP4/CYP19/CYP26 subfamilies</v>
      </c>
      <c r="CT89" t="str">
        <f>HYPERLINK("http://www.ncbi.nlm.nih.gov/COG/grace/shokog.cgi?KOG0157","0.062")</f>
        <v>0.062</v>
      </c>
      <c r="CU89" t="s">
        <v>1697</v>
      </c>
      <c r="CV89" s="4" t="str">
        <f>HYPERLINK("http://exon.niaid.nih.gov/transcriptome/C_felis/S1/links/PFAM/cf-contig_6-PFAM.txt","DUF790")</f>
        <v>DUF790</v>
      </c>
      <c r="CW89" t="str">
        <f>HYPERLINK("http://pfam.sanger.ac.uk/family?acc=PF05626","0.25")</f>
        <v>0.25</v>
      </c>
      <c r="CX89" s="4" t="str">
        <f>HYPERLINK("http://exon.niaid.nih.gov/transcriptome/C_felis/S1/links/SMART/cf-contig_6-SMART.txt","TLC")</f>
        <v>TLC</v>
      </c>
      <c r="CY89" t="str">
        <f>HYPERLINK("http://smart.embl-heidelberg.de/smart/do_annotation.pl?DOMAIN=TLC&amp;BLAST=DUMMY","0.13")</f>
        <v>0.13</v>
      </c>
      <c r="CZ89" s="4" t="s">
        <v>42</v>
      </c>
      <c r="DA89" t="s">
        <v>42</v>
      </c>
      <c r="DB89" t="s">
        <v>42</v>
      </c>
      <c r="DC89" t="s">
        <v>42</v>
      </c>
      <c r="DD89" t="s">
        <v>42</v>
      </c>
      <c r="DE89" t="s">
        <v>42</v>
      </c>
      <c r="DF89" t="s">
        <v>42</v>
      </c>
      <c r="DG89" t="s">
        <v>42</v>
      </c>
      <c r="DH89" s="4" t="s">
        <v>42</v>
      </c>
      <c r="DI89" t="s">
        <v>42</v>
      </c>
      <c r="DJ89" s="4" t="s">
        <v>42</v>
      </c>
      <c r="DK89" t="s">
        <v>42</v>
      </c>
      <c r="DL89" s="4">
        <f t="shared" si="16"/>
        <v>2</v>
      </c>
      <c r="DM89">
        <f t="shared" si="17"/>
        <v>11</v>
      </c>
      <c r="DN89" s="4">
        <f t="shared" si="18"/>
        <v>1</v>
      </c>
      <c r="DO89">
        <f t="shared" si="19"/>
        <v>11</v>
      </c>
      <c r="DP89" s="4">
        <f t="shared" si="20"/>
        <v>1</v>
      </c>
      <c r="DQ89">
        <f t="shared" si="21"/>
        <v>11</v>
      </c>
      <c r="DR89" s="4">
        <f>HYPERLINK("http://exon.niaid.nih.gov/transcriptome/C_felis/S1/links/cluster/cf-5-36-asb45-50-Id-CLU1.txt", 1)</f>
        <v>1</v>
      </c>
      <c r="DS89">
        <f>HYPERLINK("http://exon.niaid.nih.gov/transcriptome/C_felis/S1/links/cluster/cf-5-36-asb45-50-Id-CLTL1.txt", 9)</f>
        <v>9</v>
      </c>
      <c r="DT89" s="4">
        <f>HYPERLINK("http://exon.niaid.nih.gov/transcriptome/C_felis/S1/links/cluster/cf-5-36-asb50-50-Id-CLU1.txt", 1)</f>
        <v>1</v>
      </c>
      <c r="DU89">
        <f>HYPERLINK("http://exon.niaid.nih.gov/transcriptome/C_felis/S1/links/cluster/cf-5-36-asb50-50-Id-CLTL1.txt", 8)</f>
        <v>8</v>
      </c>
      <c r="DV89" s="4">
        <f>HYPERLINK("http://exon.niaid.nih.gov/transcriptome/C_felis/S1/links/cluster/cf-5-36-asb55-50-Id-CLU6.txt", 6)</f>
        <v>6</v>
      </c>
      <c r="DW89">
        <f>HYPERLINK("http://exon.niaid.nih.gov/transcriptome/C_felis/S1/links/cluster/cf-5-36-asb55-50-Id-CLTL6.txt", 3)</f>
        <v>3</v>
      </c>
      <c r="DX89" s="4">
        <f>HYPERLINK("http://exon.niaid.nih.gov/transcriptome/C_felis/S1/links/cluster/cf-5-36-asb60-50-Id-CLU4.txt", 4)</f>
        <v>4</v>
      </c>
      <c r="DY89">
        <f>HYPERLINK("http://exon.niaid.nih.gov/transcriptome/C_felis/S1/links/cluster/cf-5-36-asb60-50-Id-CLTL4.txt", 3)</f>
        <v>3</v>
      </c>
      <c r="DZ89" s="4">
        <v>40</v>
      </c>
      <c r="EA89">
        <v>1</v>
      </c>
      <c r="EB89" s="4">
        <v>34</v>
      </c>
      <c r="EC89">
        <v>1</v>
      </c>
      <c r="ED89" s="4">
        <v>31</v>
      </c>
      <c r="EE89">
        <v>1</v>
      </c>
      <c r="EF89" s="4">
        <v>25</v>
      </c>
      <c r="EG89">
        <v>1</v>
      </c>
      <c r="EH89" s="4">
        <v>13</v>
      </c>
      <c r="EI89">
        <v>1</v>
      </c>
      <c r="EJ89" s="4">
        <v>6</v>
      </c>
      <c r="EK89">
        <v>1</v>
      </c>
    </row>
    <row r="90" spans="1:141" x14ac:dyDescent="0.2">
      <c r="A90" t="str">
        <f>HYPERLINK("http://exon.niaid.nih.gov/transcriptome/C_felis/S1/links/cf/cf-contig_7.txt","cf-contig_7")</f>
        <v>cf-contig_7</v>
      </c>
      <c r="B90">
        <v>30</v>
      </c>
      <c r="C90" s="10" t="s">
        <v>4598</v>
      </c>
      <c r="D90">
        <v>30</v>
      </c>
      <c r="E90" t="str">
        <f>HYPERLINK("http://exon.niaid.nih.gov/transcriptome/C_felis/S1/links/cf/cf-5-36-asb-7.txt","Contig-7")</f>
        <v>Contig-7</v>
      </c>
      <c r="F90" t="str">
        <f>HYPERLINK("http://exon.niaid.nih.gov/transcriptome/C_felis/S1/links/cf/cf-5-36-7-CLU.txt","Contig7")</f>
        <v>Contig7</v>
      </c>
      <c r="G90" t="str">
        <f>HYPERLINK("http://exon.niaid.nih.gov/transcriptome/C_felis/S1/links/cf/cf-5-36-7-qual.txt","75.1")</f>
        <v>75.1</v>
      </c>
      <c r="H90" t="s">
        <v>11</v>
      </c>
      <c r="I90">
        <v>73</v>
      </c>
      <c r="J90">
        <v>542</v>
      </c>
      <c r="K90" t="s">
        <v>12</v>
      </c>
      <c r="L90">
        <v>30</v>
      </c>
      <c r="M90" t="s">
        <v>19</v>
      </c>
      <c r="N90">
        <v>542</v>
      </c>
      <c r="O90">
        <v>562</v>
      </c>
      <c r="P90">
        <v>357</v>
      </c>
      <c r="Q90" t="s">
        <v>830</v>
      </c>
      <c r="R90">
        <v>3</v>
      </c>
      <c r="S90" s="7" t="str">
        <f>HYPERLINK("http://exon.niaid.nih.gov/transcriptome/C_felis/S1/links/Sigp/CF-CONTIG_7-SigP.txt","SIG")</f>
        <v>SIG</v>
      </c>
      <c r="T90" t="s">
        <v>4584</v>
      </c>
      <c r="U90">
        <v>30</v>
      </c>
      <c r="V90" s="4">
        <f t="shared" si="10"/>
        <v>2</v>
      </c>
      <c r="W90">
        <f t="shared" si="11"/>
        <v>11</v>
      </c>
      <c r="X90" s="4">
        <f t="shared" si="12"/>
        <v>1</v>
      </c>
      <c r="Y90">
        <f t="shared" si="13"/>
        <v>11</v>
      </c>
      <c r="Z90" s="4">
        <f t="shared" si="14"/>
        <v>1</v>
      </c>
      <c r="AA90">
        <f t="shared" si="15"/>
        <v>11</v>
      </c>
      <c r="AB90" s="4" t="str">
        <f>HYPERLINK("http://exon.niaid.nih.gov/transcriptome/C_felis/S1/links/XC-ASB/cf-contig_402-XC-ASB.txt","XC-contig_6")</f>
        <v>XC-contig_6</v>
      </c>
      <c r="AC90">
        <v>1.0000000000000001E-5</v>
      </c>
      <c r="AD90" s="10" t="s">
        <v>4598</v>
      </c>
      <c r="AE90" t="s">
        <v>4599</v>
      </c>
      <c r="AF90" t="str">
        <f>HYPERLINK("http://exon.niaid.nih.gov/transcriptome/C_felis/S1/links/Sigp/cf-contig_7-Sigp.txt","Sigp")</f>
        <v>Sigp</v>
      </c>
      <c r="AI90" s="4" t="str">
        <f>HYPERLINK("http://exon.niaid.nih.gov/transcriptome/C_felis/S1/links/NR/cf-contig_7-NR.txt","predicted protein")</f>
        <v>predicted protein</v>
      </c>
      <c r="AJ90" t="str">
        <f>HYPERLINK("http://www.ncbi.nlm.nih.gov/sutils/blink.cgi?pid=297832456","8E-008")</f>
        <v>8E-008</v>
      </c>
      <c r="AK90" t="str">
        <f>HYPERLINK("http://www.ncbi.nlm.nih.gov/protein/297832456","gi|297832456")</f>
        <v>gi|297832456</v>
      </c>
      <c r="AL90">
        <v>61.2</v>
      </c>
      <c r="AM90">
        <v>111</v>
      </c>
      <c r="AN90">
        <v>112</v>
      </c>
      <c r="AO90">
        <v>40</v>
      </c>
      <c r="AP90">
        <v>100</v>
      </c>
      <c r="AQ90">
        <v>52</v>
      </c>
      <c r="AR90">
        <v>0</v>
      </c>
      <c r="AS90">
        <v>1</v>
      </c>
      <c r="AT90">
        <v>12</v>
      </c>
      <c r="AU90">
        <v>3</v>
      </c>
      <c r="AV90">
        <v>-3</v>
      </c>
      <c r="AW90" t="s">
        <v>1689</v>
      </c>
      <c r="AX90">
        <v>1.802</v>
      </c>
      <c r="AY90" t="s">
        <v>1666</v>
      </c>
      <c r="AZ90" t="s">
        <v>1698</v>
      </c>
      <c r="BA90" s="4" t="str">
        <f>HYPERLINK("http://exon.niaid.nih.gov/transcriptome/C_felis/S1/links/SWISSP/cf-contig_7-SWISSP.txt","Uncharacterized mitochondrial protein ORF4")</f>
        <v>Uncharacterized mitochondrial protein ORF4</v>
      </c>
      <c r="BB90" t="str">
        <f>HYPERLINK("http://www.uniprot.org/uniprot/P15605","7E-004")</f>
        <v>7E-004</v>
      </c>
      <c r="BC90" t="s">
        <v>1699</v>
      </c>
      <c r="BD90">
        <v>43.9</v>
      </c>
      <c r="BE90">
        <v>119</v>
      </c>
      <c r="BF90">
        <v>156</v>
      </c>
      <c r="BG90">
        <v>30</v>
      </c>
      <c r="BH90">
        <v>77</v>
      </c>
      <c r="BI90">
        <v>76</v>
      </c>
      <c r="BJ90">
        <v>13</v>
      </c>
      <c r="BK90">
        <v>22</v>
      </c>
      <c r="BL90">
        <v>18</v>
      </c>
      <c r="BM90">
        <v>3</v>
      </c>
      <c r="BN90">
        <v>-3</v>
      </c>
      <c r="BO90" t="s">
        <v>1689</v>
      </c>
      <c r="BP90">
        <v>1.681</v>
      </c>
      <c r="BQ90" t="s">
        <v>1666</v>
      </c>
      <c r="BR90" t="s">
        <v>1700</v>
      </c>
      <c r="BS90" s="4" t="str">
        <f>HYPERLINK("http://exon.niaid.nih.gov/transcriptome/C_felis/S1/links/CDD/cf-contig_7-CDD.txt","ND5")</f>
        <v>ND5</v>
      </c>
      <c r="BT90" t="str">
        <f>HYPERLINK("http://www.ncbi.nlm.nih.gov/Structure/cdd/cddsrv.cgi?uid=MTH00095&amp;version=v4.0","4E-006")</f>
        <v>4E-006</v>
      </c>
      <c r="BU90" t="s">
        <v>1701</v>
      </c>
      <c r="BV90" s="4" t="s">
        <v>42</v>
      </c>
      <c r="BW90" t="s">
        <v>42</v>
      </c>
      <c r="BX90" t="s">
        <v>42</v>
      </c>
      <c r="BY90" t="s">
        <v>42</v>
      </c>
      <c r="BZ90" t="s">
        <v>42</v>
      </c>
      <c r="CA90" t="s">
        <v>42</v>
      </c>
      <c r="CB90" t="s">
        <v>42</v>
      </c>
      <c r="CC90" t="s">
        <v>42</v>
      </c>
      <c r="CD90" t="s">
        <v>42</v>
      </c>
      <c r="CE90" t="s">
        <v>42</v>
      </c>
      <c r="CF90" t="s">
        <v>42</v>
      </c>
      <c r="CG90" t="s">
        <v>42</v>
      </c>
      <c r="CH90" t="s">
        <v>42</v>
      </c>
      <c r="CI90" t="s">
        <v>42</v>
      </c>
      <c r="CJ90" t="s">
        <v>42</v>
      </c>
      <c r="CK90" t="s">
        <v>42</v>
      </c>
      <c r="CL90" t="s">
        <v>42</v>
      </c>
      <c r="CM90" t="s">
        <v>42</v>
      </c>
      <c r="CN90" t="s">
        <v>42</v>
      </c>
      <c r="CO90" t="s">
        <v>42</v>
      </c>
      <c r="CP90" t="s">
        <v>42</v>
      </c>
      <c r="CQ90" t="s">
        <v>42</v>
      </c>
      <c r="CR90" t="s">
        <v>42</v>
      </c>
      <c r="CS90" s="4" t="str">
        <f>HYPERLINK("http://exon.niaid.nih.gov/transcriptome/C_felis/S1/links/KOG/cf-contig_7-KOG.txt","Voltage-gated Ca2+ channels, alpha1 subunits")</f>
        <v>Voltage-gated Ca2+ channels, alpha1 subunits</v>
      </c>
      <c r="CT90" t="str">
        <f>HYPERLINK("http://www.ncbi.nlm.nih.gov/COG/grace/shokog.cgi?KOG2301","4E-004")</f>
        <v>4E-004</v>
      </c>
      <c r="CU90" t="s">
        <v>1702</v>
      </c>
      <c r="CV90" s="4" t="str">
        <f>HYPERLINK("http://exon.niaid.nih.gov/transcriptome/C_felis/S1/links/PFAM/cf-contig_7-PFAM.txt","DUF2074")</f>
        <v>DUF2074</v>
      </c>
      <c r="CW90" t="str">
        <f>HYPERLINK("http://pfam.sanger.ac.uk/family?acc=PF09847","4E-006")</f>
        <v>4E-006</v>
      </c>
      <c r="CX90" s="4" t="str">
        <f>HYPERLINK("http://exon.niaid.nih.gov/transcriptome/C_felis/S1/links/SMART/cf-contig_7-SMART.txt","AgrB")</f>
        <v>AgrB</v>
      </c>
      <c r="CY90" t="str">
        <f>HYPERLINK("http://smart.embl-heidelberg.de/smart/do_annotation.pl?DOMAIN=AgrB&amp;BLAST=DUMMY","3E-005")</f>
        <v>3E-005</v>
      </c>
      <c r="CZ90" s="4" t="s">
        <v>42</v>
      </c>
      <c r="DA90" t="s">
        <v>42</v>
      </c>
      <c r="DB90" t="s">
        <v>42</v>
      </c>
      <c r="DC90" t="s">
        <v>42</v>
      </c>
      <c r="DD90" t="s">
        <v>42</v>
      </c>
      <c r="DE90" t="s">
        <v>42</v>
      </c>
      <c r="DF90" t="s">
        <v>42</v>
      </c>
      <c r="DG90" t="s">
        <v>42</v>
      </c>
      <c r="DH90" s="4" t="s">
        <v>42</v>
      </c>
      <c r="DI90" t="s">
        <v>42</v>
      </c>
      <c r="DJ90" s="4" t="s">
        <v>42</v>
      </c>
      <c r="DK90" t="s">
        <v>42</v>
      </c>
      <c r="DL90" s="4">
        <f t="shared" si="16"/>
        <v>2</v>
      </c>
      <c r="DM90">
        <f t="shared" si="17"/>
        <v>11</v>
      </c>
      <c r="DN90" s="4">
        <f t="shared" si="18"/>
        <v>1</v>
      </c>
      <c r="DO90">
        <f t="shared" si="19"/>
        <v>11</v>
      </c>
      <c r="DP90" s="4">
        <f t="shared" si="20"/>
        <v>1</v>
      </c>
      <c r="DQ90">
        <f t="shared" si="21"/>
        <v>11</v>
      </c>
      <c r="DR90" s="4">
        <v>69</v>
      </c>
      <c r="DS90">
        <v>1</v>
      </c>
      <c r="DT90" s="4">
        <v>60</v>
      </c>
      <c r="DU90">
        <v>1</v>
      </c>
      <c r="DV90" s="4">
        <v>55</v>
      </c>
      <c r="DW90">
        <v>1</v>
      </c>
      <c r="DX90" s="4">
        <v>47</v>
      </c>
      <c r="DY90">
        <v>1</v>
      </c>
      <c r="DZ90" s="4">
        <v>41</v>
      </c>
      <c r="EA90">
        <v>1</v>
      </c>
      <c r="EB90" s="4">
        <v>35</v>
      </c>
      <c r="EC90">
        <v>1</v>
      </c>
      <c r="ED90" s="4">
        <v>32</v>
      </c>
      <c r="EE90">
        <v>1</v>
      </c>
      <c r="EF90" s="4">
        <v>26</v>
      </c>
      <c r="EG90">
        <v>1</v>
      </c>
      <c r="EH90" s="4">
        <v>14</v>
      </c>
      <c r="EI90">
        <v>1</v>
      </c>
      <c r="EJ90" s="4">
        <v>7</v>
      </c>
      <c r="EK90">
        <v>1</v>
      </c>
    </row>
    <row r="91" spans="1:141" x14ac:dyDescent="0.2">
      <c r="A91" t="str">
        <f>HYPERLINK("http://exon.niaid.nih.gov/transcriptome/C_felis/S1/links/cf/cf-contig_10.txt","cf-contig_10")</f>
        <v>cf-contig_10</v>
      </c>
      <c r="B91">
        <v>1</v>
      </c>
      <c r="C91" s="10" t="s">
        <v>4598</v>
      </c>
      <c r="D91">
        <v>1</v>
      </c>
      <c r="E91" t="str">
        <f>HYPERLINK("http://exon.niaid.nih.gov/transcriptome/C_felis/S1/links/cf/cf-5-36-asb-10.txt","Contig-10")</f>
        <v>Contig-10</v>
      </c>
      <c r="F91" t="str">
        <f>HYPERLINK("http://exon.niaid.nih.gov/transcriptome/C_felis/S1/links/cf/cf-5-36-10-CLU.txt","Contig10")</f>
        <v>Contig10</v>
      </c>
      <c r="G91" t="str">
        <f>HYPERLINK("http://exon.niaid.nih.gov/transcriptome/C_felis/S1/links/cf/cf-5-36-10-qual.txt","64.2")</f>
        <v>64.2</v>
      </c>
      <c r="H91" t="s">
        <v>11</v>
      </c>
      <c r="I91">
        <v>73.400000000000006</v>
      </c>
      <c r="J91">
        <v>331</v>
      </c>
      <c r="K91" t="s">
        <v>12</v>
      </c>
      <c r="L91">
        <v>1</v>
      </c>
      <c r="M91" t="s">
        <v>22</v>
      </c>
      <c r="N91">
        <v>331</v>
      </c>
      <c r="O91">
        <v>350</v>
      </c>
      <c r="P91">
        <v>150</v>
      </c>
      <c r="Q91" t="s">
        <v>833</v>
      </c>
      <c r="R91">
        <v>1</v>
      </c>
      <c r="S91" s="7" t="str">
        <f>HYPERLINK("http://exon.niaid.nih.gov/transcriptome/C_felis/S1/links/Sigp/CF-CONTIG_10-SigP.txt","SIG")</f>
        <v>SIG</v>
      </c>
      <c r="T91" t="s">
        <v>4584</v>
      </c>
      <c r="U91">
        <v>1</v>
      </c>
      <c r="V91" s="4">
        <f t="shared" si="10"/>
        <v>2</v>
      </c>
      <c r="W91">
        <f t="shared" si="11"/>
        <v>11</v>
      </c>
      <c r="X91" s="4">
        <f t="shared" si="12"/>
        <v>1</v>
      </c>
      <c r="Y91">
        <f t="shared" si="13"/>
        <v>11</v>
      </c>
      <c r="Z91" s="4">
        <f t="shared" si="14"/>
        <v>1</v>
      </c>
      <c r="AA91">
        <f t="shared" si="15"/>
        <v>11</v>
      </c>
      <c r="AB91" s="4" t="str">
        <f>HYPERLINK("http://exon.niaid.nih.gov/transcriptome/C_felis/S1/links/XC-ASB/cf-contig_423-XC-ASB.txt","XC-contig_7")</f>
        <v>XC-contig_7</v>
      </c>
      <c r="AC91">
        <v>2.0000000000000002E-5</v>
      </c>
      <c r="AD91" s="10" t="s">
        <v>4598</v>
      </c>
      <c r="AE91" t="s">
        <v>4599</v>
      </c>
      <c r="AF91" t="str">
        <f>HYPERLINK("http://exon.niaid.nih.gov/transcriptome/C_felis/S1/links/Sigp/cf-contig_10-Sigp.txt","Sigp")</f>
        <v>Sigp</v>
      </c>
      <c r="AI91" s="4" t="str">
        <f>HYPERLINK("http://exon.niaid.nih.gov/transcriptome/C_felis/S1/links/NR/cf-contig_10-NR.txt","Wiskott-Aldrich syndrome protein")</f>
        <v>Wiskott-Aldrich syndrome protein</v>
      </c>
      <c r="AJ91" t="str">
        <f>HYPERLINK("http://www.ncbi.nlm.nih.gov/sutils/blink.cgi?pid=307208674","1.9")</f>
        <v>1.9</v>
      </c>
      <c r="AK91" t="str">
        <f>HYPERLINK("http://www.ncbi.nlm.nih.gov/protein/307208674","gi|307208674")</f>
        <v>gi|307208674</v>
      </c>
      <c r="AL91">
        <v>36.200000000000003</v>
      </c>
      <c r="AM91">
        <v>47</v>
      </c>
      <c r="AN91">
        <v>467</v>
      </c>
      <c r="AO91">
        <v>36</v>
      </c>
      <c r="AP91">
        <v>10</v>
      </c>
      <c r="AQ91">
        <v>35</v>
      </c>
      <c r="AR91">
        <v>0</v>
      </c>
      <c r="AS91">
        <v>388</v>
      </c>
      <c r="AT91">
        <v>57</v>
      </c>
      <c r="AU91">
        <v>1</v>
      </c>
      <c r="AV91">
        <v>-1</v>
      </c>
      <c r="AW91" t="s">
        <v>12</v>
      </c>
      <c r="AY91" t="s">
        <v>1666</v>
      </c>
      <c r="AZ91" t="s">
        <v>1712</v>
      </c>
      <c r="BA91" s="4" t="str">
        <f>HYPERLINK("http://exon.niaid.nih.gov/transcriptome/C_felis/S1/links/SWISSP/cf-contig_10-SWISSP.txt","Pentatricopeptide repeat-containing protein At5g02860")</f>
        <v>Pentatricopeptide repeat-containing protein At5g02860</v>
      </c>
      <c r="BB91" t="str">
        <f>HYPERLINK("http://www.uniprot.org/uniprot/Q9LYZ9","2.1")</f>
        <v>2.1</v>
      </c>
      <c r="BC91" t="s">
        <v>1713</v>
      </c>
      <c r="BD91">
        <v>31.2</v>
      </c>
      <c r="BE91">
        <v>38</v>
      </c>
      <c r="BF91">
        <v>819</v>
      </c>
      <c r="BG91">
        <v>33</v>
      </c>
      <c r="BH91">
        <v>5</v>
      </c>
      <c r="BI91">
        <v>26</v>
      </c>
      <c r="BJ91">
        <v>0</v>
      </c>
      <c r="BK91">
        <v>36</v>
      </c>
      <c r="BL91">
        <v>96</v>
      </c>
      <c r="BM91">
        <v>1</v>
      </c>
      <c r="BN91">
        <v>-1</v>
      </c>
      <c r="BO91" t="s">
        <v>12</v>
      </c>
      <c r="BQ91" t="s">
        <v>1666</v>
      </c>
      <c r="BR91" t="s">
        <v>1714</v>
      </c>
      <c r="BS91" s="4" t="str">
        <f>HYPERLINK("http://exon.niaid.nih.gov/transcriptome/C_felis/S1/links/CDD/cf-contig_10-CDD.txt","PRK12324")</f>
        <v>PRK12324</v>
      </c>
      <c r="BT91" t="str">
        <f>HYPERLINK("http://www.ncbi.nlm.nih.gov/Structure/cdd/cddsrv.cgi?uid=PRK12324&amp;version=v4.0","0.12")</f>
        <v>0.12</v>
      </c>
      <c r="BU91" t="s">
        <v>1715</v>
      </c>
      <c r="BV91" s="4" t="s">
        <v>42</v>
      </c>
      <c r="BW91" t="s">
        <v>42</v>
      </c>
      <c r="BX91" t="s">
        <v>42</v>
      </c>
      <c r="BY91" t="s">
        <v>42</v>
      </c>
      <c r="BZ91" t="s">
        <v>42</v>
      </c>
      <c r="CA91" t="s">
        <v>42</v>
      </c>
      <c r="CB91" t="s">
        <v>42</v>
      </c>
      <c r="CC91" t="s">
        <v>42</v>
      </c>
      <c r="CD91" t="s">
        <v>42</v>
      </c>
      <c r="CE91" t="s">
        <v>42</v>
      </c>
      <c r="CF91" t="s">
        <v>42</v>
      </c>
      <c r="CG91" t="s">
        <v>42</v>
      </c>
      <c r="CH91" t="s">
        <v>42</v>
      </c>
      <c r="CI91" t="s">
        <v>42</v>
      </c>
      <c r="CJ91" t="s">
        <v>42</v>
      </c>
      <c r="CK91" t="s">
        <v>42</v>
      </c>
      <c r="CL91" t="s">
        <v>42</v>
      </c>
      <c r="CM91" t="s">
        <v>42</v>
      </c>
      <c r="CN91" t="s">
        <v>42</v>
      </c>
      <c r="CO91" t="s">
        <v>42</v>
      </c>
      <c r="CP91" t="s">
        <v>42</v>
      </c>
      <c r="CQ91" t="s">
        <v>42</v>
      </c>
      <c r="CR91" t="s">
        <v>42</v>
      </c>
      <c r="CS91" s="4" t="str">
        <f>HYPERLINK("http://exon.niaid.nih.gov/transcriptome/C_felis/S1/links/KOG/cf-contig_10-KOG.txt","Actin regulatory protein (Wiskott-Aldrich syndrome protein)")</f>
        <v>Actin regulatory protein (Wiskott-Aldrich syndrome protein)</v>
      </c>
      <c r="CT91" t="str">
        <f>HYPERLINK("http://www.ncbi.nlm.nih.gov/COG/grace/shokog.cgi?KOG3671","0.30")</f>
        <v>0.30</v>
      </c>
      <c r="CU91" t="s">
        <v>1671</v>
      </c>
      <c r="CV91" s="4" t="str">
        <f>HYPERLINK("http://exon.niaid.nih.gov/transcriptome/C_felis/S1/links/PFAM/cf-contig_10-PFAM.txt","NKAIN")</f>
        <v>NKAIN</v>
      </c>
      <c r="CW91" t="str">
        <f>HYPERLINK("http://pfam.sanger.ac.uk/family?acc=PF05640","0.053")</f>
        <v>0.053</v>
      </c>
      <c r="CX91" s="4" t="str">
        <f>HYPERLINK("http://exon.niaid.nih.gov/transcriptome/C_felis/S1/links/SMART/cf-contig_10-SMART.txt","Bgal_small_N")</f>
        <v>Bgal_small_N</v>
      </c>
      <c r="CY91" t="str">
        <f>HYPERLINK("http://smart.embl-heidelberg.de/smart/do_annotation.pl?DOMAIN=Bgal_small_N&amp;BLAST=DUMMY","0.34")</f>
        <v>0.34</v>
      </c>
      <c r="CZ91" s="4" t="s">
        <v>42</v>
      </c>
      <c r="DA91" t="s">
        <v>42</v>
      </c>
      <c r="DB91" t="s">
        <v>42</v>
      </c>
      <c r="DC91" t="s">
        <v>42</v>
      </c>
      <c r="DD91" t="s">
        <v>42</v>
      </c>
      <c r="DE91" t="s">
        <v>42</v>
      </c>
      <c r="DF91" t="s">
        <v>42</v>
      </c>
      <c r="DG91" t="s">
        <v>42</v>
      </c>
      <c r="DH91" s="4" t="s">
        <v>42</v>
      </c>
      <c r="DI91" t="s">
        <v>42</v>
      </c>
      <c r="DJ91" s="4" t="s">
        <v>42</v>
      </c>
      <c r="DK91" t="s">
        <v>42</v>
      </c>
      <c r="DL91" s="4">
        <f t="shared" si="16"/>
        <v>2</v>
      </c>
      <c r="DM91">
        <f t="shared" si="17"/>
        <v>11</v>
      </c>
      <c r="DN91" s="4">
        <f t="shared" si="18"/>
        <v>1</v>
      </c>
      <c r="DO91">
        <f t="shared" si="19"/>
        <v>11</v>
      </c>
      <c r="DP91" s="4">
        <f t="shared" si="20"/>
        <v>1</v>
      </c>
      <c r="DQ91">
        <f t="shared" si="21"/>
        <v>11</v>
      </c>
      <c r="DR91" s="4">
        <f>HYPERLINK("http://exon.niaid.nih.gov/transcriptome/C_felis/S1/links/cluster/cf-5-36-asb45-50-Id-CLU1.txt", 1)</f>
        <v>1</v>
      </c>
      <c r="DS91">
        <f>HYPERLINK("http://exon.niaid.nih.gov/transcriptome/C_felis/S1/links/cluster/cf-5-36-asb45-50-Id-CLTL1.txt", 9)</f>
        <v>9</v>
      </c>
      <c r="DT91" s="4">
        <f>HYPERLINK("http://exon.niaid.nih.gov/transcriptome/C_felis/S1/links/cluster/cf-5-36-asb50-50-Id-CLU1.txt", 1)</f>
        <v>1</v>
      </c>
      <c r="DU91">
        <f>HYPERLINK("http://exon.niaid.nih.gov/transcriptome/C_felis/S1/links/cluster/cf-5-36-asb50-50-Id-CLTL1.txt", 8)</f>
        <v>8</v>
      </c>
      <c r="DV91" s="4">
        <f>HYPERLINK("http://exon.niaid.nih.gov/transcriptome/C_felis/S1/links/cluster/cf-5-36-asb55-50-Id-CLU5.txt", 5)</f>
        <v>5</v>
      </c>
      <c r="DW91">
        <f>HYPERLINK("http://exon.niaid.nih.gov/transcriptome/C_felis/S1/links/cluster/cf-5-36-asb55-50-Id-CLTL5.txt", 3)</f>
        <v>3</v>
      </c>
      <c r="DX91" s="4">
        <f>HYPERLINK("http://exon.niaid.nih.gov/transcriptome/C_felis/S1/links/cluster/cf-5-36-asb60-50-Id-CLU3.txt", 3)</f>
        <v>3</v>
      </c>
      <c r="DY91">
        <f>HYPERLINK("http://exon.niaid.nih.gov/transcriptome/C_felis/S1/links/cluster/cf-5-36-asb60-50-Id-CLTL3.txt", 3)</f>
        <v>3</v>
      </c>
      <c r="DZ91" s="4">
        <f>HYPERLINK("http://exon.niaid.nih.gov/transcriptome/C_felis/S1/links/cluster/cf-5-36-asb65-50-Id-CLU6.txt", 6)</f>
        <v>6</v>
      </c>
      <c r="EA91">
        <f>HYPERLINK("http://exon.niaid.nih.gov/transcriptome/C_felis/S1/links/cluster/cf-5-36-asb65-50-Id-CLTL6.txt", 2)</f>
        <v>2</v>
      </c>
      <c r="EB91" s="4">
        <f>HYPERLINK("http://exon.niaid.nih.gov/transcriptome/C_felis/S1/links/cluster/cf-5-36-asb70-50-Id-CLU5.txt", 5)</f>
        <v>5</v>
      </c>
      <c r="EC91">
        <f>HYPERLINK("http://exon.niaid.nih.gov/transcriptome/C_felis/S1/links/cluster/cf-5-36-asb70-50-Id-CLTL5.txt", 2)</f>
        <v>2</v>
      </c>
      <c r="ED91" s="4">
        <v>35</v>
      </c>
      <c r="EE91">
        <v>1</v>
      </c>
      <c r="EF91" s="4">
        <v>29</v>
      </c>
      <c r="EG91">
        <v>1</v>
      </c>
      <c r="EH91" s="4">
        <v>17</v>
      </c>
      <c r="EI91">
        <v>1</v>
      </c>
      <c r="EJ91" s="4">
        <v>10</v>
      </c>
      <c r="EK91">
        <v>1</v>
      </c>
    </row>
    <row r="92" spans="1:141" x14ac:dyDescent="0.2">
      <c r="A92" t="str">
        <f>HYPERLINK("http://exon.niaid.nih.gov/transcriptome/C_felis/S1/links/cf/cf-contig_25.txt","cf-contig_25")</f>
        <v>cf-contig_25</v>
      </c>
      <c r="B92">
        <v>8</v>
      </c>
      <c r="C92" s="10" t="s">
        <v>4598</v>
      </c>
      <c r="D92">
        <v>8</v>
      </c>
      <c r="E92" t="str">
        <f>HYPERLINK("http://exon.niaid.nih.gov/transcriptome/C_felis/S1/links/cf/cf-5-36-asb-25.txt","Contig-25")</f>
        <v>Contig-25</v>
      </c>
      <c r="F92" t="str">
        <f>HYPERLINK("http://exon.niaid.nih.gov/transcriptome/C_felis/S1/links/cf/cf-5-36-25-CLU.txt","Contig25")</f>
        <v>Contig25</v>
      </c>
      <c r="G92" t="str">
        <f>HYPERLINK("http://exon.niaid.nih.gov/transcriptome/C_felis/S1/links/cf/cf-5-36-25-qual.txt","77.4")</f>
        <v>77.4</v>
      </c>
      <c r="H92" t="s">
        <v>11</v>
      </c>
      <c r="I92">
        <v>72</v>
      </c>
      <c r="J92">
        <v>404</v>
      </c>
      <c r="K92" t="s">
        <v>12</v>
      </c>
      <c r="L92">
        <v>8</v>
      </c>
      <c r="M92" t="s">
        <v>37</v>
      </c>
      <c r="N92">
        <v>404</v>
      </c>
      <c r="O92">
        <v>435</v>
      </c>
      <c r="P92">
        <v>198</v>
      </c>
      <c r="Q92" t="s">
        <v>847</v>
      </c>
      <c r="R92">
        <v>2</v>
      </c>
      <c r="S92" s="7" t="str">
        <f>HYPERLINK("http://exon.niaid.nih.gov/transcriptome/C_felis/S1/links/Sigp/CF-CONTIG_25-SigP.txt","SIG")</f>
        <v>SIG</v>
      </c>
      <c r="T92" t="s">
        <v>4583</v>
      </c>
      <c r="U92">
        <v>8</v>
      </c>
      <c r="V92" s="4">
        <f>HYPERLINK("http://exon.niaid.nih.gov/transcriptome/C_felis/S1/links/cluster/cf-5-36-asb30-50-Id-CLU6.txt", 6)</f>
        <v>6</v>
      </c>
      <c r="W92">
        <f>HYPERLINK("http://exon.niaid.nih.gov/transcriptome/C_felis/S1/links/cluster/cf-5-36-asb30-50-Id-CLTL6.txt", 4)</f>
        <v>4</v>
      </c>
      <c r="X92" s="4">
        <f>HYPERLINK("http://exon.niaid.nih.gov/transcriptome/C_felis/S1/links/cluster/cf-5-36-asb35-50-Id-CLU6.txt", 6)</f>
        <v>6</v>
      </c>
      <c r="Y92">
        <f>HYPERLINK("http://exon.niaid.nih.gov/transcriptome/C_felis/S1/links/cluster/cf-5-36-asb35-50-Id-CLTL6.txt", 4)</f>
        <v>4</v>
      </c>
      <c r="Z92" s="4">
        <f>HYPERLINK("http://exon.niaid.nih.gov/transcriptome/C_felis/S1/links/cluster/cf-5-36-asb40-50-Id-CLU11.txt", 11)</f>
        <v>11</v>
      </c>
      <c r="AA92">
        <f>HYPERLINK("http://exon.niaid.nih.gov/transcriptome/C_felis/S1/links/cluster/cf-5-36-asb40-50-Id-CLTL11.txt", 3)</f>
        <v>3</v>
      </c>
      <c r="AB92" s="4" t="str">
        <f>HYPERLINK("http://exon.niaid.nih.gov/transcriptome/C_felis/S1/links/XC-ASB/cf-contig_2-XC-ASB.txt","XC-contig_43")</f>
        <v>XC-contig_43</v>
      </c>
      <c r="AC92">
        <v>1E-4</v>
      </c>
      <c r="AD92" s="10" t="s">
        <v>4598</v>
      </c>
      <c r="AE92" t="s">
        <v>4599</v>
      </c>
      <c r="AF92" t="str">
        <f>HYPERLINK("http://exon.niaid.nih.gov/transcriptome/C_felis/S1/links/Sigp/cf-contig_25-Sigp.txt","Sigp")</f>
        <v>Sigp</v>
      </c>
      <c r="AI92" s="4" t="str">
        <f>HYPERLINK("http://exon.niaid.nih.gov/transcriptome/C_felis/S1/links/NR/cf-contig_25-NR.txt","SJCHGC02650 protein")</f>
        <v>SJCHGC02650 protein</v>
      </c>
      <c r="AJ92" t="str">
        <f>HYPERLINK("http://www.ncbi.nlm.nih.gov/sutils/blink.cgi?pid=76155301","1.5")</f>
        <v>1.5</v>
      </c>
      <c r="AK92" t="str">
        <f>HYPERLINK("http://www.ncbi.nlm.nih.gov/protein/76155301","gi|76155301")</f>
        <v>gi|76155301</v>
      </c>
      <c r="AL92">
        <v>36.6</v>
      </c>
      <c r="AM92">
        <v>48</v>
      </c>
      <c r="AN92">
        <v>161</v>
      </c>
      <c r="AO92">
        <v>30</v>
      </c>
      <c r="AP92">
        <v>30</v>
      </c>
      <c r="AQ92">
        <v>37</v>
      </c>
      <c r="AR92">
        <v>0</v>
      </c>
      <c r="AS92">
        <v>48</v>
      </c>
      <c r="AT92">
        <v>237</v>
      </c>
      <c r="AU92">
        <v>1</v>
      </c>
      <c r="AV92">
        <v>-2</v>
      </c>
      <c r="AW92" t="s">
        <v>12</v>
      </c>
      <c r="AX92">
        <v>4.1669999999999998</v>
      </c>
      <c r="AY92" t="s">
        <v>1666</v>
      </c>
      <c r="AZ92" t="s">
        <v>1759</v>
      </c>
      <c r="BA92" s="4" t="str">
        <f>HYPERLINK("http://exon.niaid.nih.gov/transcriptome/C_felis/S1/links/SWISSP/cf-contig_25-SWISSP.txt","Envelope glycoprotein")</f>
        <v>Envelope glycoprotein</v>
      </c>
      <c r="BB92" t="str">
        <f>HYPERLINK("http://www.uniprot.org/uniprot/Q7T9D9","3.0")</f>
        <v>3.0</v>
      </c>
      <c r="BC92" t="s">
        <v>1762</v>
      </c>
      <c r="BD92">
        <v>30.8</v>
      </c>
      <c r="BE92">
        <v>30</v>
      </c>
      <c r="BF92">
        <v>676</v>
      </c>
      <c r="BG92">
        <v>48</v>
      </c>
      <c r="BH92">
        <v>5</v>
      </c>
      <c r="BI92">
        <v>19</v>
      </c>
      <c r="BJ92">
        <v>0</v>
      </c>
      <c r="BK92">
        <v>391</v>
      </c>
      <c r="BL92">
        <v>128</v>
      </c>
      <c r="BM92">
        <v>1</v>
      </c>
      <c r="BN92">
        <v>2</v>
      </c>
      <c r="BO92" t="s">
        <v>12</v>
      </c>
      <c r="BQ92" t="s">
        <v>1676</v>
      </c>
      <c r="BR92" t="s">
        <v>1763</v>
      </c>
      <c r="BS92" s="4" t="str">
        <f>HYPERLINK("http://exon.niaid.nih.gov/transcriptome/C_felis/S1/links/CDD/cf-contig_25-CDD.txt","ND2")</f>
        <v>ND2</v>
      </c>
      <c r="BT92" t="str">
        <f>HYPERLINK("http://www.ncbi.nlm.nih.gov/Structure/cdd/cddsrv.cgi?uid=MTH00091&amp;version=v4.0","0.078")</f>
        <v>0.078</v>
      </c>
      <c r="BU92" t="s">
        <v>1764</v>
      </c>
      <c r="BV92" s="4" t="s">
        <v>42</v>
      </c>
      <c r="BW92" t="s">
        <v>42</v>
      </c>
      <c r="BX92" t="s">
        <v>42</v>
      </c>
      <c r="BY92" t="s">
        <v>42</v>
      </c>
      <c r="BZ92" t="s">
        <v>42</v>
      </c>
      <c r="CA92" t="s">
        <v>42</v>
      </c>
      <c r="CB92" t="s">
        <v>42</v>
      </c>
      <c r="CC92" t="s">
        <v>42</v>
      </c>
      <c r="CD92" t="s">
        <v>42</v>
      </c>
      <c r="CE92" t="s">
        <v>42</v>
      </c>
      <c r="CF92" t="s">
        <v>42</v>
      </c>
      <c r="CG92" t="s">
        <v>42</v>
      </c>
      <c r="CH92" t="s">
        <v>42</v>
      </c>
      <c r="CI92" t="s">
        <v>42</v>
      </c>
      <c r="CJ92" t="s">
        <v>42</v>
      </c>
      <c r="CK92" t="s">
        <v>42</v>
      </c>
      <c r="CL92" t="s">
        <v>42</v>
      </c>
      <c r="CM92" t="s">
        <v>42</v>
      </c>
      <c r="CN92" t="s">
        <v>42</v>
      </c>
      <c r="CO92" t="s">
        <v>42</v>
      </c>
      <c r="CP92" t="s">
        <v>42</v>
      </c>
      <c r="CQ92" t="s">
        <v>42</v>
      </c>
      <c r="CR92" t="s">
        <v>42</v>
      </c>
      <c r="CS92" s="4" t="str">
        <f>HYPERLINK("http://exon.niaid.nih.gov/transcriptome/C_felis/S1/links/KOG/cf-contig_25-KOG.txt","Acyl-CoA:diacylglycerol acyltransferase (DGAT)")</f>
        <v>Acyl-CoA:diacylglycerol acyltransferase (DGAT)</v>
      </c>
      <c r="CT92" t="str">
        <f>HYPERLINK("http://www.ncbi.nlm.nih.gov/COG/grace/shokog.cgi?KOG0831","0.24")</f>
        <v>0.24</v>
      </c>
      <c r="CU92" t="s">
        <v>1761</v>
      </c>
      <c r="CV92" s="4" t="str">
        <f>HYPERLINK("http://exon.niaid.nih.gov/transcriptome/C_felis/S1/links/PFAM/cf-contig_25-PFAM.txt","7TM_GPCR_Srbc")</f>
        <v>7TM_GPCR_Srbc</v>
      </c>
      <c r="CW92" t="str">
        <f>HYPERLINK("http://pfam.sanger.ac.uk/family?acc=PF10316","0.020")</f>
        <v>0.020</v>
      </c>
      <c r="CX92" s="4" t="str">
        <f>HYPERLINK("http://exon.niaid.nih.gov/transcriptome/C_felis/S1/links/SMART/cf-contig_25-SMART.txt","BCL")</f>
        <v>BCL</v>
      </c>
      <c r="CY92" t="str">
        <f>HYPERLINK("http://smart.embl-heidelberg.de/smart/do_annotation.pl?DOMAIN=BCL&amp;BLAST=DUMMY","0.11")</f>
        <v>0.11</v>
      </c>
      <c r="CZ92" s="4" t="s">
        <v>42</v>
      </c>
      <c r="DA92" t="s">
        <v>42</v>
      </c>
      <c r="DB92" t="s">
        <v>42</v>
      </c>
      <c r="DC92" t="s">
        <v>42</v>
      </c>
      <c r="DD92" t="s">
        <v>42</v>
      </c>
      <c r="DE92" t="s">
        <v>42</v>
      </c>
      <c r="DF92" t="s">
        <v>42</v>
      </c>
      <c r="DG92" t="s">
        <v>42</v>
      </c>
      <c r="DH92" s="4" t="s">
        <v>42</v>
      </c>
      <c r="DI92" t="s">
        <v>42</v>
      </c>
      <c r="DJ92" s="4" t="s">
        <v>42</v>
      </c>
      <c r="DK92" t="s">
        <v>42</v>
      </c>
      <c r="DL92" s="4">
        <f>HYPERLINK("http://exon.niaid.nih.gov/transcriptome/C_felis/S1/links/cluster/cf-5-36-asb30-50-Id-CLU6.txt", 6)</f>
        <v>6</v>
      </c>
      <c r="DM92">
        <f>HYPERLINK("http://exon.niaid.nih.gov/transcriptome/C_felis/S1/links/cluster/cf-5-36-asb30-50-Id-CLTL6.txt", 4)</f>
        <v>4</v>
      </c>
      <c r="DN92" s="4">
        <f>HYPERLINK("http://exon.niaid.nih.gov/transcriptome/C_felis/S1/links/cluster/cf-5-36-asb35-50-Id-CLU6.txt", 6)</f>
        <v>6</v>
      </c>
      <c r="DO92">
        <f>HYPERLINK("http://exon.niaid.nih.gov/transcriptome/C_felis/S1/links/cluster/cf-5-36-asb35-50-Id-CLTL6.txt", 4)</f>
        <v>4</v>
      </c>
      <c r="DP92" s="4">
        <f>HYPERLINK("http://exon.niaid.nih.gov/transcriptome/C_felis/S1/links/cluster/cf-5-36-asb40-50-Id-CLU11.txt", 11)</f>
        <v>11</v>
      </c>
      <c r="DQ92">
        <f>HYPERLINK("http://exon.niaid.nih.gov/transcriptome/C_felis/S1/links/cluster/cf-5-36-asb40-50-Id-CLTL11.txt", 3)</f>
        <v>3</v>
      </c>
      <c r="DR92" s="4">
        <v>74</v>
      </c>
      <c r="DS92">
        <v>1</v>
      </c>
      <c r="DT92" s="4">
        <v>66</v>
      </c>
      <c r="DU92">
        <v>1</v>
      </c>
      <c r="DV92" s="4">
        <v>61</v>
      </c>
      <c r="DW92">
        <v>1</v>
      </c>
      <c r="DX92" s="4">
        <v>55</v>
      </c>
      <c r="DY92">
        <v>1</v>
      </c>
      <c r="DZ92" s="4">
        <v>50</v>
      </c>
      <c r="EA92">
        <v>1</v>
      </c>
      <c r="EB92" s="4">
        <v>48</v>
      </c>
      <c r="EC92">
        <v>1</v>
      </c>
      <c r="ED92" s="4">
        <v>48</v>
      </c>
      <c r="EE92">
        <v>1</v>
      </c>
      <c r="EF92" s="4">
        <v>42</v>
      </c>
      <c r="EG92">
        <v>1</v>
      </c>
      <c r="EH92" s="4">
        <v>30</v>
      </c>
      <c r="EI92">
        <v>1</v>
      </c>
      <c r="EJ92" s="4">
        <v>25</v>
      </c>
      <c r="EK92">
        <v>1</v>
      </c>
    </row>
    <row r="93" spans="1:141" s="6" customFormat="1" x14ac:dyDescent="0.2">
      <c r="A93" s="12" t="s">
        <v>4932</v>
      </c>
      <c r="D93" s="6">
        <v>5</v>
      </c>
    </row>
    <row r="94" spans="1:141" x14ac:dyDescent="0.2">
      <c r="A94" t="str">
        <f>HYPERLINK("http://exon.niaid.nih.gov/transcriptome/C_felis/S1/links/cf/cf-contig_169.txt","cf-contig_169")</f>
        <v>cf-contig_169</v>
      </c>
      <c r="B94">
        <v>5</v>
      </c>
      <c r="C94" s="10" t="s">
        <v>4667</v>
      </c>
      <c r="D94">
        <v>5</v>
      </c>
      <c r="E94" t="str">
        <f>HYPERLINK("http://exon.niaid.nih.gov/transcriptome/C_felis/S1/links/cf/cf-5-36-asb-169.txt","Contig-169")</f>
        <v>Contig-169</v>
      </c>
      <c r="F94" t="str">
        <f>HYPERLINK("http://exon.niaid.nih.gov/transcriptome/C_felis/S1/links/cf/cf-5-36-169-CLU.txt","Contig169")</f>
        <v>Contig169</v>
      </c>
      <c r="G94" t="str">
        <f>HYPERLINK("http://exon.niaid.nih.gov/transcriptome/C_felis/S1/links/cf/cf-5-36-169-qual.txt","86.3")</f>
        <v>86.3</v>
      </c>
      <c r="H94" t="s">
        <v>11</v>
      </c>
      <c r="I94">
        <v>70.900000000000006</v>
      </c>
      <c r="J94">
        <v>527</v>
      </c>
      <c r="K94" t="s">
        <v>12</v>
      </c>
      <c r="L94">
        <v>5</v>
      </c>
      <c r="M94" t="s">
        <v>182</v>
      </c>
      <c r="N94">
        <v>527</v>
      </c>
      <c r="O94">
        <v>546</v>
      </c>
      <c r="P94">
        <v>279</v>
      </c>
      <c r="Q94" t="s">
        <v>989</v>
      </c>
      <c r="R94">
        <v>2</v>
      </c>
      <c r="S94" s="7" t="str">
        <f>HYPERLINK("http://exon.niaid.nih.gov/transcriptome/C_felis/S1/links/Sigp/CF-CONTIG_169-SigP.txt","Cyt")</f>
        <v>Cyt</v>
      </c>
      <c r="U94">
        <v>5</v>
      </c>
      <c r="V94" s="4">
        <v>151</v>
      </c>
      <c r="W94">
        <v>1</v>
      </c>
      <c r="X94" s="4">
        <v>153</v>
      </c>
      <c r="Y94">
        <v>1</v>
      </c>
      <c r="Z94" s="4">
        <v>151</v>
      </c>
      <c r="AA94">
        <v>1</v>
      </c>
      <c r="AB94" s="4" t="str">
        <f>HYPERLINK("http://exon.niaid.nih.gov/transcriptome/C_felis/S1/links/XC-ASB/cf-contig_735-XC-ASB.txt","XC-contig_52")</f>
        <v>XC-contig_52</v>
      </c>
      <c r="AC94">
        <v>1.0000000000000001E-111</v>
      </c>
      <c r="AD94" s="10" t="s">
        <v>4667</v>
      </c>
      <c r="AE94" t="s">
        <v>4599</v>
      </c>
      <c r="AF94" t="str">
        <f>HYPERLINK("http://exon.niaid.nih.gov/transcriptome/C_felis/S1/links/SWISSP/cf-contig_169-SWISSP.txt","SWISSP")</f>
        <v>SWISSP</v>
      </c>
      <c r="AG94" s="5">
        <v>9.9999999999999996E-39</v>
      </c>
      <c r="AH94">
        <v>51.1</v>
      </c>
      <c r="AI94" s="4" t="str">
        <f>HYPERLINK("http://exon.niaid.nih.gov/transcriptome/C_felis/S1/links/NR/cf-contig_169-NR.txt","FS-I")</f>
        <v>FS-I</v>
      </c>
      <c r="AJ94" t="str">
        <f>HYPERLINK("http://www.ncbi.nlm.nih.gov/sutils/blink.cgi?pid=3805687","2E-037")</f>
        <v>2E-037</v>
      </c>
      <c r="AK94" t="str">
        <f>HYPERLINK("http://www.ncbi.nlm.nih.gov/protein/3805687","gi|3805687")</f>
        <v>gi|3805687</v>
      </c>
      <c r="AL94">
        <v>159</v>
      </c>
      <c r="AM94">
        <v>150</v>
      </c>
      <c r="AN94">
        <v>154</v>
      </c>
      <c r="AO94">
        <v>76</v>
      </c>
      <c r="AP94">
        <v>98</v>
      </c>
      <c r="AQ94">
        <v>21</v>
      </c>
      <c r="AR94">
        <v>0</v>
      </c>
      <c r="AS94">
        <v>1</v>
      </c>
      <c r="AT94">
        <v>2</v>
      </c>
      <c r="AU94">
        <v>2</v>
      </c>
      <c r="AV94">
        <v>2</v>
      </c>
      <c r="AW94" t="s">
        <v>12</v>
      </c>
      <c r="AY94" t="s">
        <v>1676</v>
      </c>
      <c r="AZ94" t="s">
        <v>1728</v>
      </c>
      <c r="BA94" s="4" t="str">
        <f>HYPERLINK("http://exon.niaid.nih.gov/transcriptome/C_felis/S1/links/SWISSP/cf-contig_169-SWISSP.txt","Salivary antigen 1")</f>
        <v>Salivary antigen 1</v>
      </c>
      <c r="BB94" t="str">
        <f>HYPERLINK("http://www.uniprot.org/uniprot/Q94424","1E-038")</f>
        <v>1E-038</v>
      </c>
      <c r="BC94" t="s">
        <v>1727</v>
      </c>
      <c r="BD94">
        <v>159</v>
      </c>
      <c r="BE94">
        <v>151</v>
      </c>
      <c r="BF94">
        <v>176</v>
      </c>
      <c r="BG94">
        <v>76</v>
      </c>
      <c r="BH94">
        <v>86</v>
      </c>
      <c r="BI94">
        <v>21</v>
      </c>
      <c r="BJ94">
        <v>0</v>
      </c>
      <c r="BK94">
        <v>22</v>
      </c>
      <c r="BL94">
        <v>2</v>
      </c>
      <c r="BM94">
        <v>2</v>
      </c>
      <c r="BN94">
        <v>2</v>
      </c>
      <c r="BO94" t="s">
        <v>12</v>
      </c>
      <c r="BQ94" t="s">
        <v>1676</v>
      </c>
      <c r="BR94" t="s">
        <v>1728</v>
      </c>
      <c r="BS94" s="4" t="str">
        <f>HYPERLINK("http://exon.niaid.nih.gov/transcriptome/C_felis/S1/links/CDD/cf-contig_169-CDD.txt","ND5")</f>
        <v>ND5</v>
      </c>
      <c r="BT94" t="str">
        <f>HYPERLINK("http://www.ncbi.nlm.nih.gov/Structure/cdd/cddsrv.cgi?uid=MTH00095&amp;version=v4.0","3E-004")</f>
        <v>3E-004</v>
      </c>
      <c r="BU94" t="s">
        <v>2312</v>
      </c>
      <c r="BV94" s="4" t="s">
        <v>42</v>
      </c>
      <c r="BW94" t="s">
        <v>42</v>
      </c>
      <c r="BX94" t="s">
        <v>42</v>
      </c>
      <c r="BY94" t="s">
        <v>42</v>
      </c>
      <c r="BZ94" t="s">
        <v>42</v>
      </c>
      <c r="CA94" t="s">
        <v>42</v>
      </c>
      <c r="CB94" t="s">
        <v>42</v>
      </c>
      <c r="CC94" t="s">
        <v>42</v>
      </c>
      <c r="CD94" t="s">
        <v>42</v>
      </c>
      <c r="CE94" t="s">
        <v>42</v>
      </c>
      <c r="CF94" t="s">
        <v>42</v>
      </c>
      <c r="CG94" t="s">
        <v>42</v>
      </c>
      <c r="CH94" t="s">
        <v>42</v>
      </c>
      <c r="CI94" t="s">
        <v>42</v>
      </c>
      <c r="CJ94" t="s">
        <v>42</v>
      </c>
      <c r="CK94" t="s">
        <v>42</v>
      </c>
      <c r="CL94" t="s">
        <v>42</v>
      </c>
      <c r="CM94" t="s">
        <v>42</v>
      </c>
      <c r="CN94" t="s">
        <v>42</v>
      </c>
      <c r="CO94" t="s">
        <v>42</v>
      </c>
      <c r="CP94" t="s">
        <v>42</v>
      </c>
      <c r="CQ94" t="s">
        <v>42</v>
      </c>
      <c r="CR94" t="s">
        <v>42</v>
      </c>
      <c r="CS94" s="4" t="str">
        <f>HYPERLINK("http://exon.niaid.nih.gov/transcriptome/C_felis/S1/links/KOG/cf-contig_169-KOG.txt","Epidermal growth factor receptor EGFR and related tyrosine kinases")</f>
        <v>Epidermal growth factor receptor EGFR and related tyrosine kinases</v>
      </c>
      <c r="CT94" t="str">
        <f>HYPERLINK("http://www.ncbi.nlm.nih.gov/COG/grace/shokog.cgi?KOG1025","0.040")</f>
        <v>0.040</v>
      </c>
      <c r="CU94" t="s">
        <v>1780</v>
      </c>
      <c r="CV94" s="4" t="str">
        <f>HYPERLINK("http://exon.niaid.nih.gov/transcriptome/C_felis/S1/links/PFAM/cf-contig_169-PFAM.txt","7TM_GPCR_Srz")</f>
        <v>7TM_GPCR_Srz</v>
      </c>
      <c r="CW94" t="str">
        <f>HYPERLINK("http://pfam.sanger.ac.uk/family?acc=PF10325","0.003")</f>
        <v>0.003</v>
      </c>
      <c r="CX94" s="4" t="str">
        <f>HYPERLINK("http://exon.niaid.nih.gov/transcriptome/C_felis/S1/links/SMART/cf-contig_169-SMART.txt","PSN")</f>
        <v>PSN</v>
      </c>
      <c r="CY94" t="str">
        <f>HYPERLINK("http://smart.embl-heidelberg.de/smart/do_annotation.pl?DOMAIN=PSN&amp;BLAST=DUMMY","0.072")</f>
        <v>0.072</v>
      </c>
      <c r="CZ94" s="4" t="s">
        <v>42</v>
      </c>
      <c r="DA94" t="s">
        <v>42</v>
      </c>
      <c r="DB94" t="s">
        <v>42</v>
      </c>
      <c r="DC94" t="s">
        <v>42</v>
      </c>
      <c r="DD94" t="s">
        <v>42</v>
      </c>
      <c r="DE94" t="s">
        <v>42</v>
      </c>
      <c r="DF94" t="s">
        <v>42</v>
      </c>
      <c r="DG94" t="s">
        <v>42</v>
      </c>
      <c r="DH94" s="4" t="s">
        <v>42</v>
      </c>
      <c r="DI94" t="s">
        <v>42</v>
      </c>
      <c r="DJ94" s="4" t="s">
        <v>42</v>
      </c>
      <c r="DK94" t="s">
        <v>42</v>
      </c>
      <c r="DL94" s="4">
        <v>151</v>
      </c>
      <c r="DM94">
        <v>1</v>
      </c>
      <c r="DN94" s="4">
        <v>153</v>
      </c>
      <c r="DO94">
        <v>1</v>
      </c>
      <c r="DP94" s="4">
        <v>151</v>
      </c>
      <c r="DQ94">
        <v>1</v>
      </c>
      <c r="DR94" s="4">
        <v>148</v>
      </c>
      <c r="DS94">
        <v>1</v>
      </c>
      <c r="DT94" s="4">
        <v>148</v>
      </c>
      <c r="DU94">
        <v>1</v>
      </c>
      <c r="DV94" s="4">
        <v>158</v>
      </c>
      <c r="DW94">
        <v>1</v>
      </c>
      <c r="DX94" s="4">
        <v>160</v>
      </c>
      <c r="DY94">
        <v>1</v>
      </c>
      <c r="DZ94" s="4">
        <v>160</v>
      </c>
      <c r="EA94">
        <v>1</v>
      </c>
      <c r="EB94" s="4">
        <v>165</v>
      </c>
      <c r="EC94">
        <v>1</v>
      </c>
      <c r="ED94" s="4">
        <v>166</v>
      </c>
      <c r="EE94">
        <v>1</v>
      </c>
      <c r="EF94" s="4">
        <v>167</v>
      </c>
      <c r="EG94">
        <v>1</v>
      </c>
      <c r="EH94" s="4">
        <v>166</v>
      </c>
      <c r="EI94">
        <v>1</v>
      </c>
      <c r="EJ94" s="4">
        <v>169</v>
      </c>
      <c r="EK94">
        <v>1</v>
      </c>
    </row>
    <row r="95" spans="1:141" s="6" customFormat="1" x14ac:dyDescent="0.2">
      <c r="A95" s="12" t="s">
        <v>4930</v>
      </c>
      <c r="C95" s="1"/>
      <c r="D95" s="6">
        <f>SUM(D96:D99)</f>
        <v>17</v>
      </c>
      <c r="V95" s="1"/>
      <c r="X95" s="1"/>
      <c r="Z95" s="1"/>
      <c r="AB95" s="1"/>
      <c r="AD95" s="1"/>
      <c r="AI95" s="1"/>
      <c r="BA95" s="1"/>
      <c r="BS95" s="1"/>
      <c r="BV95" s="1"/>
      <c r="CS95" s="1"/>
      <c r="CV95" s="1"/>
      <c r="CX95" s="1"/>
      <c r="CZ95" s="1"/>
      <c r="DH95" s="1"/>
      <c r="DJ95" s="1"/>
      <c r="DL95" s="1"/>
      <c r="DN95" s="1"/>
      <c r="DP95" s="1"/>
      <c r="DR95" s="1"/>
      <c r="DT95" s="1"/>
      <c r="DV95" s="1"/>
      <c r="DX95" s="1"/>
      <c r="DZ95" s="1"/>
      <c r="EB95" s="1"/>
      <c r="ED95" s="1"/>
      <c r="EF95" s="1"/>
      <c r="EH95" s="1"/>
      <c r="EJ95" s="1"/>
    </row>
    <row r="96" spans="1:141" x14ac:dyDescent="0.2">
      <c r="A96" t="str">
        <f>HYPERLINK("http://exon.niaid.nih.gov/transcriptome/C_felis/S1/links/cf/cf-contig_303.txt","cf-contig_303")</f>
        <v>cf-contig_303</v>
      </c>
      <c r="B96">
        <v>1</v>
      </c>
      <c r="C96" s="10" t="s">
        <v>4598</v>
      </c>
      <c r="D96">
        <v>1</v>
      </c>
      <c r="E96" t="str">
        <f>HYPERLINK("http://exon.niaid.nih.gov/transcriptome/C_felis/S1/links/cf/cf-5-36-asb-303.txt","Contig-303")</f>
        <v>Contig-303</v>
      </c>
      <c r="F96" t="str">
        <f>HYPERLINK("http://exon.niaid.nih.gov/transcriptome/C_felis/S1/links/cf/cf-5-36-303-CLU.txt","Contig303")</f>
        <v>Contig303</v>
      </c>
      <c r="G96" t="str">
        <f>HYPERLINK("http://exon.niaid.nih.gov/transcriptome/C_felis/S1/links/cf/cf-5-36-303-qual.txt","59.5")</f>
        <v>59.5</v>
      </c>
      <c r="H96" t="s">
        <v>11</v>
      </c>
      <c r="I96">
        <v>73.2</v>
      </c>
      <c r="J96">
        <v>530</v>
      </c>
      <c r="K96" t="s">
        <v>12</v>
      </c>
      <c r="L96">
        <v>1</v>
      </c>
      <c r="M96" t="s">
        <v>316</v>
      </c>
      <c r="N96">
        <v>530</v>
      </c>
      <c r="O96">
        <v>549</v>
      </c>
      <c r="P96">
        <v>408</v>
      </c>
      <c r="Q96" t="s">
        <v>1123</v>
      </c>
      <c r="R96">
        <v>2</v>
      </c>
      <c r="S96" s="7" t="str">
        <f>HYPERLINK("http://exon.niaid.nih.gov/transcriptome/C_felis/S1/links/Sigp/CF-CONTIG_303-SigP.txt","SIG")</f>
        <v>SIG</v>
      </c>
      <c r="T96" t="s">
        <v>4583</v>
      </c>
      <c r="U96">
        <v>1</v>
      </c>
      <c r="V96" s="4">
        <v>244</v>
      </c>
      <c r="W96">
        <v>1</v>
      </c>
      <c r="X96" s="4">
        <v>249</v>
      </c>
      <c r="Y96">
        <v>1</v>
      </c>
      <c r="Z96" s="4">
        <v>248</v>
      </c>
      <c r="AA96">
        <v>1</v>
      </c>
      <c r="AB96" s="4" t="str">
        <f>HYPERLINK("http://exon.niaid.nih.gov/transcriptome/C_felis/S1/links/XC-ASB/cf-contig_65-XC-ASB.txt","XC-contig_169")</f>
        <v>XC-contig_169</v>
      </c>
      <c r="AC96">
        <v>4.9999999999999995E-22</v>
      </c>
      <c r="AD96" s="10" t="s">
        <v>4598</v>
      </c>
      <c r="AE96" t="s">
        <v>4599</v>
      </c>
      <c r="AF96" t="str">
        <f>HYPERLINK("http://exon.niaid.nih.gov/transcriptome/C_felis/S1/links/Sigp/cf-contig_303-Sigp.txt","Sigp")</f>
        <v>Sigp</v>
      </c>
      <c r="AI96" s="4" t="str">
        <f>HYPERLINK("http://exon.niaid.nih.gov/transcriptome/C_felis/S1/links/NR/cf-contig_303-NR.txt","aspn")</f>
        <v>aspn</v>
      </c>
      <c r="AJ96" t="str">
        <f>HYPERLINK("http://www.ncbi.nlm.nih.gov/sutils/blink.cgi?pid=157676747","0.001")</f>
        <v>0.001</v>
      </c>
      <c r="AK96" t="str">
        <f>HYPERLINK("http://www.ncbi.nlm.nih.gov/protein/157676747","gi|157676747")</f>
        <v>gi|157676747</v>
      </c>
      <c r="AL96">
        <v>47.4</v>
      </c>
      <c r="AM96">
        <v>69</v>
      </c>
      <c r="AN96">
        <v>370</v>
      </c>
      <c r="AO96">
        <v>34</v>
      </c>
      <c r="AP96">
        <v>19</v>
      </c>
      <c r="AQ96">
        <v>58</v>
      </c>
      <c r="AR96">
        <v>2</v>
      </c>
      <c r="AS96">
        <v>1</v>
      </c>
      <c r="AT96">
        <v>77</v>
      </c>
      <c r="AU96">
        <v>1</v>
      </c>
      <c r="AV96">
        <v>2</v>
      </c>
      <c r="AW96" t="s">
        <v>12</v>
      </c>
      <c r="AY96" t="s">
        <v>1676</v>
      </c>
      <c r="AZ96" t="s">
        <v>2736</v>
      </c>
      <c r="BA96" s="4" t="str">
        <f>HYPERLINK("http://exon.niaid.nih.gov/transcriptome/C_felis/S1/links/SWISSP/cf-contig_303-SWISSP.txt","Uncharacterized histidine-rich protein DDB_G0274557")</f>
        <v>Uncharacterized histidine-rich protein DDB_G0274557</v>
      </c>
      <c r="BB96" t="str">
        <f>HYPERLINK("http://www.uniprot.org/uniprot/Q8MP30","0.016")</f>
        <v>0.016</v>
      </c>
      <c r="BC96" t="s">
        <v>2737</v>
      </c>
      <c r="BD96">
        <v>39.299999999999997</v>
      </c>
      <c r="BE96">
        <v>137</v>
      </c>
      <c r="BF96">
        <v>233</v>
      </c>
      <c r="BG96">
        <v>26</v>
      </c>
      <c r="BH96">
        <v>59</v>
      </c>
      <c r="BI96">
        <v>65</v>
      </c>
      <c r="BJ96">
        <v>0</v>
      </c>
      <c r="BK96">
        <v>21</v>
      </c>
      <c r="BL96">
        <v>201</v>
      </c>
      <c r="BM96">
        <v>7</v>
      </c>
      <c r="BN96">
        <v>-2</v>
      </c>
      <c r="BO96" t="s">
        <v>12</v>
      </c>
      <c r="BP96">
        <v>1.46</v>
      </c>
      <c r="BQ96" t="s">
        <v>1666</v>
      </c>
      <c r="BR96" t="s">
        <v>1976</v>
      </c>
      <c r="BS96" s="4" t="str">
        <f>HYPERLINK("http://exon.niaid.nih.gov/transcriptome/C_felis/S1/links/CDD/cf-contig_303-CDD.txt","7TM_GPCR_Srz")</f>
        <v>7TM_GPCR_Srz</v>
      </c>
      <c r="BT96" t="str">
        <f>HYPERLINK("http://www.ncbi.nlm.nih.gov/Structure/cdd/cddsrv.cgi?uid=pfam10325&amp;version=v4.0","1E-004")</f>
        <v>1E-004</v>
      </c>
      <c r="BU96" t="s">
        <v>2738</v>
      </c>
      <c r="BV96" s="4" t="s">
        <v>42</v>
      </c>
      <c r="BW96" t="s">
        <v>42</v>
      </c>
      <c r="BX96" t="s">
        <v>42</v>
      </c>
      <c r="BY96" t="s">
        <v>42</v>
      </c>
      <c r="BZ96" t="s">
        <v>42</v>
      </c>
      <c r="CA96" t="s">
        <v>42</v>
      </c>
      <c r="CB96" t="s">
        <v>42</v>
      </c>
      <c r="CC96" t="s">
        <v>42</v>
      </c>
      <c r="CD96" t="s">
        <v>42</v>
      </c>
      <c r="CE96" t="s">
        <v>42</v>
      </c>
      <c r="CF96" t="s">
        <v>42</v>
      </c>
      <c r="CG96" t="s">
        <v>42</v>
      </c>
      <c r="CH96" t="s">
        <v>42</v>
      </c>
      <c r="CI96" t="s">
        <v>42</v>
      </c>
      <c r="CJ96" t="s">
        <v>42</v>
      </c>
      <c r="CK96" t="s">
        <v>42</v>
      </c>
      <c r="CL96" t="s">
        <v>42</v>
      </c>
      <c r="CM96" t="s">
        <v>42</v>
      </c>
      <c r="CN96" t="s">
        <v>42</v>
      </c>
      <c r="CO96" t="s">
        <v>42</v>
      </c>
      <c r="CP96" t="s">
        <v>42</v>
      </c>
      <c r="CQ96" t="s">
        <v>42</v>
      </c>
      <c r="CR96" t="s">
        <v>42</v>
      </c>
      <c r="CS96" s="4" t="str">
        <f>HYPERLINK("http://exon.niaid.nih.gov/transcriptome/C_felis/S1/links/KOG/cf-contig_303-KOG.txt","Putative SAM-dependent rRNA methyltransferase SPB1")</f>
        <v>Putative SAM-dependent rRNA methyltransferase SPB1</v>
      </c>
      <c r="CT96" t="str">
        <f>HYPERLINK("http://www.ncbi.nlm.nih.gov/COG/grace/shokog.cgi?KOG1098","0.020")</f>
        <v>0.020</v>
      </c>
      <c r="CU96" t="s">
        <v>2739</v>
      </c>
      <c r="CV96" s="4" t="str">
        <f>HYPERLINK("http://exon.niaid.nih.gov/transcriptome/C_felis/S1/links/PFAM/cf-contig_303-PFAM.txt","7TM_GPCR_Srz")</f>
        <v>7TM_GPCR_Srz</v>
      </c>
      <c r="CW96" t="str">
        <f>HYPERLINK("http://pfam.sanger.ac.uk/family?acc=PF10325","2E-005")</f>
        <v>2E-005</v>
      </c>
      <c r="CX96" s="4" t="str">
        <f>HYPERLINK("http://exon.niaid.nih.gov/transcriptome/C_felis/S1/links/SMART/cf-contig_303-SMART.txt","UBA_e1_C")</f>
        <v>UBA_e1_C</v>
      </c>
      <c r="CY96" t="str">
        <f>HYPERLINK("http://smart.embl-heidelberg.de/smart/do_annotation.pl?DOMAIN=UBA_e1_C&amp;BLAST=DUMMY","0.003")</f>
        <v>0.003</v>
      </c>
      <c r="CZ96" s="4" t="s">
        <v>42</v>
      </c>
      <c r="DA96" t="s">
        <v>42</v>
      </c>
      <c r="DB96" t="s">
        <v>42</v>
      </c>
      <c r="DC96" t="s">
        <v>42</v>
      </c>
      <c r="DD96" t="s">
        <v>42</v>
      </c>
      <c r="DE96" t="s">
        <v>42</v>
      </c>
      <c r="DF96" t="s">
        <v>42</v>
      </c>
      <c r="DG96" t="s">
        <v>42</v>
      </c>
      <c r="DH96" s="4" t="s">
        <v>42</v>
      </c>
      <c r="DI96" t="s">
        <v>42</v>
      </c>
      <c r="DJ96" s="4" t="s">
        <v>42</v>
      </c>
      <c r="DK96" t="s">
        <v>42</v>
      </c>
      <c r="DL96" s="4">
        <v>244</v>
      </c>
      <c r="DM96">
        <v>1</v>
      </c>
      <c r="DN96" s="4">
        <v>249</v>
      </c>
      <c r="DO96">
        <v>1</v>
      </c>
      <c r="DP96" s="4">
        <v>248</v>
      </c>
      <c r="DQ96">
        <v>1</v>
      </c>
      <c r="DR96" s="4">
        <v>257</v>
      </c>
      <c r="DS96">
        <v>1</v>
      </c>
      <c r="DT96" s="4">
        <v>265</v>
      </c>
      <c r="DU96">
        <v>1</v>
      </c>
      <c r="DV96" s="4">
        <v>277</v>
      </c>
      <c r="DW96">
        <v>1</v>
      </c>
      <c r="DX96" s="4">
        <v>279</v>
      </c>
      <c r="DY96">
        <v>1</v>
      </c>
      <c r="DZ96" s="4">
        <v>284</v>
      </c>
      <c r="EA96">
        <v>1</v>
      </c>
      <c r="EB96" s="4">
        <v>289</v>
      </c>
      <c r="EC96">
        <v>1</v>
      </c>
      <c r="ED96" s="4">
        <v>292</v>
      </c>
      <c r="EE96">
        <v>1</v>
      </c>
      <c r="EF96" s="4">
        <v>296</v>
      </c>
      <c r="EG96">
        <v>1</v>
      </c>
      <c r="EH96" s="4">
        <v>298</v>
      </c>
      <c r="EI96">
        <v>1</v>
      </c>
      <c r="EJ96" s="4">
        <v>303</v>
      </c>
      <c r="EK96">
        <v>1</v>
      </c>
    </row>
    <row r="97" spans="1:141" x14ac:dyDescent="0.2">
      <c r="A97" t="str">
        <f>HYPERLINK("http://exon.niaid.nih.gov/transcriptome/C_felis/S1/links/cf/cf-contig_437.txt","cf-contig_437")</f>
        <v>cf-contig_437</v>
      </c>
      <c r="B97">
        <v>1</v>
      </c>
      <c r="C97" s="10" t="s">
        <v>4600</v>
      </c>
      <c r="D97">
        <v>1</v>
      </c>
      <c r="E97" t="str">
        <f>HYPERLINK("http://exon.niaid.nih.gov/transcriptome/C_felis/S1/links/cf/cf-5-36-asb-437.txt","Contig-437")</f>
        <v>Contig-437</v>
      </c>
      <c r="F97" t="str">
        <f>HYPERLINK("http://exon.niaid.nih.gov/transcriptome/C_felis/S1/links/cf/cf-5-36-437-CLU.txt","Contig437")</f>
        <v>Contig437</v>
      </c>
      <c r="G97" t="str">
        <f>HYPERLINK("http://exon.niaid.nih.gov/transcriptome/C_felis/S1/links/cf/cf-5-36-437-qual.txt","64.")</f>
        <v>64.</v>
      </c>
      <c r="H97" t="s">
        <v>11</v>
      </c>
      <c r="I97">
        <v>75</v>
      </c>
      <c r="J97">
        <v>261</v>
      </c>
      <c r="K97" t="s">
        <v>12</v>
      </c>
      <c r="L97">
        <v>1</v>
      </c>
      <c r="M97" t="s">
        <v>450</v>
      </c>
      <c r="N97">
        <v>261</v>
      </c>
      <c r="O97">
        <v>280</v>
      </c>
      <c r="P97">
        <v>129</v>
      </c>
      <c r="Q97" t="s">
        <v>1256</v>
      </c>
      <c r="R97">
        <v>2</v>
      </c>
      <c r="S97" s="7" t="s">
        <v>4585</v>
      </c>
      <c r="U97">
        <v>1</v>
      </c>
      <c r="V97" s="4">
        <f>HYPERLINK("http://exon.niaid.nih.gov/transcriptome/C_felis/S1/links/cluster/cf-5-36-asb30-50-Id-CLU77.txt", 77)</f>
        <v>77</v>
      </c>
      <c r="W97">
        <f>HYPERLINK("http://exon.niaid.nih.gov/transcriptome/C_felis/S1/links/cluster/cf-5-36-asb30-50-Id-CLTL77.txt", 2)</f>
        <v>2</v>
      </c>
      <c r="X97" s="4">
        <f>HYPERLINK("http://exon.niaid.nih.gov/transcriptome/C_felis/S1/links/cluster/cf-5-36-asb35-50-Id-CLU69.txt", 69)</f>
        <v>69</v>
      </c>
      <c r="Y97">
        <f>HYPERLINK("http://exon.niaid.nih.gov/transcriptome/C_felis/S1/links/cluster/cf-5-36-asb35-50-Id-CLTL69.txt", 2)</f>
        <v>2</v>
      </c>
      <c r="Z97" s="4">
        <v>367</v>
      </c>
      <c r="AA97">
        <v>1</v>
      </c>
      <c r="AB97" s="4" t="str">
        <f>HYPERLINK("http://exon.niaid.nih.gov/transcriptome/C_felis/S1/links/XC-ASB/cf-contig_31-XC-ASB.txt","XC-contig_169")</f>
        <v>XC-contig_169</v>
      </c>
      <c r="AC97">
        <v>2.9999999999999999E-21</v>
      </c>
      <c r="AD97" s="10" t="s">
        <v>4600</v>
      </c>
      <c r="AE97" t="s">
        <v>4601</v>
      </c>
      <c r="AI97" s="4" t="str">
        <f>HYPERLINK("http://exon.niaid.nih.gov/transcriptome/C_felis/S1/links/NR/cf-contig_437-NR.txt","putative secreted salivary protein")</f>
        <v>putative secreted salivary protein</v>
      </c>
      <c r="AJ97" t="str">
        <f>HYPERLINK("http://www.ncbi.nlm.nih.gov/sutils/blink.cgi?pid=121512000","0.49")</f>
        <v>0.49</v>
      </c>
      <c r="AK97" t="str">
        <f>HYPERLINK("http://www.ncbi.nlm.nih.gov/protein/121512000","gi|121512000")</f>
        <v>gi|121512000</v>
      </c>
      <c r="AL97">
        <v>38.1</v>
      </c>
      <c r="AM97">
        <v>26</v>
      </c>
      <c r="AN97">
        <v>80</v>
      </c>
      <c r="AO97">
        <v>51</v>
      </c>
      <c r="AP97">
        <v>34</v>
      </c>
      <c r="AQ97">
        <v>13</v>
      </c>
      <c r="AR97">
        <v>0</v>
      </c>
      <c r="AS97">
        <v>54</v>
      </c>
      <c r="AT97">
        <v>7</v>
      </c>
      <c r="AU97">
        <v>1</v>
      </c>
      <c r="AV97">
        <v>1</v>
      </c>
      <c r="AW97" t="s">
        <v>12</v>
      </c>
      <c r="AY97" t="s">
        <v>1676</v>
      </c>
      <c r="AZ97" t="s">
        <v>1717</v>
      </c>
      <c r="BA97" s="4" t="str">
        <f>HYPERLINK("http://exon.niaid.nih.gov/transcriptome/C_felis/S1/links/SWISSP/cf-contig_437-SWISSP.txt","Mitochondrial group I intron splicing factor CCM1")</f>
        <v>Mitochondrial group I intron splicing factor CCM1</v>
      </c>
      <c r="BB97" t="str">
        <f>HYPERLINK("http://www.uniprot.org/uniprot/Q6FVC6","14")</f>
        <v>14</v>
      </c>
      <c r="BC97" t="s">
        <v>3228</v>
      </c>
      <c r="BD97">
        <v>28.5</v>
      </c>
      <c r="BE97">
        <v>41</v>
      </c>
      <c r="BF97">
        <v>830</v>
      </c>
      <c r="BG97">
        <v>38</v>
      </c>
      <c r="BH97">
        <v>5</v>
      </c>
      <c r="BI97">
        <v>26</v>
      </c>
      <c r="BJ97">
        <v>2</v>
      </c>
      <c r="BK97">
        <v>284</v>
      </c>
      <c r="BL97">
        <v>8</v>
      </c>
      <c r="BM97">
        <v>1</v>
      </c>
      <c r="BN97">
        <v>-1</v>
      </c>
      <c r="BO97" t="s">
        <v>12</v>
      </c>
      <c r="BP97">
        <v>2.4390000000000001</v>
      </c>
      <c r="BQ97" t="s">
        <v>1666</v>
      </c>
      <c r="BR97" t="s">
        <v>1911</v>
      </c>
      <c r="BS97" s="4" t="str">
        <f>HYPERLINK("http://exon.niaid.nih.gov/transcriptome/C_felis/S1/links/CDD/cf-contig_437-CDD.txt","YfhO")</f>
        <v>YfhO</v>
      </c>
      <c r="BT97" t="str">
        <f>HYPERLINK("http://www.ncbi.nlm.nih.gov/Structure/cdd/cddsrv.cgi?uid=pfam09586&amp;version=v4.0","0.027")</f>
        <v>0.027</v>
      </c>
      <c r="BU97" t="s">
        <v>3229</v>
      </c>
      <c r="BV97" s="4" t="s">
        <v>42</v>
      </c>
      <c r="BW97" t="s">
        <v>42</v>
      </c>
      <c r="BX97" t="s">
        <v>42</v>
      </c>
      <c r="BY97" t="s">
        <v>42</v>
      </c>
      <c r="BZ97" t="s">
        <v>42</v>
      </c>
      <c r="CA97" t="s">
        <v>42</v>
      </c>
      <c r="CB97" t="s">
        <v>42</v>
      </c>
      <c r="CC97" t="s">
        <v>42</v>
      </c>
      <c r="CD97" t="s">
        <v>42</v>
      </c>
      <c r="CE97" t="s">
        <v>42</v>
      </c>
      <c r="CF97" t="s">
        <v>42</v>
      </c>
      <c r="CG97" t="s">
        <v>42</v>
      </c>
      <c r="CH97" t="s">
        <v>42</v>
      </c>
      <c r="CI97" t="s">
        <v>42</v>
      </c>
      <c r="CJ97" t="s">
        <v>42</v>
      </c>
      <c r="CK97" t="s">
        <v>42</v>
      </c>
      <c r="CL97" t="s">
        <v>42</v>
      </c>
      <c r="CM97" t="s">
        <v>42</v>
      </c>
      <c r="CN97" t="s">
        <v>42</v>
      </c>
      <c r="CO97" t="s">
        <v>42</v>
      </c>
      <c r="CP97" t="s">
        <v>42</v>
      </c>
      <c r="CQ97" t="s">
        <v>42</v>
      </c>
      <c r="CR97" t="s">
        <v>42</v>
      </c>
      <c r="CS97" s="4" t="str">
        <f>HYPERLINK("http://exon.niaid.nih.gov/transcriptome/C_felis/S1/links/KOG/cf-contig_437-KOG.txt","Predicted membrane protein")</f>
        <v>Predicted membrane protein</v>
      </c>
      <c r="CT97" t="str">
        <f>HYPERLINK("http://www.ncbi.nlm.nih.gov/COG/grace/shokog.cgi?KOG2490","0.009")</f>
        <v>0.009</v>
      </c>
      <c r="CU97" t="s">
        <v>1711</v>
      </c>
      <c r="CV97" s="4" t="str">
        <f>HYPERLINK("http://exon.niaid.nih.gov/transcriptome/C_felis/S1/links/PFAM/cf-contig_437-PFAM.txt","YfhO")</f>
        <v>YfhO</v>
      </c>
      <c r="CW97" t="str">
        <f>HYPERLINK("http://pfam.sanger.ac.uk/family?acc=PF09586","0.006")</f>
        <v>0.006</v>
      </c>
      <c r="CX97" s="4" t="str">
        <f>HYPERLINK("http://exon.niaid.nih.gov/transcriptome/C_felis/S1/links/SMART/cf-contig_437-SMART.txt","Agouti")</f>
        <v>Agouti</v>
      </c>
      <c r="CY97" t="str">
        <f>HYPERLINK("http://smart.embl-heidelberg.de/smart/do_annotation.pl?DOMAIN=Agouti&amp;BLAST=DUMMY","0.32")</f>
        <v>0.32</v>
      </c>
      <c r="CZ97" s="4" t="s">
        <v>42</v>
      </c>
      <c r="DA97" t="s">
        <v>42</v>
      </c>
      <c r="DB97" t="s">
        <v>42</v>
      </c>
      <c r="DC97" t="s">
        <v>42</v>
      </c>
      <c r="DD97" t="s">
        <v>42</v>
      </c>
      <c r="DE97" t="s">
        <v>42</v>
      </c>
      <c r="DF97" t="s">
        <v>42</v>
      </c>
      <c r="DG97" t="s">
        <v>42</v>
      </c>
      <c r="DH97" s="4" t="s">
        <v>42</v>
      </c>
      <c r="DI97" t="s">
        <v>42</v>
      </c>
      <c r="DJ97" s="4" t="s">
        <v>42</v>
      </c>
      <c r="DK97" t="s">
        <v>42</v>
      </c>
      <c r="DL97" s="4">
        <f>HYPERLINK("http://exon.niaid.nih.gov/transcriptome/C_felis/S1/links/cluster/cf-5-36-asb30-50-Id-CLU77.txt", 77)</f>
        <v>77</v>
      </c>
      <c r="DM97">
        <f>HYPERLINK("http://exon.niaid.nih.gov/transcriptome/C_felis/S1/links/cluster/cf-5-36-asb30-50-Id-CLTL77.txt", 2)</f>
        <v>2</v>
      </c>
      <c r="DN97" s="4">
        <f>HYPERLINK("http://exon.niaid.nih.gov/transcriptome/C_felis/S1/links/cluster/cf-5-36-asb35-50-Id-CLU69.txt", 69)</f>
        <v>69</v>
      </c>
      <c r="DO97">
        <f>HYPERLINK("http://exon.niaid.nih.gov/transcriptome/C_felis/S1/links/cluster/cf-5-36-asb35-50-Id-CLTL69.txt", 2)</f>
        <v>2</v>
      </c>
      <c r="DP97" s="4">
        <v>367</v>
      </c>
      <c r="DQ97">
        <v>1</v>
      </c>
      <c r="DR97" s="4">
        <v>381</v>
      </c>
      <c r="DS97">
        <v>1</v>
      </c>
      <c r="DT97" s="4">
        <v>391</v>
      </c>
      <c r="DU97">
        <v>1</v>
      </c>
      <c r="DV97" s="4">
        <v>405</v>
      </c>
      <c r="DW97">
        <v>1</v>
      </c>
      <c r="DX97" s="4">
        <v>408</v>
      </c>
      <c r="DY97">
        <v>1</v>
      </c>
      <c r="DZ97" s="4">
        <v>413</v>
      </c>
      <c r="EA97">
        <v>1</v>
      </c>
      <c r="EB97" s="4">
        <v>418</v>
      </c>
      <c r="EC97">
        <v>1</v>
      </c>
      <c r="ED97" s="4">
        <v>422</v>
      </c>
      <c r="EE97">
        <v>1</v>
      </c>
      <c r="EF97" s="4">
        <v>427</v>
      </c>
      <c r="EG97">
        <v>1</v>
      </c>
      <c r="EH97" s="4">
        <v>431</v>
      </c>
      <c r="EI97">
        <v>1</v>
      </c>
      <c r="EJ97" s="4">
        <v>437</v>
      </c>
      <c r="EK97">
        <v>1</v>
      </c>
    </row>
    <row r="98" spans="1:141" x14ac:dyDescent="0.2">
      <c r="A98" t="str">
        <f>HYPERLINK("http://exon.niaid.nih.gov/transcriptome/C_felis/S1/links/cf/cf-contig_75.txt","cf-contig_75")</f>
        <v>cf-contig_75</v>
      </c>
      <c r="B98">
        <v>14</v>
      </c>
      <c r="C98" s="10" t="s">
        <v>4603</v>
      </c>
      <c r="D98">
        <v>14</v>
      </c>
      <c r="E98" t="str">
        <f>HYPERLINK("http://exon.niaid.nih.gov/transcriptome/C_felis/S1/links/cf/cf-5-36-asb-75.txt","Contig-75")</f>
        <v>Contig-75</v>
      </c>
      <c r="F98" t="str">
        <f>HYPERLINK("http://exon.niaid.nih.gov/transcriptome/C_felis/S1/links/cf/cf-5-36-75-CLU.txt","Contig75")</f>
        <v>Contig75</v>
      </c>
      <c r="G98" t="str">
        <f>HYPERLINK("http://exon.niaid.nih.gov/transcriptome/C_felis/S1/links/cf/cf-5-36-75-qual.txt","87.4")</f>
        <v>87.4</v>
      </c>
      <c r="H98" t="s">
        <v>11</v>
      </c>
      <c r="I98">
        <v>73.599999999999994</v>
      </c>
      <c r="J98">
        <v>354</v>
      </c>
      <c r="K98" t="s">
        <v>12</v>
      </c>
      <c r="L98">
        <v>14</v>
      </c>
      <c r="M98" t="s">
        <v>88</v>
      </c>
      <c r="N98">
        <v>354</v>
      </c>
      <c r="O98">
        <v>386</v>
      </c>
      <c r="P98">
        <v>216</v>
      </c>
      <c r="Q98" t="s">
        <v>895</v>
      </c>
      <c r="R98">
        <v>1</v>
      </c>
      <c r="S98" s="7" t="s">
        <v>4585</v>
      </c>
      <c r="U98">
        <v>14</v>
      </c>
      <c r="V98" s="4">
        <v>111</v>
      </c>
      <c r="W98">
        <v>1</v>
      </c>
      <c r="X98" s="4">
        <v>105</v>
      </c>
      <c r="Y98">
        <v>1</v>
      </c>
      <c r="Z98" s="4">
        <v>100</v>
      </c>
      <c r="AA98">
        <v>1</v>
      </c>
      <c r="AB98" s="4" t="str">
        <f>HYPERLINK("http://exon.niaid.nih.gov/transcriptome/C_felis/S1/links/XC-ASB/cf-contig_94-XC-ASB.txt","XC-contig_169")</f>
        <v>XC-contig_169</v>
      </c>
      <c r="AC98">
        <v>4.9999999999999999E-13</v>
      </c>
      <c r="AD98" s="10" t="s">
        <v>4603</v>
      </c>
      <c r="AE98" t="s">
        <v>4599</v>
      </c>
      <c r="AF98" t="str">
        <f>HYPERLINK("http://exon.niaid.nih.gov/transcriptome/C_felis/S1/links/NR/cf-contig_75-NR.txt","NR")</f>
        <v>NR</v>
      </c>
      <c r="AG98" s="5">
        <v>9.0000000000000003E-19</v>
      </c>
      <c r="AH98">
        <v>73.2</v>
      </c>
      <c r="AI98" s="4" t="str">
        <f>HYPERLINK("http://exon.niaid.nih.gov/transcriptome/C_felis/S1/links/NR/cf-contig_75-NR.txt","putative secreted salivary protein")</f>
        <v>putative secreted salivary protein</v>
      </c>
      <c r="AJ98" t="str">
        <f>HYPERLINK("http://www.ncbi.nlm.nih.gov/sutils/blink.cgi?pid=121512004","9E-019")</f>
        <v>9E-019</v>
      </c>
      <c r="AK98" t="str">
        <f>HYPERLINK("http://www.ncbi.nlm.nih.gov/protein/121512004","gi|121512004")</f>
        <v>gi|121512004</v>
      </c>
      <c r="AL98">
        <v>97.1</v>
      </c>
      <c r="AM98">
        <v>62</v>
      </c>
      <c r="AN98">
        <v>86</v>
      </c>
      <c r="AO98">
        <v>66</v>
      </c>
      <c r="AP98">
        <v>73</v>
      </c>
      <c r="AQ98">
        <v>21</v>
      </c>
      <c r="AR98">
        <v>1</v>
      </c>
      <c r="AS98">
        <v>23</v>
      </c>
      <c r="AT98">
        <v>24</v>
      </c>
      <c r="AU98">
        <v>1</v>
      </c>
      <c r="AV98">
        <v>3</v>
      </c>
      <c r="AW98" t="s">
        <v>12</v>
      </c>
      <c r="AY98" t="s">
        <v>1676</v>
      </c>
      <c r="AZ98" t="s">
        <v>1717</v>
      </c>
      <c r="BA98" s="4" t="str">
        <f>HYPERLINK("http://exon.niaid.nih.gov/transcriptome/C_felis/S1/links/SWISSP/cf-contig_75-SWISSP.txt","Putative beta-neurotoxin Td2")</f>
        <v>Putative beta-neurotoxin Td2</v>
      </c>
      <c r="BB98" t="str">
        <f>HYPERLINK("http://www.uniprot.org/uniprot/Q1I179","0.19")</f>
        <v>0.19</v>
      </c>
      <c r="BC98" t="s">
        <v>1939</v>
      </c>
      <c r="BD98">
        <v>34.700000000000003</v>
      </c>
      <c r="BE98">
        <v>35</v>
      </c>
      <c r="BF98">
        <v>86</v>
      </c>
      <c r="BG98">
        <v>44</v>
      </c>
      <c r="BH98">
        <v>42</v>
      </c>
      <c r="BI98">
        <v>20</v>
      </c>
      <c r="BJ98">
        <v>0</v>
      </c>
      <c r="BK98">
        <v>17</v>
      </c>
      <c r="BL98">
        <v>51</v>
      </c>
      <c r="BM98">
        <v>1</v>
      </c>
      <c r="BN98">
        <v>3</v>
      </c>
      <c r="BO98" t="s">
        <v>12</v>
      </c>
      <c r="BQ98" t="s">
        <v>1676</v>
      </c>
      <c r="BR98" t="s">
        <v>1940</v>
      </c>
      <c r="BS98" s="4" t="str">
        <f>HYPERLINK("http://exon.niaid.nih.gov/transcriptome/C_felis/S1/links/CDD/cf-contig_75-CDD.txt","ND5")</f>
        <v>ND5</v>
      </c>
      <c r="BT98" t="str">
        <f>HYPERLINK("http://www.ncbi.nlm.nih.gov/Structure/cdd/cddsrv.cgi?uid=MTH00095&amp;version=v4.0","8E-004")</f>
        <v>8E-004</v>
      </c>
      <c r="BU98" t="s">
        <v>1941</v>
      </c>
      <c r="BV98" s="4" t="s">
        <v>42</v>
      </c>
      <c r="BW98" t="s">
        <v>42</v>
      </c>
      <c r="BX98" t="s">
        <v>42</v>
      </c>
      <c r="BY98" t="s">
        <v>42</v>
      </c>
      <c r="BZ98" t="s">
        <v>42</v>
      </c>
      <c r="CA98" t="s">
        <v>42</v>
      </c>
      <c r="CB98" t="s">
        <v>42</v>
      </c>
      <c r="CC98" t="s">
        <v>42</v>
      </c>
      <c r="CD98" t="s">
        <v>42</v>
      </c>
      <c r="CE98" t="s">
        <v>42</v>
      </c>
      <c r="CF98" t="s">
        <v>42</v>
      </c>
      <c r="CG98" t="s">
        <v>42</v>
      </c>
      <c r="CH98" t="s">
        <v>42</v>
      </c>
      <c r="CI98" t="s">
        <v>42</v>
      </c>
      <c r="CJ98" t="s">
        <v>42</v>
      </c>
      <c r="CK98" t="s">
        <v>42</v>
      </c>
      <c r="CL98" t="s">
        <v>42</v>
      </c>
      <c r="CM98" t="s">
        <v>42</v>
      </c>
      <c r="CN98" t="s">
        <v>42</v>
      </c>
      <c r="CO98" t="s">
        <v>42</v>
      </c>
      <c r="CP98" t="s">
        <v>42</v>
      </c>
      <c r="CQ98" t="s">
        <v>42</v>
      </c>
      <c r="CR98" t="s">
        <v>42</v>
      </c>
      <c r="CS98" s="4" t="str">
        <f>HYPERLINK("http://exon.niaid.nih.gov/transcriptome/C_felis/S1/links/KOG/cf-contig_75-KOG.txt","Voltage-gated Ca2+ channels, alpha1 subunits")</f>
        <v>Voltage-gated Ca2+ channels, alpha1 subunits</v>
      </c>
      <c r="CT98" t="str">
        <f>HYPERLINK("http://www.ncbi.nlm.nih.gov/COG/grace/shokog.cgi?KOG2301","0.023")</f>
        <v>0.023</v>
      </c>
      <c r="CU98" t="s">
        <v>1702</v>
      </c>
      <c r="CV98" s="4" t="str">
        <f>HYPERLINK("http://exon.niaid.nih.gov/transcriptome/C_felis/S1/links/PFAM/cf-contig_75-PFAM.txt","ELO")</f>
        <v>ELO</v>
      </c>
      <c r="CW98" t="str">
        <f>HYPERLINK("http://pfam.sanger.ac.uk/family?acc=PF01151","2E-004")</f>
        <v>2E-004</v>
      </c>
      <c r="CX98" s="4" t="str">
        <f>HYPERLINK("http://exon.niaid.nih.gov/transcriptome/C_felis/S1/links/SMART/cf-contig_75-SMART.txt","PSN")</f>
        <v>PSN</v>
      </c>
      <c r="CY98" t="str">
        <f>HYPERLINK("http://smart.embl-heidelberg.de/smart/do_annotation.pl?DOMAIN=PSN&amp;BLAST=DUMMY","2E-004")</f>
        <v>2E-004</v>
      </c>
      <c r="CZ98" s="4" t="s">
        <v>42</v>
      </c>
      <c r="DA98" t="s">
        <v>42</v>
      </c>
      <c r="DB98" t="s">
        <v>42</v>
      </c>
      <c r="DC98" t="s">
        <v>42</v>
      </c>
      <c r="DD98" t="s">
        <v>42</v>
      </c>
      <c r="DE98" t="s">
        <v>42</v>
      </c>
      <c r="DF98" t="s">
        <v>42</v>
      </c>
      <c r="DG98" t="s">
        <v>42</v>
      </c>
      <c r="DH98" s="4" t="s">
        <v>42</v>
      </c>
      <c r="DI98" t="s">
        <v>42</v>
      </c>
      <c r="DJ98" s="4" t="s">
        <v>42</v>
      </c>
      <c r="DK98" t="s">
        <v>42</v>
      </c>
      <c r="DL98" s="4">
        <v>111</v>
      </c>
      <c r="DM98">
        <v>1</v>
      </c>
      <c r="DN98" s="4">
        <v>105</v>
      </c>
      <c r="DO98">
        <v>1</v>
      </c>
      <c r="DP98" s="4">
        <v>100</v>
      </c>
      <c r="DQ98">
        <v>1</v>
      </c>
      <c r="DR98" s="4">
        <v>91</v>
      </c>
      <c r="DS98">
        <v>1</v>
      </c>
      <c r="DT98" s="4">
        <v>84</v>
      </c>
      <c r="DU98">
        <v>1</v>
      </c>
      <c r="DV98" s="4">
        <v>87</v>
      </c>
      <c r="DW98">
        <v>1</v>
      </c>
      <c r="DX98" s="4">
        <v>86</v>
      </c>
      <c r="DY98">
        <v>1</v>
      </c>
      <c r="DZ98" s="4">
        <v>84</v>
      </c>
      <c r="EA98">
        <v>1</v>
      </c>
      <c r="EB98" s="4">
        <v>84</v>
      </c>
      <c r="EC98">
        <v>1</v>
      </c>
      <c r="ED98" s="4">
        <v>85</v>
      </c>
      <c r="EE98">
        <v>1</v>
      </c>
      <c r="EF98" s="4">
        <v>82</v>
      </c>
      <c r="EG98">
        <v>1</v>
      </c>
      <c r="EH98" s="4">
        <v>77</v>
      </c>
      <c r="EI98">
        <v>1</v>
      </c>
      <c r="EJ98" s="4">
        <v>75</v>
      </c>
      <c r="EK98">
        <v>1</v>
      </c>
    </row>
    <row r="99" spans="1:141" x14ac:dyDescent="0.2">
      <c r="A99" t="str">
        <f>HYPERLINK("http://exon.niaid.nih.gov/transcriptome/C_felis/S1/links/cf/cf-contig_638.txt","cf-contig_638")</f>
        <v>cf-contig_638</v>
      </c>
      <c r="B99">
        <v>1</v>
      </c>
      <c r="C99" s="10" t="s">
        <v>4600</v>
      </c>
      <c r="D99">
        <v>1</v>
      </c>
      <c r="E99" t="str">
        <f>HYPERLINK("http://exon.niaid.nih.gov/transcriptome/C_felis/S1/links/cf/cf-5-36-asb-638.txt","Contig-638")</f>
        <v>Contig-638</v>
      </c>
      <c r="F99" t="str">
        <f>HYPERLINK("http://exon.niaid.nih.gov/transcriptome/C_felis/S1/links/cf/cf-5-36-638-CLU.txt","Contig638")</f>
        <v>Contig638</v>
      </c>
      <c r="G99" t="str">
        <f>HYPERLINK("http://exon.niaid.nih.gov/transcriptome/C_felis/S1/links/cf/cf-5-36-638-qual.txt","62.9")</f>
        <v>62.9</v>
      </c>
      <c r="H99" t="s">
        <v>11</v>
      </c>
      <c r="I99">
        <v>72.7</v>
      </c>
      <c r="J99">
        <v>219</v>
      </c>
      <c r="K99" t="s">
        <v>12</v>
      </c>
      <c r="L99">
        <v>1</v>
      </c>
      <c r="M99" t="s">
        <v>651</v>
      </c>
      <c r="N99">
        <v>219</v>
      </c>
      <c r="O99">
        <v>238</v>
      </c>
      <c r="P99">
        <v>201</v>
      </c>
      <c r="Q99" t="s">
        <v>1457</v>
      </c>
      <c r="R99">
        <v>1</v>
      </c>
      <c r="S99" s="7" t="s">
        <v>4585</v>
      </c>
      <c r="U99">
        <v>1</v>
      </c>
      <c r="V99" s="4">
        <v>522</v>
      </c>
      <c r="W99">
        <v>1</v>
      </c>
      <c r="X99" s="4">
        <v>534</v>
      </c>
      <c r="Y99">
        <v>1</v>
      </c>
      <c r="Z99" s="4">
        <v>544</v>
      </c>
      <c r="AA99">
        <v>1</v>
      </c>
      <c r="AB99" s="4" t="str">
        <f>HYPERLINK("http://exon.niaid.nih.gov/transcriptome/C_felis/S1/links/XC-ASB/cf-contig_356-XC-ASB.txt","XC-contig_57")</f>
        <v>XC-contig_57</v>
      </c>
      <c r="AC99">
        <v>3.9999999999999998E-11</v>
      </c>
      <c r="AD99" s="10" t="s">
        <v>4600</v>
      </c>
      <c r="AE99" t="s">
        <v>4601</v>
      </c>
      <c r="AI99" s="4" t="str">
        <f>HYPERLINK("http://exon.niaid.nih.gov/transcriptome/C_felis/S1/links/NR/cf-contig_638-NR.txt","putative secreted salivary protein")</f>
        <v>putative secreted salivary protein</v>
      </c>
      <c r="AJ99" t="str">
        <f>HYPERLINK("http://www.ncbi.nlm.nih.gov/sutils/blink.cgi?pid=121511902","0.016")</f>
        <v>0.016</v>
      </c>
      <c r="AK99" t="str">
        <f>HYPERLINK("http://www.ncbi.nlm.nih.gov/protein/121511902","gi|121511902")</f>
        <v>gi|121511902</v>
      </c>
      <c r="AL99">
        <v>43.1</v>
      </c>
      <c r="AM99">
        <v>70</v>
      </c>
      <c r="AN99">
        <v>94</v>
      </c>
      <c r="AO99">
        <v>31</v>
      </c>
      <c r="AP99">
        <v>76</v>
      </c>
      <c r="AQ99">
        <v>49</v>
      </c>
      <c r="AR99">
        <v>11</v>
      </c>
      <c r="AS99">
        <v>21</v>
      </c>
      <c r="AT99">
        <v>16</v>
      </c>
      <c r="AU99">
        <v>1</v>
      </c>
      <c r="AV99">
        <v>1</v>
      </c>
      <c r="AW99" t="s">
        <v>12</v>
      </c>
      <c r="AY99" t="s">
        <v>1676</v>
      </c>
      <c r="AZ99" t="s">
        <v>1717</v>
      </c>
      <c r="BA99" s="4" t="str">
        <f>HYPERLINK("http://exon.niaid.nih.gov/transcriptome/C_felis/S1/links/SWISSP/cf-contig_638-SWISSP.txt","Defensin-1")</f>
        <v>Defensin-1</v>
      </c>
      <c r="BB99" t="str">
        <f>HYPERLINK("http://www.uniprot.org/uniprot/P81929","0.018")</f>
        <v>0.018</v>
      </c>
      <c r="BC99" t="s">
        <v>4028</v>
      </c>
      <c r="BD99">
        <v>38.1</v>
      </c>
      <c r="BE99">
        <v>31</v>
      </c>
      <c r="BF99">
        <v>46</v>
      </c>
      <c r="BG99">
        <v>40</v>
      </c>
      <c r="BH99">
        <v>70</v>
      </c>
      <c r="BI99">
        <v>19</v>
      </c>
      <c r="BJ99">
        <v>0</v>
      </c>
      <c r="BK99">
        <v>11</v>
      </c>
      <c r="BL99">
        <v>94</v>
      </c>
      <c r="BM99">
        <v>1</v>
      </c>
      <c r="BN99">
        <v>1</v>
      </c>
      <c r="BO99" t="s">
        <v>12</v>
      </c>
      <c r="BQ99" t="s">
        <v>1676</v>
      </c>
      <c r="BR99" t="s">
        <v>2745</v>
      </c>
      <c r="BS99" s="4" t="str">
        <f>HYPERLINK("http://exon.niaid.nih.gov/transcriptome/C_felis/S1/links/CDD/cf-contig_638-CDD.txt","Toxin_2")</f>
        <v>Toxin_2</v>
      </c>
      <c r="BT99" t="str">
        <f>HYPERLINK("http://www.ncbi.nlm.nih.gov/Structure/cdd/cddsrv.cgi?uid=pfam00451&amp;version=v4.0","0.005")</f>
        <v>0.005</v>
      </c>
      <c r="BU99" t="s">
        <v>4029</v>
      </c>
      <c r="BV99" s="4" t="s">
        <v>42</v>
      </c>
      <c r="BW99" t="s">
        <v>42</v>
      </c>
      <c r="BX99" t="s">
        <v>42</v>
      </c>
      <c r="BY99" t="s">
        <v>42</v>
      </c>
      <c r="BZ99" t="s">
        <v>42</v>
      </c>
      <c r="CA99" t="s">
        <v>42</v>
      </c>
      <c r="CB99" t="s">
        <v>42</v>
      </c>
      <c r="CC99" t="s">
        <v>42</v>
      </c>
      <c r="CD99" t="s">
        <v>42</v>
      </c>
      <c r="CE99" t="s">
        <v>42</v>
      </c>
      <c r="CF99" t="s">
        <v>42</v>
      </c>
      <c r="CG99" t="s">
        <v>42</v>
      </c>
      <c r="CH99" t="s">
        <v>42</v>
      </c>
      <c r="CI99" t="s">
        <v>42</v>
      </c>
      <c r="CJ99" t="s">
        <v>42</v>
      </c>
      <c r="CK99" t="s">
        <v>42</v>
      </c>
      <c r="CL99" t="s">
        <v>42</v>
      </c>
      <c r="CM99" t="s">
        <v>42</v>
      </c>
      <c r="CN99" t="s">
        <v>42</v>
      </c>
      <c r="CO99" t="s">
        <v>42</v>
      </c>
      <c r="CP99" t="s">
        <v>42</v>
      </c>
      <c r="CQ99" t="s">
        <v>42</v>
      </c>
      <c r="CR99" t="s">
        <v>42</v>
      </c>
      <c r="CS99" s="4" t="str">
        <f>HYPERLINK("http://exon.niaid.nih.gov/transcriptome/C_felis/S1/links/KOG/cf-contig_638-KOG.txt","Monocarboxylate transporter")</f>
        <v>Monocarboxylate transporter</v>
      </c>
      <c r="CT99" t="str">
        <f>HYPERLINK("http://www.ncbi.nlm.nih.gov/COG/grace/shokog.cgi?KOG2504","0.18")</f>
        <v>0.18</v>
      </c>
      <c r="CU99" t="s">
        <v>1823</v>
      </c>
      <c r="CV99" s="4" t="str">
        <f>HYPERLINK("http://exon.niaid.nih.gov/transcriptome/C_felis/S1/links/PFAM/cf-contig_638-PFAM.txt","Toxin_2")</f>
        <v>Toxin_2</v>
      </c>
      <c r="CW99" t="str">
        <f>HYPERLINK("http://pfam.sanger.ac.uk/family?acc=PF00451","0.001")</f>
        <v>0.001</v>
      </c>
      <c r="CX99" s="4" t="str">
        <f>HYPERLINK("http://exon.niaid.nih.gov/transcriptome/C_felis/S1/links/SMART/cf-contig_638-SMART.txt","EGF_CA")</f>
        <v>EGF_CA</v>
      </c>
      <c r="CY99" t="str">
        <f>HYPERLINK("http://smart.embl-heidelberg.de/smart/do_annotation.pl?DOMAIN=EGF_CA&amp;BLAST=DUMMY","0.013")</f>
        <v>0.013</v>
      </c>
      <c r="CZ99" s="4" t="s">
        <v>42</v>
      </c>
      <c r="DA99" t="s">
        <v>42</v>
      </c>
      <c r="DB99" t="s">
        <v>42</v>
      </c>
      <c r="DC99" t="s">
        <v>42</v>
      </c>
      <c r="DD99" t="s">
        <v>42</v>
      </c>
      <c r="DE99" t="s">
        <v>42</v>
      </c>
      <c r="DF99" t="s">
        <v>42</v>
      </c>
      <c r="DG99" t="s">
        <v>42</v>
      </c>
      <c r="DH99" s="4" t="s">
        <v>42</v>
      </c>
      <c r="DI99" t="s">
        <v>42</v>
      </c>
      <c r="DJ99" s="4" t="s">
        <v>42</v>
      </c>
      <c r="DK99" t="s">
        <v>42</v>
      </c>
      <c r="DL99" s="4">
        <v>522</v>
      </c>
      <c r="DM99">
        <v>1</v>
      </c>
      <c r="DN99" s="4">
        <v>534</v>
      </c>
      <c r="DO99">
        <v>1</v>
      </c>
      <c r="DP99" s="4">
        <v>544</v>
      </c>
      <c r="DQ99">
        <v>1</v>
      </c>
      <c r="DR99" s="4">
        <v>564</v>
      </c>
      <c r="DS99">
        <v>1</v>
      </c>
      <c r="DT99" s="4">
        <v>577</v>
      </c>
      <c r="DU99">
        <v>1</v>
      </c>
      <c r="DV99" s="4">
        <v>591</v>
      </c>
      <c r="DW99">
        <v>1</v>
      </c>
      <c r="DX99" s="4">
        <v>600</v>
      </c>
      <c r="DY99">
        <v>1</v>
      </c>
      <c r="DZ99" s="4">
        <v>608</v>
      </c>
      <c r="EA99">
        <v>1</v>
      </c>
      <c r="EB99" s="4">
        <v>613</v>
      </c>
      <c r="EC99">
        <v>1</v>
      </c>
      <c r="ED99" s="4">
        <v>617</v>
      </c>
      <c r="EE99">
        <v>1</v>
      </c>
      <c r="EF99" s="4">
        <v>623</v>
      </c>
      <c r="EG99">
        <v>1</v>
      </c>
      <c r="EH99" s="4">
        <v>631</v>
      </c>
      <c r="EI99">
        <v>1</v>
      </c>
      <c r="EJ99" s="4">
        <v>638</v>
      </c>
      <c r="EK99">
        <v>1</v>
      </c>
    </row>
    <row r="100" spans="1:141" s="6" customFormat="1" x14ac:dyDescent="0.2">
      <c r="A100" s="12" t="s">
        <v>4928</v>
      </c>
      <c r="D100" s="6">
        <f>SUM(D101:D110)</f>
        <v>24</v>
      </c>
    </row>
    <row r="101" spans="1:141" x14ac:dyDescent="0.2">
      <c r="A101" t="str">
        <f>HYPERLINK("http://exon.niaid.nih.gov/transcriptome/C_felis/S1/links/cf/cf-contig_55.txt","cf-contig_55")</f>
        <v>cf-contig_55</v>
      </c>
      <c r="B101">
        <v>1</v>
      </c>
      <c r="C101" s="10" t="s">
        <v>4600</v>
      </c>
      <c r="D101">
        <v>1</v>
      </c>
      <c r="E101" t="str">
        <f>HYPERLINK("http://exon.niaid.nih.gov/transcriptome/C_felis/S1/links/cf/cf-5-36-asb-55.txt","Contig-55")</f>
        <v>Contig-55</v>
      </c>
      <c r="F101" t="str">
        <f>HYPERLINK("http://exon.niaid.nih.gov/transcriptome/C_felis/S1/links/cf/cf-5-36-55-CLU.txt","Contig55")</f>
        <v>Contig55</v>
      </c>
      <c r="G101" t="str">
        <f>HYPERLINK("http://exon.niaid.nih.gov/transcriptome/C_felis/S1/links/cf/cf-5-36-55-qual.txt","54.9")</f>
        <v>54.9</v>
      </c>
      <c r="H101">
        <v>0.8</v>
      </c>
      <c r="I101">
        <v>72.3</v>
      </c>
      <c r="J101">
        <v>237</v>
      </c>
      <c r="K101" t="s">
        <v>12</v>
      </c>
      <c r="L101">
        <v>1</v>
      </c>
      <c r="M101" t="s">
        <v>68</v>
      </c>
      <c r="N101">
        <v>237</v>
      </c>
      <c r="O101">
        <v>256</v>
      </c>
      <c r="P101">
        <v>96</v>
      </c>
      <c r="Q101" t="s">
        <v>877</v>
      </c>
      <c r="R101">
        <v>3</v>
      </c>
      <c r="S101" s="7" t="s">
        <v>4585</v>
      </c>
      <c r="U101">
        <v>1</v>
      </c>
      <c r="V101" s="4">
        <v>106</v>
      </c>
      <c r="W101">
        <v>1</v>
      </c>
      <c r="X101" s="4">
        <v>100</v>
      </c>
      <c r="Y101">
        <v>1</v>
      </c>
      <c r="Z101" s="4">
        <v>95</v>
      </c>
      <c r="AA101">
        <v>1</v>
      </c>
      <c r="AB101" s="4" t="str">
        <f>HYPERLINK("http://exon.niaid.nih.gov/transcriptome/C_felis/S1/links/XC-ASB/cf-contig_41-XC-ASB.txt","XC-contig_169")</f>
        <v>XC-contig_169</v>
      </c>
      <c r="AC101">
        <v>3.9999999999999996E-21</v>
      </c>
      <c r="AD101" s="10" t="s">
        <v>4600</v>
      </c>
      <c r="AE101" t="s">
        <v>4601</v>
      </c>
      <c r="AI101" s="4" t="str">
        <f>HYPERLINK("http://exon.niaid.nih.gov/transcriptome/C_felis/S1/links/NR/cf-contig_55-NR.txt","salivary allergen 2")</f>
        <v>salivary allergen 2</v>
      </c>
      <c r="AJ101" t="str">
        <f>HYPERLINK("http://www.ncbi.nlm.nih.gov/sutils/blink.cgi?pid=7638032","0.046")</f>
        <v>0.046</v>
      </c>
      <c r="AK101" t="str">
        <f>HYPERLINK("http://www.ncbi.nlm.nih.gov/protein/7638032","gi|7638032")</f>
        <v>gi|7638032</v>
      </c>
      <c r="AL101">
        <v>41.6</v>
      </c>
      <c r="AM101">
        <v>17</v>
      </c>
      <c r="AN101">
        <v>264</v>
      </c>
      <c r="AO101">
        <v>100</v>
      </c>
      <c r="AP101">
        <v>7</v>
      </c>
      <c r="AQ101">
        <v>0</v>
      </c>
      <c r="AR101">
        <v>0</v>
      </c>
      <c r="AS101">
        <v>247</v>
      </c>
      <c r="AT101">
        <v>35</v>
      </c>
      <c r="AU101">
        <v>1</v>
      </c>
      <c r="AV101">
        <v>2</v>
      </c>
      <c r="AW101" t="s">
        <v>12</v>
      </c>
      <c r="AY101" t="s">
        <v>1676</v>
      </c>
      <c r="AZ101" t="s">
        <v>1728</v>
      </c>
      <c r="BA101" s="4" t="str">
        <f>HYPERLINK("http://exon.niaid.nih.gov/transcriptome/C_felis/S1/links/SWISSP/cf-contig_55-SWISSP.txt","Maturase K")</f>
        <v>Maturase K</v>
      </c>
      <c r="BB101" t="str">
        <f>HYPERLINK("http://www.uniprot.org/uniprot/A8Y9F1","0.15")</f>
        <v>0.15</v>
      </c>
      <c r="BC101" t="s">
        <v>1870</v>
      </c>
      <c r="BD101">
        <v>35</v>
      </c>
      <c r="BE101">
        <v>51</v>
      </c>
      <c r="BF101">
        <v>511</v>
      </c>
      <c r="BG101">
        <v>42</v>
      </c>
      <c r="BH101">
        <v>10</v>
      </c>
      <c r="BI101">
        <v>31</v>
      </c>
      <c r="BJ101">
        <v>0</v>
      </c>
      <c r="BK101">
        <v>179</v>
      </c>
      <c r="BL101">
        <v>52</v>
      </c>
      <c r="BM101">
        <v>1</v>
      </c>
      <c r="BN101">
        <v>-2</v>
      </c>
      <c r="BO101" t="s">
        <v>12</v>
      </c>
      <c r="BQ101" t="s">
        <v>1666</v>
      </c>
      <c r="BR101" t="s">
        <v>1871</v>
      </c>
      <c r="BS101" s="4" t="str">
        <f>HYPERLINK("http://exon.niaid.nih.gov/transcriptome/C_felis/S1/links/CDD/cf-contig_55-CDD.txt","ND5")</f>
        <v>ND5</v>
      </c>
      <c r="BT101" t="str">
        <f>HYPERLINK("http://www.ncbi.nlm.nih.gov/Structure/cdd/cddsrv.cgi?uid=MTH00211&amp;version=v4.0","0.031")</f>
        <v>0.031</v>
      </c>
      <c r="BU101" t="s">
        <v>1872</v>
      </c>
      <c r="BV101" s="4" t="s">
        <v>42</v>
      </c>
      <c r="BW101" t="s">
        <v>42</v>
      </c>
      <c r="BX101" t="s">
        <v>42</v>
      </c>
      <c r="BY101" t="s">
        <v>42</v>
      </c>
      <c r="BZ101" t="s">
        <v>42</v>
      </c>
      <c r="CA101" t="s">
        <v>42</v>
      </c>
      <c r="CB101" t="s">
        <v>42</v>
      </c>
      <c r="CC101" t="s">
        <v>42</v>
      </c>
      <c r="CD101" t="s">
        <v>42</v>
      </c>
      <c r="CE101" t="s">
        <v>42</v>
      </c>
      <c r="CF101" t="s">
        <v>42</v>
      </c>
      <c r="CG101" t="s">
        <v>42</v>
      </c>
      <c r="CH101" t="s">
        <v>42</v>
      </c>
      <c r="CI101" t="s">
        <v>42</v>
      </c>
      <c r="CJ101" t="s">
        <v>42</v>
      </c>
      <c r="CK101" t="s">
        <v>42</v>
      </c>
      <c r="CL101" t="s">
        <v>42</v>
      </c>
      <c r="CM101" t="s">
        <v>42</v>
      </c>
      <c r="CN101" t="s">
        <v>42</v>
      </c>
      <c r="CO101" t="s">
        <v>42</v>
      </c>
      <c r="CP101" t="s">
        <v>42</v>
      </c>
      <c r="CQ101" t="s">
        <v>42</v>
      </c>
      <c r="CR101" t="s">
        <v>42</v>
      </c>
      <c r="CS101" s="4" t="str">
        <f>HYPERLINK("http://exon.niaid.nih.gov/transcriptome/C_felis/S1/links/KOG/cf-contig_55-KOG.txt","Enoyl-CoA hydratase")</f>
        <v>Enoyl-CoA hydratase</v>
      </c>
      <c r="CT101" t="str">
        <f>HYPERLINK("http://www.ncbi.nlm.nih.gov/COG/grace/shokog.cgi?KOG1679","0.16")</f>
        <v>0.16</v>
      </c>
      <c r="CU101" t="s">
        <v>1761</v>
      </c>
      <c r="CV101" s="4" t="str">
        <f>HYPERLINK("http://exon.niaid.nih.gov/transcriptome/C_felis/S1/links/PFAM/cf-contig_55-PFAM.txt","DUF846")</f>
        <v>DUF846</v>
      </c>
      <c r="CW101" t="str">
        <f>HYPERLINK("http://pfam.sanger.ac.uk/family?acc=PF05832","0.011")</f>
        <v>0.011</v>
      </c>
      <c r="CX101" s="4" t="str">
        <f>HYPERLINK("http://exon.niaid.nih.gov/transcriptome/C_felis/S1/links/SMART/cf-contig_55-SMART.txt","PSN")</f>
        <v>PSN</v>
      </c>
      <c r="CY101" t="str">
        <f>HYPERLINK("http://smart.embl-heidelberg.de/smart/do_annotation.pl?DOMAIN=PSN&amp;BLAST=DUMMY","0.030")</f>
        <v>0.030</v>
      </c>
      <c r="CZ101" s="4" t="s">
        <v>42</v>
      </c>
      <c r="DA101" t="s">
        <v>42</v>
      </c>
      <c r="DB101" t="s">
        <v>42</v>
      </c>
      <c r="DC101" t="s">
        <v>42</v>
      </c>
      <c r="DD101" t="s">
        <v>42</v>
      </c>
      <c r="DE101" t="s">
        <v>42</v>
      </c>
      <c r="DF101" t="s">
        <v>42</v>
      </c>
      <c r="DG101" t="s">
        <v>42</v>
      </c>
      <c r="DH101" s="4" t="s">
        <v>42</v>
      </c>
      <c r="DI101" t="s">
        <v>42</v>
      </c>
      <c r="DJ101" s="4" t="s">
        <v>42</v>
      </c>
      <c r="DK101" t="s">
        <v>42</v>
      </c>
      <c r="DL101" s="4">
        <v>106</v>
      </c>
      <c r="DM101">
        <v>1</v>
      </c>
      <c r="DN101" s="4">
        <v>100</v>
      </c>
      <c r="DO101">
        <v>1</v>
      </c>
      <c r="DP101" s="4">
        <v>95</v>
      </c>
      <c r="DQ101">
        <v>1</v>
      </c>
      <c r="DR101" s="4">
        <v>86</v>
      </c>
      <c r="DS101">
        <v>1</v>
      </c>
      <c r="DT101" s="4">
        <v>79</v>
      </c>
      <c r="DU101">
        <v>1</v>
      </c>
      <c r="DV101" s="4">
        <v>78</v>
      </c>
      <c r="DW101">
        <v>1</v>
      </c>
      <c r="DX101" s="4">
        <v>73</v>
      </c>
      <c r="DY101">
        <v>1</v>
      </c>
      <c r="DZ101" s="4">
        <v>71</v>
      </c>
      <c r="EA101">
        <v>1</v>
      </c>
      <c r="EB101" s="4">
        <v>71</v>
      </c>
      <c r="EC101">
        <v>1</v>
      </c>
      <c r="ED101" s="4">
        <v>72</v>
      </c>
      <c r="EE101">
        <v>1</v>
      </c>
      <c r="EF101" s="4">
        <v>67</v>
      </c>
      <c r="EG101">
        <v>1</v>
      </c>
      <c r="EH101" s="4">
        <v>57</v>
      </c>
      <c r="EI101">
        <v>1</v>
      </c>
      <c r="EJ101" s="4">
        <v>55</v>
      </c>
      <c r="EK101">
        <v>1</v>
      </c>
    </row>
    <row r="102" spans="1:141" x14ac:dyDescent="0.2">
      <c r="A102" t="str">
        <f>HYPERLINK("http://exon.niaid.nih.gov/transcriptome/C_felis/S1/links/cf/cf-contig_83.txt","cf-contig_83")</f>
        <v>cf-contig_83</v>
      </c>
      <c r="B102">
        <v>9</v>
      </c>
      <c r="C102" s="10" t="s">
        <v>4618</v>
      </c>
      <c r="D102">
        <v>9</v>
      </c>
      <c r="E102" t="str">
        <f>HYPERLINK("http://exon.niaid.nih.gov/transcriptome/C_felis/S1/links/cf/cf-5-36-asb-83.txt","Contig-83")</f>
        <v>Contig-83</v>
      </c>
      <c r="F102" t="str">
        <f>HYPERLINK("http://exon.niaid.nih.gov/transcriptome/C_felis/S1/links/cf/cf-5-36-83-CLU.txt","Contig83")</f>
        <v>Contig83</v>
      </c>
      <c r="G102" t="str">
        <f>HYPERLINK("http://exon.niaid.nih.gov/transcriptome/C_felis/S1/links/cf/cf-5-36-83-qual.txt","89.")</f>
        <v>89.</v>
      </c>
      <c r="H102" t="s">
        <v>11</v>
      </c>
      <c r="I102">
        <v>58.7</v>
      </c>
      <c r="J102">
        <v>415</v>
      </c>
      <c r="K102" t="s">
        <v>12</v>
      </c>
      <c r="L102">
        <v>9</v>
      </c>
      <c r="M102" t="s">
        <v>96</v>
      </c>
      <c r="N102">
        <v>416</v>
      </c>
      <c r="O102">
        <v>441</v>
      </c>
      <c r="P102">
        <v>342</v>
      </c>
      <c r="Q102" t="s">
        <v>903</v>
      </c>
      <c r="R102">
        <v>3</v>
      </c>
      <c r="S102" s="7" t="str">
        <f>HYPERLINK("http://exon.niaid.nih.gov/transcriptome/C_felis/S1/links/Sigp/CF-CONTIG_83-SigP.txt","SIG")</f>
        <v>SIG</v>
      </c>
      <c r="T102" t="s">
        <v>4587</v>
      </c>
      <c r="U102">
        <v>9</v>
      </c>
      <c r="V102" s="4">
        <v>113</v>
      </c>
      <c r="W102">
        <v>1</v>
      </c>
      <c r="X102" s="4">
        <v>108</v>
      </c>
      <c r="Y102">
        <v>1</v>
      </c>
      <c r="Z102" s="4">
        <v>103</v>
      </c>
      <c r="AA102">
        <v>1</v>
      </c>
      <c r="AB102" s="4" t="str">
        <f>HYPERLINK("http://exon.niaid.nih.gov/transcriptome/C_felis/S1/links/XC-ASB/cf-contig_95-XC-ASB.txt","XC-contig_169")</f>
        <v>XC-contig_169</v>
      </c>
      <c r="AC102">
        <v>6.9999999999999998E-9</v>
      </c>
      <c r="AD102" s="10" t="s">
        <v>4618</v>
      </c>
      <c r="AE102" t="s">
        <v>4619</v>
      </c>
      <c r="AF102" t="str">
        <f>HYPERLINK("http://exon.niaid.nih.gov/transcriptome/C_felis/S1/links/SWISSP/cf-contig_83-SWISSP.txt","SWISSP")</f>
        <v>SWISSP</v>
      </c>
      <c r="AG102">
        <v>2.0000000000000001E-13</v>
      </c>
      <c r="AH102">
        <v>19.7</v>
      </c>
      <c r="AI102" s="4" t="str">
        <f>HYPERLINK("http://exon.niaid.nih.gov/transcriptome/C_felis/S1/links/NR/cf-contig_83-NR.txt","GH24756")</f>
        <v>GH24756</v>
      </c>
      <c r="AJ102" t="str">
        <f>HYPERLINK("http://www.ncbi.nlm.nih.gov/sutils/blink.cgi?pid=195047978","8E-018")</f>
        <v>8E-018</v>
      </c>
      <c r="AK102" t="str">
        <f>HYPERLINK("http://www.ncbi.nlm.nih.gov/protein/195047978","gi|195047978")</f>
        <v>gi|195047978</v>
      </c>
      <c r="AL102">
        <v>94</v>
      </c>
      <c r="AM102">
        <v>356</v>
      </c>
      <c r="AN102">
        <v>541</v>
      </c>
      <c r="AO102">
        <v>50</v>
      </c>
      <c r="AP102">
        <v>66</v>
      </c>
      <c r="AQ102">
        <v>45</v>
      </c>
      <c r="AR102">
        <v>3</v>
      </c>
      <c r="AS102">
        <v>163</v>
      </c>
      <c r="AT102">
        <v>2</v>
      </c>
      <c r="AU102">
        <v>11</v>
      </c>
      <c r="AV102">
        <v>2</v>
      </c>
      <c r="AW102" t="s">
        <v>1689</v>
      </c>
      <c r="AY102" t="s">
        <v>1676</v>
      </c>
      <c r="AZ102" t="s">
        <v>1970</v>
      </c>
      <c r="BA102" s="4" t="str">
        <f>HYPERLINK("http://exon.niaid.nih.gov/transcriptome/C_felis/S1/links/SWISSP/cf-contig_83-SWISSP.txt","Holotricin-3")</f>
        <v>Holotricin-3</v>
      </c>
      <c r="BB102" t="str">
        <f>HYPERLINK("http://www.uniprot.org/uniprot/Q25055","1E-016")</f>
        <v>1E-016</v>
      </c>
      <c r="BC102" t="s">
        <v>1971</v>
      </c>
      <c r="BD102">
        <v>85.5</v>
      </c>
      <c r="BE102">
        <v>81</v>
      </c>
      <c r="BF102">
        <v>104</v>
      </c>
      <c r="BG102">
        <v>55</v>
      </c>
      <c r="BH102">
        <v>79</v>
      </c>
      <c r="BI102">
        <v>39</v>
      </c>
      <c r="BJ102">
        <v>5</v>
      </c>
      <c r="BK102">
        <v>22</v>
      </c>
      <c r="BL102">
        <v>2</v>
      </c>
      <c r="BM102">
        <v>3</v>
      </c>
      <c r="BN102">
        <v>2</v>
      </c>
      <c r="BO102" t="s">
        <v>12</v>
      </c>
      <c r="BQ102" t="s">
        <v>1676</v>
      </c>
      <c r="BR102" t="s">
        <v>1972</v>
      </c>
      <c r="BS102" s="4" t="str">
        <f>HYPERLINK("http://exon.niaid.nih.gov/transcriptome/C_felis/S1/links/CDD/cf-contig_83-CDD.txt","Dehydrin")</f>
        <v>Dehydrin</v>
      </c>
      <c r="BT102" t="str">
        <f>HYPERLINK("http://www.ncbi.nlm.nih.gov/Structure/cdd/cddsrv.cgi?uid=pfam00257&amp;version=v4.0","4E-009")</f>
        <v>4E-009</v>
      </c>
      <c r="BU102" t="s">
        <v>1973</v>
      </c>
      <c r="BV102" s="4" t="s">
        <v>1974</v>
      </c>
      <c r="BW102">
        <f>HYPERLINK("http://exon.niaid.nih.gov/transcriptome/C_felis/S1/links/GO/cf-contig_83-GO.txt",0.0000000000000006)</f>
        <v>5.9999999999999999E-16</v>
      </c>
      <c r="BX102" t="str">
        <f>HYPERLINK("http://amigo.geneontology.org/cgi-bin/amigo/term_details?term=GO:0003674","GO:0003674")</f>
        <v>GO:0003674</v>
      </c>
      <c r="BY102" t="s">
        <v>1851</v>
      </c>
      <c r="BZ102" t="s">
        <v>1852</v>
      </c>
      <c r="CA102" t="s">
        <v>1853</v>
      </c>
      <c r="CB102" t="s">
        <v>42</v>
      </c>
      <c r="CD102" s="5">
        <v>5.9999999999999999E-16</v>
      </c>
      <c r="CE102" t="str">
        <f>HYPERLINK("http://amigo.geneontology.org/cgi-bin/amigo/term_details?term=GO:0005575","GO:0005575")</f>
        <v>GO:0005575</v>
      </c>
      <c r="CF102" t="s">
        <v>1838</v>
      </c>
      <c r="CG102" t="s">
        <v>1839</v>
      </c>
      <c r="CH102" t="s">
        <v>1840</v>
      </c>
      <c r="CI102" t="s">
        <v>42</v>
      </c>
      <c r="CK102" s="5">
        <v>5.9999999999999999E-16</v>
      </c>
      <c r="CL102" t="str">
        <f>HYPERLINK("http://amigo.geneontology.org/cgi-bin/amigo/term_details?term=GO:0008150","GO:0008150")</f>
        <v>GO:0008150</v>
      </c>
      <c r="CM102" t="s">
        <v>1857</v>
      </c>
      <c r="CN102" t="s">
        <v>1858</v>
      </c>
      <c r="CO102" t="s">
        <v>1859</v>
      </c>
      <c r="CP102" t="s">
        <v>42</v>
      </c>
      <c r="CR102" s="5">
        <v>5.9999999999999999E-16</v>
      </c>
      <c r="CS102" s="4" t="str">
        <f>HYPERLINK("http://exon.niaid.nih.gov/transcriptome/C_felis/S1/links/KOG/cf-contig_83-KOG.txt","Uncharacterized conserved glycine-rich protein")</f>
        <v>Uncharacterized conserved glycine-rich protein</v>
      </c>
      <c r="CT102" t="str">
        <f>HYPERLINK("http://www.ncbi.nlm.nih.gov/COG/grace/shokog.cgi?KOG3973","1E-008")</f>
        <v>1E-008</v>
      </c>
      <c r="CU102" t="s">
        <v>1711</v>
      </c>
      <c r="CV102" s="4" t="str">
        <f>HYPERLINK("http://exon.niaid.nih.gov/transcriptome/C_felis/S1/links/PFAM/cf-contig_83-PFAM.txt","Dehydrin")</f>
        <v>Dehydrin</v>
      </c>
      <c r="CW102" t="str">
        <f>HYPERLINK("http://pfam.sanger.ac.uk/family?acc=PF00257","1E-009")</f>
        <v>1E-009</v>
      </c>
      <c r="CX102" s="4" t="str">
        <f>HYPERLINK("http://exon.niaid.nih.gov/transcriptome/C_felis/S1/links/SMART/cf-contig_83-SMART.txt","PRP")</f>
        <v>PRP</v>
      </c>
      <c r="CY102" t="str">
        <f>HYPERLINK("http://smart.embl-heidelberg.de/smart/do_annotation.pl?DOMAIN=PRP&amp;BLAST=DUMMY","2E-009")</f>
        <v>2E-009</v>
      </c>
      <c r="CZ102" s="4" t="s">
        <v>42</v>
      </c>
      <c r="DA102" t="s">
        <v>42</v>
      </c>
      <c r="DB102" t="s">
        <v>42</v>
      </c>
      <c r="DC102" t="s">
        <v>42</v>
      </c>
      <c r="DD102" t="s">
        <v>42</v>
      </c>
      <c r="DE102" t="s">
        <v>42</v>
      </c>
      <c r="DF102" t="s">
        <v>42</v>
      </c>
      <c r="DG102" t="s">
        <v>42</v>
      </c>
      <c r="DH102" s="4" t="s">
        <v>42</v>
      </c>
      <c r="DI102" t="s">
        <v>42</v>
      </c>
      <c r="DJ102" s="4" t="s">
        <v>42</v>
      </c>
      <c r="DK102" t="s">
        <v>42</v>
      </c>
      <c r="DL102" s="4">
        <v>113</v>
      </c>
      <c r="DM102">
        <v>1</v>
      </c>
      <c r="DN102" s="4">
        <v>108</v>
      </c>
      <c r="DO102">
        <v>1</v>
      </c>
      <c r="DP102" s="4">
        <v>103</v>
      </c>
      <c r="DQ102">
        <v>1</v>
      </c>
      <c r="DR102" s="4">
        <v>94</v>
      </c>
      <c r="DS102">
        <v>1</v>
      </c>
      <c r="DT102" s="4">
        <v>90</v>
      </c>
      <c r="DU102">
        <v>1</v>
      </c>
      <c r="DV102" s="4">
        <v>95</v>
      </c>
      <c r="DW102">
        <v>1</v>
      </c>
      <c r="DX102" s="4">
        <v>94</v>
      </c>
      <c r="DY102">
        <v>1</v>
      </c>
      <c r="DZ102" s="4">
        <v>92</v>
      </c>
      <c r="EA102">
        <v>1</v>
      </c>
      <c r="EB102" s="4">
        <v>92</v>
      </c>
      <c r="EC102">
        <v>1</v>
      </c>
      <c r="ED102" s="4">
        <v>93</v>
      </c>
      <c r="EE102">
        <v>1</v>
      </c>
      <c r="EF102" s="4">
        <v>90</v>
      </c>
      <c r="EG102">
        <v>1</v>
      </c>
      <c r="EH102" s="4">
        <v>85</v>
      </c>
      <c r="EI102">
        <v>1</v>
      </c>
      <c r="EJ102" s="4">
        <v>83</v>
      </c>
      <c r="EK102">
        <v>1</v>
      </c>
    </row>
    <row r="103" spans="1:141" x14ac:dyDescent="0.2">
      <c r="A103" t="str">
        <f>HYPERLINK("http://exon.niaid.nih.gov/transcriptome/C_felis/S1/links/cf/cf-contig_514.txt","cf-contig_514")</f>
        <v>cf-contig_514</v>
      </c>
      <c r="B103">
        <v>1</v>
      </c>
      <c r="C103" s="10" t="s">
        <v>4598</v>
      </c>
      <c r="D103">
        <v>1</v>
      </c>
      <c r="E103" t="str">
        <f>HYPERLINK("http://exon.niaid.nih.gov/transcriptome/C_felis/S1/links/cf/cf-5-36-asb-514.txt","Contig-514")</f>
        <v>Contig-514</v>
      </c>
      <c r="F103" t="str">
        <f>HYPERLINK("http://exon.niaid.nih.gov/transcriptome/C_felis/S1/links/cf/cf-5-36-514-CLU.txt","Contig514")</f>
        <v>Contig514</v>
      </c>
      <c r="G103" t="str">
        <f>HYPERLINK("http://exon.niaid.nih.gov/transcriptome/C_felis/S1/links/cf/cf-5-36-514-qual.txt","64.8")</f>
        <v>64.8</v>
      </c>
      <c r="H103" t="s">
        <v>11</v>
      </c>
      <c r="I103">
        <v>71.099999999999994</v>
      </c>
      <c r="J103">
        <v>424</v>
      </c>
      <c r="K103" t="s">
        <v>12</v>
      </c>
      <c r="L103">
        <v>1</v>
      </c>
      <c r="M103" t="s">
        <v>527</v>
      </c>
      <c r="N103">
        <v>424</v>
      </c>
      <c r="O103">
        <v>443</v>
      </c>
      <c r="P103">
        <v>147</v>
      </c>
      <c r="Q103" t="s">
        <v>1333</v>
      </c>
      <c r="R103">
        <v>1</v>
      </c>
      <c r="S103" s="7" t="str">
        <f>HYPERLINK("http://exon.niaid.nih.gov/transcriptome/C_felis/S1/links/Sigp/CF-CONTIG_514-SigP.txt","BL")</f>
        <v>BL</v>
      </c>
      <c r="T103" t="s">
        <v>4584</v>
      </c>
      <c r="U103">
        <v>1</v>
      </c>
      <c r="V103" s="4">
        <v>419</v>
      </c>
      <c r="W103">
        <v>1</v>
      </c>
      <c r="X103" s="4">
        <v>428</v>
      </c>
      <c r="Y103">
        <v>1</v>
      </c>
      <c r="Z103" s="4">
        <v>433</v>
      </c>
      <c r="AA103">
        <v>1</v>
      </c>
      <c r="AB103" s="4" t="str">
        <f>HYPERLINK("http://exon.niaid.nih.gov/transcriptome/C_felis/S1/links/XC-ASB/cf-contig_38-XC-ASB.txt","XC-contig_169")</f>
        <v>XC-contig_169</v>
      </c>
      <c r="AC103">
        <v>7.0000000000000001E-12</v>
      </c>
      <c r="AD103" s="10" t="s">
        <v>4598</v>
      </c>
      <c r="AE103" t="s">
        <v>4599</v>
      </c>
      <c r="AF103" t="str">
        <f>HYPERLINK("http://exon.niaid.nih.gov/transcriptome/C_felis/S1/links/Sigp/cf-contig_514-Sigp.txt","Sigp")</f>
        <v>Sigp</v>
      </c>
      <c r="AI103" s="4" t="str">
        <f>HYPERLINK("http://exon.niaid.nih.gov/transcriptome/C_felis/S1/links/NR/cf-contig_514-NR.txt","hypothetical protein FNFX1_1461")</f>
        <v>hypothetical protein FNFX1_1461</v>
      </c>
      <c r="AJ103" t="str">
        <f>HYPERLINK("http://www.ncbi.nlm.nih.gov/sutils/blink.cgi?pid=332678718","7.3")</f>
        <v>7.3</v>
      </c>
      <c r="AK103" t="str">
        <f>HYPERLINK("http://www.ncbi.nlm.nih.gov/protein/332678718","gi|332678718")</f>
        <v>gi|332678718</v>
      </c>
      <c r="AL103">
        <v>34.299999999999997</v>
      </c>
      <c r="AM103">
        <v>104</v>
      </c>
      <c r="AN103">
        <v>332</v>
      </c>
      <c r="AO103">
        <v>26</v>
      </c>
      <c r="AP103">
        <v>32</v>
      </c>
      <c r="AQ103">
        <v>81</v>
      </c>
      <c r="AR103">
        <v>2</v>
      </c>
      <c r="AS103">
        <v>90</v>
      </c>
      <c r="AT103">
        <v>66</v>
      </c>
      <c r="AU103">
        <v>1</v>
      </c>
      <c r="AV103">
        <v>3</v>
      </c>
      <c r="AW103" t="s">
        <v>12</v>
      </c>
      <c r="AX103">
        <v>1.923</v>
      </c>
      <c r="AY103" t="s">
        <v>1676</v>
      </c>
      <c r="AZ103" t="s">
        <v>3018</v>
      </c>
      <c r="BA103" s="4" t="str">
        <f>HYPERLINK("http://exon.niaid.nih.gov/transcriptome/C_felis/S1/links/SWISSP/cf-contig_514-SWISSP.txt","Opaque-specific ABC transporter CDR3")</f>
        <v>Opaque-specific ABC transporter CDR3</v>
      </c>
      <c r="BB103" t="str">
        <f>HYPERLINK("http://www.uniprot.org/uniprot/O42690","3.2")</f>
        <v>3.2</v>
      </c>
      <c r="BC103" t="s">
        <v>3544</v>
      </c>
      <c r="BD103">
        <v>30.8</v>
      </c>
      <c r="BE103">
        <v>26</v>
      </c>
      <c r="BF103">
        <v>1501</v>
      </c>
      <c r="BG103">
        <v>48</v>
      </c>
      <c r="BH103">
        <v>2</v>
      </c>
      <c r="BI103">
        <v>14</v>
      </c>
      <c r="BJ103">
        <v>0</v>
      </c>
      <c r="BK103">
        <v>617</v>
      </c>
      <c r="BL103">
        <v>66</v>
      </c>
      <c r="BM103">
        <v>1</v>
      </c>
      <c r="BN103">
        <v>3</v>
      </c>
      <c r="BO103" t="s">
        <v>12</v>
      </c>
      <c r="BQ103" t="s">
        <v>1676</v>
      </c>
      <c r="BR103" t="s">
        <v>3545</v>
      </c>
      <c r="BS103" s="4" t="str">
        <f>HYPERLINK("http://exon.niaid.nih.gov/transcriptome/C_felis/S1/links/CDD/cf-contig_514-CDD.txt","DUF3796")</f>
        <v>DUF3796</v>
      </c>
      <c r="BT103" t="str">
        <f>HYPERLINK("http://www.ncbi.nlm.nih.gov/Structure/cdd/cddsrv.cgi?uid=pfam12676&amp;version=v4.0","0.002")</f>
        <v>0.002</v>
      </c>
      <c r="BU103" t="s">
        <v>3546</v>
      </c>
      <c r="BV103" s="4" t="s">
        <v>42</v>
      </c>
      <c r="BW103" t="s">
        <v>42</v>
      </c>
      <c r="BX103" t="s">
        <v>42</v>
      </c>
      <c r="BY103" t="s">
        <v>42</v>
      </c>
      <c r="BZ103" t="s">
        <v>42</v>
      </c>
      <c r="CA103" t="s">
        <v>42</v>
      </c>
      <c r="CB103" t="s">
        <v>42</v>
      </c>
      <c r="CC103" t="s">
        <v>42</v>
      </c>
      <c r="CD103" t="s">
        <v>42</v>
      </c>
      <c r="CE103" t="s">
        <v>42</v>
      </c>
      <c r="CF103" t="s">
        <v>42</v>
      </c>
      <c r="CG103" t="s">
        <v>42</v>
      </c>
      <c r="CH103" t="s">
        <v>42</v>
      </c>
      <c r="CI103" t="s">
        <v>42</v>
      </c>
      <c r="CJ103" t="s">
        <v>42</v>
      </c>
      <c r="CK103" t="s">
        <v>42</v>
      </c>
      <c r="CL103" t="s">
        <v>42</v>
      </c>
      <c r="CM103" t="s">
        <v>42</v>
      </c>
      <c r="CN103" t="s">
        <v>42</v>
      </c>
      <c r="CO103" t="s">
        <v>42</v>
      </c>
      <c r="CP103" t="s">
        <v>42</v>
      </c>
      <c r="CQ103" t="s">
        <v>42</v>
      </c>
      <c r="CR103" t="s">
        <v>42</v>
      </c>
      <c r="CS103" s="4" t="str">
        <f>HYPERLINK("http://exon.niaid.nih.gov/transcriptome/C_felis/S1/links/KOG/cf-contig_514-KOG.txt","Predicted membrane protein")</f>
        <v>Predicted membrane protein</v>
      </c>
      <c r="CT103" t="str">
        <f>HYPERLINK("http://www.ncbi.nlm.nih.gov/COG/grace/shokog.cgi?KOG4694","0.34")</f>
        <v>0.34</v>
      </c>
      <c r="CU103" t="s">
        <v>1711</v>
      </c>
      <c r="CV103" s="4" t="str">
        <f>HYPERLINK("http://exon.niaid.nih.gov/transcriptome/C_felis/S1/links/PFAM/cf-contig_514-PFAM.txt","DUF3796")</f>
        <v>DUF3796</v>
      </c>
      <c r="CW103" t="str">
        <f>HYPERLINK("http://pfam.sanger.ac.uk/family?acc=PF12676","4E-004")</f>
        <v>4E-004</v>
      </c>
      <c r="CX103" s="4" t="str">
        <f>HYPERLINK("http://exon.niaid.nih.gov/transcriptome/C_felis/S1/links/SMART/cf-contig_514-SMART.txt","Cg6151-P")</f>
        <v>Cg6151-P</v>
      </c>
      <c r="CY103" t="str">
        <f>HYPERLINK("http://smart.embl-heidelberg.de/smart/do_annotation.pl?DOMAIN=Cg6151-P&amp;BLAST=DUMMY","0.091")</f>
        <v>0.091</v>
      </c>
      <c r="CZ103" s="4" t="s">
        <v>42</v>
      </c>
      <c r="DA103" t="s">
        <v>42</v>
      </c>
      <c r="DB103" t="s">
        <v>42</v>
      </c>
      <c r="DC103" t="s">
        <v>42</v>
      </c>
      <c r="DD103" t="s">
        <v>42</v>
      </c>
      <c r="DE103" t="s">
        <v>42</v>
      </c>
      <c r="DF103" t="s">
        <v>42</v>
      </c>
      <c r="DG103" t="s">
        <v>42</v>
      </c>
      <c r="DH103" s="4" t="s">
        <v>42</v>
      </c>
      <c r="DI103" t="s">
        <v>42</v>
      </c>
      <c r="DJ103" s="4" t="s">
        <v>42</v>
      </c>
      <c r="DK103" t="s">
        <v>42</v>
      </c>
      <c r="DL103" s="4">
        <v>419</v>
      </c>
      <c r="DM103">
        <v>1</v>
      </c>
      <c r="DN103" s="4">
        <v>428</v>
      </c>
      <c r="DO103">
        <v>1</v>
      </c>
      <c r="DP103" s="4">
        <v>433</v>
      </c>
      <c r="DQ103">
        <v>1</v>
      </c>
      <c r="DR103" s="4">
        <v>448</v>
      </c>
      <c r="DS103">
        <v>1</v>
      </c>
      <c r="DT103" s="4">
        <v>459</v>
      </c>
      <c r="DU103">
        <v>1</v>
      </c>
      <c r="DV103" s="4">
        <v>473</v>
      </c>
      <c r="DW103">
        <v>1</v>
      </c>
      <c r="DX103" s="4">
        <v>479</v>
      </c>
      <c r="DY103">
        <v>1</v>
      </c>
      <c r="DZ103" s="4">
        <v>487</v>
      </c>
      <c r="EA103">
        <v>1</v>
      </c>
      <c r="EB103" s="4">
        <v>492</v>
      </c>
      <c r="EC103">
        <v>1</v>
      </c>
      <c r="ED103" s="4">
        <v>496</v>
      </c>
      <c r="EE103">
        <v>1</v>
      </c>
      <c r="EF103" s="4">
        <v>501</v>
      </c>
      <c r="EG103">
        <v>1</v>
      </c>
      <c r="EH103" s="4">
        <v>507</v>
      </c>
      <c r="EI103">
        <v>1</v>
      </c>
      <c r="EJ103" s="4">
        <v>514</v>
      </c>
      <c r="EK103">
        <v>1</v>
      </c>
    </row>
    <row r="104" spans="1:141" x14ac:dyDescent="0.2">
      <c r="A104" t="str">
        <f>HYPERLINK("http://exon.niaid.nih.gov/transcriptome/C_felis/S1/links/cf/cf-contig_802.txt","cf-contig_802")</f>
        <v>cf-contig_802</v>
      </c>
      <c r="B104">
        <v>1</v>
      </c>
      <c r="C104" s="10" t="s">
        <v>4598</v>
      </c>
      <c r="D104">
        <v>1</v>
      </c>
      <c r="E104" t="str">
        <f>HYPERLINK("http://exon.niaid.nih.gov/transcriptome/C_felis/S1/links/cf/cf-5-36-asb-802.txt","Contig-802")</f>
        <v>Contig-802</v>
      </c>
      <c r="F104" t="str">
        <f>HYPERLINK("http://exon.niaid.nih.gov/transcriptome/C_felis/S1/links/cf/cf-5-36-802-CLU.txt","Contig802")</f>
        <v>Contig802</v>
      </c>
      <c r="G104" t="str">
        <f>HYPERLINK("http://exon.niaid.nih.gov/transcriptome/C_felis/S1/links/cf/cf-5-36-802-qual.txt","62.2")</f>
        <v>62.2</v>
      </c>
      <c r="H104" t="s">
        <v>11</v>
      </c>
      <c r="I104">
        <v>78.2</v>
      </c>
      <c r="J104">
        <v>462</v>
      </c>
      <c r="K104" t="s">
        <v>12</v>
      </c>
      <c r="L104">
        <v>1</v>
      </c>
      <c r="M104" t="s">
        <v>815</v>
      </c>
      <c r="N104">
        <v>462</v>
      </c>
      <c r="O104">
        <v>481</v>
      </c>
      <c r="P104">
        <v>225</v>
      </c>
      <c r="Q104" t="s">
        <v>1621</v>
      </c>
      <c r="R104">
        <v>2</v>
      </c>
      <c r="S104" s="7" t="str">
        <f>HYPERLINK("http://exon.niaid.nih.gov/transcriptome/C_felis/S1/links/Sigp/CF-CONTIG_802-SigP.txt","SIG")</f>
        <v>SIG</v>
      </c>
      <c r="T104" t="s">
        <v>4583</v>
      </c>
      <c r="U104">
        <v>1</v>
      </c>
      <c r="V104" s="4">
        <v>645</v>
      </c>
      <c r="W104">
        <v>1</v>
      </c>
      <c r="X104" s="4">
        <v>667</v>
      </c>
      <c r="Y104">
        <v>1</v>
      </c>
      <c r="Z104" s="4">
        <v>683</v>
      </c>
      <c r="AA104">
        <v>1</v>
      </c>
      <c r="AB104" s="4" t="str">
        <f>HYPERLINK("http://exon.niaid.nih.gov/transcriptome/C_felis/S1/links/XC-ASB/cf-contig_537-XC-ASB.txt","XC-contig_80")</f>
        <v>XC-contig_80</v>
      </c>
      <c r="AC104">
        <v>3.9999999999999998E-7</v>
      </c>
      <c r="AD104" s="10" t="s">
        <v>4598</v>
      </c>
      <c r="AE104" t="s">
        <v>4599</v>
      </c>
      <c r="AF104" t="str">
        <f>HYPERLINK("http://exon.niaid.nih.gov/transcriptome/C_felis/S1/links/Sigp/cf-contig_802-Sigp.txt","Sigp")</f>
        <v>Sigp</v>
      </c>
      <c r="AI104" s="4" t="str">
        <f>HYPERLINK("http://exon.niaid.nih.gov/transcriptome/C_felis/S1/links/NR/cf-contig_802-NR.txt","hypothetical protein IMG5_126840")</f>
        <v>hypothetical protein IMG5_126840</v>
      </c>
      <c r="AJ104" t="str">
        <f>HYPERLINK("http://www.ncbi.nlm.nih.gov/sutils/blink.cgi?pid=340504173","0.026")</f>
        <v>0.026</v>
      </c>
      <c r="AK104" t="str">
        <f>HYPERLINK("http://www.ncbi.nlm.nih.gov/protein/340504173","gi|340504173")</f>
        <v>gi|340504173</v>
      </c>
      <c r="AL104">
        <v>42.4</v>
      </c>
      <c r="AM104">
        <v>87</v>
      </c>
      <c r="AN104">
        <v>514</v>
      </c>
      <c r="AO104">
        <v>32</v>
      </c>
      <c r="AP104">
        <v>17</v>
      </c>
      <c r="AQ104">
        <v>63</v>
      </c>
      <c r="AR104">
        <v>3</v>
      </c>
      <c r="AS104">
        <v>160</v>
      </c>
      <c r="AT104">
        <v>186</v>
      </c>
      <c r="AU104">
        <v>1</v>
      </c>
      <c r="AV104">
        <v>-3</v>
      </c>
      <c r="AW104" t="s">
        <v>12</v>
      </c>
      <c r="AX104">
        <v>2.2989999999999999</v>
      </c>
      <c r="AY104" t="s">
        <v>1666</v>
      </c>
      <c r="AZ104" t="s">
        <v>2355</v>
      </c>
      <c r="BA104" s="4" t="str">
        <f>HYPERLINK("http://exon.niaid.nih.gov/transcriptome/C_felis/S1/links/SWISSP/cf-contig_802-SWISSP.txt","Uncharacterized membrane protein C17A2.10c")</f>
        <v>Uncharacterized membrane protein C17A2.10c</v>
      </c>
      <c r="BB104" t="str">
        <f>HYPERLINK("http://www.uniprot.org/uniprot/O13760","0.22")</f>
        <v>0.22</v>
      </c>
      <c r="BC104" t="s">
        <v>4570</v>
      </c>
      <c r="BD104">
        <v>35</v>
      </c>
      <c r="BE104">
        <v>90</v>
      </c>
      <c r="BF104">
        <v>230</v>
      </c>
      <c r="BG104">
        <v>30</v>
      </c>
      <c r="BH104">
        <v>40</v>
      </c>
      <c r="BI104">
        <v>63</v>
      </c>
      <c r="BJ104">
        <v>19</v>
      </c>
      <c r="BK104">
        <v>120</v>
      </c>
      <c r="BL104">
        <v>80</v>
      </c>
      <c r="BM104">
        <v>1</v>
      </c>
      <c r="BN104">
        <v>-1</v>
      </c>
      <c r="BO104" t="s">
        <v>12</v>
      </c>
      <c r="BP104">
        <v>2.222</v>
      </c>
      <c r="BQ104" t="s">
        <v>1666</v>
      </c>
      <c r="BR104" t="s">
        <v>1695</v>
      </c>
      <c r="BS104" s="4" t="str">
        <f>HYPERLINK("http://exon.niaid.nih.gov/transcriptome/C_felis/S1/links/CDD/cf-contig_802-CDD.txt","ND5")</f>
        <v>ND5</v>
      </c>
      <c r="BT104" t="str">
        <f>HYPERLINK("http://www.ncbi.nlm.nih.gov/Structure/cdd/cddsrv.cgi?uid=MTH00095&amp;version=v4.0","0.005")</f>
        <v>0.005</v>
      </c>
      <c r="BU104" t="s">
        <v>4571</v>
      </c>
      <c r="BV104" s="4" t="s">
        <v>42</v>
      </c>
      <c r="BW104" t="s">
        <v>42</v>
      </c>
      <c r="BX104" t="s">
        <v>42</v>
      </c>
      <c r="BY104" t="s">
        <v>42</v>
      </c>
      <c r="BZ104" t="s">
        <v>42</v>
      </c>
      <c r="CA104" t="s">
        <v>42</v>
      </c>
      <c r="CB104" t="s">
        <v>42</v>
      </c>
      <c r="CC104" t="s">
        <v>42</v>
      </c>
      <c r="CD104" t="s">
        <v>42</v>
      </c>
      <c r="CE104" t="s">
        <v>42</v>
      </c>
      <c r="CF104" t="s">
        <v>42</v>
      </c>
      <c r="CG104" t="s">
        <v>42</v>
      </c>
      <c r="CH104" t="s">
        <v>42</v>
      </c>
      <c r="CI104" t="s">
        <v>42</v>
      </c>
      <c r="CJ104" t="s">
        <v>42</v>
      </c>
      <c r="CK104" t="s">
        <v>42</v>
      </c>
      <c r="CL104" t="s">
        <v>42</v>
      </c>
      <c r="CM104" t="s">
        <v>42</v>
      </c>
      <c r="CN104" t="s">
        <v>42</v>
      </c>
      <c r="CO104" t="s">
        <v>42</v>
      </c>
      <c r="CP104" t="s">
        <v>42</v>
      </c>
      <c r="CQ104" t="s">
        <v>42</v>
      </c>
      <c r="CR104" t="s">
        <v>42</v>
      </c>
      <c r="CS104" s="4" t="str">
        <f>HYPERLINK("http://exon.niaid.nih.gov/transcriptome/C_felis/S1/links/KOG/cf-contig_802-KOG.txt","Glycosylphosphatidylinositol anchor synthesis protein")</f>
        <v>Glycosylphosphatidylinositol anchor synthesis protein</v>
      </c>
      <c r="CT104" t="str">
        <f>HYPERLINK("http://www.ncbi.nlm.nih.gov/COG/grace/shokog.cgi?KOG2126","0.15")</f>
        <v>0.15</v>
      </c>
      <c r="CU104" t="s">
        <v>1780</v>
      </c>
      <c r="CV104" s="4" t="str">
        <f>HYPERLINK("http://exon.niaid.nih.gov/transcriptome/C_felis/S1/links/PFAM/cf-contig_802-PFAM.txt","7TM_GPCR_Srbc")</f>
        <v>7TM_GPCR_Srbc</v>
      </c>
      <c r="CW104" t="str">
        <f>HYPERLINK("http://pfam.sanger.ac.uk/family?acc=PF10316","0.033")</f>
        <v>0.033</v>
      </c>
      <c r="CX104" s="4" t="str">
        <f>HYPERLINK("http://exon.niaid.nih.gov/transcriptome/C_felis/S1/links/SMART/cf-contig_802-SMART.txt","TOP4c")</f>
        <v>TOP4c</v>
      </c>
      <c r="CY104" t="str">
        <f>HYPERLINK("http://smart.embl-heidelberg.de/smart/do_annotation.pl?DOMAIN=TOP4c&amp;BLAST=DUMMY","0.005")</f>
        <v>0.005</v>
      </c>
      <c r="CZ104" s="4" t="s">
        <v>42</v>
      </c>
      <c r="DA104" t="s">
        <v>42</v>
      </c>
      <c r="DB104" t="s">
        <v>42</v>
      </c>
      <c r="DC104" t="s">
        <v>42</v>
      </c>
      <c r="DD104" t="s">
        <v>42</v>
      </c>
      <c r="DE104" t="s">
        <v>42</v>
      </c>
      <c r="DF104" t="s">
        <v>42</v>
      </c>
      <c r="DG104" t="s">
        <v>42</v>
      </c>
      <c r="DH104" s="4" t="s">
        <v>42</v>
      </c>
      <c r="DI104" t="s">
        <v>42</v>
      </c>
      <c r="DJ104" s="4" t="s">
        <v>42</v>
      </c>
      <c r="DK104" t="s">
        <v>42</v>
      </c>
      <c r="DL104" s="4">
        <v>645</v>
      </c>
      <c r="DM104">
        <v>1</v>
      </c>
      <c r="DN104" s="4">
        <v>667</v>
      </c>
      <c r="DO104">
        <v>1</v>
      </c>
      <c r="DP104" s="4">
        <v>683</v>
      </c>
      <c r="DQ104">
        <v>1</v>
      </c>
      <c r="DR104" s="4">
        <v>705</v>
      </c>
      <c r="DS104">
        <v>1</v>
      </c>
      <c r="DT104" s="4">
        <v>721</v>
      </c>
      <c r="DU104">
        <v>1</v>
      </c>
      <c r="DV104" s="4">
        <v>736</v>
      </c>
      <c r="DW104">
        <v>1</v>
      </c>
      <c r="DX104" s="4">
        <v>750</v>
      </c>
      <c r="DY104">
        <v>1</v>
      </c>
      <c r="DZ104" s="4">
        <v>762</v>
      </c>
      <c r="EA104">
        <v>1</v>
      </c>
      <c r="EB104" s="4">
        <v>769</v>
      </c>
      <c r="EC104">
        <v>1</v>
      </c>
      <c r="ED104" s="4">
        <v>774</v>
      </c>
      <c r="EE104">
        <v>1</v>
      </c>
      <c r="EF104" s="4">
        <v>781</v>
      </c>
      <c r="EG104">
        <v>1</v>
      </c>
      <c r="EH104" s="4">
        <v>793</v>
      </c>
      <c r="EI104">
        <v>1</v>
      </c>
      <c r="EJ104" s="4">
        <v>802</v>
      </c>
      <c r="EK104">
        <v>1</v>
      </c>
    </row>
    <row r="105" spans="1:141" x14ac:dyDescent="0.2">
      <c r="A105" t="str">
        <f>HYPERLINK("http://exon.niaid.nih.gov/transcriptome/C_felis/S1/links/cf/cf-contig_230.txt","cf-contig_230")</f>
        <v>cf-contig_230</v>
      </c>
      <c r="B105">
        <v>1</v>
      </c>
      <c r="C105" s="10" t="s">
        <v>4598</v>
      </c>
      <c r="D105">
        <v>1</v>
      </c>
      <c r="E105" t="str">
        <f>HYPERLINK("http://exon.niaid.nih.gov/transcriptome/C_felis/S1/links/cf/cf-5-36-asb-230.txt","Contig-230")</f>
        <v>Contig-230</v>
      </c>
      <c r="F105" t="str">
        <f>HYPERLINK("http://exon.niaid.nih.gov/transcriptome/C_felis/S1/links/cf/cf-5-36-230-CLU.txt","Contig230")</f>
        <v>Contig230</v>
      </c>
      <c r="G105" t="str">
        <f>HYPERLINK("http://exon.niaid.nih.gov/transcriptome/C_felis/S1/links/cf/cf-5-36-230-qual.txt","62.6")</f>
        <v>62.6</v>
      </c>
      <c r="H105" t="s">
        <v>11</v>
      </c>
      <c r="I105">
        <v>82.5</v>
      </c>
      <c r="J105">
        <v>261</v>
      </c>
      <c r="K105" t="s">
        <v>12</v>
      </c>
      <c r="L105">
        <v>1</v>
      </c>
      <c r="M105" t="s">
        <v>243</v>
      </c>
      <c r="N105">
        <v>261</v>
      </c>
      <c r="O105">
        <v>280</v>
      </c>
      <c r="P105">
        <v>219</v>
      </c>
      <c r="Q105" t="s">
        <v>1050</v>
      </c>
      <c r="R105">
        <v>3</v>
      </c>
      <c r="S105" s="7" t="str">
        <f>HYPERLINK("http://exon.niaid.nih.gov/transcriptome/C_felis/S1/links/Sigp/CF-CONTIG_230-SigP.txt","SIG")</f>
        <v>SIG</v>
      </c>
      <c r="T105" t="s">
        <v>4586</v>
      </c>
      <c r="U105">
        <v>1</v>
      </c>
      <c r="V105" s="4">
        <f>HYPERLINK("http://exon.niaid.nih.gov/transcriptome/C_felis/S1/links/cluster/cf-5-36-asb30-50-Id-CLU56.txt", 56)</f>
        <v>56</v>
      </c>
      <c r="W105">
        <f>HYPERLINK("http://exon.niaid.nih.gov/transcriptome/C_felis/S1/links/cluster/cf-5-36-asb30-50-Id-CLTL56.txt", 2)</f>
        <v>2</v>
      </c>
      <c r="X105" s="4">
        <f>HYPERLINK("http://exon.niaid.nih.gov/transcriptome/C_felis/S1/links/cluster/cf-5-36-asb35-50-Id-CLU49.txt", 49)</f>
        <v>49</v>
      </c>
      <c r="Y105">
        <f>HYPERLINK("http://exon.niaid.nih.gov/transcriptome/C_felis/S1/links/cluster/cf-5-36-asb35-50-Id-CLTL49.txt", 2)</f>
        <v>2</v>
      </c>
      <c r="Z105" s="4">
        <f>HYPERLINK("http://exon.niaid.nih.gov/transcriptome/C_felis/S1/links/cluster/cf-5-36-asb40-50-Id-CLU46.txt", 46)</f>
        <v>46</v>
      </c>
      <c r="AA105">
        <f>HYPERLINK("http://exon.niaid.nih.gov/transcriptome/C_felis/S1/links/cluster/cf-5-36-asb40-50-Id-CLTL46.txt", 2)</f>
        <v>2</v>
      </c>
      <c r="AB105" s="4" t="str">
        <f>HYPERLINK("http://exon.niaid.nih.gov/transcriptome/C_felis/S1/links/XC-ASB/cf-contig_68-XC-ASB.txt","XC-contig_169")</f>
        <v>XC-contig_169</v>
      </c>
      <c r="AC105">
        <v>4.9999999999999998E-7</v>
      </c>
      <c r="AD105" s="10" t="s">
        <v>4598</v>
      </c>
      <c r="AE105" t="s">
        <v>4599</v>
      </c>
      <c r="AF105" t="str">
        <f>HYPERLINK("http://exon.niaid.nih.gov/transcriptome/C_felis/S1/links/Sigp/cf-contig_230-Sigp.txt","Sigp")</f>
        <v>Sigp</v>
      </c>
      <c r="AI105" s="4" t="str">
        <f>HYPERLINK("http://exon.niaid.nih.gov/transcriptome/C_felis/S1/links/NR/cf-contig_230-NR.txt","hypothetical protein RUMTOR_00075")</f>
        <v>hypothetical protein RUMTOR_00075</v>
      </c>
      <c r="AJ105" t="str">
        <f>HYPERLINK("http://www.ncbi.nlm.nih.gov/sutils/blink.cgi?pid=153813869","1.9")</f>
        <v>1.9</v>
      </c>
      <c r="AK105" t="str">
        <f>HYPERLINK("http://www.ncbi.nlm.nih.gov/protein/153813869","gi|153813869")</f>
        <v>gi|153813869</v>
      </c>
      <c r="AL105">
        <v>36.200000000000003</v>
      </c>
      <c r="AM105">
        <v>58</v>
      </c>
      <c r="AN105">
        <v>166</v>
      </c>
      <c r="AO105">
        <v>35</v>
      </c>
      <c r="AP105">
        <v>36</v>
      </c>
      <c r="AQ105">
        <v>38</v>
      </c>
      <c r="AR105">
        <v>1</v>
      </c>
      <c r="AS105">
        <v>42</v>
      </c>
      <c r="AT105">
        <v>42</v>
      </c>
      <c r="AU105">
        <v>1</v>
      </c>
      <c r="AV105">
        <v>3</v>
      </c>
      <c r="AW105" t="s">
        <v>12</v>
      </c>
      <c r="AY105" t="s">
        <v>1676</v>
      </c>
      <c r="AZ105" t="s">
        <v>2531</v>
      </c>
      <c r="BA105" s="4" t="str">
        <f>HYPERLINK("http://exon.niaid.nih.gov/transcriptome/C_felis/S1/links/SWISSP/cf-contig_230-SWISSP.txt","Uncharacterized transporter MJ0456")</f>
        <v>Uncharacterized transporter MJ0456</v>
      </c>
      <c r="BB105" t="str">
        <f>HYPERLINK("http://www.uniprot.org/uniprot/Q57898","0.56")</f>
        <v>0.56</v>
      </c>
      <c r="BC105" t="s">
        <v>2532</v>
      </c>
      <c r="BD105">
        <v>33.1</v>
      </c>
      <c r="BE105">
        <v>42</v>
      </c>
      <c r="BF105">
        <v>352</v>
      </c>
      <c r="BG105">
        <v>36</v>
      </c>
      <c r="BH105">
        <v>12</v>
      </c>
      <c r="BI105">
        <v>29</v>
      </c>
      <c r="BJ105">
        <v>2</v>
      </c>
      <c r="BK105">
        <v>190</v>
      </c>
      <c r="BL105">
        <v>30</v>
      </c>
      <c r="BM105">
        <v>1</v>
      </c>
      <c r="BN105">
        <v>3</v>
      </c>
      <c r="BO105" t="s">
        <v>12</v>
      </c>
      <c r="BQ105" t="s">
        <v>1676</v>
      </c>
      <c r="BR105" t="s">
        <v>2533</v>
      </c>
      <c r="BS105" s="4" t="str">
        <f>HYPERLINK("http://exon.niaid.nih.gov/transcriptome/C_felis/S1/links/CDD/cf-contig_230-CDD.txt","ND2")</f>
        <v>ND2</v>
      </c>
      <c r="BT105" t="str">
        <f>HYPERLINK("http://www.ncbi.nlm.nih.gov/Structure/cdd/cddsrv.cgi?uid=MTH00160&amp;version=v4.0","8E-005")</f>
        <v>8E-005</v>
      </c>
      <c r="BU105" t="s">
        <v>2534</v>
      </c>
      <c r="BV105" s="4" t="s">
        <v>42</v>
      </c>
      <c r="BW105" t="s">
        <v>42</v>
      </c>
      <c r="BX105" t="s">
        <v>42</v>
      </c>
      <c r="BY105" t="s">
        <v>42</v>
      </c>
      <c r="BZ105" t="s">
        <v>42</v>
      </c>
      <c r="CA105" t="s">
        <v>42</v>
      </c>
      <c r="CB105" t="s">
        <v>42</v>
      </c>
      <c r="CC105" t="s">
        <v>42</v>
      </c>
      <c r="CD105" t="s">
        <v>42</v>
      </c>
      <c r="CE105" t="s">
        <v>42</v>
      </c>
      <c r="CF105" t="s">
        <v>42</v>
      </c>
      <c r="CG105" t="s">
        <v>42</v>
      </c>
      <c r="CH105" t="s">
        <v>42</v>
      </c>
      <c r="CI105" t="s">
        <v>42</v>
      </c>
      <c r="CJ105" t="s">
        <v>42</v>
      </c>
      <c r="CK105" t="s">
        <v>42</v>
      </c>
      <c r="CL105" t="s">
        <v>42</v>
      </c>
      <c r="CM105" t="s">
        <v>42</v>
      </c>
      <c r="CN105" t="s">
        <v>42</v>
      </c>
      <c r="CO105" t="s">
        <v>42</v>
      </c>
      <c r="CP105" t="s">
        <v>42</v>
      </c>
      <c r="CQ105" t="s">
        <v>42</v>
      </c>
      <c r="CR105" t="s">
        <v>42</v>
      </c>
      <c r="CS105" s="4" t="str">
        <f>HYPERLINK("http://exon.niaid.nih.gov/transcriptome/C_felis/S1/links/KOG/cf-contig_230-KOG.txt","N-end rule pathway, recognition component UBR1")</f>
        <v>N-end rule pathway, recognition component UBR1</v>
      </c>
      <c r="CT105" t="str">
        <f>HYPERLINK("http://www.ncbi.nlm.nih.gov/COG/grace/shokog.cgi?KOG1140","0.047")</f>
        <v>0.047</v>
      </c>
      <c r="CU105" t="s">
        <v>2198</v>
      </c>
      <c r="CV105" s="4" t="str">
        <f>HYPERLINK("http://exon.niaid.nih.gov/transcriptome/C_felis/S1/links/PFAM/cf-contig_230-PFAM.txt","DUF70")</f>
        <v>DUF70</v>
      </c>
      <c r="CW105" t="str">
        <f>HYPERLINK("http://pfam.sanger.ac.uk/family?acc=PF01901","0.002")</f>
        <v>0.002</v>
      </c>
      <c r="CX105" s="4" t="str">
        <f>HYPERLINK("http://exon.niaid.nih.gov/transcriptome/C_felis/S1/links/SMART/cf-contig_230-SMART.txt","AgrB")</f>
        <v>AgrB</v>
      </c>
      <c r="CY105" t="str">
        <f>HYPERLINK("http://smart.embl-heidelberg.de/smart/do_annotation.pl?DOMAIN=AgrB&amp;BLAST=DUMMY","0.025")</f>
        <v>0.025</v>
      </c>
      <c r="CZ105" s="4" t="s">
        <v>42</v>
      </c>
      <c r="DA105" t="s">
        <v>42</v>
      </c>
      <c r="DB105" t="s">
        <v>42</v>
      </c>
      <c r="DC105" t="s">
        <v>42</v>
      </c>
      <c r="DD105" t="s">
        <v>42</v>
      </c>
      <c r="DE105" t="s">
        <v>42</v>
      </c>
      <c r="DF105" t="s">
        <v>42</v>
      </c>
      <c r="DG105" t="s">
        <v>42</v>
      </c>
      <c r="DH105" s="4" t="s">
        <v>42</v>
      </c>
      <c r="DI105" t="s">
        <v>42</v>
      </c>
      <c r="DJ105" s="4" t="s">
        <v>42</v>
      </c>
      <c r="DK105" t="s">
        <v>42</v>
      </c>
      <c r="DL105" s="4">
        <f>HYPERLINK("http://exon.niaid.nih.gov/transcriptome/C_felis/S1/links/cluster/cf-5-36-asb30-50-Id-CLU56.txt", 56)</f>
        <v>56</v>
      </c>
      <c r="DM105">
        <f>HYPERLINK("http://exon.niaid.nih.gov/transcriptome/C_felis/S1/links/cluster/cf-5-36-asb30-50-Id-CLTL56.txt", 2)</f>
        <v>2</v>
      </c>
      <c r="DN105" s="4">
        <f>HYPERLINK("http://exon.niaid.nih.gov/transcriptome/C_felis/S1/links/cluster/cf-5-36-asb35-50-Id-CLU49.txt", 49)</f>
        <v>49</v>
      </c>
      <c r="DO105">
        <f>HYPERLINK("http://exon.niaid.nih.gov/transcriptome/C_felis/S1/links/cluster/cf-5-36-asb35-50-Id-CLTL49.txt", 2)</f>
        <v>2</v>
      </c>
      <c r="DP105" s="4">
        <f>HYPERLINK("http://exon.niaid.nih.gov/transcriptome/C_felis/S1/links/cluster/cf-5-36-asb40-50-Id-CLU46.txt", 46)</f>
        <v>46</v>
      </c>
      <c r="DQ105">
        <f>HYPERLINK("http://exon.niaid.nih.gov/transcriptome/C_felis/S1/links/cluster/cf-5-36-asb40-50-Id-CLTL46.txt", 2)</f>
        <v>2</v>
      </c>
      <c r="DR105" s="4">
        <v>188</v>
      </c>
      <c r="DS105">
        <v>1</v>
      </c>
      <c r="DT105" s="4">
        <v>194</v>
      </c>
      <c r="DU105">
        <v>1</v>
      </c>
      <c r="DV105" s="4">
        <v>206</v>
      </c>
      <c r="DW105">
        <v>1</v>
      </c>
      <c r="DX105" s="4">
        <v>208</v>
      </c>
      <c r="DY105">
        <v>1</v>
      </c>
      <c r="DZ105" s="4">
        <v>212</v>
      </c>
      <c r="EA105">
        <v>1</v>
      </c>
      <c r="EB105" s="4">
        <v>217</v>
      </c>
      <c r="EC105">
        <v>1</v>
      </c>
      <c r="ED105" s="4">
        <v>220</v>
      </c>
      <c r="EE105">
        <v>1</v>
      </c>
      <c r="EF105" s="4">
        <v>223</v>
      </c>
      <c r="EG105">
        <v>1</v>
      </c>
      <c r="EH105" s="4">
        <v>225</v>
      </c>
      <c r="EI105">
        <v>1</v>
      </c>
      <c r="EJ105" s="4">
        <v>230</v>
      </c>
      <c r="EK105">
        <v>1</v>
      </c>
    </row>
    <row r="106" spans="1:141" x14ac:dyDescent="0.2">
      <c r="A106" t="str">
        <f>HYPERLINK("http://exon.niaid.nih.gov/transcriptome/C_felis/S1/links/cf/cf-contig_277.txt","cf-contig_277")</f>
        <v>cf-contig_277</v>
      </c>
      <c r="B106">
        <v>1</v>
      </c>
      <c r="C106" s="10" t="s">
        <v>4598</v>
      </c>
      <c r="D106">
        <v>1</v>
      </c>
      <c r="E106" t="str">
        <f>HYPERLINK("http://exon.niaid.nih.gov/transcriptome/C_felis/S1/links/cf/cf-5-36-asb-277.txt","Contig-277")</f>
        <v>Contig-277</v>
      </c>
      <c r="F106" t="str">
        <f>HYPERLINK("http://exon.niaid.nih.gov/transcriptome/C_felis/S1/links/cf/cf-5-36-277-CLU.txt","Contig277")</f>
        <v>Contig277</v>
      </c>
      <c r="G106" t="str">
        <f>HYPERLINK("http://exon.niaid.nih.gov/transcriptome/C_felis/S1/links/cf/cf-5-36-277-qual.txt","65.6")</f>
        <v>65.6</v>
      </c>
      <c r="H106" t="s">
        <v>11</v>
      </c>
      <c r="I106">
        <v>71.2</v>
      </c>
      <c r="J106">
        <v>456</v>
      </c>
      <c r="K106" t="s">
        <v>12</v>
      </c>
      <c r="L106">
        <v>1</v>
      </c>
      <c r="M106" t="s">
        <v>290</v>
      </c>
      <c r="N106">
        <v>456</v>
      </c>
      <c r="O106">
        <v>475</v>
      </c>
      <c r="P106">
        <v>345</v>
      </c>
      <c r="Q106" t="s">
        <v>1097</v>
      </c>
      <c r="R106">
        <v>2</v>
      </c>
      <c r="S106" s="7" t="str">
        <f>HYPERLINK("http://exon.niaid.nih.gov/transcriptome/C_felis/S1/links/Sigp/CF-CONTIG_277-SigP.txt","SIG")</f>
        <v>SIG</v>
      </c>
      <c r="T106" t="s">
        <v>4583</v>
      </c>
      <c r="U106">
        <v>1</v>
      </c>
      <c r="V106" s="4">
        <v>221</v>
      </c>
      <c r="W106">
        <v>1</v>
      </c>
      <c r="X106" s="4">
        <v>226</v>
      </c>
      <c r="Y106">
        <v>1</v>
      </c>
      <c r="Z106" s="4">
        <v>225</v>
      </c>
      <c r="AA106">
        <v>1</v>
      </c>
      <c r="AB106" s="4" t="str">
        <f>HYPERLINK("http://exon.niaid.nih.gov/transcriptome/C_felis/S1/links/XC-ASB/cf-contig_17-XC-ASB.txt","XC-contig_2")</f>
        <v>XC-contig_2</v>
      </c>
      <c r="AC106">
        <v>4.0000000000000001E-10</v>
      </c>
      <c r="AD106" s="10" t="s">
        <v>4598</v>
      </c>
      <c r="AE106" t="s">
        <v>4599</v>
      </c>
      <c r="AF106" t="str">
        <f>HYPERLINK("http://exon.niaid.nih.gov/transcriptome/C_felis/S1/links/Sigp/cf-contig_277-Sigp.txt","Sigp")</f>
        <v>Sigp</v>
      </c>
      <c r="AI106" s="4" t="str">
        <f>HYPERLINK("http://exon.niaid.nih.gov/transcriptome/C_felis/S1/links/NR/cf-contig_277-NR.txt","predicted protein")</f>
        <v>predicted protein</v>
      </c>
      <c r="AJ106" t="str">
        <f>HYPERLINK("http://www.ncbi.nlm.nih.gov/sutils/blink.cgi?pid=290998914","4.2")</f>
        <v>4.2</v>
      </c>
      <c r="AK106" t="str">
        <f>HYPERLINK("http://www.ncbi.nlm.nih.gov/protein/290998914","gi|290998914")</f>
        <v>gi|290998914</v>
      </c>
      <c r="AL106">
        <v>35</v>
      </c>
      <c r="AM106">
        <v>100</v>
      </c>
      <c r="AN106">
        <v>756</v>
      </c>
      <c r="AO106">
        <v>25</v>
      </c>
      <c r="AP106">
        <v>13</v>
      </c>
      <c r="AQ106">
        <v>81</v>
      </c>
      <c r="AR106">
        <v>10</v>
      </c>
      <c r="AS106">
        <v>243</v>
      </c>
      <c r="AT106">
        <v>158</v>
      </c>
      <c r="AU106">
        <v>1</v>
      </c>
      <c r="AV106">
        <v>2</v>
      </c>
      <c r="AW106" t="s">
        <v>12</v>
      </c>
      <c r="AY106" t="s">
        <v>1676</v>
      </c>
      <c r="AZ106" t="s">
        <v>1737</v>
      </c>
      <c r="BA106" s="4" t="str">
        <f>HYPERLINK("http://exon.niaid.nih.gov/transcriptome/C_felis/S1/links/SWISSP/cf-contig_277-SWISSP.txt","Genetic interactor of prohibitin 7, mitochondrial")</f>
        <v>Genetic interactor of prohibitin 7, mitochondrial</v>
      </c>
      <c r="BB106" t="str">
        <f>HYPERLINK("http://www.uniprot.org/uniprot/P53171","1.3")</f>
        <v>1.3</v>
      </c>
      <c r="BC106" t="s">
        <v>2663</v>
      </c>
      <c r="BD106">
        <v>32.299999999999997</v>
      </c>
      <c r="BE106">
        <v>64</v>
      </c>
      <c r="BF106">
        <v>287</v>
      </c>
      <c r="BG106">
        <v>33</v>
      </c>
      <c r="BH106">
        <v>23</v>
      </c>
      <c r="BI106">
        <v>49</v>
      </c>
      <c r="BJ106">
        <v>0</v>
      </c>
      <c r="BK106">
        <v>66</v>
      </c>
      <c r="BL106">
        <v>215</v>
      </c>
      <c r="BM106">
        <v>1</v>
      </c>
      <c r="BN106">
        <v>2</v>
      </c>
      <c r="BO106" t="s">
        <v>12</v>
      </c>
      <c r="BQ106" t="s">
        <v>1676</v>
      </c>
      <c r="BR106" t="s">
        <v>1796</v>
      </c>
      <c r="BS106" s="4" t="str">
        <f>HYPERLINK("http://exon.niaid.nih.gov/transcriptome/C_felis/S1/links/CDD/cf-contig_277-CDD.txt","secF")</f>
        <v>secF</v>
      </c>
      <c r="BT106" t="str">
        <f>HYPERLINK("http://www.ncbi.nlm.nih.gov/Structure/cdd/cddsrv.cgi?uid=PRK13022&amp;version=v4.0","0.086")</f>
        <v>0.086</v>
      </c>
      <c r="BU106" t="s">
        <v>2664</v>
      </c>
      <c r="BV106" s="4" t="s">
        <v>42</v>
      </c>
      <c r="BW106" t="s">
        <v>42</v>
      </c>
      <c r="BX106" t="s">
        <v>42</v>
      </c>
      <c r="BY106" t="s">
        <v>42</v>
      </c>
      <c r="BZ106" t="s">
        <v>42</v>
      </c>
      <c r="CA106" t="s">
        <v>42</v>
      </c>
      <c r="CB106" t="s">
        <v>42</v>
      </c>
      <c r="CC106" t="s">
        <v>42</v>
      </c>
      <c r="CD106" t="s">
        <v>42</v>
      </c>
      <c r="CE106" t="s">
        <v>42</v>
      </c>
      <c r="CF106" t="s">
        <v>42</v>
      </c>
      <c r="CG106" t="s">
        <v>42</v>
      </c>
      <c r="CH106" t="s">
        <v>42</v>
      </c>
      <c r="CI106" t="s">
        <v>42</v>
      </c>
      <c r="CJ106" t="s">
        <v>42</v>
      </c>
      <c r="CK106" t="s">
        <v>42</v>
      </c>
      <c r="CL106" t="s">
        <v>42</v>
      </c>
      <c r="CM106" t="s">
        <v>42</v>
      </c>
      <c r="CN106" t="s">
        <v>42</v>
      </c>
      <c r="CO106" t="s">
        <v>42</v>
      </c>
      <c r="CP106" t="s">
        <v>42</v>
      </c>
      <c r="CQ106" t="s">
        <v>42</v>
      </c>
      <c r="CR106" t="s">
        <v>42</v>
      </c>
      <c r="CS106" s="4" t="str">
        <f>HYPERLINK("http://exon.niaid.nih.gov/transcriptome/C_felis/S1/links/KOG/cf-contig_277-KOG.txt","Voltage-gated Ca2+ channels, alpha1 subunits")</f>
        <v>Voltage-gated Ca2+ channels, alpha1 subunits</v>
      </c>
      <c r="CT106" t="str">
        <f>HYPERLINK("http://www.ncbi.nlm.nih.gov/COG/grace/shokog.cgi?KOG2301","0.96")</f>
        <v>0.96</v>
      </c>
      <c r="CU106" t="s">
        <v>1702</v>
      </c>
      <c r="CV106" s="4" t="str">
        <f>HYPERLINK("http://exon.niaid.nih.gov/transcriptome/C_felis/S1/links/PFAM/cf-contig_277-PFAM.txt","Bac_Ubq_Cox")</f>
        <v>Bac_Ubq_Cox</v>
      </c>
      <c r="CW106" t="str">
        <f>HYPERLINK("http://pfam.sanger.ac.uk/family?acc=PF01654","0.093")</f>
        <v>0.093</v>
      </c>
      <c r="CX106" s="4" t="str">
        <f>HYPERLINK("http://exon.niaid.nih.gov/transcriptome/C_felis/S1/links/SMART/cf-contig_277-SMART.txt","AgrB")</f>
        <v>AgrB</v>
      </c>
      <c r="CY106" t="str">
        <f>HYPERLINK("http://smart.embl-heidelberg.de/smart/do_annotation.pl?DOMAIN=AgrB&amp;BLAST=DUMMY","0.045")</f>
        <v>0.045</v>
      </c>
      <c r="CZ106" s="4" t="s">
        <v>42</v>
      </c>
      <c r="DA106" t="s">
        <v>42</v>
      </c>
      <c r="DB106" t="s">
        <v>42</v>
      </c>
      <c r="DC106" t="s">
        <v>42</v>
      </c>
      <c r="DD106" t="s">
        <v>42</v>
      </c>
      <c r="DE106" t="s">
        <v>42</v>
      </c>
      <c r="DF106" t="s">
        <v>42</v>
      </c>
      <c r="DG106" t="s">
        <v>42</v>
      </c>
      <c r="DH106" s="4" t="s">
        <v>42</v>
      </c>
      <c r="DI106" t="s">
        <v>42</v>
      </c>
      <c r="DJ106" s="4" t="s">
        <v>42</v>
      </c>
      <c r="DK106" t="s">
        <v>42</v>
      </c>
      <c r="DL106" s="4">
        <v>221</v>
      </c>
      <c r="DM106">
        <v>1</v>
      </c>
      <c r="DN106" s="4">
        <v>226</v>
      </c>
      <c r="DO106">
        <v>1</v>
      </c>
      <c r="DP106" s="4">
        <v>225</v>
      </c>
      <c r="DQ106">
        <v>1</v>
      </c>
      <c r="DR106" s="4">
        <v>234</v>
      </c>
      <c r="DS106">
        <v>1</v>
      </c>
      <c r="DT106" s="4">
        <v>240</v>
      </c>
      <c r="DU106">
        <v>1</v>
      </c>
      <c r="DV106" s="4">
        <v>252</v>
      </c>
      <c r="DW106">
        <v>1</v>
      </c>
      <c r="DX106" s="4">
        <v>254</v>
      </c>
      <c r="DY106">
        <v>1</v>
      </c>
      <c r="DZ106" s="4">
        <v>259</v>
      </c>
      <c r="EA106">
        <v>1</v>
      </c>
      <c r="EB106" s="4">
        <v>264</v>
      </c>
      <c r="EC106">
        <v>1</v>
      </c>
      <c r="ED106" s="4">
        <v>267</v>
      </c>
      <c r="EE106">
        <v>1</v>
      </c>
      <c r="EF106" s="4">
        <v>270</v>
      </c>
      <c r="EG106">
        <v>1</v>
      </c>
      <c r="EH106" s="4">
        <v>272</v>
      </c>
      <c r="EI106">
        <v>1</v>
      </c>
      <c r="EJ106" s="4">
        <v>277</v>
      </c>
      <c r="EK106">
        <v>1</v>
      </c>
    </row>
    <row r="107" spans="1:141" x14ac:dyDescent="0.2">
      <c r="A107" t="str">
        <f>HYPERLINK("http://exon.niaid.nih.gov/transcriptome/C_felis/S1/links/cf/cf-contig_760.txt","cf-contig_760")</f>
        <v>cf-contig_760</v>
      </c>
      <c r="B107">
        <v>1</v>
      </c>
      <c r="C107" s="10" t="s">
        <v>4598</v>
      </c>
      <c r="D107">
        <v>1</v>
      </c>
      <c r="E107" t="str">
        <f>HYPERLINK("http://exon.niaid.nih.gov/transcriptome/C_felis/S1/links/cf/cf-5-36-asb-760.txt","Contig-760")</f>
        <v>Contig-760</v>
      </c>
      <c r="F107" t="str">
        <f>HYPERLINK("http://exon.niaid.nih.gov/transcriptome/C_felis/S1/links/cf/cf-5-36-760-CLU.txt","Contig760")</f>
        <v>Contig760</v>
      </c>
      <c r="G107" t="str">
        <f>HYPERLINK("http://exon.niaid.nih.gov/transcriptome/C_felis/S1/links/cf/cf-5-36-760-qual.txt","48.5")</f>
        <v>48.5</v>
      </c>
      <c r="H107" t="s">
        <v>11</v>
      </c>
      <c r="I107">
        <v>76.599999999999994</v>
      </c>
      <c r="J107">
        <v>1118</v>
      </c>
      <c r="K107" t="s">
        <v>12</v>
      </c>
      <c r="L107">
        <v>1</v>
      </c>
      <c r="M107" t="s">
        <v>773</v>
      </c>
      <c r="N107">
        <v>1118</v>
      </c>
      <c r="O107">
        <v>1137</v>
      </c>
      <c r="P107">
        <v>174</v>
      </c>
      <c r="Q107" t="s">
        <v>1579</v>
      </c>
      <c r="R107">
        <v>2</v>
      </c>
      <c r="S107" s="7" t="str">
        <f>HYPERLINK("http://exon.niaid.nih.gov/transcriptome/C_felis/S1/links/Sigp/CF-CONTIG_760-SigP.txt","BL")</f>
        <v>BL</v>
      </c>
      <c r="T107" t="s">
        <v>4583</v>
      </c>
      <c r="U107">
        <v>1</v>
      </c>
      <c r="V107" s="4">
        <v>611</v>
      </c>
      <c r="W107">
        <v>1</v>
      </c>
      <c r="X107" s="4">
        <v>631</v>
      </c>
      <c r="Y107">
        <v>1</v>
      </c>
      <c r="Z107" s="4">
        <v>646</v>
      </c>
      <c r="AA107">
        <v>1</v>
      </c>
      <c r="AB107" s="4" t="str">
        <f>HYPERLINK("http://exon.niaid.nih.gov/transcriptome/C_felis/S1/links/XC-ASB/cf-contig_638-XC-ASB.txt","XC-contig_169")</f>
        <v>XC-contig_169</v>
      </c>
      <c r="AC107">
        <v>3.9999999999999998E-7</v>
      </c>
      <c r="AD107" s="10" t="s">
        <v>4598</v>
      </c>
      <c r="AE107" t="s">
        <v>4599</v>
      </c>
      <c r="AF107" t="str">
        <f>HYPERLINK("http://exon.niaid.nih.gov/transcriptome/C_felis/S1/links/Sigp/cf-contig_760-Sigp.txt","Sigp")</f>
        <v>Sigp</v>
      </c>
      <c r="AI107" s="4" t="str">
        <f>HYPERLINK("http://exon.niaid.nih.gov/transcriptome/C_felis/S1/links/NR/cf-contig_760-NR.txt","NADH dehydrogenase subunit 5")</f>
        <v>NADH dehydrogenase subunit 5</v>
      </c>
      <c r="AJ107" t="str">
        <f>HYPERLINK("http://www.ncbi.nlm.nih.gov/sutils/blink.cgi?pid=300124230","0.52")</f>
        <v>0.52</v>
      </c>
      <c r="AK107" t="str">
        <f>HYPERLINK("http://www.ncbi.nlm.nih.gov/protein/300124230","gi|300124230")</f>
        <v>gi|300124230</v>
      </c>
      <c r="AL107">
        <v>35.799999999999997</v>
      </c>
      <c r="AM107">
        <v>151</v>
      </c>
      <c r="AN107">
        <v>517</v>
      </c>
      <c r="AO107">
        <v>24</v>
      </c>
      <c r="AP107">
        <v>29</v>
      </c>
      <c r="AQ107">
        <v>68</v>
      </c>
      <c r="AR107">
        <v>11</v>
      </c>
      <c r="AS107">
        <v>222</v>
      </c>
      <c r="AT107">
        <v>288</v>
      </c>
      <c r="AU107">
        <v>2</v>
      </c>
      <c r="AV107">
        <v>3</v>
      </c>
      <c r="AW107" t="s">
        <v>1689</v>
      </c>
      <c r="AX107">
        <v>1.325</v>
      </c>
      <c r="AY107" t="s">
        <v>1676</v>
      </c>
      <c r="AZ107" t="s">
        <v>4433</v>
      </c>
      <c r="BA107" s="4" t="str">
        <f>HYPERLINK("http://exon.niaid.nih.gov/transcriptome/C_felis/S1/links/SWISSP/cf-contig_760-SWISSP.txt","Probable poly-beta-1,6-N-acetyl-D-glucosamine export protein")</f>
        <v>Probable poly-beta-1,6-N-acetyl-D-glucosamine export protein</v>
      </c>
      <c r="BB107" t="str">
        <f>HYPERLINK("http://www.uniprot.org/uniprot/Q79ZV2","0.054")</f>
        <v>0.054</v>
      </c>
      <c r="BC107" t="s">
        <v>4434</v>
      </c>
      <c r="BD107">
        <v>39.299999999999997</v>
      </c>
      <c r="BE107">
        <v>147</v>
      </c>
      <c r="BF107">
        <v>350</v>
      </c>
      <c r="BG107">
        <v>24</v>
      </c>
      <c r="BH107">
        <v>42</v>
      </c>
      <c r="BI107">
        <v>114</v>
      </c>
      <c r="BJ107">
        <v>8</v>
      </c>
      <c r="BK107">
        <v>138</v>
      </c>
      <c r="BL107">
        <v>674</v>
      </c>
      <c r="BM107">
        <v>1</v>
      </c>
      <c r="BN107">
        <v>-3</v>
      </c>
      <c r="BO107" t="s">
        <v>12</v>
      </c>
      <c r="BP107">
        <v>2.7210000000000001</v>
      </c>
      <c r="BQ107" t="s">
        <v>1666</v>
      </c>
      <c r="BR107" t="s">
        <v>4435</v>
      </c>
      <c r="BS107" s="4" t="str">
        <f>HYPERLINK("http://exon.niaid.nih.gov/transcriptome/C_felis/S1/links/CDD/cf-contig_760-CDD.txt","DUF1673")</f>
        <v>DUF1673</v>
      </c>
      <c r="BT107" t="str">
        <f>HYPERLINK("http://www.ncbi.nlm.nih.gov/Structure/cdd/cddsrv.cgi?uid=pfam07895&amp;version=v4.0","0.017")</f>
        <v>0.017</v>
      </c>
      <c r="BU107" t="s">
        <v>4436</v>
      </c>
      <c r="BV107" s="4" t="s">
        <v>42</v>
      </c>
      <c r="BW107" t="s">
        <v>42</v>
      </c>
      <c r="BX107" t="s">
        <v>42</v>
      </c>
      <c r="BY107" t="s">
        <v>42</v>
      </c>
      <c r="BZ107" t="s">
        <v>42</v>
      </c>
      <c r="CA107" t="s">
        <v>42</v>
      </c>
      <c r="CB107" t="s">
        <v>42</v>
      </c>
      <c r="CC107" t="s">
        <v>42</v>
      </c>
      <c r="CD107" t="s">
        <v>42</v>
      </c>
      <c r="CE107" t="s">
        <v>42</v>
      </c>
      <c r="CF107" t="s">
        <v>42</v>
      </c>
      <c r="CG107" t="s">
        <v>42</v>
      </c>
      <c r="CH107" t="s">
        <v>42</v>
      </c>
      <c r="CI107" t="s">
        <v>42</v>
      </c>
      <c r="CJ107" t="s">
        <v>42</v>
      </c>
      <c r="CK107" t="s">
        <v>42</v>
      </c>
      <c r="CL107" t="s">
        <v>42</v>
      </c>
      <c r="CM107" t="s">
        <v>42</v>
      </c>
      <c r="CN107" t="s">
        <v>42</v>
      </c>
      <c r="CO107" t="s">
        <v>42</v>
      </c>
      <c r="CP107" t="s">
        <v>42</v>
      </c>
      <c r="CQ107" t="s">
        <v>42</v>
      </c>
      <c r="CR107" t="s">
        <v>42</v>
      </c>
      <c r="CS107" s="4" t="str">
        <f>HYPERLINK("http://exon.niaid.nih.gov/transcriptome/C_felis/S1/links/KOG/cf-contig_760-KOG.txt","Predicted E3 ubiquitin ligase")</f>
        <v>Predicted E3 ubiquitin ligase</v>
      </c>
      <c r="CT107" t="str">
        <f>HYPERLINK("http://www.ncbi.nlm.nih.gov/COG/grace/shokog.cgi?KOG4185","4.7")</f>
        <v>4.7</v>
      </c>
      <c r="CU107" t="s">
        <v>2198</v>
      </c>
      <c r="CV107" s="4" t="str">
        <f>HYPERLINK("http://exon.niaid.nih.gov/transcriptome/C_felis/S1/links/PFAM/cf-contig_760-PFAM.txt","DUF1673")</f>
        <v>DUF1673</v>
      </c>
      <c r="CW107" t="str">
        <f>HYPERLINK("http://pfam.sanger.ac.uk/family?acc=PF07895","0.003")</f>
        <v>0.003</v>
      </c>
      <c r="CX107" s="4" t="str">
        <f>HYPERLINK("http://exon.niaid.nih.gov/transcriptome/C_felis/S1/links/SMART/cf-contig_760-SMART.txt","PSN")</f>
        <v>PSN</v>
      </c>
      <c r="CY107" t="str">
        <f>HYPERLINK("http://smart.embl-heidelberg.de/smart/do_annotation.pl?DOMAIN=PSN&amp;BLAST=DUMMY","0.059")</f>
        <v>0.059</v>
      </c>
      <c r="CZ107" s="4" t="s">
        <v>42</v>
      </c>
      <c r="DA107" t="s">
        <v>42</v>
      </c>
      <c r="DB107" t="s">
        <v>42</v>
      </c>
      <c r="DC107" t="s">
        <v>42</v>
      </c>
      <c r="DD107" t="s">
        <v>42</v>
      </c>
      <c r="DE107" t="s">
        <v>42</v>
      </c>
      <c r="DF107" t="s">
        <v>42</v>
      </c>
      <c r="DG107" t="s">
        <v>42</v>
      </c>
      <c r="DH107" s="4" t="s">
        <v>42</v>
      </c>
      <c r="DI107" t="s">
        <v>42</v>
      </c>
      <c r="DJ107" s="4" t="s">
        <v>42</v>
      </c>
      <c r="DK107" t="s">
        <v>42</v>
      </c>
      <c r="DL107" s="4">
        <v>611</v>
      </c>
      <c r="DM107">
        <v>1</v>
      </c>
      <c r="DN107" s="4">
        <v>631</v>
      </c>
      <c r="DO107">
        <v>1</v>
      </c>
      <c r="DP107" s="4">
        <v>646</v>
      </c>
      <c r="DQ107">
        <v>1</v>
      </c>
      <c r="DR107" s="4">
        <v>668</v>
      </c>
      <c r="DS107">
        <v>1</v>
      </c>
      <c r="DT107" s="4">
        <v>683</v>
      </c>
      <c r="DU107">
        <v>1</v>
      </c>
      <c r="DV107" s="4">
        <v>698</v>
      </c>
      <c r="DW107">
        <v>1</v>
      </c>
      <c r="DX107" s="4">
        <v>711</v>
      </c>
      <c r="DY107">
        <v>1</v>
      </c>
      <c r="DZ107" s="4">
        <v>722</v>
      </c>
      <c r="EA107">
        <v>1</v>
      </c>
      <c r="EB107" s="4">
        <v>728</v>
      </c>
      <c r="EC107">
        <v>1</v>
      </c>
      <c r="ED107" s="4">
        <v>733</v>
      </c>
      <c r="EE107">
        <v>1</v>
      </c>
      <c r="EF107" s="4">
        <v>739</v>
      </c>
      <c r="EG107">
        <v>1</v>
      </c>
      <c r="EH107" s="4">
        <v>751</v>
      </c>
      <c r="EI107">
        <v>1</v>
      </c>
      <c r="EJ107" s="4">
        <v>760</v>
      </c>
      <c r="EK107">
        <v>1</v>
      </c>
    </row>
    <row r="108" spans="1:141" x14ac:dyDescent="0.2">
      <c r="A108" t="str">
        <f>HYPERLINK("http://exon.niaid.nih.gov/transcriptome/C_felis/S1/links/cf/cf-contig_120.txt","cf-contig_120")</f>
        <v>cf-contig_120</v>
      </c>
      <c r="B108">
        <v>7</v>
      </c>
      <c r="C108" s="10" t="s">
        <v>4598</v>
      </c>
      <c r="D108">
        <v>7</v>
      </c>
      <c r="E108" t="str">
        <f>HYPERLINK("http://exon.niaid.nih.gov/transcriptome/C_felis/S1/links/cf/cf-5-36-asb-120.txt","Contig-120")</f>
        <v>Contig-120</v>
      </c>
      <c r="F108" t="str">
        <f>HYPERLINK("http://exon.niaid.nih.gov/transcriptome/C_felis/S1/links/cf/cf-5-36-120-CLU.txt","Contig120")</f>
        <v>Contig120</v>
      </c>
      <c r="G108" t="str">
        <f>HYPERLINK("http://exon.niaid.nih.gov/transcriptome/C_felis/S1/links/cf/cf-5-36-120-qual.txt","84.8")</f>
        <v>84.8</v>
      </c>
      <c r="H108" t="s">
        <v>11</v>
      </c>
      <c r="I108">
        <v>75.099999999999994</v>
      </c>
      <c r="J108">
        <v>414</v>
      </c>
      <c r="K108" t="s">
        <v>12</v>
      </c>
      <c r="L108">
        <v>7</v>
      </c>
      <c r="M108" t="s">
        <v>133</v>
      </c>
      <c r="N108">
        <v>436</v>
      </c>
      <c r="O108">
        <v>434</v>
      </c>
      <c r="P108">
        <v>207</v>
      </c>
      <c r="Q108" t="s">
        <v>940</v>
      </c>
      <c r="R108">
        <v>1</v>
      </c>
      <c r="S108" s="7" t="str">
        <f>HYPERLINK("http://exon.niaid.nih.gov/transcriptome/C_felis/S1/links/Sigp/CF-CONTIG_120-SigP.txt","SIG")</f>
        <v>SIG</v>
      </c>
      <c r="T108" t="s">
        <v>4589</v>
      </c>
      <c r="U108">
        <v>7</v>
      </c>
      <c r="V108" s="4">
        <v>129</v>
      </c>
      <c r="W108">
        <v>1</v>
      </c>
      <c r="X108" s="4">
        <v>124</v>
      </c>
      <c r="Y108">
        <v>1</v>
      </c>
      <c r="Z108" s="4">
        <v>121</v>
      </c>
      <c r="AA108">
        <v>1</v>
      </c>
      <c r="AB108" s="4" t="str">
        <f>HYPERLINK("http://exon.niaid.nih.gov/transcriptome/C_felis/S1/links/XC-ASB/cf-contig_510-XC-ASB.txt","XC-contig_52")</f>
        <v>XC-contig_52</v>
      </c>
      <c r="AC108">
        <v>1.9999999999999998E-24</v>
      </c>
      <c r="AD108" s="10" t="s">
        <v>4598</v>
      </c>
      <c r="AE108" t="s">
        <v>4599</v>
      </c>
      <c r="AF108" t="str">
        <f>HYPERLINK("http://exon.niaid.nih.gov/transcriptome/C_felis/S1/links/Sigp/cf-contig_120-Sigp.txt","Sigp")</f>
        <v>Sigp</v>
      </c>
      <c r="AI108" s="4" t="str">
        <f>HYPERLINK("http://exon.niaid.nih.gov/transcriptome/C_felis/S1/links/NR/cf-contig_120-NR.txt","nucleolar protein, putative")</f>
        <v>nucleolar protein, putative</v>
      </c>
      <c r="AJ108" t="str">
        <f>HYPERLINK("http://www.ncbi.nlm.nih.gov/sutils/blink.cgi?pid=294951822","2.5")</f>
        <v>2.5</v>
      </c>
      <c r="AK108" t="str">
        <f>HYPERLINK("http://www.ncbi.nlm.nih.gov/protein/294951822","gi|294951822")</f>
        <v>gi|294951822</v>
      </c>
      <c r="AL108">
        <v>35.799999999999997</v>
      </c>
      <c r="AM108">
        <v>36</v>
      </c>
      <c r="AN108">
        <v>756</v>
      </c>
      <c r="AO108">
        <v>45</v>
      </c>
      <c r="AP108">
        <v>5</v>
      </c>
      <c r="AQ108">
        <v>20</v>
      </c>
      <c r="AR108">
        <v>0</v>
      </c>
      <c r="AS108">
        <v>713</v>
      </c>
      <c r="AT108">
        <v>139</v>
      </c>
      <c r="AU108">
        <v>1</v>
      </c>
      <c r="AV108">
        <v>1</v>
      </c>
      <c r="AW108" t="s">
        <v>12</v>
      </c>
      <c r="AY108" t="s">
        <v>1676</v>
      </c>
      <c r="AZ108" t="s">
        <v>2123</v>
      </c>
      <c r="BA108" s="4" t="str">
        <f>HYPERLINK("http://exon.niaid.nih.gov/transcriptome/C_felis/S1/links/SWISSP/cf-contig_120-SWISSP.txt","Probable glycerophosphoryl diester phosphodiesterase 2")</f>
        <v>Probable glycerophosphoryl diester phosphodiesterase 2</v>
      </c>
      <c r="BB108" t="str">
        <f>HYPERLINK("http://www.uniprot.org/uniprot/Q9SZ11","0.79")</f>
        <v>0.79</v>
      </c>
      <c r="BC108" t="s">
        <v>2124</v>
      </c>
      <c r="BD108">
        <v>32.700000000000003</v>
      </c>
      <c r="BE108">
        <v>79</v>
      </c>
      <c r="BF108">
        <v>759</v>
      </c>
      <c r="BG108">
        <v>34</v>
      </c>
      <c r="BH108">
        <v>11</v>
      </c>
      <c r="BI108">
        <v>54</v>
      </c>
      <c r="BJ108">
        <v>10</v>
      </c>
      <c r="BK108">
        <v>670</v>
      </c>
      <c r="BL108">
        <v>63</v>
      </c>
      <c r="BM108">
        <v>1</v>
      </c>
      <c r="BN108">
        <v>-1</v>
      </c>
      <c r="BO108" t="s">
        <v>12</v>
      </c>
      <c r="BQ108" t="s">
        <v>1666</v>
      </c>
      <c r="BR108" t="s">
        <v>1714</v>
      </c>
      <c r="BS108" s="4" t="str">
        <f>HYPERLINK("http://exon.niaid.nih.gov/transcriptome/C_felis/S1/links/CDD/cf-contig_120-CDD.txt","DUF1182")</f>
        <v>DUF1182</v>
      </c>
      <c r="BT108" t="str">
        <f>HYPERLINK("http://www.ncbi.nlm.nih.gov/Structure/cdd/cddsrv.cgi?uid=pfam06681&amp;version=v4.0","0.12")</f>
        <v>0.12</v>
      </c>
      <c r="BU108" t="s">
        <v>2125</v>
      </c>
      <c r="BV108" s="4" t="s">
        <v>42</v>
      </c>
      <c r="BW108" t="s">
        <v>42</v>
      </c>
      <c r="BX108" t="s">
        <v>42</v>
      </c>
      <c r="BY108" t="s">
        <v>42</v>
      </c>
      <c r="BZ108" t="s">
        <v>42</v>
      </c>
      <c r="CA108" t="s">
        <v>42</v>
      </c>
      <c r="CB108" t="s">
        <v>42</v>
      </c>
      <c r="CC108" t="s">
        <v>42</v>
      </c>
      <c r="CD108" t="s">
        <v>42</v>
      </c>
      <c r="CE108" t="s">
        <v>42</v>
      </c>
      <c r="CF108" t="s">
        <v>42</v>
      </c>
      <c r="CG108" t="s">
        <v>42</v>
      </c>
      <c r="CH108" t="s">
        <v>42</v>
      </c>
      <c r="CI108" t="s">
        <v>42</v>
      </c>
      <c r="CJ108" t="s">
        <v>42</v>
      </c>
      <c r="CK108" t="s">
        <v>42</v>
      </c>
      <c r="CL108" t="s">
        <v>42</v>
      </c>
      <c r="CM108" t="s">
        <v>42</v>
      </c>
      <c r="CN108" t="s">
        <v>42</v>
      </c>
      <c r="CO108" t="s">
        <v>42</v>
      </c>
      <c r="CP108" t="s">
        <v>42</v>
      </c>
      <c r="CQ108" t="s">
        <v>42</v>
      </c>
      <c r="CR108" t="s">
        <v>42</v>
      </c>
      <c r="CS108" s="4" t="str">
        <f>HYPERLINK("http://exon.niaid.nih.gov/transcriptome/C_felis/S1/links/KOG/cf-contig_120-KOG.txt","Uncharacterized conserved protein")</f>
        <v>Uncharacterized conserved protein</v>
      </c>
      <c r="CT108" t="str">
        <f>HYPERLINK("http://www.ncbi.nlm.nih.gov/COG/grace/shokog.cgi?KOG4559","0.43")</f>
        <v>0.43</v>
      </c>
      <c r="CU108" t="s">
        <v>1711</v>
      </c>
      <c r="CV108" s="4" t="str">
        <f>HYPERLINK("http://exon.niaid.nih.gov/transcriptome/C_felis/S1/links/PFAM/cf-contig_120-PFAM.txt","DUF1182")</f>
        <v>DUF1182</v>
      </c>
      <c r="CW108" t="str">
        <f>HYPERLINK("http://pfam.sanger.ac.uk/family?acc=PF06681","0.026")</f>
        <v>0.026</v>
      </c>
      <c r="CX108" s="4" t="str">
        <f>HYPERLINK("http://exon.niaid.nih.gov/transcriptome/C_felis/S1/links/SMART/cf-contig_120-SMART.txt","ALBUMIN")</f>
        <v>ALBUMIN</v>
      </c>
      <c r="CY108" t="str">
        <f>HYPERLINK("http://smart.embl-heidelberg.de/smart/do_annotation.pl?DOMAIN=ALBUMIN&amp;BLAST=DUMMY","0.093")</f>
        <v>0.093</v>
      </c>
      <c r="CZ108" s="4" t="s">
        <v>42</v>
      </c>
      <c r="DA108" t="s">
        <v>42</v>
      </c>
      <c r="DB108" t="s">
        <v>42</v>
      </c>
      <c r="DC108" t="s">
        <v>42</v>
      </c>
      <c r="DD108" t="s">
        <v>42</v>
      </c>
      <c r="DE108" t="s">
        <v>42</v>
      </c>
      <c r="DF108" t="s">
        <v>42</v>
      </c>
      <c r="DG108" t="s">
        <v>42</v>
      </c>
      <c r="DH108" s="4" t="s">
        <v>42</v>
      </c>
      <c r="DI108" t="s">
        <v>42</v>
      </c>
      <c r="DJ108" s="4" t="s">
        <v>42</v>
      </c>
      <c r="DK108" t="s">
        <v>42</v>
      </c>
      <c r="DL108" s="4">
        <v>129</v>
      </c>
      <c r="DM108">
        <v>1</v>
      </c>
      <c r="DN108" s="4">
        <v>124</v>
      </c>
      <c r="DO108">
        <v>1</v>
      </c>
      <c r="DP108" s="4">
        <v>121</v>
      </c>
      <c r="DQ108">
        <v>1</v>
      </c>
      <c r="DR108" s="4">
        <v>112</v>
      </c>
      <c r="DS108">
        <v>1</v>
      </c>
      <c r="DT108" s="4">
        <v>110</v>
      </c>
      <c r="DU108">
        <v>1</v>
      </c>
      <c r="DV108" s="4">
        <v>119</v>
      </c>
      <c r="DW108">
        <v>1</v>
      </c>
      <c r="DX108" s="4">
        <v>121</v>
      </c>
      <c r="DY108">
        <v>1</v>
      </c>
      <c r="DZ108" s="4">
        <v>121</v>
      </c>
      <c r="EA108">
        <v>1</v>
      </c>
      <c r="EB108" s="4">
        <v>124</v>
      </c>
      <c r="EC108">
        <v>1</v>
      </c>
      <c r="ED108" s="4">
        <v>125</v>
      </c>
      <c r="EE108">
        <v>1</v>
      </c>
      <c r="EF108" s="4">
        <v>122</v>
      </c>
      <c r="EG108">
        <v>1</v>
      </c>
      <c r="EH108" s="4">
        <v>119</v>
      </c>
      <c r="EI108">
        <v>1</v>
      </c>
      <c r="EJ108" s="4">
        <v>120</v>
      </c>
      <c r="EK108">
        <v>1</v>
      </c>
    </row>
    <row r="109" spans="1:141" x14ac:dyDescent="0.2">
      <c r="A109" t="str">
        <f>HYPERLINK("http://exon.niaid.nih.gov/transcriptome/C_felis/S1/links/cf/cf-contig_564.txt","cf-contig_564")</f>
        <v>cf-contig_564</v>
      </c>
      <c r="B109">
        <v>1</v>
      </c>
      <c r="C109" s="10" t="s">
        <v>4598</v>
      </c>
      <c r="D109">
        <v>1</v>
      </c>
      <c r="E109" t="str">
        <f>HYPERLINK("http://exon.niaid.nih.gov/transcriptome/C_felis/S1/links/cf/cf-5-36-asb-564.txt","Contig-564")</f>
        <v>Contig-564</v>
      </c>
      <c r="F109" t="str">
        <f>HYPERLINK("http://exon.niaid.nih.gov/transcriptome/C_felis/S1/links/cf/cf-5-36-564-CLU.txt","Contig564")</f>
        <v>Contig564</v>
      </c>
      <c r="G109" t="str">
        <f>HYPERLINK("http://exon.niaid.nih.gov/transcriptome/C_felis/S1/links/cf/cf-5-36-564-qual.txt","61.8")</f>
        <v>61.8</v>
      </c>
      <c r="H109">
        <v>0.3</v>
      </c>
      <c r="I109">
        <v>73.3</v>
      </c>
      <c r="J109">
        <v>710</v>
      </c>
      <c r="K109" t="s">
        <v>12</v>
      </c>
      <c r="L109">
        <v>1</v>
      </c>
      <c r="M109" t="s">
        <v>577</v>
      </c>
      <c r="N109">
        <v>710</v>
      </c>
      <c r="O109">
        <v>729</v>
      </c>
      <c r="P109">
        <v>156</v>
      </c>
      <c r="Q109" t="s">
        <v>1383</v>
      </c>
      <c r="R109">
        <v>1</v>
      </c>
      <c r="S109" s="7" t="str">
        <f>HYPERLINK("http://exon.niaid.nih.gov/transcriptome/C_felis/S1/links/Sigp/CF-CONTIG_564-SigP.txt","SIG")</f>
        <v>SIG</v>
      </c>
      <c r="T109" t="s">
        <v>4584</v>
      </c>
      <c r="U109">
        <v>1</v>
      </c>
      <c r="V109" s="4">
        <v>460</v>
      </c>
      <c r="W109">
        <v>1</v>
      </c>
      <c r="X109" s="4">
        <v>470</v>
      </c>
      <c r="Y109">
        <v>1</v>
      </c>
      <c r="Z109" s="4">
        <v>477</v>
      </c>
      <c r="AA109">
        <v>1</v>
      </c>
      <c r="AB109" s="4" t="str">
        <f>HYPERLINK("http://exon.niaid.nih.gov/transcriptome/C_felis/S1/links/XC-ASB/cf-contig_727-XC-ASB.txt","XC-contig_40")</f>
        <v>XC-contig_40</v>
      </c>
      <c r="AC109">
        <v>0.01</v>
      </c>
      <c r="AD109" s="10" t="s">
        <v>4598</v>
      </c>
      <c r="AE109" t="s">
        <v>4599</v>
      </c>
      <c r="AF109" t="str">
        <f>HYPERLINK("http://exon.niaid.nih.gov/transcriptome/C_felis/S1/links/Sigp/cf-contig_564-Sigp.txt","Sigp")</f>
        <v>Sigp</v>
      </c>
      <c r="AI109" s="4" t="str">
        <f>HYPERLINK("http://exon.niaid.nih.gov/transcriptome/C_felis/S1/links/NR/cf-contig_564-NR.txt","SecY")</f>
        <v>SecY</v>
      </c>
      <c r="AJ109" t="str">
        <f>HYPERLINK("http://www.ncbi.nlm.nih.gov/sutils/blink.cgi?pid=348015370","2.9")</f>
        <v>2.9</v>
      </c>
      <c r="AK109" t="str">
        <f>HYPERLINK("http://www.ncbi.nlm.nih.gov/protein/348015370","gi|348015370")</f>
        <v>gi|348015370</v>
      </c>
      <c r="AL109">
        <v>37</v>
      </c>
      <c r="AM109">
        <v>178</v>
      </c>
      <c r="AN109">
        <v>247</v>
      </c>
      <c r="AO109">
        <v>22</v>
      </c>
      <c r="AP109">
        <v>72</v>
      </c>
      <c r="AQ109">
        <v>159</v>
      </c>
      <c r="AR109">
        <v>2</v>
      </c>
      <c r="AS109">
        <v>61</v>
      </c>
      <c r="AT109">
        <v>45</v>
      </c>
      <c r="AU109">
        <v>1</v>
      </c>
      <c r="AV109">
        <v>3</v>
      </c>
      <c r="AW109" t="s">
        <v>12</v>
      </c>
      <c r="AX109">
        <v>3.9329999999999998</v>
      </c>
      <c r="AY109" t="s">
        <v>1676</v>
      </c>
      <c r="AZ109" t="s">
        <v>3715</v>
      </c>
      <c r="BA109" s="4" t="str">
        <f>HYPERLINK("http://exon.niaid.nih.gov/transcriptome/C_felis/S1/links/SWISSP/cf-contig_564-SWISSP.txt","Exportin-7")</f>
        <v>Exportin-7</v>
      </c>
      <c r="BB109" t="str">
        <f>HYPERLINK("http://www.uniprot.org/uniprot/Q54DN3","2.6")</f>
        <v>2.6</v>
      </c>
      <c r="BC109" t="s">
        <v>3716</v>
      </c>
      <c r="BD109">
        <v>32.700000000000003</v>
      </c>
      <c r="BE109">
        <v>51</v>
      </c>
      <c r="BF109">
        <v>1007</v>
      </c>
      <c r="BG109">
        <v>33</v>
      </c>
      <c r="BH109">
        <v>5</v>
      </c>
      <c r="BI109">
        <v>35</v>
      </c>
      <c r="BJ109">
        <v>0</v>
      </c>
      <c r="BK109">
        <v>908</v>
      </c>
      <c r="BL109">
        <v>431</v>
      </c>
      <c r="BM109">
        <v>1</v>
      </c>
      <c r="BN109">
        <v>2</v>
      </c>
      <c r="BO109" t="s">
        <v>12</v>
      </c>
      <c r="BP109">
        <v>1.9610000000000001</v>
      </c>
      <c r="BQ109" t="s">
        <v>1676</v>
      </c>
      <c r="BR109" t="s">
        <v>1976</v>
      </c>
      <c r="BS109" s="4" t="str">
        <f>HYPERLINK("http://exon.niaid.nih.gov/transcriptome/C_felis/S1/links/CDD/cf-contig_564-CDD.txt","7TM_GPCR_Srz")</f>
        <v>7TM_GPCR_Srz</v>
      </c>
      <c r="BT109" t="str">
        <f>HYPERLINK("http://www.ncbi.nlm.nih.gov/Structure/cdd/cddsrv.cgi?uid=pfam10325&amp;version=v4.0","2E-005")</f>
        <v>2E-005</v>
      </c>
      <c r="BU109" t="s">
        <v>3717</v>
      </c>
      <c r="BV109" s="4" t="s">
        <v>42</v>
      </c>
      <c r="BW109" t="s">
        <v>42</v>
      </c>
      <c r="BX109" t="s">
        <v>42</v>
      </c>
      <c r="BY109" t="s">
        <v>42</v>
      </c>
      <c r="BZ109" t="s">
        <v>42</v>
      </c>
      <c r="CA109" t="s">
        <v>42</v>
      </c>
      <c r="CB109" t="s">
        <v>42</v>
      </c>
      <c r="CC109" t="s">
        <v>42</v>
      </c>
      <c r="CD109" t="s">
        <v>42</v>
      </c>
      <c r="CE109" t="s">
        <v>42</v>
      </c>
      <c r="CF109" t="s">
        <v>42</v>
      </c>
      <c r="CG109" t="s">
        <v>42</v>
      </c>
      <c r="CH109" t="s">
        <v>42</v>
      </c>
      <c r="CI109" t="s">
        <v>42</v>
      </c>
      <c r="CJ109" t="s">
        <v>42</v>
      </c>
      <c r="CK109" t="s">
        <v>42</v>
      </c>
      <c r="CL109" t="s">
        <v>42</v>
      </c>
      <c r="CM109" t="s">
        <v>42</v>
      </c>
      <c r="CN109" t="s">
        <v>42</v>
      </c>
      <c r="CO109" t="s">
        <v>42</v>
      </c>
      <c r="CP109" t="s">
        <v>42</v>
      </c>
      <c r="CQ109" t="s">
        <v>42</v>
      </c>
      <c r="CR109" t="s">
        <v>42</v>
      </c>
      <c r="CS109" s="4" t="str">
        <f>HYPERLINK("http://exon.niaid.nih.gov/transcriptome/C_felis/S1/links/KOG/cf-contig_564-KOG.txt","Alpha-1,2 glucosyltransferase/transcriptional activator")</f>
        <v>Alpha-1,2 glucosyltransferase/transcriptional activator</v>
      </c>
      <c r="CT109" t="str">
        <f>HYPERLINK("http://www.ncbi.nlm.nih.gov/COG/grace/shokog.cgi?KOG2642","0.010")</f>
        <v>0.010</v>
      </c>
      <c r="CU109" t="s">
        <v>3443</v>
      </c>
      <c r="CV109" s="4" t="str">
        <f>HYPERLINK("http://exon.niaid.nih.gov/transcriptome/C_felis/S1/links/PFAM/cf-contig_564-PFAM.txt","7TM_GPCR_Srz")</f>
        <v>7TM_GPCR_Srz</v>
      </c>
      <c r="CW109" t="str">
        <f>HYPERLINK("http://pfam.sanger.ac.uk/family?acc=PF10325","3E-006")</f>
        <v>3E-006</v>
      </c>
      <c r="CX109" s="4" t="str">
        <f>HYPERLINK("http://exon.niaid.nih.gov/transcriptome/C_felis/S1/links/SMART/cf-contig_564-SMART.txt","AgrB")</f>
        <v>AgrB</v>
      </c>
      <c r="CY109" t="str">
        <f>HYPERLINK("http://smart.embl-heidelberg.de/smart/do_annotation.pl?DOMAIN=AgrB&amp;BLAST=DUMMY","0.032")</f>
        <v>0.032</v>
      </c>
      <c r="CZ109" s="4" t="s">
        <v>42</v>
      </c>
      <c r="DA109" t="s">
        <v>42</v>
      </c>
      <c r="DB109" t="s">
        <v>42</v>
      </c>
      <c r="DC109" t="s">
        <v>42</v>
      </c>
      <c r="DD109" t="s">
        <v>42</v>
      </c>
      <c r="DE109" t="s">
        <v>42</v>
      </c>
      <c r="DF109" t="s">
        <v>42</v>
      </c>
      <c r="DG109" t="s">
        <v>42</v>
      </c>
      <c r="DH109" s="4" t="s">
        <v>42</v>
      </c>
      <c r="DI109" t="s">
        <v>42</v>
      </c>
      <c r="DJ109" s="4" t="s">
        <v>42</v>
      </c>
      <c r="DK109" t="s">
        <v>42</v>
      </c>
      <c r="DL109" s="4">
        <v>460</v>
      </c>
      <c r="DM109">
        <v>1</v>
      </c>
      <c r="DN109" s="4">
        <v>470</v>
      </c>
      <c r="DO109">
        <v>1</v>
      </c>
      <c r="DP109" s="4">
        <v>477</v>
      </c>
      <c r="DQ109">
        <v>1</v>
      </c>
      <c r="DR109" s="4">
        <v>494</v>
      </c>
      <c r="DS109">
        <v>1</v>
      </c>
      <c r="DT109" s="4">
        <v>506</v>
      </c>
      <c r="DU109">
        <v>1</v>
      </c>
      <c r="DV109" s="4">
        <v>520</v>
      </c>
      <c r="DW109">
        <v>1</v>
      </c>
      <c r="DX109" s="4">
        <v>528</v>
      </c>
      <c r="DY109">
        <v>1</v>
      </c>
      <c r="DZ109" s="4">
        <v>536</v>
      </c>
      <c r="EA109">
        <v>1</v>
      </c>
      <c r="EB109" s="4">
        <v>541</v>
      </c>
      <c r="EC109">
        <v>1</v>
      </c>
      <c r="ED109" s="4">
        <v>545</v>
      </c>
      <c r="EE109">
        <v>1</v>
      </c>
      <c r="EF109" s="4">
        <v>550</v>
      </c>
      <c r="EG109">
        <v>1</v>
      </c>
      <c r="EH109" s="4">
        <v>557</v>
      </c>
      <c r="EI109">
        <v>1</v>
      </c>
      <c r="EJ109" s="4">
        <v>564</v>
      </c>
      <c r="EK109">
        <v>1</v>
      </c>
    </row>
    <row r="110" spans="1:141" x14ac:dyDescent="0.2">
      <c r="A110" t="str">
        <f>HYPERLINK("http://exon.niaid.nih.gov/transcriptome/C_felis/S1/links/cf/cf-contig_792.txt","cf-contig_792")</f>
        <v>cf-contig_792</v>
      </c>
      <c r="B110">
        <v>1</v>
      </c>
      <c r="C110" s="10" t="s">
        <v>4598</v>
      </c>
      <c r="D110">
        <v>1</v>
      </c>
      <c r="E110" t="str">
        <f>HYPERLINK("http://exon.niaid.nih.gov/transcriptome/C_felis/S1/links/cf/cf-5-36-asb-792.txt","Contig-792")</f>
        <v>Contig-792</v>
      </c>
      <c r="F110" t="str">
        <f>HYPERLINK("http://exon.niaid.nih.gov/transcriptome/C_felis/S1/links/cf/cf-5-36-792-CLU.txt","Contig792")</f>
        <v>Contig792</v>
      </c>
      <c r="G110" t="str">
        <f>HYPERLINK("http://exon.niaid.nih.gov/transcriptome/C_felis/S1/links/cf/cf-5-36-792-qual.txt","62.6")</f>
        <v>62.6</v>
      </c>
      <c r="H110">
        <v>0.5</v>
      </c>
      <c r="I110">
        <v>77.2</v>
      </c>
      <c r="J110">
        <v>389</v>
      </c>
      <c r="K110" t="s">
        <v>12</v>
      </c>
      <c r="L110">
        <v>1</v>
      </c>
      <c r="M110" t="s">
        <v>805</v>
      </c>
      <c r="N110">
        <v>389</v>
      </c>
      <c r="O110">
        <v>408</v>
      </c>
      <c r="P110">
        <v>192</v>
      </c>
      <c r="Q110" t="s">
        <v>1611</v>
      </c>
      <c r="R110">
        <v>3</v>
      </c>
      <c r="S110" s="7" t="str">
        <f>HYPERLINK("http://exon.niaid.nih.gov/transcriptome/C_felis/S1/links/Sigp/CF-CONTIG_792-SigP.txt","BL")</f>
        <v>BL</v>
      </c>
      <c r="T110" t="s">
        <v>4592</v>
      </c>
      <c r="U110">
        <v>1</v>
      </c>
      <c r="V110" s="4">
        <v>636</v>
      </c>
      <c r="W110">
        <v>1</v>
      </c>
      <c r="X110" s="4">
        <v>657</v>
      </c>
      <c r="Y110">
        <v>1</v>
      </c>
      <c r="Z110" s="4">
        <v>673</v>
      </c>
      <c r="AA110">
        <v>1</v>
      </c>
      <c r="AB110" s="4" t="str">
        <f>HYPERLINK("http://exon.niaid.nih.gov/transcriptome/C_felis/S1/links/XC-ASB/cf-contig_190-XC-ASB.txt","XC-contig_34")</f>
        <v>XC-contig_34</v>
      </c>
      <c r="AC110">
        <v>0.04</v>
      </c>
      <c r="AD110" s="10" t="s">
        <v>4598</v>
      </c>
      <c r="AE110" t="s">
        <v>4599</v>
      </c>
      <c r="AF110" t="str">
        <f>HYPERLINK("http://exon.niaid.nih.gov/transcriptome/C_felis/S1/links/Sigp/cf-contig_792-Sigp.txt","Sigp")</f>
        <v>Sigp</v>
      </c>
      <c r="AI110" s="4" t="str">
        <f>HYPERLINK("http://exon.niaid.nih.gov/transcriptome/C_felis/S1/links/NR/cf-contig_792-NR.txt","hypothetical protein SUN_2147")</f>
        <v>hypothetical protein SUN_2147</v>
      </c>
      <c r="AJ110" t="str">
        <f>HYPERLINK("http://www.ncbi.nlm.nih.gov/sutils/blink.cgi?pid=152993723","1.1")</f>
        <v>1.1</v>
      </c>
      <c r="AK110" t="str">
        <f>HYPERLINK("http://www.ncbi.nlm.nih.gov/protein/152993723","gi|152993723")</f>
        <v>gi|152993723</v>
      </c>
      <c r="AL110">
        <v>37</v>
      </c>
      <c r="AM110">
        <v>54</v>
      </c>
      <c r="AN110">
        <v>628</v>
      </c>
      <c r="AO110">
        <v>32</v>
      </c>
      <c r="AP110">
        <v>9</v>
      </c>
      <c r="AQ110">
        <v>37</v>
      </c>
      <c r="AR110">
        <v>0</v>
      </c>
      <c r="AS110">
        <v>182</v>
      </c>
      <c r="AT110">
        <v>135</v>
      </c>
      <c r="AU110">
        <v>1</v>
      </c>
      <c r="AV110">
        <v>3</v>
      </c>
      <c r="AW110" t="s">
        <v>12</v>
      </c>
      <c r="AX110">
        <v>1.8520000000000001</v>
      </c>
      <c r="AY110" t="s">
        <v>1676</v>
      </c>
      <c r="AZ110" t="s">
        <v>4535</v>
      </c>
      <c r="BA110" s="4" t="str">
        <f>HYPERLINK("http://exon.niaid.nih.gov/transcriptome/C_felis/S1/links/SWISSP/cf-contig_792-SWISSP.txt","Probable phospholipid-transporting ATPase DNF3")</f>
        <v>Probable phospholipid-transporting ATPase DNF3</v>
      </c>
      <c r="BB110" t="str">
        <f>HYPERLINK("http://www.uniprot.org/uniprot/Q12674","2.2")</f>
        <v>2.2</v>
      </c>
      <c r="BC110" t="s">
        <v>4536</v>
      </c>
      <c r="BD110">
        <v>31.2</v>
      </c>
      <c r="BE110">
        <v>44</v>
      </c>
      <c r="BF110">
        <v>1656</v>
      </c>
      <c r="BG110">
        <v>31</v>
      </c>
      <c r="BH110">
        <v>3</v>
      </c>
      <c r="BI110">
        <v>31</v>
      </c>
      <c r="BJ110">
        <v>0</v>
      </c>
      <c r="BK110">
        <v>430</v>
      </c>
      <c r="BL110">
        <v>53</v>
      </c>
      <c r="BM110">
        <v>1</v>
      </c>
      <c r="BN110">
        <v>-3</v>
      </c>
      <c r="BO110" t="s">
        <v>12</v>
      </c>
      <c r="BQ110" t="s">
        <v>1666</v>
      </c>
      <c r="BR110" t="s">
        <v>1796</v>
      </c>
      <c r="BS110" s="4" t="str">
        <f>HYPERLINK("http://exon.niaid.nih.gov/transcriptome/C_felis/S1/links/CDD/cf-contig_792-CDD.txt","7TM_GPCR_Srz")</f>
        <v>7TM_GPCR_Srz</v>
      </c>
      <c r="BT110" t="str">
        <f>HYPERLINK("http://www.ncbi.nlm.nih.gov/Structure/cdd/cddsrv.cgi?uid=pfam10325&amp;version=v4.0","0.030")</f>
        <v>0.030</v>
      </c>
      <c r="BU110" t="s">
        <v>4537</v>
      </c>
      <c r="BV110" s="4" t="s">
        <v>42</v>
      </c>
      <c r="BW110" t="s">
        <v>42</v>
      </c>
      <c r="BX110" t="s">
        <v>42</v>
      </c>
      <c r="BY110" t="s">
        <v>42</v>
      </c>
      <c r="BZ110" t="s">
        <v>42</v>
      </c>
      <c r="CA110" t="s">
        <v>42</v>
      </c>
      <c r="CB110" t="s">
        <v>42</v>
      </c>
      <c r="CC110" t="s">
        <v>42</v>
      </c>
      <c r="CD110" t="s">
        <v>42</v>
      </c>
      <c r="CE110" t="s">
        <v>42</v>
      </c>
      <c r="CF110" t="s">
        <v>42</v>
      </c>
      <c r="CG110" t="s">
        <v>42</v>
      </c>
      <c r="CH110" t="s">
        <v>42</v>
      </c>
      <c r="CI110" t="s">
        <v>42</v>
      </c>
      <c r="CJ110" t="s">
        <v>42</v>
      </c>
      <c r="CK110" t="s">
        <v>42</v>
      </c>
      <c r="CL110" t="s">
        <v>42</v>
      </c>
      <c r="CM110" t="s">
        <v>42</v>
      </c>
      <c r="CN110" t="s">
        <v>42</v>
      </c>
      <c r="CO110" t="s">
        <v>42</v>
      </c>
      <c r="CP110" t="s">
        <v>42</v>
      </c>
      <c r="CQ110" t="s">
        <v>42</v>
      </c>
      <c r="CR110" t="s">
        <v>42</v>
      </c>
      <c r="CS110" s="4" t="str">
        <f>HYPERLINK("http://exon.niaid.nih.gov/transcriptome/C_felis/S1/links/KOG/cf-contig_792-KOG.txt","Predicted membrane protein")</f>
        <v>Predicted membrane protein</v>
      </c>
      <c r="CT110" t="str">
        <f>HYPERLINK("http://www.ncbi.nlm.nih.gov/COG/grace/shokog.cgi?KOG4502","0.18")</f>
        <v>0.18</v>
      </c>
      <c r="CU110" t="s">
        <v>1711</v>
      </c>
      <c r="CV110" s="4" t="str">
        <f>HYPERLINK("http://exon.niaid.nih.gov/transcriptome/C_felis/S1/links/PFAM/cf-contig_792-PFAM.txt","7TM_GPCR_Srz")</f>
        <v>7TM_GPCR_Srz</v>
      </c>
      <c r="CW110" t="str">
        <f>HYPERLINK("http://pfam.sanger.ac.uk/family?acc=PF10325","0.007")</f>
        <v>0.007</v>
      </c>
      <c r="CX110" s="4" t="str">
        <f>HYPERLINK("http://exon.niaid.nih.gov/transcriptome/C_felis/S1/links/SMART/cf-contig_792-SMART.txt","AgrB")</f>
        <v>AgrB</v>
      </c>
      <c r="CY110" t="str">
        <f>HYPERLINK("http://smart.embl-heidelberg.de/smart/do_annotation.pl?DOMAIN=AgrB&amp;BLAST=DUMMY","0.13")</f>
        <v>0.13</v>
      </c>
      <c r="CZ110" s="4" t="s">
        <v>42</v>
      </c>
      <c r="DA110" t="s">
        <v>42</v>
      </c>
      <c r="DB110" t="s">
        <v>42</v>
      </c>
      <c r="DC110" t="s">
        <v>42</v>
      </c>
      <c r="DD110" t="s">
        <v>42</v>
      </c>
      <c r="DE110" t="s">
        <v>42</v>
      </c>
      <c r="DF110" t="s">
        <v>42</v>
      </c>
      <c r="DG110" t="s">
        <v>42</v>
      </c>
      <c r="DH110" s="4" t="s">
        <v>42</v>
      </c>
      <c r="DI110" t="s">
        <v>42</v>
      </c>
      <c r="DJ110" s="4" t="s">
        <v>42</v>
      </c>
      <c r="DK110" t="s">
        <v>42</v>
      </c>
      <c r="DL110" s="4">
        <v>636</v>
      </c>
      <c r="DM110">
        <v>1</v>
      </c>
      <c r="DN110" s="4">
        <v>657</v>
      </c>
      <c r="DO110">
        <v>1</v>
      </c>
      <c r="DP110" s="4">
        <v>673</v>
      </c>
      <c r="DQ110">
        <v>1</v>
      </c>
      <c r="DR110" s="4">
        <v>695</v>
      </c>
      <c r="DS110">
        <v>1</v>
      </c>
      <c r="DT110" s="4">
        <v>711</v>
      </c>
      <c r="DU110">
        <v>1</v>
      </c>
      <c r="DV110" s="4">
        <v>726</v>
      </c>
      <c r="DW110">
        <v>1</v>
      </c>
      <c r="DX110" s="4">
        <v>740</v>
      </c>
      <c r="DY110">
        <v>1</v>
      </c>
      <c r="DZ110" s="4">
        <v>752</v>
      </c>
      <c r="EA110">
        <v>1</v>
      </c>
      <c r="EB110" s="4">
        <v>759</v>
      </c>
      <c r="EC110">
        <v>1</v>
      </c>
      <c r="ED110" s="4">
        <v>764</v>
      </c>
      <c r="EE110">
        <v>1</v>
      </c>
      <c r="EF110" s="4">
        <v>771</v>
      </c>
      <c r="EG110">
        <v>1</v>
      </c>
      <c r="EH110" s="4">
        <v>783</v>
      </c>
      <c r="EI110">
        <v>1</v>
      </c>
      <c r="EJ110" s="4">
        <v>792</v>
      </c>
      <c r="EK110">
        <v>1</v>
      </c>
    </row>
    <row r="111" spans="1:141" s="14" customFormat="1" x14ac:dyDescent="0.2">
      <c r="A111" s="13" t="s">
        <v>4879</v>
      </c>
      <c r="AB111" s="14" t="s">
        <v>42</v>
      </c>
    </row>
    <row r="112" spans="1:141" s="6" customFormat="1" x14ac:dyDescent="0.2">
      <c r="A112" s="12" t="s">
        <v>4880</v>
      </c>
      <c r="AB112" s="6" t="s">
        <v>42</v>
      </c>
    </row>
    <row r="113" spans="1:141" x14ac:dyDescent="0.2">
      <c r="A113" t="str">
        <f>HYPERLINK("http://exon.niaid.nih.gov/transcriptome/C_felis/S1/links/cf/cf-contig_310.txt","cf-contig_310")</f>
        <v>cf-contig_310</v>
      </c>
      <c r="B113">
        <v>1</v>
      </c>
      <c r="C113" s="10" t="s">
        <v>4726</v>
      </c>
      <c r="D113">
        <v>1</v>
      </c>
      <c r="E113" t="str">
        <f>HYPERLINK("http://exon.niaid.nih.gov/transcriptome/C_felis/S1/links/cf/cf-5-36-asb-310.txt","Contig-310")</f>
        <v>Contig-310</v>
      </c>
      <c r="F113" t="str">
        <f>HYPERLINK("http://exon.niaid.nih.gov/transcriptome/C_felis/S1/links/cf/cf-5-36-310-CLU.txt","Contig310")</f>
        <v>Contig310</v>
      </c>
      <c r="G113" t="str">
        <f>HYPERLINK("http://exon.niaid.nih.gov/transcriptome/C_felis/S1/links/cf/cf-5-36-310-qual.txt","65.2")</f>
        <v>65.2</v>
      </c>
      <c r="H113" t="s">
        <v>11</v>
      </c>
      <c r="I113">
        <v>56.4</v>
      </c>
      <c r="J113">
        <v>263</v>
      </c>
      <c r="K113" t="s">
        <v>12</v>
      </c>
      <c r="L113">
        <v>1</v>
      </c>
      <c r="M113" t="s">
        <v>323</v>
      </c>
      <c r="N113">
        <v>263</v>
      </c>
      <c r="O113">
        <v>282</v>
      </c>
      <c r="P113">
        <v>183</v>
      </c>
      <c r="Q113" t="s">
        <v>1130</v>
      </c>
      <c r="R113">
        <v>3</v>
      </c>
      <c r="S113" s="7" t="str">
        <f>HYPERLINK("http://exon.niaid.nih.gov/transcriptome/C_felis/S1/links/Sigp/CF-CONTIG_310-SigP.txt","Cyt")</f>
        <v>Cyt</v>
      </c>
      <c r="U113">
        <v>1</v>
      </c>
      <c r="V113" s="4">
        <v>251</v>
      </c>
      <c r="W113">
        <v>1</v>
      </c>
      <c r="X113" s="4">
        <v>256</v>
      </c>
      <c r="Y113">
        <v>1</v>
      </c>
      <c r="Z113" s="4">
        <v>255</v>
      </c>
      <c r="AA113">
        <v>1</v>
      </c>
      <c r="AB113" s="4" t="str">
        <f>HYPERLINK("http://exon.niaid.nih.gov/transcriptome/C_felis/S1/links/XC-ASB/cf-contig_310-XC-ASB.txt","XC-contig_170")</f>
        <v>XC-contig_170</v>
      </c>
      <c r="AC113">
        <v>7.2999999999999995E-2</v>
      </c>
      <c r="AD113" s="10" t="s">
        <v>4726</v>
      </c>
      <c r="AE113" t="s">
        <v>4637</v>
      </c>
      <c r="AF113" t="str">
        <f>HYPERLINK("http://exon.niaid.nih.gov/transcriptome/C_felis/S1/links/GO/cf-contig_310-GO.txt","GO")</f>
        <v>GO</v>
      </c>
      <c r="AG113">
        <v>5.9999999999999997E-13</v>
      </c>
      <c r="AH113">
        <v>16.100000000000001</v>
      </c>
      <c r="AI113" s="4" t="str">
        <f>HYPERLINK("http://exon.niaid.nih.gov/transcriptome/C_felis/S1/links/NR/cf-contig_310-NR.txt","6-phosphofructokinase-like isoform 1")</f>
        <v>6-phosphofructokinase-like isoform 1</v>
      </c>
      <c r="AJ113" t="str">
        <f>HYPERLINK("http://www.ncbi.nlm.nih.gov/sutils/blink.cgi?pid=350423386","2E-011")</f>
        <v>2E-011</v>
      </c>
      <c r="AK113" t="str">
        <f>HYPERLINK("http://www.ncbi.nlm.nih.gov/protein/350423386","gi|350423386")</f>
        <v>gi|350423386</v>
      </c>
      <c r="AL113">
        <v>72.8</v>
      </c>
      <c r="AM113">
        <v>37</v>
      </c>
      <c r="AN113">
        <v>991</v>
      </c>
      <c r="AO113">
        <v>97</v>
      </c>
      <c r="AP113">
        <v>4</v>
      </c>
      <c r="AQ113">
        <v>1</v>
      </c>
      <c r="AR113">
        <v>0</v>
      </c>
      <c r="AS113">
        <v>2</v>
      </c>
      <c r="AT113">
        <v>149</v>
      </c>
      <c r="AU113">
        <v>1</v>
      </c>
      <c r="AV113">
        <v>2</v>
      </c>
      <c r="AW113" t="s">
        <v>12</v>
      </c>
      <c r="AY113" t="s">
        <v>1676</v>
      </c>
      <c r="AZ113" t="s">
        <v>2234</v>
      </c>
      <c r="BA113" s="4" t="str">
        <f>HYPERLINK("http://exon.niaid.nih.gov/transcriptome/C_felis/S1/links/SWISSP/cf-contig_310-SWISSP.txt","14-3-3 protein zeta")</f>
        <v>14-3-3 protein zeta</v>
      </c>
      <c r="BB113" t="str">
        <f>HYPERLINK("http://www.uniprot.org/uniprot/P29310","8E-013")</f>
        <v>8E-013</v>
      </c>
      <c r="BC113" t="s">
        <v>2766</v>
      </c>
      <c r="BD113">
        <v>72.400000000000006</v>
      </c>
      <c r="BE113">
        <v>39</v>
      </c>
      <c r="BF113">
        <v>248</v>
      </c>
      <c r="BG113">
        <v>90</v>
      </c>
      <c r="BH113">
        <v>16</v>
      </c>
      <c r="BI113">
        <v>4</v>
      </c>
      <c r="BJ113">
        <v>0</v>
      </c>
      <c r="BK113">
        <v>1</v>
      </c>
      <c r="BL113">
        <v>143</v>
      </c>
      <c r="BM113">
        <v>1</v>
      </c>
      <c r="BN113">
        <v>2</v>
      </c>
      <c r="BO113" t="s">
        <v>12</v>
      </c>
      <c r="BQ113" t="s">
        <v>1676</v>
      </c>
      <c r="BR113" t="s">
        <v>1804</v>
      </c>
      <c r="BS113" s="4" t="str">
        <f>HYPERLINK("http://exon.niaid.nih.gov/transcriptome/C_felis/S1/links/CDD/cf-contig_310-CDD.txt","14-3-3")</f>
        <v>14-3-3</v>
      </c>
      <c r="BT113" t="str">
        <f>HYPERLINK("http://www.ncbi.nlm.nih.gov/Structure/cdd/cddsrv.cgi?uid=pfam00244&amp;version=v4.0","4E-013")</f>
        <v>4E-013</v>
      </c>
      <c r="BU113" t="s">
        <v>2767</v>
      </c>
      <c r="BV113" s="4" t="s">
        <v>2768</v>
      </c>
      <c r="BW113">
        <f>HYPERLINK("http://exon.niaid.nih.gov/transcriptome/C_felis/S1/links/GO/cf-contig_310-GO.txt",0.0000000000006)</f>
        <v>5.9999999999999997E-13</v>
      </c>
      <c r="BX113" t="str">
        <f>HYPERLINK("http://amigo.geneontology.org/cgi-bin/amigo/term_details?term=GO:0008426","GO:0008426")</f>
        <v>GO:0008426</v>
      </c>
      <c r="BY113" t="s">
        <v>2769</v>
      </c>
      <c r="BZ113" t="s">
        <v>2770</v>
      </c>
      <c r="CA113" t="s">
        <v>2771</v>
      </c>
      <c r="CB113" t="s">
        <v>42</v>
      </c>
      <c r="CD113">
        <v>5.9999999999999997E-13</v>
      </c>
      <c r="CE113" t="str">
        <f>HYPERLINK("http://amigo.geneontology.org/cgi-bin/amigo/term_details?term=GO:0005634","GO:0005634")</f>
        <v>GO:0005634</v>
      </c>
      <c r="CF113" t="s">
        <v>2064</v>
      </c>
      <c r="CG113" t="s">
        <v>2065</v>
      </c>
      <c r="CH113" t="s">
        <v>2066</v>
      </c>
      <c r="CI113" t="s">
        <v>42</v>
      </c>
      <c r="CK113">
        <v>5.9999999999999997E-13</v>
      </c>
      <c r="CL113" t="str">
        <f>HYPERLINK("http://amigo.geneontology.org/cgi-bin/amigo/term_details?term=GO:0007265","GO:0007265")</f>
        <v>GO:0007265</v>
      </c>
      <c r="CM113" t="s">
        <v>2772</v>
      </c>
      <c r="CN113" t="s">
        <v>2773</v>
      </c>
      <c r="CO113" t="s">
        <v>2774</v>
      </c>
      <c r="CP113" t="s">
        <v>42</v>
      </c>
      <c r="CR113">
        <v>5.9999999999999997E-13</v>
      </c>
      <c r="CS113" s="4" t="str">
        <f>HYPERLINK("http://exon.niaid.nih.gov/transcriptome/C_felis/S1/links/KOG/cf-contig_310-KOG.txt","Multifunctional chaperone (14-3-3 family)")</f>
        <v>Multifunctional chaperone (14-3-3 family)</v>
      </c>
      <c r="CT113" t="str">
        <f>HYPERLINK("http://www.ncbi.nlm.nih.gov/COG/grace/shokog.cgi?KOG0841","6E-011")</f>
        <v>6E-011</v>
      </c>
      <c r="CU113" t="s">
        <v>2198</v>
      </c>
      <c r="CV113" s="4" t="str">
        <f>HYPERLINK("http://exon.niaid.nih.gov/transcriptome/C_felis/S1/links/PFAM/cf-contig_310-PFAM.txt","14-3-3")</f>
        <v>14-3-3</v>
      </c>
      <c r="CW113" t="str">
        <f>HYPERLINK("http://pfam.sanger.ac.uk/family?acc=PF00244","8E-014")</f>
        <v>8E-014</v>
      </c>
      <c r="CX113" s="4" t="str">
        <f>HYPERLINK("http://exon.niaid.nih.gov/transcriptome/C_felis/S1/links/SMART/cf-contig_310-SMART.txt","14_3_3")</f>
        <v>14_3_3</v>
      </c>
      <c r="CY113" t="str">
        <f>HYPERLINK("http://smart.embl-heidelberg.de/smart/do_annotation.pl?DOMAIN=14_3_3&amp;BLAST=DUMMY","7E-008")</f>
        <v>7E-008</v>
      </c>
      <c r="CZ113" s="4" t="s">
        <v>42</v>
      </c>
      <c r="DA113" t="s">
        <v>42</v>
      </c>
      <c r="DB113" t="s">
        <v>42</v>
      </c>
      <c r="DC113" t="s">
        <v>42</v>
      </c>
      <c r="DD113" t="s">
        <v>42</v>
      </c>
      <c r="DE113" t="s">
        <v>42</v>
      </c>
      <c r="DF113" t="s">
        <v>42</v>
      </c>
      <c r="DG113" t="s">
        <v>42</v>
      </c>
      <c r="DH113" s="4" t="s">
        <v>42</v>
      </c>
      <c r="DI113" t="s">
        <v>42</v>
      </c>
      <c r="DJ113" s="4" t="s">
        <v>42</v>
      </c>
      <c r="DK113" t="s">
        <v>42</v>
      </c>
      <c r="DL113" s="4">
        <v>251</v>
      </c>
      <c r="DM113">
        <v>1</v>
      </c>
      <c r="DN113" s="4">
        <v>256</v>
      </c>
      <c r="DO113">
        <v>1</v>
      </c>
      <c r="DP113" s="4">
        <v>255</v>
      </c>
      <c r="DQ113">
        <v>1</v>
      </c>
      <c r="DR113" s="4">
        <v>264</v>
      </c>
      <c r="DS113">
        <v>1</v>
      </c>
      <c r="DT113" s="4">
        <v>272</v>
      </c>
      <c r="DU113">
        <v>1</v>
      </c>
      <c r="DV113" s="4">
        <v>284</v>
      </c>
      <c r="DW113">
        <v>1</v>
      </c>
      <c r="DX113" s="4">
        <v>286</v>
      </c>
      <c r="DY113">
        <v>1</v>
      </c>
      <c r="DZ113" s="4">
        <v>291</v>
      </c>
      <c r="EA113">
        <v>1</v>
      </c>
      <c r="EB113" s="4">
        <v>296</v>
      </c>
      <c r="EC113">
        <v>1</v>
      </c>
      <c r="ED113" s="4">
        <v>299</v>
      </c>
      <c r="EE113">
        <v>1</v>
      </c>
      <c r="EF113" s="4">
        <v>303</v>
      </c>
      <c r="EG113">
        <v>1</v>
      </c>
      <c r="EH113" s="4">
        <v>305</v>
      </c>
      <c r="EI113">
        <v>1</v>
      </c>
      <c r="EJ113" s="4">
        <v>310</v>
      </c>
      <c r="EK113">
        <v>1</v>
      </c>
    </row>
    <row r="114" spans="1:141" x14ac:dyDescent="0.2">
      <c r="A114" t="str">
        <f>HYPERLINK("http://exon.niaid.nih.gov/transcriptome/C_felis/S1/links/cf/cf-contig_755.txt","cf-contig_755")</f>
        <v>cf-contig_755</v>
      </c>
      <c r="B114">
        <v>1</v>
      </c>
      <c r="C114" s="10" t="s">
        <v>4868</v>
      </c>
      <c r="D114">
        <v>1</v>
      </c>
      <c r="E114" t="str">
        <f>HYPERLINK("http://exon.niaid.nih.gov/transcriptome/C_felis/S1/links/cf/cf-5-36-asb-755.txt","Contig-755")</f>
        <v>Contig-755</v>
      </c>
      <c r="F114" t="str">
        <f>HYPERLINK("http://exon.niaid.nih.gov/transcriptome/C_felis/S1/links/cf/cf-5-36-755-CLU.txt","Contig755")</f>
        <v>Contig755</v>
      </c>
      <c r="G114" t="str">
        <f>HYPERLINK("http://exon.niaid.nih.gov/transcriptome/C_felis/S1/links/cf/cf-5-36-755-qual.txt","65.5")</f>
        <v>65.5</v>
      </c>
      <c r="H114" t="s">
        <v>11</v>
      </c>
      <c r="I114">
        <v>64.8</v>
      </c>
      <c r="J114">
        <v>538</v>
      </c>
      <c r="K114" t="s">
        <v>12</v>
      </c>
      <c r="L114">
        <v>1</v>
      </c>
      <c r="M114" t="s">
        <v>768</v>
      </c>
      <c r="N114">
        <v>538</v>
      </c>
      <c r="O114">
        <v>557</v>
      </c>
      <c r="P114">
        <v>237</v>
      </c>
      <c r="Q114" t="s">
        <v>1574</v>
      </c>
      <c r="R114">
        <v>1</v>
      </c>
      <c r="S114" s="7" t="str">
        <f>HYPERLINK("http://exon.niaid.nih.gov/transcriptome/C_felis/S1/links/Sigp/CF-CONTIG_755-SigP.txt","Cyt")</f>
        <v>Cyt</v>
      </c>
      <c r="U114">
        <v>1</v>
      </c>
      <c r="V114" s="4">
        <v>607</v>
      </c>
      <c r="W114">
        <v>1</v>
      </c>
      <c r="X114" s="4">
        <v>627</v>
      </c>
      <c r="Y114">
        <v>1</v>
      </c>
      <c r="Z114" s="4">
        <v>641</v>
      </c>
      <c r="AA114">
        <v>1</v>
      </c>
      <c r="AB114" s="4" t="str">
        <f>HYPERLINK("http://exon.niaid.nih.gov/transcriptome/C_felis/S1/links/XC-ASB/cf-contig_755-XC-ASB.txt","XC-contig_150")</f>
        <v>XC-contig_150</v>
      </c>
      <c r="AC114">
        <v>4.7E-2</v>
      </c>
      <c r="AD114" s="10" t="s">
        <v>4868</v>
      </c>
      <c r="AE114" t="s">
        <v>4637</v>
      </c>
      <c r="AF114" t="str">
        <f>HYPERLINK("http://exon.niaid.nih.gov/transcriptome/C_felis/S1/links/KOG/cf-contig_755-KOG.txt","KOG")</f>
        <v>KOG</v>
      </c>
      <c r="AG114" s="5">
        <v>9.0000000000000002E-39</v>
      </c>
      <c r="AH114">
        <v>20.100000000000001</v>
      </c>
      <c r="AI114" s="4" t="str">
        <f>HYPERLINK("http://exon.niaid.nih.gov/transcriptome/C_felis/S1/links/NR/cf-contig_755-NR.txt","actin 2")</f>
        <v>actin 2</v>
      </c>
      <c r="AJ114" t="str">
        <f>HYPERLINK("http://www.ncbi.nlm.nih.gov/sutils/blink.cgi?pid=312087163","1E-036")</f>
        <v>1E-036</v>
      </c>
      <c r="AK114" t="str">
        <f>HYPERLINK("http://www.ncbi.nlm.nih.gov/protein/312087163","gi|312087163")</f>
        <v>gi|312087163</v>
      </c>
      <c r="AL114">
        <v>156</v>
      </c>
      <c r="AM114">
        <v>78</v>
      </c>
      <c r="AN114">
        <v>186</v>
      </c>
      <c r="AO114">
        <v>94</v>
      </c>
      <c r="AP114">
        <v>42</v>
      </c>
      <c r="AQ114">
        <v>4</v>
      </c>
      <c r="AR114">
        <v>0</v>
      </c>
      <c r="AS114">
        <v>108</v>
      </c>
      <c r="AT114">
        <v>1</v>
      </c>
      <c r="AU114">
        <v>1</v>
      </c>
      <c r="AV114">
        <v>1</v>
      </c>
      <c r="AW114" t="s">
        <v>12</v>
      </c>
      <c r="AY114" t="s">
        <v>1676</v>
      </c>
      <c r="AZ114" t="s">
        <v>1765</v>
      </c>
      <c r="BA114" s="4" t="str">
        <f>HYPERLINK("http://exon.niaid.nih.gov/transcriptome/C_felis/S1/links/SWISSP/cf-contig_755-SWISSP.txt","Actin, cytoplasmic 2")</f>
        <v>Actin, cytoplasmic 2</v>
      </c>
      <c r="BB114" t="str">
        <f>HYPERLINK("http://www.uniprot.org/uniprot/Q6P378","1E-037")</f>
        <v>1E-037</v>
      </c>
      <c r="BC114" t="s">
        <v>4406</v>
      </c>
      <c r="BD114">
        <v>155</v>
      </c>
      <c r="BE114">
        <v>74</v>
      </c>
      <c r="BF114">
        <v>375</v>
      </c>
      <c r="BG114">
        <v>100</v>
      </c>
      <c r="BH114">
        <v>20</v>
      </c>
      <c r="BI114">
        <v>0</v>
      </c>
      <c r="BJ114">
        <v>0</v>
      </c>
      <c r="BK114">
        <v>301</v>
      </c>
      <c r="BL114">
        <v>13</v>
      </c>
      <c r="BM114">
        <v>1</v>
      </c>
      <c r="BN114">
        <v>1</v>
      </c>
      <c r="BO114" t="s">
        <v>12</v>
      </c>
      <c r="BQ114" t="s">
        <v>1676</v>
      </c>
      <c r="BR114" t="s">
        <v>1826</v>
      </c>
      <c r="BS114" s="4" t="str">
        <f>HYPERLINK("http://exon.niaid.nih.gov/transcriptome/C_felis/S1/links/CDD/cf-contig_755-CDD.txt","PTZ00281")</f>
        <v>PTZ00281</v>
      </c>
      <c r="BT114" t="str">
        <f>HYPERLINK("http://www.ncbi.nlm.nih.gov/Structure/cdd/cddsrv.cgi?uid=PTZ00281&amp;version=v4.0","7E-041")</f>
        <v>7E-041</v>
      </c>
      <c r="BU114" t="s">
        <v>4407</v>
      </c>
      <c r="BV114" s="4" t="s">
        <v>4408</v>
      </c>
      <c r="BW114">
        <f>HYPERLINK("http://exon.niaid.nih.gov/transcriptome/C_felis/S1/links/GO/cf-contig_755-GO.txt",1E-37)</f>
        <v>1.0000000000000001E-37</v>
      </c>
      <c r="BX114" t="str">
        <f>HYPERLINK("http://amigo.geneontology.org/cgi-bin/amigo/term_details?term=GO:0005524","GO:0005524")</f>
        <v>GO:0005524</v>
      </c>
      <c r="BY114" t="s">
        <v>2721</v>
      </c>
      <c r="BZ114" t="s">
        <v>2722</v>
      </c>
      <c r="CA114" t="s">
        <v>42</v>
      </c>
      <c r="CB114" t="s">
        <v>42</v>
      </c>
      <c r="CD114" s="5">
        <v>1.0000000000000001E-37</v>
      </c>
      <c r="CE114" t="str">
        <f>HYPERLINK("http://amigo.geneontology.org/cgi-bin/amigo/term_details?term=GO:0005856","GO:0005856")</f>
        <v>GO:0005856</v>
      </c>
      <c r="CF114" t="s">
        <v>4409</v>
      </c>
      <c r="CG114" t="s">
        <v>4410</v>
      </c>
      <c r="CH114" t="s">
        <v>42</v>
      </c>
      <c r="CI114" t="s">
        <v>42</v>
      </c>
      <c r="CK114" s="5">
        <v>1.0000000000000001E-37</v>
      </c>
      <c r="CL114" t="str">
        <f>HYPERLINK("http://amigo.geneontology.org/cgi-bin/amigo/term_details?term=GO:0000003","GO:0000003")</f>
        <v>GO:0000003</v>
      </c>
      <c r="CM114" t="s">
        <v>4411</v>
      </c>
      <c r="CN114" t="s">
        <v>4412</v>
      </c>
      <c r="CO114" t="s">
        <v>4413</v>
      </c>
      <c r="CP114" t="s">
        <v>42</v>
      </c>
      <c r="CR114" s="5">
        <v>1.0000000000000001E-37</v>
      </c>
      <c r="CS114" s="4" t="str">
        <f>HYPERLINK("http://exon.niaid.nih.gov/transcriptome/C_felis/S1/links/KOG/cf-contig_755-KOG.txt","Actin and related proteins")</f>
        <v>Actin and related proteins</v>
      </c>
      <c r="CT114" t="str">
        <f>HYPERLINK("http://www.ncbi.nlm.nih.gov/COG/grace/shokog.cgi?KOG0676","9E-039")</f>
        <v>9E-039</v>
      </c>
      <c r="CU114" t="s">
        <v>3092</v>
      </c>
      <c r="CV114" s="4" t="str">
        <f>HYPERLINK("http://exon.niaid.nih.gov/transcriptome/C_felis/S1/links/PFAM/cf-contig_755-PFAM.txt","Actin")</f>
        <v>Actin</v>
      </c>
      <c r="CW114" t="str">
        <f>HYPERLINK("http://pfam.sanger.ac.uk/family?acc=PF00022","3E-041")</f>
        <v>3E-041</v>
      </c>
      <c r="CX114" s="4" t="str">
        <f>HYPERLINK("http://exon.niaid.nih.gov/transcriptome/C_felis/S1/links/SMART/cf-contig_755-SMART.txt","ACTIN")</f>
        <v>ACTIN</v>
      </c>
      <c r="CY114" t="str">
        <f>HYPERLINK("http://smart.embl-heidelberg.de/smart/do_annotation.pl?DOMAIN=ACTIN&amp;BLAST=DUMMY","3E-038")</f>
        <v>3E-038</v>
      </c>
      <c r="CZ114" s="4" t="s">
        <v>42</v>
      </c>
      <c r="DA114" t="s">
        <v>42</v>
      </c>
      <c r="DB114" t="s">
        <v>42</v>
      </c>
      <c r="DC114" t="s">
        <v>42</v>
      </c>
      <c r="DD114" t="s">
        <v>42</v>
      </c>
      <c r="DE114" t="s">
        <v>42</v>
      </c>
      <c r="DF114" t="s">
        <v>42</v>
      </c>
      <c r="DG114" t="s">
        <v>42</v>
      </c>
      <c r="DH114" s="4" t="s">
        <v>42</v>
      </c>
      <c r="DI114" t="s">
        <v>42</v>
      </c>
      <c r="DJ114" s="4" t="s">
        <v>42</v>
      </c>
      <c r="DK114" t="s">
        <v>42</v>
      </c>
      <c r="DL114" s="4">
        <v>607</v>
      </c>
      <c r="DM114">
        <v>1</v>
      </c>
      <c r="DN114" s="4">
        <v>627</v>
      </c>
      <c r="DO114">
        <v>1</v>
      </c>
      <c r="DP114" s="4">
        <v>641</v>
      </c>
      <c r="DQ114">
        <v>1</v>
      </c>
      <c r="DR114" s="4">
        <v>663</v>
      </c>
      <c r="DS114">
        <v>1</v>
      </c>
      <c r="DT114" s="4">
        <v>678</v>
      </c>
      <c r="DU114">
        <v>1</v>
      </c>
      <c r="DV114" s="4">
        <v>693</v>
      </c>
      <c r="DW114">
        <v>1</v>
      </c>
      <c r="DX114" s="4">
        <v>706</v>
      </c>
      <c r="DY114">
        <v>1</v>
      </c>
      <c r="DZ114" s="4">
        <v>717</v>
      </c>
      <c r="EA114">
        <v>1</v>
      </c>
      <c r="EB114" s="4">
        <v>723</v>
      </c>
      <c r="EC114">
        <v>1</v>
      </c>
      <c r="ED114" s="4">
        <v>728</v>
      </c>
      <c r="EE114">
        <v>1</v>
      </c>
      <c r="EF114" s="4">
        <v>734</v>
      </c>
      <c r="EG114">
        <v>1</v>
      </c>
      <c r="EH114" s="4">
        <v>746</v>
      </c>
      <c r="EI114">
        <v>1</v>
      </c>
      <c r="EJ114" s="4">
        <v>755</v>
      </c>
      <c r="EK114">
        <v>1</v>
      </c>
    </row>
    <row r="115" spans="1:141" x14ac:dyDescent="0.2">
      <c r="A115" t="str">
        <f>HYPERLINK("http://exon.niaid.nih.gov/transcriptome/C_felis/S1/links/cf/cf-contig_798.txt","cf-contig_798")</f>
        <v>cf-contig_798</v>
      </c>
      <c r="B115">
        <v>1</v>
      </c>
      <c r="C115" s="10" t="s">
        <v>4878</v>
      </c>
      <c r="D115">
        <v>1</v>
      </c>
      <c r="E115" t="str">
        <f>HYPERLINK("http://exon.niaid.nih.gov/transcriptome/C_felis/S1/links/cf/cf-5-36-asb-798.txt","Contig-798")</f>
        <v>Contig-798</v>
      </c>
      <c r="F115" t="str">
        <f>HYPERLINK("http://exon.niaid.nih.gov/transcriptome/C_felis/S1/links/cf/cf-5-36-798-CLU.txt","Contig798")</f>
        <v>Contig798</v>
      </c>
      <c r="G115" t="str">
        <f>HYPERLINK("http://exon.niaid.nih.gov/transcriptome/C_felis/S1/links/cf/cf-5-36-798-qual.txt","38.8")</f>
        <v>38.8</v>
      </c>
      <c r="H115">
        <v>0.1</v>
      </c>
      <c r="I115">
        <v>63.1</v>
      </c>
      <c r="J115">
        <v>1121</v>
      </c>
      <c r="K115" t="s">
        <v>12</v>
      </c>
      <c r="L115">
        <v>1</v>
      </c>
      <c r="M115" t="s">
        <v>811</v>
      </c>
      <c r="N115">
        <v>1121</v>
      </c>
      <c r="O115">
        <v>1140</v>
      </c>
      <c r="P115">
        <v>558</v>
      </c>
      <c r="Q115" t="s">
        <v>1617</v>
      </c>
      <c r="R115">
        <v>3</v>
      </c>
      <c r="S115" s="7" t="str">
        <f>HYPERLINK("http://exon.niaid.nih.gov/transcriptome/C_felis/S1/links/Sigp/CF-CONTIG_798-SigP.txt","Cyt")</f>
        <v>Cyt</v>
      </c>
      <c r="U115">
        <v>1</v>
      </c>
      <c r="V115" s="4">
        <v>641</v>
      </c>
      <c r="W115">
        <v>1</v>
      </c>
      <c r="X115" s="4">
        <v>663</v>
      </c>
      <c r="Y115">
        <v>1</v>
      </c>
      <c r="Z115" s="4">
        <v>679</v>
      </c>
      <c r="AA115">
        <v>1</v>
      </c>
      <c r="AB115" s="4" t="str">
        <f>HYPERLINK("http://exon.niaid.nih.gov/transcriptome/C_felis/S1/links/XC-ASB/cf-contig_798-XC-ASB.txt","XC-contig_26")</f>
        <v>XC-contig_26</v>
      </c>
      <c r="AC115">
        <v>1E-3</v>
      </c>
      <c r="AD115" s="10" t="s">
        <v>4878</v>
      </c>
      <c r="AE115" t="s">
        <v>4637</v>
      </c>
      <c r="AF115" t="str">
        <f>HYPERLINK("http://exon.niaid.nih.gov/transcriptome/C_felis/S1/links/KOG/cf-contig_798-KOG.txt","KOG")</f>
        <v>KOG</v>
      </c>
      <c r="AG115" s="5">
        <v>9.9999999999999997E-49</v>
      </c>
      <c r="AH115">
        <v>21.1</v>
      </c>
      <c r="AI115" s="4" t="str">
        <f>HYPERLINK("http://exon.niaid.nih.gov/transcriptome/C_felis/S1/links/NR/cf-contig_798-NR.txt","Gelsolin precursor")</f>
        <v>Gelsolin precursor</v>
      </c>
      <c r="AJ115" t="str">
        <f>HYPERLINK("http://www.ncbi.nlm.nih.gov/sutils/blink.cgi?pid=157112188","3E-051")</f>
        <v>3E-051</v>
      </c>
      <c r="AK115" t="str">
        <f>HYPERLINK("http://www.ncbi.nlm.nih.gov/protein/157112188","gi|157112188")</f>
        <v>gi|157112188</v>
      </c>
      <c r="AL115">
        <v>207</v>
      </c>
      <c r="AM115">
        <v>628</v>
      </c>
      <c r="AN115">
        <v>749</v>
      </c>
      <c r="AO115">
        <v>53</v>
      </c>
      <c r="AP115">
        <v>84</v>
      </c>
      <c r="AQ115">
        <v>83</v>
      </c>
      <c r="AR115">
        <v>1</v>
      </c>
      <c r="AS115">
        <v>117</v>
      </c>
      <c r="AT115">
        <v>15</v>
      </c>
      <c r="AU115">
        <v>4</v>
      </c>
      <c r="AV115">
        <v>3</v>
      </c>
      <c r="AW115" t="s">
        <v>12</v>
      </c>
      <c r="AY115" t="s">
        <v>1676</v>
      </c>
      <c r="AZ115" t="s">
        <v>2267</v>
      </c>
      <c r="BA115" s="4" t="str">
        <f>HYPERLINK("http://exon.niaid.nih.gov/transcriptome/C_felis/S1/links/SWISSP/cf-contig_798-SWISSP.txt","Gelsolin")</f>
        <v>Gelsolin</v>
      </c>
      <c r="BB115" t="str">
        <f>HYPERLINK("http://www.uniprot.org/uniprot/Q07171","5E-042")</f>
        <v>5E-042</v>
      </c>
      <c r="BC115" t="s">
        <v>4549</v>
      </c>
      <c r="BD115">
        <v>172</v>
      </c>
      <c r="BE115">
        <v>605</v>
      </c>
      <c r="BF115">
        <v>798</v>
      </c>
      <c r="BG115">
        <v>45</v>
      </c>
      <c r="BH115">
        <v>76</v>
      </c>
      <c r="BI115">
        <v>98</v>
      </c>
      <c r="BJ115">
        <v>1</v>
      </c>
      <c r="BK115">
        <v>191</v>
      </c>
      <c r="BL115">
        <v>18</v>
      </c>
      <c r="BM115">
        <v>4</v>
      </c>
      <c r="BN115">
        <v>3</v>
      </c>
      <c r="BO115" t="s">
        <v>12</v>
      </c>
      <c r="BQ115" t="s">
        <v>1676</v>
      </c>
      <c r="BR115" t="s">
        <v>1804</v>
      </c>
      <c r="BS115" s="4" t="str">
        <f>HYPERLINK("http://exon.niaid.nih.gov/transcriptome/C_felis/S1/links/CDD/cf-contig_798-CDD.txt","GEL")</f>
        <v>GEL</v>
      </c>
      <c r="BT115" t="str">
        <f>HYPERLINK("http://www.ncbi.nlm.nih.gov/Structure/cdd/cddsrv.cgi?uid=smart00262&amp;version=v4.0","6E-020")</f>
        <v>6E-020</v>
      </c>
      <c r="BU115" t="s">
        <v>4550</v>
      </c>
      <c r="BV115" s="4" t="s">
        <v>4551</v>
      </c>
      <c r="BW115">
        <f>HYPERLINK("http://exon.niaid.nih.gov/transcriptome/C_felis/S1/links/GO/cf-contig_798-GO.txt",4E-42)</f>
        <v>4.0000000000000002E-42</v>
      </c>
      <c r="BX115" t="str">
        <f>HYPERLINK("http://amigo.geneontology.org/cgi-bin/amigo/term_details?term=GO:0003779","GO:0003779")</f>
        <v>GO:0003779</v>
      </c>
      <c r="BY115" t="s">
        <v>3296</v>
      </c>
      <c r="BZ115" t="s">
        <v>3297</v>
      </c>
      <c r="CA115" t="s">
        <v>3298</v>
      </c>
      <c r="CB115" t="s">
        <v>42</v>
      </c>
      <c r="CD115" s="5">
        <v>4.0000000000000002E-42</v>
      </c>
      <c r="CE115" t="str">
        <f>HYPERLINK("http://amigo.geneontology.org/cgi-bin/amigo/term_details?term=GO:0005884","GO:0005884")</f>
        <v>GO:0005884</v>
      </c>
      <c r="CF115" t="s">
        <v>4552</v>
      </c>
      <c r="CG115" t="s">
        <v>4553</v>
      </c>
      <c r="CH115" t="s">
        <v>4554</v>
      </c>
      <c r="CI115" t="s">
        <v>42</v>
      </c>
      <c r="CK115" s="5">
        <v>4.0000000000000002E-42</v>
      </c>
      <c r="CL115" t="str">
        <f>HYPERLINK("http://amigo.geneontology.org/cgi-bin/amigo/term_details?term=GO:0006911","GO:0006911")</f>
        <v>GO:0006911</v>
      </c>
      <c r="CM115" t="s">
        <v>4555</v>
      </c>
      <c r="CN115" t="s">
        <v>4556</v>
      </c>
      <c r="CO115" t="s">
        <v>4557</v>
      </c>
      <c r="CP115" t="s">
        <v>42</v>
      </c>
      <c r="CR115" s="5">
        <v>4.0000000000000002E-42</v>
      </c>
      <c r="CS115" s="4" t="str">
        <f>HYPERLINK("http://exon.niaid.nih.gov/transcriptome/C_felis/S1/links/KOG/cf-contig_798-KOG.txt","Actin regulatory proteins (gelsolin/villin family)")</f>
        <v>Actin regulatory proteins (gelsolin/villin family)</v>
      </c>
      <c r="CT115" t="str">
        <f>HYPERLINK("http://www.ncbi.nlm.nih.gov/COG/grace/shokog.cgi?KOG0443","1E-048")</f>
        <v>1E-048</v>
      </c>
      <c r="CU115" t="s">
        <v>3092</v>
      </c>
      <c r="CV115" s="4" t="str">
        <f>HYPERLINK("http://exon.niaid.nih.gov/transcriptome/C_felis/S1/links/PFAM/cf-contig_798-PFAM.txt","Gelsolin")</f>
        <v>Gelsolin</v>
      </c>
      <c r="CW115" t="str">
        <f>HYPERLINK("http://pfam.sanger.ac.uk/family?acc=PF00626","2E-009")</f>
        <v>2E-009</v>
      </c>
      <c r="CX115" s="4" t="str">
        <f>HYPERLINK("http://exon.niaid.nih.gov/transcriptome/C_felis/S1/links/SMART/cf-contig_798-SMART.txt","GEL")</f>
        <v>GEL</v>
      </c>
      <c r="CY115" t="str">
        <f>HYPERLINK("http://smart.embl-heidelberg.de/smart/do_annotation.pl?DOMAIN=GEL&amp;BLAST=DUMMY","6E-022")</f>
        <v>6E-022</v>
      </c>
      <c r="CZ115" s="4" t="s">
        <v>42</v>
      </c>
      <c r="DA115" t="s">
        <v>42</v>
      </c>
      <c r="DB115" t="s">
        <v>42</v>
      </c>
      <c r="DC115" t="s">
        <v>42</v>
      </c>
      <c r="DD115" t="s">
        <v>42</v>
      </c>
      <c r="DE115" t="s">
        <v>42</v>
      </c>
      <c r="DF115" t="s">
        <v>42</v>
      </c>
      <c r="DG115" t="s">
        <v>42</v>
      </c>
      <c r="DH115" s="4" t="s">
        <v>42</v>
      </c>
      <c r="DI115" t="s">
        <v>42</v>
      </c>
      <c r="DJ115" s="4" t="s">
        <v>42</v>
      </c>
      <c r="DK115" t="s">
        <v>42</v>
      </c>
      <c r="DL115" s="4">
        <v>641</v>
      </c>
      <c r="DM115">
        <v>1</v>
      </c>
      <c r="DN115" s="4">
        <v>663</v>
      </c>
      <c r="DO115">
        <v>1</v>
      </c>
      <c r="DP115" s="4">
        <v>679</v>
      </c>
      <c r="DQ115">
        <v>1</v>
      </c>
      <c r="DR115" s="4">
        <v>701</v>
      </c>
      <c r="DS115">
        <v>1</v>
      </c>
      <c r="DT115" s="4">
        <v>717</v>
      </c>
      <c r="DU115">
        <v>1</v>
      </c>
      <c r="DV115" s="4">
        <v>732</v>
      </c>
      <c r="DW115">
        <v>1</v>
      </c>
      <c r="DX115" s="4">
        <v>746</v>
      </c>
      <c r="DY115">
        <v>1</v>
      </c>
      <c r="DZ115" s="4">
        <v>758</v>
      </c>
      <c r="EA115">
        <v>1</v>
      </c>
      <c r="EB115" s="4">
        <v>765</v>
      </c>
      <c r="EC115">
        <v>1</v>
      </c>
      <c r="ED115" s="4">
        <v>770</v>
      </c>
      <c r="EE115">
        <v>1</v>
      </c>
      <c r="EF115" s="4">
        <v>777</v>
      </c>
      <c r="EG115">
        <v>1</v>
      </c>
      <c r="EH115" s="4">
        <v>789</v>
      </c>
      <c r="EI115">
        <v>1</v>
      </c>
      <c r="EJ115" s="4">
        <v>798</v>
      </c>
      <c r="EK115">
        <v>1</v>
      </c>
    </row>
    <row r="116" spans="1:141" x14ac:dyDescent="0.2">
      <c r="A116" t="str">
        <f>HYPERLINK("http://exon.niaid.nih.gov/transcriptome/C_felis/S1/links/cf/cf-contig_607.txt","cf-contig_607")</f>
        <v>cf-contig_607</v>
      </c>
      <c r="B116">
        <v>1</v>
      </c>
      <c r="C116" s="10" t="s">
        <v>4823</v>
      </c>
      <c r="D116">
        <v>1</v>
      </c>
      <c r="E116" t="str">
        <f>HYPERLINK("http://exon.niaid.nih.gov/transcriptome/C_felis/S1/links/cf/cf-5-36-asb-607.txt","Contig-607")</f>
        <v>Contig-607</v>
      </c>
      <c r="F116" t="str">
        <f>HYPERLINK("http://exon.niaid.nih.gov/transcriptome/C_felis/S1/links/cf/cf-5-36-607-CLU.txt","Contig607")</f>
        <v>Contig607</v>
      </c>
      <c r="G116" t="str">
        <f>HYPERLINK("http://exon.niaid.nih.gov/transcriptome/C_felis/S1/links/cf/cf-5-36-607-qual.txt","60.6")</f>
        <v>60.6</v>
      </c>
      <c r="H116" t="s">
        <v>11</v>
      </c>
      <c r="I116">
        <v>67.3</v>
      </c>
      <c r="J116">
        <v>765</v>
      </c>
      <c r="K116" t="s">
        <v>12</v>
      </c>
      <c r="L116">
        <v>1</v>
      </c>
      <c r="M116" t="s">
        <v>620</v>
      </c>
      <c r="N116">
        <v>765</v>
      </c>
      <c r="O116">
        <v>784</v>
      </c>
      <c r="P116">
        <v>315</v>
      </c>
      <c r="Q116" t="s">
        <v>1426</v>
      </c>
      <c r="R116">
        <v>3</v>
      </c>
      <c r="S116" s="7" t="str">
        <f>HYPERLINK("http://exon.niaid.nih.gov/transcriptome/C_felis/S1/links/Sigp/CF-CONTIG_607-SigP.txt","Cyt")</f>
        <v>Cyt</v>
      </c>
      <c r="U116">
        <v>1</v>
      </c>
      <c r="V116" s="4">
        <f>HYPERLINK("http://exon.niaid.nih.gov/transcriptome/C_felis/S1/links/cluster/cf-5-36-asb30-50-Id-CLU89.txt", 89)</f>
        <v>89</v>
      </c>
      <c r="W116">
        <f>HYPERLINK("http://exon.niaid.nih.gov/transcriptome/C_felis/S1/links/cluster/cf-5-36-asb30-50-Id-CLTL89.txt", 2)</f>
        <v>2</v>
      </c>
      <c r="X116" s="4">
        <f>HYPERLINK("http://exon.niaid.nih.gov/transcriptome/C_felis/S1/links/cluster/cf-5-36-asb35-50-Id-CLU82.txt", 82)</f>
        <v>82</v>
      </c>
      <c r="Y116">
        <f>HYPERLINK("http://exon.niaid.nih.gov/transcriptome/C_felis/S1/links/cluster/cf-5-36-asb35-50-Id-CLTL82.txt", 2)</f>
        <v>2</v>
      </c>
      <c r="Z116" s="4">
        <f>HYPERLINK("http://exon.niaid.nih.gov/transcriptome/C_felis/S1/links/cluster/cf-5-36-asb40-50-Id-CLU74.txt", 74)</f>
        <v>74</v>
      </c>
      <c r="AA116">
        <f>HYPERLINK("http://exon.niaid.nih.gov/transcriptome/C_felis/S1/links/cluster/cf-5-36-asb40-50-Id-CLTL74.txt", 2)</f>
        <v>2</v>
      </c>
      <c r="AB116" s="4" t="str">
        <f>HYPERLINK("http://exon.niaid.nih.gov/transcriptome/C_felis/S1/links/XC-ASB/cf-contig_607-XC-ASB.txt","XC-contig_4")</f>
        <v>XC-contig_4</v>
      </c>
      <c r="AC116">
        <v>0.64</v>
      </c>
      <c r="AD116" s="10" t="s">
        <v>4823</v>
      </c>
      <c r="AE116" t="s">
        <v>4637</v>
      </c>
      <c r="AF116" t="str">
        <f>HYPERLINK("http://exon.niaid.nih.gov/transcriptome/C_felis/S1/links/GO/cf-contig_607-GO.txt","GO")</f>
        <v>GO</v>
      </c>
      <c r="AG116" s="5">
        <v>2.0000000000000001E-53</v>
      </c>
      <c r="AH116">
        <v>69</v>
      </c>
      <c r="AI116" s="4" t="str">
        <f>HYPERLINK("http://exon.niaid.nih.gov/transcriptome/C_felis/S1/links/NR/cf-contig_607-NR.txt","calmodulin A")</f>
        <v>calmodulin A</v>
      </c>
      <c r="AJ116" t="str">
        <f>HYPERLINK("http://www.ncbi.nlm.nih.gov/sutils/blink.cgi?pid=339892262","5E-052")</f>
        <v>5E-052</v>
      </c>
      <c r="AK116" t="str">
        <f>HYPERLINK("http://www.ncbi.nlm.nih.gov/protein/339892262","gi|339892262")</f>
        <v>gi|339892262</v>
      </c>
      <c r="AL116">
        <v>209</v>
      </c>
      <c r="AM116">
        <v>148</v>
      </c>
      <c r="AN116">
        <v>149</v>
      </c>
      <c r="AO116">
        <v>100</v>
      </c>
      <c r="AP116">
        <v>100</v>
      </c>
      <c r="AQ116">
        <v>0</v>
      </c>
      <c r="AR116">
        <v>0</v>
      </c>
      <c r="AS116">
        <v>1</v>
      </c>
      <c r="AT116">
        <v>6</v>
      </c>
      <c r="AU116">
        <v>2</v>
      </c>
      <c r="AV116">
        <v>3</v>
      </c>
      <c r="AW116" t="s">
        <v>12</v>
      </c>
      <c r="AY116" t="s">
        <v>1676</v>
      </c>
      <c r="AZ116" t="s">
        <v>3908</v>
      </c>
      <c r="BA116" s="4" t="str">
        <f>HYPERLINK("http://exon.niaid.nih.gov/transcriptome/C_felis/S1/links/SWISSP/cf-contig_607-SWISSP.txt","Calmodulin")</f>
        <v>Calmodulin</v>
      </c>
      <c r="BB116" t="str">
        <f>HYPERLINK("http://www.uniprot.org/uniprot/Q8STF0","2E-053")</f>
        <v>2E-053</v>
      </c>
      <c r="BC116" t="s">
        <v>3909</v>
      </c>
      <c r="BD116">
        <v>209</v>
      </c>
      <c r="BE116">
        <v>137</v>
      </c>
      <c r="BF116">
        <v>156</v>
      </c>
      <c r="BG116">
        <v>100</v>
      </c>
      <c r="BH116">
        <v>88</v>
      </c>
      <c r="BI116">
        <v>0</v>
      </c>
      <c r="BJ116">
        <v>0</v>
      </c>
      <c r="BK116">
        <v>19</v>
      </c>
      <c r="BL116">
        <v>6</v>
      </c>
      <c r="BM116">
        <v>2</v>
      </c>
      <c r="BN116">
        <v>3</v>
      </c>
      <c r="BO116" t="s">
        <v>12</v>
      </c>
      <c r="BQ116" t="s">
        <v>1676</v>
      </c>
      <c r="BR116" t="s">
        <v>3910</v>
      </c>
      <c r="BS116" s="4" t="str">
        <f>HYPERLINK("http://exon.niaid.nih.gov/transcriptome/C_felis/S1/links/CDD/cf-contig_607-CDD.txt","PTZ00184")</f>
        <v>PTZ00184</v>
      </c>
      <c r="BT116" t="str">
        <f>HYPERLINK("http://www.ncbi.nlm.nih.gov/Structure/cdd/cddsrv.cgi?uid=PTZ00184&amp;version=v4.0","1E-061")</f>
        <v>1E-061</v>
      </c>
      <c r="BU116" t="s">
        <v>3911</v>
      </c>
      <c r="BV116" s="4" t="s">
        <v>3912</v>
      </c>
      <c r="BW116">
        <f>HYPERLINK("http://exon.niaid.nih.gov/transcriptome/C_felis/S1/links/GO/cf-contig_607-GO.txt",2E-53)</f>
        <v>2.0000000000000001E-53</v>
      </c>
      <c r="BX116" t="str">
        <f>HYPERLINK("http://amigo.geneontology.org/cgi-bin/amigo/term_details?term=GO:0005509","GO:0005509")</f>
        <v>GO:0005509</v>
      </c>
      <c r="BY116" t="s">
        <v>2274</v>
      </c>
      <c r="BZ116" t="s">
        <v>2275</v>
      </c>
      <c r="CA116" t="s">
        <v>2276</v>
      </c>
      <c r="CB116" t="s">
        <v>42</v>
      </c>
      <c r="CD116" s="5">
        <v>2.0000000000000001E-53</v>
      </c>
      <c r="CE116" t="str">
        <f>HYPERLINK("http://amigo.geneontology.org/cgi-bin/amigo/term_details?term=GO:0016028","GO:0016028")</f>
        <v>GO:0016028</v>
      </c>
      <c r="CF116" t="s">
        <v>3913</v>
      </c>
      <c r="CG116" t="s">
        <v>3914</v>
      </c>
      <c r="CH116" t="s">
        <v>42</v>
      </c>
      <c r="CI116" t="s">
        <v>42</v>
      </c>
      <c r="CK116" s="5">
        <v>2.0000000000000001E-53</v>
      </c>
      <c r="CL116" t="str">
        <f>HYPERLINK("http://amigo.geneontology.org/cgi-bin/amigo/term_details?term=GO:0016056","GO:0016056")</f>
        <v>GO:0016056</v>
      </c>
      <c r="CM116" t="s">
        <v>3915</v>
      </c>
      <c r="CN116" t="s">
        <v>3916</v>
      </c>
      <c r="CO116" t="s">
        <v>3917</v>
      </c>
      <c r="CP116" t="s">
        <v>42</v>
      </c>
      <c r="CR116" s="5">
        <v>2.0000000000000001E-53</v>
      </c>
      <c r="CS116" s="4" t="str">
        <f>HYPERLINK("http://exon.niaid.nih.gov/transcriptome/C_felis/S1/links/KOG/cf-contig_607-KOG.txt","Calmodulin and related proteins (EF-Hand superfamily)")</f>
        <v>Calmodulin and related proteins (EF-Hand superfamily)</v>
      </c>
      <c r="CT116" t="str">
        <f>HYPERLINK("http://www.ncbi.nlm.nih.gov/COG/grace/shokog.cgi?KOG0027","2E-041")</f>
        <v>2E-041</v>
      </c>
      <c r="CU116" t="s">
        <v>1780</v>
      </c>
      <c r="CV116" s="4" t="str">
        <f>HYPERLINK("http://exon.niaid.nih.gov/transcriptome/C_felis/S1/links/PFAM/cf-contig_607-PFAM.txt","efhand")</f>
        <v>efhand</v>
      </c>
      <c r="CW116" t="str">
        <f>HYPERLINK("http://pfam.sanger.ac.uk/family?acc=PF00036","2E-007")</f>
        <v>2E-007</v>
      </c>
      <c r="CX116" s="4" t="str">
        <f>HYPERLINK("http://exon.niaid.nih.gov/transcriptome/C_felis/S1/links/SMART/cf-contig_607-SMART.txt","EFh")</f>
        <v>EFh</v>
      </c>
      <c r="CY116" t="str">
        <f>HYPERLINK("http://smart.embl-heidelberg.de/smart/do_annotation.pl?DOMAIN=EFh&amp;BLAST=DUMMY","2E-009")</f>
        <v>2E-009</v>
      </c>
      <c r="CZ116" s="4" t="s">
        <v>42</v>
      </c>
      <c r="DA116" t="s">
        <v>42</v>
      </c>
      <c r="DB116" t="s">
        <v>42</v>
      </c>
      <c r="DC116" t="s">
        <v>42</v>
      </c>
      <c r="DD116" t="s">
        <v>42</v>
      </c>
      <c r="DE116" t="s">
        <v>42</v>
      </c>
      <c r="DF116" t="s">
        <v>42</v>
      </c>
      <c r="DG116" t="s">
        <v>42</v>
      </c>
      <c r="DH116" s="4" t="s">
        <v>42</v>
      </c>
      <c r="DI116" t="s">
        <v>42</v>
      </c>
      <c r="DJ116" s="4" t="s">
        <v>42</v>
      </c>
      <c r="DK116" t="s">
        <v>42</v>
      </c>
      <c r="DL116" s="4">
        <f>HYPERLINK("http://exon.niaid.nih.gov/transcriptome/C_felis/S1/links/cluster/cf-5-36-asb30-50-Id-CLU89.txt", 89)</f>
        <v>89</v>
      </c>
      <c r="DM116">
        <f>HYPERLINK("http://exon.niaid.nih.gov/transcriptome/C_felis/S1/links/cluster/cf-5-36-asb30-50-Id-CLTL89.txt", 2)</f>
        <v>2</v>
      </c>
      <c r="DN116" s="4">
        <f>HYPERLINK("http://exon.niaid.nih.gov/transcriptome/C_felis/S1/links/cluster/cf-5-36-asb35-50-Id-CLU82.txt", 82)</f>
        <v>82</v>
      </c>
      <c r="DO116">
        <f>HYPERLINK("http://exon.niaid.nih.gov/transcriptome/C_felis/S1/links/cluster/cf-5-36-asb35-50-Id-CLTL82.txt", 2)</f>
        <v>2</v>
      </c>
      <c r="DP116" s="4">
        <f>HYPERLINK("http://exon.niaid.nih.gov/transcriptome/C_felis/S1/links/cluster/cf-5-36-asb40-50-Id-CLU74.txt", 74)</f>
        <v>74</v>
      </c>
      <c r="DQ116">
        <f>HYPERLINK("http://exon.niaid.nih.gov/transcriptome/C_felis/S1/links/cluster/cf-5-36-asb40-50-Id-CLTL74.txt", 2)</f>
        <v>2</v>
      </c>
      <c r="DR116" s="4">
        <f>HYPERLINK("http://exon.niaid.nih.gov/transcriptome/C_felis/S1/links/cluster/cf-5-36-asb45-50-Id-CLU60.txt", 60)</f>
        <v>60</v>
      </c>
      <c r="DS116">
        <f>HYPERLINK("http://exon.niaid.nih.gov/transcriptome/C_felis/S1/links/cluster/cf-5-36-asb45-50-Id-CLTL60.txt", 2)</f>
        <v>2</v>
      </c>
      <c r="DT116" s="4">
        <f>HYPERLINK("http://exon.niaid.nih.gov/transcriptome/C_felis/S1/links/cluster/cf-5-36-asb50-50-Id-CLU52.txt", 52)</f>
        <v>52</v>
      </c>
      <c r="DU116">
        <f>HYPERLINK("http://exon.niaid.nih.gov/transcriptome/C_felis/S1/links/cluster/cf-5-36-asb50-50-Id-CLTL52.txt", 2)</f>
        <v>2</v>
      </c>
      <c r="DV116" s="4">
        <f>HYPERLINK("http://exon.niaid.nih.gov/transcriptome/C_felis/S1/links/cluster/cf-5-36-asb55-50-Id-CLU48.txt", 48)</f>
        <v>48</v>
      </c>
      <c r="DW116">
        <f>HYPERLINK("http://exon.niaid.nih.gov/transcriptome/C_felis/S1/links/cluster/cf-5-36-asb55-50-Id-CLTL48.txt", 2)</f>
        <v>2</v>
      </c>
      <c r="DX116" s="4">
        <f>HYPERLINK("http://exon.niaid.nih.gov/transcriptome/C_felis/S1/links/cluster/cf-5-36-asb60-50-Id-CLU40.txt", 40)</f>
        <v>40</v>
      </c>
      <c r="DY116">
        <f>HYPERLINK("http://exon.niaid.nih.gov/transcriptome/C_felis/S1/links/cluster/cf-5-36-asb60-50-Id-CLTL40.txt", 2)</f>
        <v>2</v>
      </c>
      <c r="DZ116" s="4">
        <f>HYPERLINK("http://exon.niaid.nih.gov/transcriptome/C_felis/S1/links/cluster/cf-5-36-asb65-50-Id-CLU33.txt", 33)</f>
        <v>33</v>
      </c>
      <c r="EA116">
        <f>HYPERLINK("http://exon.niaid.nih.gov/transcriptome/C_felis/S1/links/cluster/cf-5-36-asb65-50-Id-CLTL33.txt", 2)</f>
        <v>2</v>
      </c>
      <c r="EB116" s="4">
        <f>HYPERLINK("http://exon.niaid.nih.gov/transcriptome/C_felis/S1/links/cluster/cf-5-36-asb70-50-Id-CLU28.txt", 28)</f>
        <v>28</v>
      </c>
      <c r="EC116">
        <f>HYPERLINK("http://exon.niaid.nih.gov/transcriptome/C_felis/S1/links/cluster/cf-5-36-asb70-50-Id-CLTL28.txt", 2)</f>
        <v>2</v>
      </c>
      <c r="ED116" s="4">
        <f>HYPERLINK("http://exon.niaid.nih.gov/transcriptome/C_felis/S1/links/cluster/cf-5-36-asb75-50-Id-CLU24.txt", 24)</f>
        <v>24</v>
      </c>
      <c r="EE116">
        <f>HYPERLINK("http://exon.niaid.nih.gov/transcriptome/C_felis/S1/links/cluster/cf-5-36-asb75-50-Id-CLTL24.txt", 2)</f>
        <v>2</v>
      </c>
      <c r="EF116" s="4">
        <f>HYPERLINK("http://exon.niaid.nih.gov/transcriptome/C_felis/S1/links/cluster/cf-5-36-asb80-50-Id-CLU17.txt", 17)</f>
        <v>17</v>
      </c>
      <c r="EG116">
        <f>HYPERLINK("http://exon.niaid.nih.gov/transcriptome/C_felis/S1/links/cluster/cf-5-36-asb80-50-Id-CLTL17.txt", 2)</f>
        <v>2</v>
      </c>
      <c r="EH116" s="4">
        <v>600</v>
      </c>
      <c r="EI116">
        <v>1</v>
      </c>
      <c r="EJ116" s="4">
        <v>607</v>
      </c>
      <c r="EK116">
        <v>1</v>
      </c>
    </row>
    <row r="117" spans="1:141" x14ac:dyDescent="0.2">
      <c r="A117" t="str">
        <f>HYPERLINK("http://exon.niaid.nih.gov/transcriptome/C_felis/S1/links/cf/cf-contig_685.txt","cf-contig_685")</f>
        <v>cf-contig_685</v>
      </c>
      <c r="B117">
        <v>1</v>
      </c>
      <c r="C117" s="10" t="s">
        <v>4823</v>
      </c>
      <c r="D117">
        <v>1</v>
      </c>
      <c r="E117" t="str">
        <f>HYPERLINK("http://exon.niaid.nih.gov/transcriptome/C_felis/S1/links/cf/cf-5-36-asb-685.txt","Contig-685")</f>
        <v>Contig-685</v>
      </c>
      <c r="F117" t="str">
        <f>HYPERLINK("http://exon.niaid.nih.gov/transcriptome/C_felis/S1/links/cf/cf-5-36-685-CLU.txt","Contig685")</f>
        <v>Contig685</v>
      </c>
      <c r="G117" t="str">
        <f>HYPERLINK("http://exon.niaid.nih.gov/transcriptome/C_felis/S1/links/cf/cf-5-36-685-qual.txt","64.4")</f>
        <v>64.4</v>
      </c>
      <c r="H117" t="s">
        <v>11</v>
      </c>
      <c r="I117">
        <v>65.3</v>
      </c>
      <c r="J117">
        <v>307</v>
      </c>
      <c r="K117" t="s">
        <v>12</v>
      </c>
      <c r="L117">
        <v>1</v>
      </c>
      <c r="M117" t="s">
        <v>698</v>
      </c>
      <c r="N117">
        <v>307</v>
      </c>
      <c r="O117">
        <v>326</v>
      </c>
      <c r="P117">
        <v>207</v>
      </c>
      <c r="Q117" t="s">
        <v>1504</v>
      </c>
      <c r="R117">
        <v>1</v>
      </c>
      <c r="S117" s="7" t="s">
        <v>4585</v>
      </c>
      <c r="U117">
        <v>1</v>
      </c>
      <c r="V117" s="4">
        <v>558</v>
      </c>
      <c r="W117">
        <v>1</v>
      </c>
      <c r="X117" s="4">
        <v>573</v>
      </c>
      <c r="Y117">
        <v>1</v>
      </c>
      <c r="Z117" s="4">
        <v>585</v>
      </c>
      <c r="AA117">
        <v>1</v>
      </c>
      <c r="AB117" s="4" t="str">
        <f>HYPERLINK("http://exon.niaid.nih.gov/transcriptome/C_felis/S1/links/XC-ASB/cf-contig_685-XC-ASB.txt","XC-contig_123")</f>
        <v>XC-contig_123</v>
      </c>
      <c r="AC117">
        <v>1.5</v>
      </c>
      <c r="AD117" s="10" t="s">
        <v>4823</v>
      </c>
      <c r="AE117" t="s">
        <v>4637</v>
      </c>
      <c r="AF117" t="str">
        <f>HYPERLINK("http://exon.niaid.nih.gov/transcriptome/C_felis/S1/links/GO/cf-contig_685-GO.txt","GO")</f>
        <v>GO</v>
      </c>
      <c r="AG117" s="5">
        <v>2.0000000000000001E-27</v>
      </c>
      <c r="AH117">
        <v>44</v>
      </c>
      <c r="AI117" s="4" t="str">
        <f>HYPERLINK("http://exon.niaid.nih.gov/transcriptome/C_felis/S1/links/NR/cf-contig_685-NR.txt","Calmodulin; Short=CaM gi|11121264|emb|CAC14791.1| calmodulin")</f>
        <v>Calmodulin; Short=CaM gi|11121264|emb|CAC14791.1| calmodulin</v>
      </c>
      <c r="AJ117" t="str">
        <f>HYPERLINK("http://www.ncbi.nlm.nih.gov/sutils/blink.cgi?pid=49035754","2E-026")</f>
        <v>2E-026</v>
      </c>
      <c r="AK117" t="str">
        <f>HYPERLINK("http://www.ncbi.nlm.nih.gov/protein/49035754","gi|49035754")</f>
        <v>gi|49035754</v>
      </c>
      <c r="AL117">
        <v>122</v>
      </c>
      <c r="AM117">
        <v>137</v>
      </c>
      <c r="AN117">
        <v>149</v>
      </c>
      <c r="AO117">
        <v>87</v>
      </c>
      <c r="AP117">
        <v>93</v>
      </c>
      <c r="AQ117">
        <v>8</v>
      </c>
      <c r="AR117">
        <v>0</v>
      </c>
      <c r="AS117">
        <v>12</v>
      </c>
      <c r="AT117">
        <v>10</v>
      </c>
      <c r="AU117">
        <v>2</v>
      </c>
      <c r="AV117">
        <v>1</v>
      </c>
      <c r="AW117" t="s">
        <v>12</v>
      </c>
      <c r="AY117" t="s">
        <v>1676</v>
      </c>
      <c r="AZ117" t="s">
        <v>4159</v>
      </c>
      <c r="BA117" s="4" t="str">
        <f>HYPERLINK("http://exon.niaid.nih.gov/transcriptome/C_felis/S1/links/SWISSP/cf-contig_685-SWISSP.txt","Calmodulin")</f>
        <v>Calmodulin</v>
      </c>
      <c r="BB117" t="str">
        <f>HYPERLINK("http://www.uniprot.org/uniprot/Q9GRJ1","5E-028")</f>
        <v>5E-028</v>
      </c>
      <c r="BC117" t="s">
        <v>4160</v>
      </c>
      <c r="BD117">
        <v>122</v>
      </c>
      <c r="BE117">
        <v>137</v>
      </c>
      <c r="BF117">
        <v>149</v>
      </c>
      <c r="BG117">
        <v>87</v>
      </c>
      <c r="BH117">
        <v>93</v>
      </c>
      <c r="BI117">
        <v>8</v>
      </c>
      <c r="BJ117">
        <v>0</v>
      </c>
      <c r="BK117">
        <v>12</v>
      </c>
      <c r="BL117">
        <v>10</v>
      </c>
      <c r="BM117">
        <v>2</v>
      </c>
      <c r="BN117">
        <v>1</v>
      </c>
      <c r="BO117" t="s">
        <v>12</v>
      </c>
      <c r="BQ117" t="s">
        <v>1676</v>
      </c>
      <c r="BR117" t="s">
        <v>4159</v>
      </c>
      <c r="BS117" s="4" t="str">
        <f>HYPERLINK("http://exon.niaid.nih.gov/transcriptome/C_felis/S1/links/CDD/cf-contig_685-CDD.txt","PTZ00184")</f>
        <v>PTZ00184</v>
      </c>
      <c r="BT117" t="str">
        <f>HYPERLINK("http://www.ncbi.nlm.nih.gov/Structure/cdd/cddsrv.cgi?uid=PTZ00184&amp;version=v4.0","2E-034")</f>
        <v>2E-034</v>
      </c>
      <c r="BU117" t="s">
        <v>4161</v>
      </c>
      <c r="BV117" s="4" t="s">
        <v>3912</v>
      </c>
      <c r="BW117">
        <f>HYPERLINK("http://exon.niaid.nih.gov/transcriptome/C_felis/S1/links/GO/cf-contig_685-GO.txt",2E-27)</f>
        <v>2.0000000000000001E-27</v>
      </c>
      <c r="BX117" t="str">
        <f>HYPERLINK("http://amigo.geneontology.org/cgi-bin/amigo/term_details?term=GO:0005509","GO:0005509")</f>
        <v>GO:0005509</v>
      </c>
      <c r="BY117" t="s">
        <v>2274</v>
      </c>
      <c r="BZ117" t="s">
        <v>2275</v>
      </c>
      <c r="CA117" t="s">
        <v>2276</v>
      </c>
      <c r="CB117" t="s">
        <v>42</v>
      </c>
      <c r="CD117" s="5">
        <v>2.0000000000000001E-27</v>
      </c>
      <c r="CE117" t="str">
        <f>HYPERLINK("http://amigo.geneontology.org/cgi-bin/amigo/term_details?term=GO:0016028","GO:0016028")</f>
        <v>GO:0016028</v>
      </c>
      <c r="CF117" t="s">
        <v>3913</v>
      </c>
      <c r="CG117" t="s">
        <v>3914</v>
      </c>
      <c r="CH117" t="s">
        <v>42</v>
      </c>
      <c r="CI117" t="s">
        <v>42</v>
      </c>
      <c r="CK117" s="5">
        <v>2.0000000000000001E-27</v>
      </c>
      <c r="CL117" t="str">
        <f>HYPERLINK("http://amigo.geneontology.org/cgi-bin/amigo/term_details?term=GO:0016056","GO:0016056")</f>
        <v>GO:0016056</v>
      </c>
      <c r="CM117" t="s">
        <v>3915</v>
      </c>
      <c r="CN117" t="s">
        <v>3916</v>
      </c>
      <c r="CO117" t="s">
        <v>3917</v>
      </c>
      <c r="CP117" t="s">
        <v>42</v>
      </c>
      <c r="CR117" s="5">
        <v>2.0000000000000001E-27</v>
      </c>
      <c r="CS117" s="4" t="str">
        <f>HYPERLINK("http://exon.niaid.nih.gov/transcriptome/C_felis/S1/links/KOG/cf-contig_685-KOG.txt","Calmodulin and related proteins (EF-Hand superfamily)")</f>
        <v>Calmodulin and related proteins (EF-Hand superfamily)</v>
      </c>
      <c r="CT117" t="str">
        <f>HYPERLINK("http://www.ncbi.nlm.nih.gov/COG/grace/shokog.cgi?KOG0027","3E-026")</f>
        <v>3E-026</v>
      </c>
      <c r="CU117" t="s">
        <v>1780</v>
      </c>
      <c r="CV117" s="4" t="str">
        <f>HYPERLINK("http://exon.niaid.nih.gov/transcriptome/C_felis/S1/links/PFAM/cf-contig_685-PFAM.txt","efhand")</f>
        <v>efhand</v>
      </c>
      <c r="CW117" t="str">
        <f>HYPERLINK("http://pfam.sanger.ac.uk/family?acc=PF00036","4E-008")</f>
        <v>4E-008</v>
      </c>
      <c r="CX117" s="4" t="str">
        <f>HYPERLINK("http://exon.niaid.nih.gov/transcriptome/C_felis/S1/links/SMART/cf-contig_685-SMART.txt","EFh")</f>
        <v>EFh</v>
      </c>
      <c r="CY117" t="str">
        <f>HYPERLINK("http://smart.embl-heidelberg.de/smart/do_annotation.pl?DOMAIN=EFh&amp;BLAST=DUMMY","3E-010")</f>
        <v>3E-010</v>
      </c>
      <c r="CZ117" s="4" t="s">
        <v>42</v>
      </c>
      <c r="DA117" t="s">
        <v>42</v>
      </c>
      <c r="DB117" t="s">
        <v>42</v>
      </c>
      <c r="DC117" t="s">
        <v>42</v>
      </c>
      <c r="DD117" t="s">
        <v>42</v>
      </c>
      <c r="DE117" t="s">
        <v>42</v>
      </c>
      <c r="DF117" t="s">
        <v>42</v>
      </c>
      <c r="DG117" t="s">
        <v>42</v>
      </c>
      <c r="DH117" s="4" t="s">
        <v>42</v>
      </c>
      <c r="DI117" t="s">
        <v>42</v>
      </c>
      <c r="DJ117" s="4" t="s">
        <v>42</v>
      </c>
      <c r="DK117" t="s">
        <v>42</v>
      </c>
      <c r="DL117" s="4">
        <v>558</v>
      </c>
      <c r="DM117">
        <v>1</v>
      </c>
      <c r="DN117" s="4">
        <v>573</v>
      </c>
      <c r="DO117">
        <v>1</v>
      </c>
      <c r="DP117" s="4">
        <v>585</v>
      </c>
      <c r="DQ117">
        <v>1</v>
      </c>
      <c r="DR117" s="4">
        <v>606</v>
      </c>
      <c r="DS117">
        <v>1</v>
      </c>
      <c r="DT117" s="4">
        <v>620</v>
      </c>
      <c r="DU117">
        <v>1</v>
      </c>
      <c r="DV117" s="4">
        <v>634</v>
      </c>
      <c r="DW117">
        <v>1</v>
      </c>
      <c r="DX117" s="4">
        <v>643</v>
      </c>
      <c r="DY117">
        <v>1</v>
      </c>
      <c r="DZ117" s="4">
        <v>653</v>
      </c>
      <c r="EA117">
        <v>1</v>
      </c>
      <c r="EB117" s="4">
        <v>658</v>
      </c>
      <c r="EC117">
        <v>1</v>
      </c>
      <c r="ED117" s="4">
        <v>662</v>
      </c>
      <c r="EE117">
        <v>1</v>
      </c>
      <c r="EF117" s="4">
        <v>668</v>
      </c>
      <c r="EG117">
        <v>1</v>
      </c>
      <c r="EH117" s="4">
        <v>676</v>
      </c>
      <c r="EI117">
        <v>1</v>
      </c>
      <c r="EJ117" s="4">
        <v>685</v>
      </c>
      <c r="EK117">
        <v>1</v>
      </c>
    </row>
    <row r="118" spans="1:141" x14ac:dyDescent="0.2">
      <c r="A118" t="str">
        <f>HYPERLINK("http://exon.niaid.nih.gov/transcriptome/C_felis/S1/links/cf/cf-contig_750.txt","cf-contig_750")</f>
        <v>cf-contig_750</v>
      </c>
      <c r="B118">
        <v>1</v>
      </c>
      <c r="C118" s="10" t="s">
        <v>4823</v>
      </c>
      <c r="D118">
        <v>1</v>
      </c>
      <c r="E118" t="str">
        <f>HYPERLINK("http://exon.niaid.nih.gov/transcriptome/C_felis/S1/links/cf/cf-5-36-asb-750.txt","Contig-750")</f>
        <v>Contig-750</v>
      </c>
      <c r="F118" t="str">
        <f>HYPERLINK("http://exon.niaid.nih.gov/transcriptome/C_felis/S1/links/cf/cf-5-36-750-CLU.txt","Contig750")</f>
        <v>Contig750</v>
      </c>
      <c r="G118" t="str">
        <f>HYPERLINK("http://exon.niaid.nih.gov/transcriptome/C_felis/S1/links/cf/cf-5-36-750-qual.txt","65.")</f>
        <v>65.</v>
      </c>
      <c r="H118" t="s">
        <v>11</v>
      </c>
      <c r="I118">
        <v>68.8</v>
      </c>
      <c r="J118">
        <v>653</v>
      </c>
      <c r="K118" t="s">
        <v>12</v>
      </c>
      <c r="L118">
        <v>1</v>
      </c>
      <c r="M118" t="s">
        <v>763</v>
      </c>
      <c r="N118">
        <v>653</v>
      </c>
      <c r="O118">
        <v>672</v>
      </c>
      <c r="P118">
        <v>207</v>
      </c>
      <c r="Q118" t="s">
        <v>1569</v>
      </c>
      <c r="R118">
        <v>1</v>
      </c>
      <c r="S118" s="7" t="s">
        <v>4585</v>
      </c>
      <c r="U118">
        <v>1</v>
      </c>
      <c r="V118" s="4">
        <f>HYPERLINK("http://exon.niaid.nih.gov/transcriptome/C_felis/S1/links/cluster/cf-5-36-asb30-50-Id-CLU89.txt", 89)</f>
        <v>89</v>
      </c>
      <c r="W118">
        <f>HYPERLINK("http://exon.niaid.nih.gov/transcriptome/C_felis/S1/links/cluster/cf-5-36-asb30-50-Id-CLTL89.txt", 2)</f>
        <v>2</v>
      </c>
      <c r="X118" s="4">
        <f>HYPERLINK("http://exon.niaid.nih.gov/transcriptome/C_felis/S1/links/cluster/cf-5-36-asb35-50-Id-CLU82.txt", 82)</f>
        <v>82</v>
      </c>
      <c r="Y118">
        <f>HYPERLINK("http://exon.niaid.nih.gov/transcriptome/C_felis/S1/links/cluster/cf-5-36-asb35-50-Id-CLTL82.txt", 2)</f>
        <v>2</v>
      </c>
      <c r="Z118" s="4">
        <f>HYPERLINK("http://exon.niaid.nih.gov/transcriptome/C_felis/S1/links/cluster/cf-5-36-asb40-50-Id-CLU74.txt", 74)</f>
        <v>74</v>
      </c>
      <c r="AA118">
        <f>HYPERLINK("http://exon.niaid.nih.gov/transcriptome/C_felis/S1/links/cluster/cf-5-36-asb40-50-Id-CLTL74.txt", 2)</f>
        <v>2</v>
      </c>
      <c r="AB118" s="4" t="str">
        <f>HYPERLINK("http://exon.niaid.nih.gov/transcriptome/C_felis/S1/links/XC-ASB/cf-contig_750-XC-ASB.txt","XC-contig_22")</f>
        <v>XC-contig_22</v>
      </c>
      <c r="AC118">
        <v>0.74</v>
      </c>
      <c r="AD118" s="10" t="s">
        <v>4823</v>
      </c>
      <c r="AE118" t="s">
        <v>4637</v>
      </c>
      <c r="AF118" t="str">
        <f>HYPERLINK("http://exon.niaid.nih.gov/transcriptome/C_felis/S1/links/GO/cf-contig_750-GO.txt","GO")</f>
        <v>GO</v>
      </c>
      <c r="AG118" s="5">
        <v>8.0000000000000007E-30</v>
      </c>
      <c r="AH118">
        <v>42.9</v>
      </c>
      <c r="AI118" s="4" t="str">
        <f>HYPERLINK("http://exon.niaid.nih.gov/transcriptome/C_felis/S1/links/NR/cf-contig_750-NR.txt","calmodulin A")</f>
        <v>calmodulin A</v>
      </c>
      <c r="AJ118" t="str">
        <f>HYPERLINK("http://www.ncbi.nlm.nih.gov/sutils/blink.cgi?pid=339892262","2E-028")</f>
        <v>2E-028</v>
      </c>
      <c r="AK118" t="str">
        <f>HYPERLINK("http://www.ncbi.nlm.nih.gov/protein/339892262","gi|339892262")</f>
        <v>gi|339892262</v>
      </c>
      <c r="AL118">
        <v>130</v>
      </c>
      <c r="AM118">
        <v>135</v>
      </c>
      <c r="AN118">
        <v>149</v>
      </c>
      <c r="AO118">
        <v>100</v>
      </c>
      <c r="AP118">
        <v>91</v>
      </c>
      <c r="AQ118">
        <v>0</v>
      </c>
      <c r="AR118">
        <v>0</v>
      </c>
      <c r="AS118">
        <v>14</v>
      </c>
      <c r="AT118">
        <v>16</v>
      </c>
      <c r="AU118">
        <v>2</v>
      </c>
      <c r="AV118">
        <v>1</v>
      </c>
      <c r="AW118" t="s">
        <v>12</v>
      </c>
      <c r="AY118" t="s">
        <v>1676</v>
      </c>
      <c r="AZ118" t="s">
        <v>3908</v>
      </c>
      <c r="BA118" s="4" t="str">
        <f>HYPERLINK("http://exon.niaid.nih.gov/transcriptome/C_felis/S1/links/SWISSP/cf-contig_750-SWISSP.txt","Calmodulin")</f>
        <v>Calmodulin</v>
      </c>
      <c r="BB118" t="str">
        <f>HYPERLINK("http://www.uniprot.org/uniprot/Q8STF0","1E-029")</f>
        <v>1E-029</v>
      </c>
      <c r="BC118" t="s">
        <v>3909</v>
      </c>
      <c r="BD118">
        <v>130</v>
      </c>
      <c r="BE118">
        <v>135</v>
      </c>
      <c r="BF118">
        <v>156</v>
      </c>
      <c r="BG118">
        <v>100</v>
      </c>
      <c r="BH118">
        <v>87</v>
      </c>
      <c r="BI118">
        <v>0</v>
      </c>
      <c r="BJ118">
        <v>0</v>
      </c>
      <c r="BK118">
        <v>21</v>
      </c>
      <c r="BL118">
        <v>16</v>
      </c>
      <c r="BM118">
        <v>2</v>
      </c>
      <c r="BN118">
        <v>1</v>
      </c>
      <c r="BO118" t="s">
        <v>12</v>
      </c>
      <c r="BQ118" t="s">
        <v>1676</v>
      </c>
      <c r="BR118" t="s">
        <v>3910</v>
      </c>
      <c r="BS118" s="4" t="str">
        <f>HYPERLINK("http://exon.niaid.nih.gov/transcriptome/C_felis/S1/links/CDD/cf-contig_750-CDD.txt","PTZ00184")</f>
        <v>PTZ00184</v>
      </c>
      <c r="BT118" t="str">
        <f>HYPERLINK("http://www.ncbi.nlm.nih.gov/Structure/cdd/cddsrv.cgi?uid=PTZ00184&amp;version=v4.0","1E-034")</f>
        <v>1E-034</v>
      </c>
      <c r="BU118" t="s">
        <v>4389</v>
      </c>
      <c r="BV118" s="4" t="s">
        <v>3912</v>
      </c>
      <c r="BW118">
        <f>HYPERLINK("http://exon.niaid.nih.gov/transcriptome/C_felis/S1/links/GO/cf-contig_750-GO.txt",8E-30)</f>
        <v>8.0000000000000007E-30</v>
      </c>
      <c r="BX118" t="str">
        <f>HYPERLINK("http://amigo.geneontology.org/cgi-bin/amigo/term_details?term=GO:0005509","GO:0005509")</f>
        <v>GO:0005509</v>
      </c>
      <c r="BY118" t="s">
        <v>2274</v>
      </c>
      <c r="BZ118" t="s">
        <v>2275</v>
      </c>
      <c r="CA118" t="s">
        <v>2276</v>
      </c>
      <c r="CB118" t="s">
        <v>42</v>
      </c>
      <c r="CD118" s="5">
        <v>8.0000000000000007E-30</v>
      </c>
      <c r="CE118" t="str">
        <f>HYPERLINK("http://amigo.geneontology.org/cgi-bin/amigo/term_details?term=GO:0016028","GO:0016028")</f>
        <v>GO:0016028</v>
      </c>
      <c r="CF118" t="s">
        <v>3913</v>
      </c>
      <c r="CG118" t="s">
        <v>3914</v>
      </c>
      <c r="CH118" t="s">
        <v>42</v>
      </c>
      <c r="CI118" t="s">
        <v>42</v>
      </c>
      <c r="CK118" s="5">
        <v>8.0000000000000007E-30</v>
      </c>
      <c r="CL118" t="str">
        <f>HYPERLINK("http://amigo.geneontology.org/cgi-bin/amigo/term_details?term=GO:0016056","GO:0016056")</f>
        <v>GO:0016056</v>
      </c>
      <c r="CM118" t="s">
        <v>3915</v>
      </c>
      <c r="CN118" t="s">
        <v>3916</v>
      </c>
      <c r="CO118" t="s">
        <v>3917</v>
      </c>
      <c r="CP118" t="s">
        <v>42</v>
      </c>
      <c r="CR118" s="5">
        <v>8.0000000000000007E-30</v>
      </c>
      <c r="CS118" s="4" t="str">
        <f>HYPERLINK("http://exon.niaid.nih.gov/transcriptome/C_felis/S1/links/KOG/cf-contig_750-KOG.txt","Calmodulin and related proteins (EF-Hand superfamily)")</f>
        <v>Calmodulin and related proteins (EF-Hand superfamily)</v>
      </c>
      <c r="CT118" t="str">
        <f>HYPERLINK("http://www.ncbi.nlm.nih.gov/COG/grace/shokog.cgi?KOG0027","8E-027")</f>
        <v>8E-027</v>
      </c>
      <c r="CU118" t="s">
        <v>1780</v>
      </c>
      <c r="CV118" s="4" t="str">
        <f>HYPERLINK("http://exon.niaid.nih.gov/transcriptome/C_felis/S1/links/PFAM/cf-contig_750-PFAM.txt","efhand")</f>
        <v>efhand</v>
      </c>
      <c r="CW118" t="str">
        <f>HYPERLINK("http://pfam.sanger.ac.uk/family?acc=PF00036","3E-007")</f>
        <v>3E-007</v>
      </c>
      <c r="CX118" s="4" t="str">
        <f>HYPERLINK("http://exon.niaid.nih.gov/transcriptome/C_felis/S1/links/SMART/cf-contig_750-SMART.txt","EFh")</f>
        <v>EFh</v>
      </c>
      <c r="CY118" t="str">
        <f>HYPERLINK("http://smart.embl-heidelberg.de/smart/do_annotation.pl?DOMAIN=EFh&amp;BLAST=DUMMY","2E-009")</f>
        <v>2E-009</v>
      </c>
      <c r="CZ118" s="4" t="s">
        <v>42</v>
      </c>
      <c r="DA118" t="s">
        <v>42</v>
      </c>
      <c r="DB118" t="s">
        <v>42</v>
      </c>
      <c r="DC118" t="s">
        <v>42</v>
      </c>
      <c r="DD118" t="s">
        <v>42</v>
      </c>
      <c r="DE118" t="s">
        <v>42</v>
      </c>
      <c r="DF118" t="s">
        <v>42</v>
      </c>
      <c r="DG118" t="s">
        <v>42</v>
      </c>
      <c r="DH118" s="4" t="s">
        <v>42</v>
      </c>
      <c r="DI118" t="s">
        <v>42</v>
      </c>
      <c r="DJ118" s="4" t="s">
        <v>42</v>
      </c>
      <c r="DK118" t="s">
        <v>42</v>
      </c>
      <c r="DL118" s="4">
        <f>HYPERLINK("http://exon.niaid.nih.gov/transcriptome/C_felis/S1/links/cluster/cf-5-36-asb30-50-Id-CLU89.txt", 89)</f>
        <v>89</v>
      </c>
      <c r="DM118">
        <f>HYPERLINK("http://exon.niaid.nih.gov/transcriptome/C_felis/S1/links/cluster/cf-5-36-asb30-50-Id-CLTL89.txt", 2)</f>
        <v>2</v>
      </c>
      <c r="DN118" s="4">
        <f>HYPERLINK("http://exon.niaid.nih.gov/transcriptome/C_felis/S1/links/cluster/cf-5-36-asb35-50-Id-CLU82.txt", 82)</f>
        <v>82</v>
      </c>
      <c r="DO118">
        <f>HYPERLINK("http://exon.niaid.nih.gov/transcriptome/C_felis/S1/links/cluster/cf-5-36-asb35-50-Id-CLTL82.txt", 2)</f>
        <v>2</v>
      </c>
      <c r="DP118" s="4">
        <f>HYPERLINK("http://exon.niaid.nih.gov/transcriptome/C_felis/S1/links/cluster/cf-5-36-asb40-50-Id-CLU74.txt", 74)</f>
        <v>74</v>
      </c>
      <c r="DQ118">
        <f>HYPERLINK("http://exon.niaid.nih.gov/transcriptome/C_felis/S1/links/cluster/cf-5-36-asb40-50-Id-CLTL74.txt", 2)</f>
        <v>2</v>
      </c>
      <c r="DR118" s="4">
        <f>HYPERLINK("http://exon.niaid.nih.gov/transcriptome/C_felis/S1/links/cluster/cf-5-36-asb45-50-Id-CLU60.txt", 60)</f>
        <v>60</v>
      </c>
      <c r="DS118">
        <f>HYPERLINK("http://exon.niaid.nih.gov/transcriptome/C_felis/S1/links/cluster/cf-5-36-asb45-50-Id-CLTL60.txt", 2)</f>
        <v>2</v>
      </c>
      <c r="DT118" s="4">
        <f>HYPERLINK("http://exon.niaid.nih.gov/transcriptome/C_felis/S1/links/cluster/cf-5-36-asb50-50-Id-CLU52.txt", 52)</f>
        <v>52</v>
      </c>
      <c r="DU118">
        <f>HYPERLINK("http://exon.niaid.nih.gov/transcriptome/C_felis/S1/links/cluster/cf-5-36-asb50-50-Id-CLTL52.txt", 2)</f>
        <v>2</v>
      </c>
      <c r="DV118" s="4">
        <f>HYPERLINK("http://exon.niaid.nih.gov/transcriptome/C_felis/S1/links/cluster/cf-5-36-asb55-50-Id-CLU48.txt", 48)</f>
        <v>48</v>
      </c>
      <c r="DW118">
        <f>HYPERLINK("http://exon.niaid.nih.gov/transcriptome/C_felis/S1/links/cluster/cf-5-36-asb55-50-Id-CLTL48.txt", 2)</f>
        <v>2</v>
      </c>
      <c r="DX118" s="4">
        <f>HYPERLINK("http://exon.niaid.nih.gov/transcriptome/C_felis/S1/links/cluster/cf-5-36-asb60-50-Id-CLU40.txt", 40)</f>
        <v>40</v>
      </c>
      <c r="DY118">
        <f>HYPERLINK("http://exon.niaid.nih.gov/transcriptome/C_felis/S1/links/cluster/cf-5-36-asb60-50-Id-CLTL40.txt", 2)</f>
        <v>2</v>
      </c>
      <c r="DZ118" s="4">
        <f>HYPERLINK("http://exon.niaid.nih.gov/transcriptome/C_felis/S1/links/cluster/cf-5-36-asb65-50-Id-CLU33.txt", 33)</f>
        <v>33</v>
      </c>
      <c r="EA118">
        <f>HYPERLINK("http://exon.niaid.nih.gov/transcriptome/C_felis/S1/links/cluster/cf-5-36-asb65-50-Id-CLTL33.txt", 2)</f>
        <v>2</v>
      </c>
      <c r="EB118" s="4">
        <f>HYPERLINK("http://exon.niaid.nih.gov/transcriptome/C_felis/S1/links/cluster/cf-5-36-asb70-50-Id-CLU28.txt", 28)</f>
        <v>28</v>
      </c>
      <c r="EC118">
        <f>HYPERLINK("http://exon.niaid.nih.gov/transcriptome/C_felis/S1/links/cluster/cf-5-36-asb70-50-Id-CLTL28.txt", 2)</f>
        <v>2</v>
      </c>
      <c r="ED118" s="4">
        <f>HYPERLINK("http://exon.niaid.nih.gov/transcriptome/C_felis/S1/links/cluster/cf-5-36-asb75-50-Id-CLU24.txt", 24)</f>
        <v>24</v>
      </c>
      <c r="EE118">
        <f>HYPERLINK("http://exon.niaid.nih.gov/transcriptome/C_felis/S1/links/cluster/cf-5-36-asb75-50-Id-CLTL24.txt", 2)</f>
        <v>2</v>
      </c>
      <c r="EF118" s="4">
        <f>HYPERLINK("http://exon.niaid.nih.gov/transcriptome/C_felis/S1/links/cluster/cf-5-36-asb80-50-Id-CLU17.txt", 17)</f>
        <v>17</v>
      </c>
      <c r="EG118">
        <f>HYPERLINK("http://exon.niaid.nih.gov/transcriptome/C_felis/S1/links/cluster/cf-5-36-asb80-50-Id-CLTL17.txt", 2)</f>
        <v>2</v>
      </c>
      <c r="EH118" s="4">
        <v>741</v>
      </c>
      <c r="EI118">
        <v>1</v>
      </c>
      <c r="EJ118" s="4">
        <v>750</v>
      </c>
      <c r="EK118">
        <v>1</v>
      </c>
    </row>
    <row r="119" spans="1:141" x14ac:dyDescent="0.2">
      <c r="A119" t="str">
        <f>HYPERLINK("http://exon.niaid.nih.gov/transcriptome/C_felis/S1/links/cf/cf-contig_761.txt","cf-contig_761")</f>
        <v>cf-contig_761</v>
      </c>
      <c r="B119">
        <v>1</v>
      </c>
      <c r="C119" s="10" t="s">
        <v>4870</v>
      </c>
      <c r="D119">
        <v>1</v>
      </c>
      <c r="E119" t="str">
        <f>HYPERLINK("http://exon.niaid.nih.gov/transcriptome/C_felis/S1/links/cf/cf-5-36-asb-761.txt","Contig-761")</f>
        <v>Contig-761</v>
      </c>
      <c r="F119" t="str">
        <f>HYPERLINK("http://exon.niaid.nih.gov/transcriptome/C_felis/S1/links/cf/cf-5-36-761-CLU.txt","Contig761")</f>
        <v>Contig761</v>
      </c>
      <c r="G119" t="str">
        <f>HYPERLINK("http://exon.niaid.nih.gov/transcriptome/C_felis/S1/links/cf/cf-5-36-761-qual.txt","62.9")</f>
        <v>62.9</v>
      </c>
      <c r="H119">
        <v>0.1</v>
      </c>
      <c r="I119">
        <v>66.7</v>
      </c>
      <c r="J119">
        <v>681</v>
      </c>
      <c r="K119" t="s">
        <v>12</v>
      </c>
      <c r="L119">
        <v>1</v>
      </c>
      <c r="M119" t="s">
        <v>774</v>
      </c>
      <c r="N119">
        <v>681</v>
      </c>
      <c r="O119">
        <v>700</v>
      </c>
      <c r="P119">
        <v>369</v>
      </c>
      <c r="Q119" t="s">
        <v>1580</v>
      </c>
      <c r="R119">
        <v>3</v>
      </c>
      <c r="S119" s="7" t="str">
        <f>HYPERLINK("http://exon.niaid.nih.gov/transcriptome/C_felis/S1/links/Sigp/CF-CONTIG_761-SigP.txt","Cyt")</f>
        <v>Cyt</v>
      </c>
      <c r="U119">
        <v>1</v>
      </c>
      <c r="V119" s="4">
        <f>HYPERLINK("http://exon.niaid.nih.gov/transcriptome/C_felis/S1/links/cluster/cf-5-36-asb30-50-Id-CLU84.txt", 84)</f>
        <v>84</v>
      </c>
      <c r="W119">
        <f>HYPERLINK("http://exon.niaid.nih.gov/transcriptome/C_felis/S1/links/cluster/cf-5-36-asb30-50-Id-CLTL84.txt", 2)</f>
        <v>2</v>
      </c>
      <c r="X119" s="4">
        <f>HYPERLINK("http://exon.niaid.nih.gov/transcriptome/C_felis/S1/links/cluster/cf-5-36-asb35-50-Id-CLU76.txt", 76)</f>
        <v>76</v>
      </c>
      <c r="Y119">
        <f>HYPERLINK("http://exon.niaid.nih.gov/transcriptome/C_felis/S1/links/cluster/cf-5-36-asb35-50-Id-CLTL76.txt", 2)</f>
        <v>2</v>
      </c>
      <c r="Z119" s="4">
        <f>HYPERLINK("http://exon.niaid.nih.gov/transcriptome/C_felis/S1/links/cluster/cf-5-36-asb40-50-Id-CLU69.txt", 69)</f>
        <v>69</v>
      </c>
      <c r="AA119">
        <f>HYPERLINK("http://exon.niaid.nih.gov/transcriptome/C_felis/S1/links/cluster/cf-5-36-asb40-50-Id-CLTL69.txt", 2)</f>
        <v>2</v>
      </c>
      <c r="AB119" s="4" t="str">
        <f>HYPERLINK("http://exon.niaid.nih.gov/transcriptome/C_felis/S1/links/XC-ASB/cf-contig_761-XC-ASB.txt","XC-contig_206")</f>
        <v>XC-contig_206</v>
      </c>
      <c r="AC119">
        <v>3.0000000000000001E-5</v>
      </c>
      <c r="AD119" s="10" t="s">
        <v>4870</v>
      </c>
      <c r="AE119" t="s">
        <v>4637</v>
      </c>
      <c r="AF119" t="str">
        <f>HYPERLINK("http://exon.niaid.nih.gov/transcriptome/C_felis/S1/links/NR/cf-contig_761-NR.txt","NR")</f>
        <v>NR</v>
      </c>
      <c r="AG119" s="5">
        <v>4.9999999999999997E-21</v>
      </c>
      <c r="AH119">
        <v>24</v>
      </c>
      <c r="AI119" s="4" t="str">
        <f>HYPERLINK("http://exon.niaid.nih.gov/transcriptome/C_felis/S1/links/NR/cf-contig_761-NR.txt","centromere/microtubule binding protein cbf5")</f>
        <v>centromere/microtubule binding protein cbf5</v>
      </c>
      <c r="AJ119" t="str">
        <f>HYPERLINK("http://www.ncbi.nlm.nih.gov/sutils/blink.cgi?pid=157136797","5E-021")</f>
        <v>5E-021</v>
      </c>
      <c r="AK119" t="str">
        <f>HYPERLINK("http://www.ncbi.nlm.nih.gov/protein/157136797","gi|157136797")</f>
        <v>gi|157136797</v>
      </c>
      <c r="AL119">
        <v>105</v>
      </c>
      <c r="AM119">
        <v>126</v>
      </c>
      <c r="AN119">
        <v>527</v>
      </c>
      <c r="AO119">
        <v>46</v>
      </c>
      <c r="AP119">
        <v>24</v>
      </c>
      <c r="AQ119">
        <v>68</v>
      </c>
      <c r="AR119">
        <v>7</v>
      </c>
      <c r="AS119">
        <v>401</v>
      </c>
      <c r="AT119">
        <v>12</v>
      </c>
      <c r="AU119">
        <v>1</v>
      </c>
      <c r="AV119">
        <v>3</v>
      </c>
      <c r="AW119" t="s">
        <v>12</v>
      </c>
      <c r="AY119" t="s">
        <v>1676</v>
      </c>
      <c r="AZ119" t="s">
        <v>2267</v>
      </c>
      <c r="BA119" s="4" t="str">
        <f>HYPERLINK("http://exon.niaid.nih.gov/transcriptome/C_felis/S1/links/SWISSP/cf-contig_761-SWISSP.txt","H/ACA ribonucleoprotein complex subunit 4")</f>
        <v>H/ACA ribonucleoprotein complex subunit 4</v>
      </c>
      <c r="BB119" t="str">
        <f>HYPERLINK("http://www.uniprot.org/uniprot/O44081","4E-021")</f>
        <v>4E-021</v>
      </c>
      <c r="BC119" t="s">
        <v>4437</v>
      </c>
      <c r="BD119">
        <v>101</v>
      </c>
      <c r="BE119">
        <v>104</v>
      </c>
      <c r="BF119">
        <v>508</v>
      </c>
      <c r="BG119">
        <v>50</v>
      </c>
      <c r="BH119">
        <v>21</v>
      </c>
      <c r="BI119">
        <v>58</v>
      </c>
      <c r="BJ119">
        <v>3</v>
      </c>
      <c r="BK119">
        <v>395</v>
      </c>
      <c r="BL119">
        <v>12</v>
      </c>
      <c r="BM119">
        <v>1</v>
      </c>
      <c r="BN119">
        <v>3</v>
      </c>
      <c r="BO119" t="s">
        <v>12</v>
      </c>
      <c r="BQ119" t="s">
        <v>1676</v>
      </c>
      <c r="BR119" t="s">
        <v>1804</v>
      </c>
      <c r="BS119" s="4" t="str">
        <f>HYPERLINK("http://exon.niaid.nih.gov/transcriptome/C_felis/S1/links/CDD/cf-contig_761-CDD.txt","RNA_polI_A34")</f>
        <v>RNA_polI_A34</v>
      </c>
      <c r="BT119" t="str">
        <f>HYPERLINK("http://www.ncbi.nlm.nih.gov/Structure/cdd/cddsrv.cgi?uid=pfam08208&amp;version=v4.0","1E-006")</f>
        <v>1E-006</v>
      </c>
      <c r="BU119" t="s">
        <v>4438</v>
      </c>
      <c r="BV119" s="4" t="s">
        <v>4439</v>
      </c>
      <c r="BW119">
        <f>HYPERLINK("http://exon.niaid.nih.gov/transcriptome/C_felis/S1/links/GO/cf-contig_761-GO.txt",3E-21)</f>
        <v>2.9999999999999999E-21</v>
      </c>
      <c r="BX119" t="str">
        <f>HYPERLINK("http://amigo.geneontology.org/cgi-bin/amigo/term_details?term=GO:0004730","GO:0004730")</f>
        <v>GO:0004730</v>
      </c>
      <c r="BY119" t="s">
        <v>4440</v>
      </c>
      <c r="BZ119" t="s">
        <v>4441</v>
      </c>
      <c r="CA119" t="s">
        <v>4442</v>
      </c>
      <c r="CB119" t="str">
        <f>HYPERLINK("http://www.genome.jp/dbget-bin/www_bfind_sub?mode=bfind&amp;max_hit=1000&amp;dbkey=kegg&amp;keywords=EC:4.2.1.70","EC:4.2.1.70")</f>
        <v>EC:4.2.1.70</v>
      </c>
      <c r="CC119" t="str">
        <f>HYPERLINK("http://www.genome.jp/dbget-bin/www_bget?rn:R01055","KEGG:R01055")</f>
        <v>KEGG:R01055</v>
      </c>
      <c r="CD119" s="5">
        <v>2.9999999999999999E-21</v>
      </c>
      <c r="CE119" t="str">
        <f>HYPERLINK("http://amigo.geneontology.org/cgi-bin/amigo/term_details?term=GO:0005730","GO:0005730")</f>
        <v>GO:0005730</v>
      </c>
      <c r="CF119" t="s">
        <v>4345</v>
      </c>
      <c r="CG119" t="s">
        <v>4346</v>
      </c>
      <c r="CH119" t="s">
        <v>42</v>
      </c>
      <c r="CI119" t="s">
        <v>42</v>
      </c>
      <c r="CK119" s="5">
        <v>2.9999999999999999E-21</v>
      </c>
      <c r="CL119" t="str">
        <f>HYPERLINK("http://amigo.geneontology.org/cgi-bin/amigo/term_details?term=GO:0042254","GO:0042254")</f>
        <v>GO:0042254</v>
      </c>
      <c r="CM119" t="s">
        <v>4443</v>
      </c>
      <c r="CN119" t="s">
        <v>4444</v>
      </c>
      <c r="CO119" t="s">
        <v>4445</v>
      </c>
      <c r="CP119" t="s">
        <v>42</v>
      </c>
      <c r="CR119" s="5">
        <v>2.9999999999999999E-21</v>
      </c>
      <c r="CS119" s="4" t="str">
        <f>HYPERLINK("http://exon.niaid.nih.gov/transcriptome/C_felis/S1/links/KOG/cf-contig_761-KOG.txt","Translation initiation factor 5B (eIF-5B)")</f>
        <v>Translation initiation factor 5B (eIF-5B)</v>
      </c>
      <c r="CT119" t="str">
        <f>HYPERLINK("http://www.ncbi.nlm.nih.gov/COG/grace/shokog.cgi?KOG1144","2E-006")</f>
        <v>2E-006</v>
      </c>
      <c r="CU119" t="s">
        <v>1707</v>
      </c>
      <c r="CV119" s="4" t="str">
        <f>HYPERLINK("http://exon.niaid.nih.gov/transcriptome/C_felis/S1/links/PFAM/cf-contig_761-PFAM.txt","RNA_polI_A34")</f>
        <v>RNA_polI_A34</v>
      </c>
      <c r="CW119" t="str">
        <f>HYPERLINK("http://pfam.sanger.ac.uk/family?acc=PF08208","2E-007")</f>
        <v>2E-007</v>
      </c>
      <c r="CX119" s="4" t="str">
        <f>HYPERLINK("http://exon.niaid.nih.gov/transcriptome/C_felis/S1/links/SMART/cf-contig_761-SMART.txt","VKc")</f>
        <v>VKc</v>
      </c>
      <c r="CY119" t="str">
        <f>HYPERLINK("http://smart.embl-heidelberg.de/smart/do_annotation.pl?DOMAIN=VKc&amp;BLAST=DUMMY","0.001")</f>
        <v>0.001</v>
      </c>
      <c r="CZ119" s="4" t="s">
        <v>42</v>
      </c>
      <c r="DA119" t="s">
        <v>42</v>
      </c>
      <c r="DB119" t="s">
        <v>42</v>
      </c>
      <c r="DC119" t="s">
        <v>42</v>
      </c>
      <c r="DD119" t="s">
        <v>42</v>
      </c>
      <c r="DE119" t="s">
        <v>42</v>
      </c>
      <c r="DF119" t="s">
        <v>42</v>
      </c>
      <c r="DG119" t="s">
        <v>42</v>
      </c>
      <c r="DH119" s="4" t="s">
        <v>42</v>
      </c>
      <c r="DI119" t="s">
        <v>42</v>
      </c>
      <c r="DJ119" s="4" t="s">
        <v>42</v>
      </c>
      <c r="DK119" t="s">
        <v>42</v>
      </c>
      <c r="DL119" s="4">
        <f>HYPERLINK("http://exon.niaid.nih.gov/transcriptome/C_felis/S1/links/cluster/cf-5-36-asb30-50-Id-CLU84.txt", 84)</f>
        <v>84</v>
      </c>
      <c r="DM119">
        <f>HYPERLINK("http://exon.niaid.nih.gov/transcriptome/C_felis/S1/links/cluster/cf-5-36-asb30-50-Id-CLTL84.txt", 2)</f>
        <v>2</v>
      </c>
      <c r="DN119" s="4">
        <f>HYPERLINK("http://exon.niaid.nih.gov/transcriptome/C_felis/S1/links/cluster/cf-5-36-asb35-50-Id-CLU76.txt", 76)</f>
        <v>76</v>
      </c>
      <c r="DO119">
        <f>HYPERLINK("http://exon.niaid.nih.gov/transcriptome/C_felis/S1/links/cluster/cf-5-36-asb35-50-Id-CLTL76.txt", 2)</f>
        <v>2</v>
      </c>
      <c r="DP119" s="4">
        <f>HYPERLINK("http://exon.niaid.nih.gov/transcriptome/C_felis/S1/links/cluster/cf-5-36-asb40-50-Id-CLU69.txt", 69)</f>
        <v>69</v>
      </c>
      <c r="DQ119">
        <f>HYPERLINK("http://exon.niaid.nih.gov/transcriptome/C_felis/S1/links/cluster/cf-5-36-asb40-50-Id-CLTL69.txt", 2)</f>
        <v>2</v>
      </c>
      <c r="DR119" s="4">
        <f>HYPERLINK("http://exon.niaid.nih.gov/transcriptome/C_felis/S1/links/cluster/cf-5-36-asb45-50-Id-CLU56.txt", 56)</f>
        <v>56</v>
      </c>
      <c r="DS119">
        <f>HYPERLINK("http://exon.niaid.nih.gov/transcriptome/C_felis/S1/links/cluster/cf-5-36-asb45-50-Id-CLTL56.txt", 2)</f>
        <v>2</v>
      </c>
      <c r="DT119" s="4">
        <f>HYPERLINK("http://exon.niaid.nih.gov/transcriptome/C_felis/S1/links/cluster/cf-5-36-asb50-50-Id-CLU48.txt", 48)</f>
        <v>48</v>
      </c>
      <c r="DU119">
        <f>HYPERLINK("http://exon.niaid.nih.gov/transcriptome/C_felis/S1/links/cluster/cf-5-36-asb50-50-Id-CLTL48.txt", 2)</f>
        <v>2</v>
      </c>
      <c r="DV119" s="4">
        <f>HYPERLINK("http://exon.niaid.nih.gov/transcriptome/C_felis/S1/links/cluster/cf-5-36-asb55-50-Id-CLU44.txt", 44)</f>
        <v>44</v>
      </c>
      <c r="DW119">
        <f>HYPERLINK("http://exon.niaid.nih.gov/transcriptome/C_felis/S1/links/cluster/cf-5-36-asb55-50-Id-CLTL44.txt", 2)</f>
        <v>2</v>
      </c>
      <c r="DX119" s="4">
        <v>712</v>
      </c>
      <c r="DY119">
        <v>1</v>
      </c>
      <c r="DZ119" s="4">
        <v>723</v>
      </c>
      <c r="EA119">
        <v>1</v>
      </c>
      <c r="EB119" s="4">
        <v>729</v>
      </c>
      <c r="EC119">
        <v>1</v>
      </c>
      <c r="ED119" s="4">
        <v>734</v>
      </c>
      <c r="EE119">
        <v>1</v>
      </c>
      <c r="EF119" s="4">
        <v>740</v>
      </c>
      <c r="EG119">
        <v>1</v>
      </c>
      <c r="EH119" s="4">
        <v>752</v>
      </c>
      <c r="EI119">
        <v>1</v>
      </c>
      <c r="EJ119" s="4">
        <v>761</v>
      </c>
      <c r="EK119">
        <v>1</v>
      </c>
    </row>
    <row r="120" spans="1:141" x14ac:dyDescent="0.2">
      <c r="A120" t="str">
        <f>HYPERLINK("http://exon.niaid.nih.gov/transcriptome/C_felis/S1/links/cf/cf-contig_117.txt","cf-contig_117")</f>
        <v>cf-contig_117</v>
      </c>
      <c r="B120">
        <v>1</v>
      </c>
      <c r="C120" s="10" t="s">
        <v>4636</v>
      </c>
      <c r="D120">
        <v>1</v>
      </c>
      <c r="E120" t="str">
        <f>HYPERLINK("http://exon.niaid.nih.gov/transcriptome/C_felis/S1/links/cf/cf-5-36-asb-117.txt","Contig-117")</f>
        <v>Contig-117</v>
      </c>
      <c r="F120" t="str">
        <f>HYPERLINK("http://exon.niaid.nih.gov/transcriptome/C_felis/S1/links/cf/cf-5-36-117-CLU.txt","Contig117")</f>
        <v>Contig117</v>
      </c>
      <c r="G120" t="str">
        <f>HYPERLINK("http://exon.niaid.nih.gov/transcriptome/C_felis/S1/links/cf/cf-5-36-117-qual.txt","67.6")</f>
        <v>67.6</v>
      </c>
      <c r="H120" t="s">
        <v>11</v>
      </c>
      <c r="I120">
        <v>63.9</v>
      </c>
      <c r="J120">
        <v>432</v>
      </c>
      <c r="K120" t="s">
        <v>12</v>
      </c>
      <c r="L120">
        <v>1</v>
      </c>
      <c r="M120" t="s">
        <v>130</v>
      </c>
      <c r="N120">
        <v>432</v>
      </c>
      <c r="O120">
        <v>451</v>
      </c>
      <c r="P120">
        <v>195</v>
      </c>
      <c r="Q120" t="s">
        <v>937</v>
      </c>
      <c r="R120">
        <v>1</v>
      </c>
      <c r="S120" s="7" t="s">
        <v>4585</v>
      </c>
      <c r="U120">
        <v>1</v>
      </c>
      <c r="V120" s="4">
        <f>HYPERLINK("http://exon.niaid.nih.gov/transcriptome/C_felis/S1/links/cluster/cf-5-36-asb30-50-Id-CLU10.txt", 10)</f>
        <v>10</v>
      </c>
      <c r="W120">
        <f>HYPERLINK("http://exon.niaid.nih.gov/transcriptome/C_felis/S1/links/cluster/cf-5-36-asb30-50-Id-CLTL10.txt", 4)</f>
        <v>4</v>
      </c>
      <c r="X120" s="4">
        <f>HYPERLINK("http://exon.niaid.nih.gov/transcriptome/C_felis/S1/links/cluster/cf-5-36-asb35-50-Id-CLU9.txt", 9)</f>
        <v>9</v>
      </c>
      <c r="Y120">
        <f>HYPERLINK("http://exon.niaid.nih.gov/transcriptome/C_felis/S1/links/cluster/cf-5-36-asb35-50-Id-CLTL9.txt", 4)</f>
        <v>4</v>
      </c>
      <c r="Z120" s="4">
        <f>HYPERLINK("http://exon.niaid.nih.gov/transcriptome/C_felis/S1/links/cluster/cf-5-36-asb40-50-Id-CLU7.txt", 7)</f>
        <v>7</v>
      </c>
      <c r="AA120">
        <f>HYPERLINK("http://exon.niaid.nih.gov/transcriptome/C_felis/S1/links/cluster/cf-5-36-asb40-50-Id-CLTL7.txt", 4)</f>
        <v>4</v>
      </c>
      <c r="AB120" s="4" t="str">
        <f>HYPERLINK("http://exon.niaid.nih.gov/transcriptome/C_felis/S1/links/XC-ASB/cf-contig_117-XC-ASB.txt","XC-contig_120")</f>
        <v>XC-contig_120</v>
      </c>
      <c r="AC120">
        <v>2.0000000000000002E-43</v>
      </c>
      <c r="AD120" s="10" t="s">
        <v>4636</v>
      </c>
      <c r="AE120" t="s">
        <v>4637</v>
      </c>
      <c r="AF120" t="str">
        <f>HYPERLINK("http://exon.niaid.nih.gov/transcriptome/C_felis/S1/links/GO/cf-contig_117-GO.txt","GO")</f>
        <v>GO</v>
      </c>
      <c r="AG120" s="5">
        <v>3.9999999999999999E-19</v>
      </c>
      <c r="AH120">
        <v>10.1</v>
      </c>
      <c r="AI120" s="4" t="str">
        <f>HYPERLINK("http://exon.niaid.nih.gov/transcriptome/C_felis/S1/links/NR/cf-contig_117-NR.txt","elongation factor-1 alpha")</f>
        <v>elongation factor-1 alpha</v>
      </c>
      <c r="AJ120" t="str">
        <f>HYPERLINK("http://www.ncbi.nlm.nih.gov/sutils/blink.cgi?pid=300952938","5E-018")</f>
        <v>5E-018</v>
      </c>
      <c r="AK120" t="str">
        <f>HYPERLINK("http://www.ncbi.nlm.nih.gov/protein/300952938","gi|300952938")</f>
        <v>gi|300952938</v>
      </c>
      <c r="AL120">
        <v>94.7</v>
      </c>
      <c r="AM120">
        <v>46</v>
      </c>
      <c r="AN120">
        <v>463</v>
      </c>
      <c r="AO120">
        <v>100</v>
      </c>
      <c r="AP120">
        <v>10</v>
      </c>
      <c r="AQ120">
        <v>0</v>
      </c>
      <c r="AR120">
        <v>0</v>
      </c>
      <c r="AS120">
        <v>417</v>
      </c>
      <c r="AT120">
        <v>2</v>
      </c>
      <c r="AU120">
        <v>1</v>
      </c>
      <c r="AV120">
        <v>2</v>
      </c>
      <c r="AW120" t="s">
        <v>12</v>
      </c>
      <c r="AY120" t="s">
        <v>1676</v>
      </c>
      <c r="AZ120" t="s">
        <v>2112</v>
      </c>
      <c r="BA120" s="4" t="str">
        <f>HYPERLINK("http://exon.niaid.nih.gov/transcriptome/C_felis/S1/links/SWISSP/cf-contig_117-SWISSP.txt","Elongation factor 1-alpha 1")</f>
        <v>Elongation factor 1-alpha 1</v>
      </c>
      <c r="BB120" t="str">
        <f>HYPERLINK("http://www.uniprot.org/uniprot/P08736","4E-019")</f>
        <v>4E-019</v>
      </c>
      <c r="BC120" t="s">
        <v>2113</v>
      </c>
      <c r="BD120">
        <v>93.6</v>
      </c>
      <c r="BE120">
        <v>46</v>
      </c>
      <c r="BF120">
        <v>463</v>
      </c>
      <c r="BG120">
        <v>97</v>
      </c>
      <c r="BH120">
        <v>10</v>
      </c>
      <c r="BI120">
        <v>1</v>
      </c>
      <c r="BJ120">
        <v>0</v>
      </c>
      <c r="BK120">
        <v>417</v>
      </c>
      <c r="BL120">
        <v>2</v>
      </c>
      <c r="BM120">
        <v>1</v>
      </c>
      <c r="BN120">
        <v>2</v>
      </c>
      <c r="BO120" t="s">
        <v>12</v>
      </c>
      <c r="BQ120" t="s">
        <v>1676</v>
      </c>
      <c r="BR120" t="s">
        <v>1804</v>
      </c>
      <c r="BS120" s="4" t="str">
        <f>HYPERLINK("http://exon.niaid.nih.gov/transcriptome/C_felis/S1/links/CDD/cf-contig_117-CDD.txt","PLN00043")</f>
        <v>PLN00043</v>
      </c>
      <c r="BT120" t="str">
        <f>HYPERLINK("http://www.ncbi.nlm.nih.gov/Structure/cdd/cddsrv.cgi?uid=PLN00043&amp;version=v4.0","7E-014")</f>
        <v>7E-014</v>
      </c>
      <c r="BU120" t="s">
        <v>2114</v>
      </c>
      <c r="BV120" s="4" t="s">
        <v>2103</v>
      </c>
      <c r="BW120">
        <f>HYPERLINK("http://exon.niaid.nih.gov/transcriptome/C_felis/S1/links/GO/cf-contig_117-GO.txt",0.0000000000000000004)</f>
        <v>3.9999999999999999E-19</v>
      </c>
      <c r="BX120" t="str">
        <f>HYPERLINK("http://amigo.geneontology.org/cgi-bin/amigo/term_details?term=GO:0003746","GO:0003746")</f>
        <v>GO:0003746</v>
      </c>
      <c r="BY120" t="s">
        <v>2104</v>
      </c>
      <c r="BZ120" t="s">
        <v>2105</v>
      </c>
      <c r="CA120" t="s">
        <v>42</v>
      </c>
      <c r="CB120" t="s">
        <v>42</v>
      </c>
      <c r="CD120" s="5">
        <v>3.9999999999999999E-19</v>
      </c>
      <c r="CE120" t="str">
        <f>HYPERLINK("http://amigo.geneontology.org/cgi-bin/amigo/term_details?term=GO:0005829","GO:0005829")</f>
        <v>GO:0005829</v>
      </c>
      <c r="CF120" t="s">
        <v>2106</v>
      </c>
      <c r="CG120" t="s">
        <v>2107</v>
      </c>
      <c r="CH120" t="s">
        <v>42</v>
      </c>
      <c r="CI120" t="s">
        <v>42</v>
      </c>
      <c r="CK120" s="5">
        <v>3.9999999999999999E-19</v>
      </c>
      <c r="CL120" t="str">
        <f>HYPERLINK("http://amigo.geneontology.org/cgi-bin/amigo/term_details?term=GO:0008340","GO:0008340")</f>
        <v>GO:0008340</v>
      </c>
      <c r="CM120" t="s">
        <v>2108</v>
      </c>
      <c r="CN120" t="s">
        <v>2109</v>
      </c>
      <c r="CO120" t="s">
        <v>42</v>
      </c>
      <c r="CP120" t="s">
        <v>42</v>
      </c>
      <c r="CR120" s="5">
        <v>3.9999999999999999E-19</v>
      </c>
      <c r="CS120" s="4" t="str">
        <f>HYPERLINK("http://exon.niaid.nih.gov/transcriptome/C_felis/S1/links/KOG/cf-contig_117-KOG.txt","Translation elongation factor EF-1 alpha/Tu")</f>
        <v>Translation elongation factor EF-1 alpha/Tu</v>
      </c>
      <c r="CT120" t="str">
        <f>HYPERLINK("http://www.ncbi.nlm.nih.gov/COG/grace/shokog.cgi?KOG0052","9E-012")</f>
        <v>9E-012</v>
      </c>
      <c r="CU120" t="s">
        <v>1707</v>
      </c>
      <c r="CV120" s="4" t="str">
        <f>HYPERLINK("http://exon.niaid.nih.gov/transcriptome/C_felis/S1/links/PFAM/cf-contig_117-PFAM.txt","GTP_EFTU_D3")</f>
        <v>GTP_EFTU_D3</v>
      </c>
      <c r="CW120" t="str">
        <f>HYPERLINK("http://pfam.sanger.ac.uk/family?acc=PF03143","6E-008")</f>
        <v>6E-008</v>
      </c>
      <c r="CX120" s="4" t="str">
        <f>HYPERLINK("http://exon.niaid.nih.gov/transcriptome/C_felis/S1/links/SMART/cf-contig_117-SMART.txt","HTTM")</f>
        <v>HTTM</v>
      </c>
      <c r="CY120" t="str">
        <f>HYPERLINK("http://smart.embl-heidelberg.de/smart/do_annotation.pl?DOMAIN=HTTM&amp;BLAST=DUMMY","0.26")</f>
        <v>0.26</v>
      </c>
      <c r="CZ120" s="4" t="s">
        <v>42</v>
      </c>
      <c r="DA120" t="s">
        <v>42</v>
      </c>
      <c r="DB120" t="s">
        <v>42</v>
      </c>
      <c r="DC120" t="s">
        <v>42</v>
      </c>
      <c r="DD120" t="s">
        <v>42</v>
      </c>
      <c r="DE120" t="s">
        <v>42</v>
      </c>
      <c r="DF120" t="s">
        <v>42</v>
      </c>
      <c r="DG120" t="s">
        <v>42</v>
      </c>
      <c r="DH120" s="4" t="s">
        <v>42</v>
      </c>
      <c r="DI120" t="s">
        <v>42</v>
      </c>
      <c r="DJ120" s="4" t="s">
        <v>42</v>
      </c>
      <c r="DK120" t="s">
        <v>42</v>
      </c>
      <c r="DL120" s="4">
        <f>HYPERLINK("http://exon.niaid.nih.gov/transcriptome/C_felis/S1/links/cluster/cf-5-36-asb30-50-Id-CLU10.txt", 10)</f>
        <v>10</v>
      </c>
      <c r="DM120">
        <f>HYPERLINK("http://exon.niaid.nih.gov/transcriptome/C_felis/S1/links/cluster/cf-5-36-asb30-50-Id-CLTL10.txt", 4)</f>
        <v>4</v>
      </c>
      <c r="DN120" s="4">
        <f>HYPERLINK("http://exon.niaid.nih.gov/transcriptome/C_felis/S1/links/cluster/cf-5-36-asb35-50-Id-CLU9.txt", 9)</f>
        <v>9</v>
      </c>
      <c r="DO120">
        <f>HYPERLINK("http://exon.niaid.nih.gov/transcriptome/C_felis/S1/links/cluster/cf-5-36-asb35-50-Id-CLTL9.txt", 4)</f>
        <v>4</v>
      </c>
      <c r="DP120" s="4">
        <f>HYPERLINK("http://exon.niaid.nih.gov/transcriptome/C_felis/S1/links/cluster/cf-5-36-asb40-50-Id-CLU7.txt", 7)</f>
        <v>7</v>
      </c>
      <c r="DQ120">
        <f>HYPERLINK("http://exon.niaid.nih.gov/transcriptome/C_felis/S1/links/cluster/cf-5-36-asb40-50-Id-CLTL7.txt", 4)</f>
        <v>4</v>
      </c>
      <c r="DR120" s="4">
        <f>HYPERLINK("http://exon.niaid.nih.gov/transcriptome/C_felis/S1/links/cluster/cf-5-36-asb45-50-Id-CLU7.txt", 7)</f>
        <v>7</v>
      </c>
      <c r="DS120">
        <f>HYPERLINK("http://exon.niaid.nih.gov/transcriptome/C_felis/S1/links/cluster/cf-5-36-asb45-50-Id-CLTL7.txt", 4)</f>
        <v>4</v>
      </c>
      <c r="DT120" s="4">
        <f>HYPERLINK("http://exon.niaid.nih.gov/transcriptome/C_felis/S1/links/cluster/cf-5-36-asb50-50-Id-CLU7.txt", 7)</f>
        <v>7</v>
      </c>
      <c r="DU120">
        <f>HYPERLINK("http://exon.niaid.nih.gov/transcriptome/C_felis/S1/links/cluster/cf-5-36-asb50-50-Id-CLTL7.txt", 4)</f>
        <v>4</v>
      </c>
      <c r="DV120" s="4">
        <f>HYPERLINK("http://exon.niaid.nih.gov/transcriptome/C_felis/S1/links/cluster/cf-5-36-asb55-50-Id-CLU4.txt", 4)</f>
        <v>4</v>
      </c>
      <c r="DW120">
        <f>HYPERLINK("http://exon.niaid.nih.gov/transcriptome/C_felis/S1/links/cluster/cf-5-36-asb55-50-Id-CLTL4.txt", 4)</f>
        <v>4</v>
      </c>
      <c r="DX120" s="4">
        <f>HYPERLINK("http://exon.niaid.nih.gov/transcriptome/C_felis/S1/links/cluster/cf-5-36-asb60-50-Id-CLU2.txt", 2)</f>
        <v>2</v>
      </c>
      <c r="DY120">
        <f>HYPERLINK("http://exon.niaid.nih.gov/transcriptome/C_felis/S1/links/cluster/cf-5-36-asb60-50-Id-CLTL2.txt", 4)</f>
        <v>4</v>
      </c>
      <c r="DZ120" s="4">
        <f>HYPERLINK("http://exon.niaid.nih.gov/transcriptome/C_felis/S1/links/cluster/cf-5-36-asb65-50-Id-CLU4.txt", 4)</f>
        <v>4</v>
      </c>
      <c r="EA120">
        <f>HYPERLINK("http://exon.niaid.nih.gov/transcriptome/C_felis/S1/links/cluster/cf-5-36-asb65-50-Id-CLTL4.txt", 3)</f>
        <v>3</v>
      </c>
      <c r="EB120" s="4">
        <v>121</v>
      </c>
      <c r="EC120">
        <v>1</v>
      </c>
      <c r="ED120" s="4">
        <v>122</v>
      </c>
      <c r="EE120">
        <v>1</v>
      </c>
      <c r="EF120" s="4">
        <v>119</v>
      </c>
      <c r="EG120">
        <v>1</v>
      </c>
      <c r="EH120" s="4">
        <v>116</v>
      </c>
      <c r="EI120">
        <v>1</v>
      </c>
      <c r="EJ120" s="4">
        <v>117</v>
      </c>
      <c r="EK120">
        <v>1</v>
      </c>
    </row>
    <row r="121" spans="1:141" x14ac:dyDescent="0.2">
      <c r="A121" t="str">
        <f>HYPERLINK("http://exon.niaid.nih.gov/transcriptome/C_felis/S1/links/cf/cf-contig_225.txt","cf-contig_225")</f>
        <v>cf-contig_225</v>
      </c>
      <c r="B121">
        <v>3</v>
      </c>
      <c r="C121" s="10" t="s">
        <v>4699</v>
      </c>
      <c r="D121">
        <v>3</v>
      </c>
      <c r="E121" t="str">
        <f>HYPERLINK("http://exon.niaid.nih.gov/transcriptome/C_felis/S1/links/cf/cf-5-36-asb-225.txt","Contig-225")</f>
        <v>Contig-225</v>
      </c>
      <c r="F121" t="str">
        <f>HYPERLINK("http://exon.niaid.nih.gov/transcriptome/C_felis/S1/links/cf/cf-5-36-225-CLU.txt","Contig225")</f>
        <v>Contig225</v>
      </c>
      <c r="G121" t="str">
        <f>HYPERLINK("http://exon.niaid.nih.gov/transcriptome/C_felis/S1/links/cf/cf-5-36-225-qual.txt","89.6")</f>
        <v>89.6</v>
      </c>
      <c r="H121" t="s">
        <v>11</v>
      </c>
      <c r="I121">
        <v>70.5</v>
      </c>
      <c r="J121">
        <v>265</v>
      </c>
      <c r="K121" t="s">
        <v>12</v>
      </c>
      <c r="L121">
        <v>3</v>
      </c>
      <c r="M121" t="s">
        <v>238</v>
      </c>
      <c r="N121">
        <v>273</v>
      </c>
      <c r="O121">
        <v>285</v>
      </c>
      <c r="P121">
        <v>213</v>
      </c>
      <c r="Q121" t="s">
        <v>1045</v>
      </c>
      <c r="R121">
        <v>3</v>
      </c>
      <c r="S121" s="7" t="str">
        <f>HYPERLINK("http://exon.niaid.nih.gov/transcriptome/C_felis/S1/links/Sigp/CF-CONTIG_225-SigP.txt","Cyt")</f>
        <v>Cyt</v>
      </c>
      <c r="U121">
        <v>3</v>
      </c>
      <c r="V121" s="4">
        <v>181</v>
      </c>
      <c r="W121">
        <v>1</v>
      </c>
      <c r="X121" s="4">
        <v>184</v>
      </c>
      <c r="Y121">
        <v>1</v>
      </c>
      <c r="Z121" s="4">
        <v>182</v>
      </c>
      <c r="AA121">
        <v>1</v>
      </c>
      <c r="AB121" s="4" t="str">
        <f>HYPERLINK("http://exon.niaid.nih.gov/transcriptome/C_felis/S1/links/XC-ASB/cf-contig_225-XC-ASB.txt","XC-contig_33")</f>
        <v>XC-contig_33</v>
      </c>
      <c r="AC121">
        <v>0.26</v>
      </c>
      <c r="AD121" s="10" t="s">
        <v>4699</v>
      </c>
      <c r="AE121" t="s">
        <v>4637</v>
      </c>
      <c r="AF121" t="str">
        <f>HYPERLINK("http://exon.niaid.nih.gov/transcriptome/C_felis/S1/links/GO/cf-contig_225-GO.txt","GO")</f>
        <v>GO</v>
      </c>
      <c r="AG121">
        <v>3E-9</v>
      </c>
      <c r="AH121">
        <v>6.9</v>
      </c>
      <c r="AI121" s="4" t="str">
        <f>HYPERLINK("http://exon.niaid.nih.gov/transcriptome/C_felis/S1/links/NR/cf-contig_225-NR.txt","hypothetical protein AND_13790")</f>
        <v>hypothetical protein AND_13790</v>
      </c>
      <c r="AJ121" t="str">
        <f>HYPERLINK("http://www.ncbi.nlm.nih.gov/sutils/blink.cgi?pid=312375720","5E-009")</f>
        <v>5E-009</v>
      </c>
      <c r="AK121" t="str">
        <f>HYPERLINK("http://www.ncbi.nlm.nih.gov/protein/312375720","gi|312375720")</f>
        <v>gi|312375720</v>
      </c>
      <c r="AL121">
        <v>64.7</v>
      </c>
      <c r="AM121">
        <v>33</v>
      </c>
      <c r="AN121">
        <v>487</v>
      </c>
      <c r="AO121">
        <v>85</v>
      </c>
      <c r="AP121">
        <v>7</v>
      </c>
      <c r="AQ121">
        <v>5</v>
      </c>
      <c r="AR121">
        <v>0</v>
      </c>
      <c r="AS121">
        <v>454</v>
      </c>
      <c r="AT121">
        <v>2</v>
      </c>
      <c r="AU121">
        <v>1</v>
      </c>
      <c r="AV121">
        <v>2</v>
      </c>
      <c r="AW121" t="s">
        <v>12</v>
      </c>
      <c r="AY121" t="s">
        <v>1676</v>
      </c>
      <c r="AZ121" t="s">
        <v>2506</v>
      </c>
      <c r="BA121" s="4" t="str">
        <f>HYPERLINK("http://exon.niaid.nih.gov/transcriptome/C_felis/S1/links/SWISSP/cf-contig_225-SWISSP.txt","Probable protein disulfide-isomerase ER-60")</f>
        <v>Probable protein disulfide-isomerase ER-60</v>
      </c>
      <c r="BB121" t="str">
        <f>HYPERLINK("http://www.uniprot.org/uniprot/P38658","7E-006")</f>
        <v>7E-006</v>
      </c>
      <c r="BC121" t="s">
        <v>2507</v>
      </c>
      <c r="BD121">
        <v>49.3</v>
      </c>
      <c r="BE121">
        <v>33</v>
      </c>
      <c r="BF121">
        <v>484</v>
      </c>
      <c r="BG121">
        <v>58</v>
      </c>
      <c r="BH121">
        <v>7</v>
      </c>
      <c r="BI121">
        <v>14</v>
      </c>
      <c r="BJ121">
        <v>0</v>
      </c>
      <c r="BK121">
        <v>451</v>
      </c>
      <c r="BL121">
        <v>2</v>
      </c>
      <c r="BM121">
        <v>1</v>
      </c>
      <c r="BN121">
        <v>2</v>
      </c>
      <c r="BO121" t="s">
        <v>12</v>
      </c>
      <c r="BQ121" t="s">
        <v>1676</v>
      </c>
      <c r="BR121" t="s">
        <v>2283</v>
      </c>
      <c r="BS121" s="4" t="str">
        <f>HYPERLINK("http://exon.niaid.nih.gov/transcriptome/C_felis/S1/links/CDD/cf-contig_225-CDD.txt","ER_PDI_fam")</f>
        <v>ER_PDI_fam</v>
      </c>
      <c r="BT121" t="str">
        <f>HYPERLINK("http://www.ncbi.nlm.nih.gov/Structure/cdd/cddsrv.cgi?uid=TIGR01130&amp;version=v4.0","1E-004")</f>
        <v>1E-004</v>
      </c>
      <c r="BU121" t="s">
        <v>2508</v>
      </c>
      <c r="BV121" s="4" t="s">
        <v>2509</v>
      </c>
      <c r="BW121">
        <f>HYPERLINK("http://exon.niaid.nih.gov/transcriptome/C_felis/S1/links/GO/cf-contig_225-GO.txt",0.000000003)</f>
        <v>3E-9</v>
      </c>
      <c r="BX121" t="str">
        <f>HYPERLINK("http://amigo.geneontology.org/cgi-bin/amigo/term_details?term=GO:0003756","GO:0003756")</f>
        <v>GO:0003756</v>
      </c>
      <c r="BY121" t="s">
        <v>2510</v>
      </c>
      <c r="BZ121" t="s">
        <v>2511</v>
      </c>
      <c r="CA121" t="s">
        <v>2512</v>
      </c>
      <c r="CB121" t="str">
        <f>HYPERLINK("http://www.genome.jp/dbget-bin/www_bfind_sub?mode=bfind&amp;max_hit=1000&amp;dbkey=kegg&amp;keywords=EC:5.3.4.1","EC:5.3.4.1")</f>
        <v>EC:5.3.4.1</v>
      </c>
      <c r="CD121">
        <v>3E-9</v>
      </c>
      <c r="CE121" t="str">
        <f>HYPERLINK("http://amigo.geneontology.org/cgi-bin/amigo/term_details?term=GO:0005783","GO:0005783")</f>
        <v>GO:0005783</v>
      </c>
      <c r="CF121" t="s">
        <v>1959</v>
      </c>
      <c r="CG121" t="s">
        <v>1960</v>
      </c>
      <c r="CH121" t="s">
        <v>1961</v>
      </c>
      <c r="CI121" t="s">
        <v>42</v>
      </c>
      <c r="CK121">
        <v>3E-9</v>
      </c>
      <c r="CL121" t="str">
        <f>HYPERLINK("http://amigo.geneontology.org/cgi-bin/amigo/term_details?term=GO:0006457","GO:0006457")</f>
        <v>GO:0006457</v>
      </c>
      <c r="CM121" t="s">
        <v>2513</v>
      </c>
      <c r="CN121" t="s">
        <v>2514</v>
      </c>
      <c r="CO121" t="s">
        <v>2515</v>
      </c>
      <c r="CP121" t="s">
        <v>42</v>
      </c>
      <c r="CR121">
        <v>3E-9</v>
      </c>
      <c r="CS121" s="4" t="str">
        <f>HYPERLINK("http://exon.niaid.nih.gov/transcriptome/C_felis/S1/links/KOG/cf-contig_225-KOG.txt","Protein kinase containing WD40 repeats")</f>
        <v>Protein kinase containing WD40 repeats</v>
      </c>
      <c r="CT121" t="str">
        <f>HYPERLINK("http://www.ncbi.nlm.nih.gov/COG/grace/shokog.cgi?KOG1240","0.073")</f>
        <v>0.073</v>
      </c>
      <c r="CU121" t="s">
        <v>1780</v>
      </c>
      <c r="CV121" s="4" t="str">
        <f>HYPERLINK("http://exon.niaid.nih.gov/transcriptome/C_felis/S1/links/PFAM/cf-contig_225-PFAM.txt","Git3")</f>
        <v>Git3</v>
      </c>
      <c r="CW121" t="str">
        <f>HYPERLINK("http://pfam.sanger.ac.uk/family?acc=PF11710","0.13")</f>
        <v>0.13</v>
      </c>
      <c r="CX121" s="4" t="str">
        <f>HYPERLINK("http://exon.niaid.nih.gov/transcriptome/C_felis/S1/links/SMART/cf-contig_225-SMART.txt","SEC63")</f>
        <v>SEC63</v>
      </c>
      <c r="CY121" t="str">
        <f>HYPERLINK("http://smart.embl-heidelberg.de/smart/do_annotation.pl?DOMAIN=SEC63&amp;BLAST=DUMMY","0.009")</f>
        <v>0.009</v>
      </c>
      <c r="CZ121" s="4" t="s">
        <v>42</v>
      </c>
      <c r="DA121" t="s">
        <v>42</v>
      </c>
      <c r="DB121" t="s">
        <v>42</v>
      </c>
      <c r="DC121" t="s">
        <v>42</v>
      </c>
      <c r="DD121" t="s">
        <v>42</v>
      </c>
      <c r="DE121" t="s">
        <v>42</v>
      </c>
      <c r="DF121" t="s">
        <v>42</v>
      </c>
      <c r="DG121" t="s">
        <v>42</v>
      </c>
      <c r="DH121" s="4" t="s">
        <v>42</v>
      </c>
      <c r="DI121" t="s">
        <v>42</v>
      </c>
      <c r="DJ121" s="4" t="s">
        <v>42</v>
      </c>
      <c r="DK121" t="s">
        <v>42</v>
      </c>
      <c r="DL121" s="4">
        <v>181</v>
      </c>
      <c r="DM121">
        <v>1</v>
      </c>
      <c r="DN121" s="4">
        <v>184</v>
      </c>
      <c r="DO121">
        <v>1</v>
      </c>
      <c r="DP121" s="4">
        <v>182</v>
      </c>
      <c r="DQ121">
        <v>1</v>
      </c>
      <c r="DR121" s="4">
        <v>185</v>
      </c>
      <c r="DS121">
        <v>1</v>
      </c>
      <c r="DT121" s="4">
        <v>189</v>
      </c>
      <c r="DU121">
        <v>1</v>
      </c>
      <c r="DV121" s="4">
        <v>201</v>
      </c>
      <c r="DW121">
        <v>1</v>
      </c>
      <c r="DX121" s="4">
        <v>203</v>
      </c>
      <c r="DY121">
        <v>1</v>
      </c>
      <c r="DZ121" s="4">
        <v>207</v>
      </c>
      <c r="EA121">
        <v>1</v>
      </c>
      <c r="EB121" s="4">
        <v>212</v>
      </c>
      <c r="EC121">
        <v>1</v>
      </c>
      <c r="ED121" s="4">
        <v>215</v>
      </c>
      <c r="EE121">
        <v>1</v>
      </c>
      <c r="EF121" s="4">
        <v>218</v>
      </c>
      <c r="EG121">
        <v>1</v>
      </c>
      <c r="EH121" s="4">
        <v>220</v>
      </c>
      <c r="EI121">
        <v>1</v>
      </c>
      <c r="EJ121" s="4">
        <v>225</v>
      </c>
      <c r="EK121">
        <v>1</v>
      </c>
    </row>
    <row r="122" spans="1:141" x14ac:dyDescent="0.2">
      <c r="A122" t="str">
        <f>HYPERLINK("http://exon.niaid.nih.gov/transcriptome/C_felis/S1/links/cf/cf-contig_451.txt","cf-contig_451")</f>
        <v>cf-contig_451</v>
      </c>
      <c r="B122">
        <v>1</v>
      </c>
      <c r="C122" s="10" t="s">
        <v>4770</v>
      </c>
      <c r="D122">
        <v>1</v>
      </c>
      <c r="E122" t="str">
        <f>HYPERLINK("http://exon.niaid.nih.gov/transcriptome/C_felis/S1/links/cf/cf-5-36-asb-451.txt","Contig-451")</f>
        <v>Contig-451</v>
      </c>
      <c r="F122" t="str">
        <f>HYPERLINK("http://exon.niaid.nih.gov/transcriptome/C_felis/S1/links/cf/cf-5-36-451-CLU.txt","Contig451")</f>
        <v>Contig451</v>
      </c>
      <c r="G122" t="str">
        <f>HYPERLINK("http://exon.niaid.nih.gov/transcriptome/C_felis/S1/links/cf/cf-5-36-451-qual.txt","54.1")</f>
        <v>54.1</v>
      </c>
      <c r="H122">
        <v>0.1</v>
      </c>
      <c r="I122">
        <v>59.1</v>
      </c>
      <c r="J122">
        <v>947</v>
      </c>
      <c r="K122" t="s">
        <v>12</v>
      </c>
      <c r="L122">
        <v>1</v>
      </c>
      <c r="M122" t="s">
        <v>464</v>
      </c>
      <c r="N122">
        <v>947</v>
      </c>
      <c r="O122">
        <v>966</v>
      </c>
      <c r="P122">
        <v>801</v>
      </c>
      <c r="Q122" t="s">
        <v>1270</v>
      </c>
      <c r="R122">
        <v>2</v>
      </c>
      <c r="S122" s="7" t="str">
        <f>HYPERLINK("http://exon.niaid.nih.gov/transcriptome/C_felis/S1/links/Sigp/CF-CONTIG_451-SigP.txt","Cyt")</f>
        <v>Cyt</v>
      </c>
      <c r="U122">
        <v>1</v>
      </c>
      <c r="V122" s="4">
        <v>365</v>
      </c>
      <c r="W122">
        <v>1</v>
      </c>
      <c r="X122" s="4">
        <v>374</v>
      </c>
      <c r="Y122">
        <v>1</v>
      </c>
      <c r="Z122" s="4">
        <v>379</v>
      </c>
      <c r="AA122">
        <v>1</v>
      </c>
      <c r="AB122" s="4" t="str">
        <f>HYPERLINK("http://exon.niaid.nih.gov/transcriptome/C_felis/S1/links/XC-ASB/cf-contig_451-XC-ASB.txt","XC-contig_116")</f>
        <v>XC-contig_116</v>
      </c>
      <c r="AC122">
        <v>0.17</v>
      </c>
      <c r="AD122" s="10" t="s">
        <v>4770</v>
      </c>
      <c r="AE122" t="s">
        <v>4637</v>
      </c>
      <c r="AF122" t="str">
        <f>HYPERLINK("http://exon.niaid.nih.gov/transcriptome/C_felis/S1/links/KOG/cf-contig_451-KOG.txt","KOG")</f>
        <v>KOG</v>
      </c>
      <c r="AG122">
        <v>0</v>
      </c>
      <c r="AH122">
        <v>95.6</v>
      </c>
      <c r="AI122" s="4" t="str">
        <f>HYPERLINK("http://exon.niaid.nih.gov/transcriptome/C_felis/S1/links/NR/cf-contig_451-NR.txt","F-actin-capping protein subunit beta-like")</f>
        <v>F-actin-capping protein subunit beta-like</v>
      </c>
      <c r="AJ122" t="str">
        <f>HYPERLINK("http://www.ncbi.nlm.nih.gov/sutils/blink.cgi?pid=345498356","1E-129")</f>
        <v>1E-129</v>
      </c>
      <c r="AK122" t="str">
        <f>HYPERLINK("http://www.ncbi.nlm.nih.gov/protein/345498356","gi|345498356")</f>
        <v>gi|345498356</v>
      </c>
      <c r="AL122">
        <v>467</v>
      </c>
      <c r="AM122">
        <v>261</v>
      </c>
      <c r="AN122">
        <v>273</v>
      </c>
      <c r="AO122">
        <v>87</v>
      </c>
      <c r="AP122">
        <v>96</v>
      </c>
      <c r="AQ122">
        <v>33</v>
      </c>
      <c r="AR122">
        <v>2</v>
      </c>
      <c r="AS122">
        <v>10</v>
      </c>
      <c r="AT122">
        <v>8</v>
      </c>
      <c r="AU122">
        <v>1</v>
      </c>
      <c r="AV122">
        <v>2</v>
      </c>
      <c r="AW122" t="s">
        <v>12</v>
      </c>
      <c r="AY122" t="s">
        <v>1676</v>
      </c>
      <c r="AZ122" t="s">
        <v>1897</v>
      </c>
      <c r="BA122" s="4" t="str">
        <f>HYPERLINK("http://exon.niaid.nih.gov/transcriptome/C_felis/S1/links/SWISSP/cf-contig_451-SWISSP.txt","F-actin-capping protein subunit beta")</f>
        <v>F-actin-capping protein subunit beta</v>
      </c>
      <c r="BB122" t="str">
        <f>HYPERLINK("http://www.uniprot.org/uniprot/P48603","1E-125")</f>
        <v>1E-125</v>
      </c>
      <c r="BC122" t="s">
        <v>3293</v>
      </c>
      <c r="BD122">
        <v>447</v>
      </c>
      <c r="BE122">
        <v>265</v>
      </c>
      <c r="BF122">
        <v>276</v>
      </c>
      <c r="BG122">
        <v>81</v>
      </c>
      <c r="BH122">
        <v>96</v>
      </c>
      <c r="BI122">
        <v>49</v>
      </c>
      <c r="BJ122">
        <v>2</v>
      </c>
      <c r="BK122">
        <v>10</v>
      </c>
      <c r="BL122">
        <v>8</v>
      </c>
      <c r="BM122">
        <v>1</v>
      </c>
      <c r="BN122">
        <v>2</v>
      </c>
      <c r="BO122" t="s">
        <v>12</v>
      </c>
      <c r="BQ122" t="s">
        <v>1676</v>
      </c>
      <c r="BR122" t="s">
        <v>1804</v>
      </c>
      <c r="BS122" s="4" t="str">
        <f>HYPERLINK("http://exon.niaid.nih.gov/transcriptome/C_felis/S1/links/CDD/cf-contig_451-CDD.txt","F_actin_cap_B")</f>
        <v>F_actin_cap_B</v>
      </c>
      <c r="BT122" t="str">
        <f>HYPERLINK("http://www.ncbi.nlm.nih.gov/Structure/cdd/cddsrv.cgi?uid=pfam01115&amp;version=v4.0","1E-121")</f>
        <v>1E-121</v>
      </c>
      <c r="BU122" t="s">
        <v>3294</v>
      </c>
      <c r="BV122" s="4" t="s">
        <v>3295</v>
      </c>
      <c r="BW122">
        <f>HYPERLINK("http://exon.niaid.nih.gov/transcriptome/C_felis/S1/links/GO/cf-contig_451-GO.txt",0)</f>
        <v>0</v>
      </c>
      <c r="BX122" t="str">
        <f>HYPERLINK("http://amigo.geneontology.org/cgi-bin/amigo/term_details?term=GO:0003779","GO:0003779")</f>
        <v>GO:0003779</v>
      </c>
      <c r="BY122" t="s">
        <v>3296</v>
      </c>
      <c r="BZ122" t="s">
        <v>3297</v>
      </c>
      <c r="CA122" t="s">
        <v>3298</v>
      </c>
      <c r="CB122" t="s">
        <v>42</v>
      </c>
      <c r="CD122" s="5">
        <v>1E-125</v>
      </c>
      <c r="CE122" t="str">
        <f>HYPERLINK("http://amigo.geneontology.org/cgi-bin/amigo/term_details?term=GO:0008290","GO:0008290")</f>
        <v>GO:0008290</v>
      </c>
      <c r="CF122" t="s">
        <v>3299</v>
      </c>
      <c r="CG122" t="s">
        <v>3300</v>
      </c>
      <c r="CH122" t="s">
        <v>42</v>
      </c>
      <c r="CI122" t="s">
        <v>42</v>
      </c>
      <c r="CK122" s="5">
        <v>1E-125</v>
      </c>
      <c r="CL122" t="str">
        <f>HYPERLINK("http://amigo.geneontology.org/cgi-bin/amigo/term_details?term=GO:0051016","GO:0051016")</f>
        <v>GO:0051016</v>
      </c>
      <c r="CM122" t="s">
        <v>3301</v>
      </c>
      <c r="CN122" t="s">
        <v>3302</v>
      </c>
      <c r="CO122" t="s">
        <v>3303</v>
      </c>
      <c r="CP122" t="s">
        <v>42</v>
      </c>
      <c r="CR122" s="5">
        <v>1E-125</v>
      </c>
      <c r="CS122" s="4" t="str">
        <f>HYPERLINK("http://exon.niaid.nih.gov/transcriptome/C_felis/S1/links/KOG/cf-contig_451-KOG.txt","F-actin capping protein, beta subunit")</f>
        <v>F-actin capping protein, beta subunit</v>
      </c>
      <c r="CT122" t="str">
        <f>HYPERLINK("http://www.ncbi.nlm.nih.gov/COG/grace/shokog.cgi?KOG3174","1E-114")</f>
        <v>1E-114</v>
      </c>
      <c r="CU122" t="s">
        <v>3092</v>
      </c>
      <c r="CV122" s="4" t="str">
        <f>HYPERLINK("http://exon.niaid.nih.gov/transcriptome/C_felis/S1/links/PFAM/cf-contig_451-PFAM.txt","F_actin_cap_B")</f>
        <v>F_actin_cap_B</v>
      </c>
      <c r="CW122" t="str">
        <f>HYPERLINK("http://pfam.sanger.ac.uk/family?acc=PF01115","1E-122")</f>
        <v>1E-122</v>
      </c>
      <c r="CX122" s="4" t="str">
        <f>HYPERLINK("http://exon.niaid.nih.gov/transcriptome/C_felis/S1/links/SMART/cf-contig_451-SMART.txt","CPSase_sm_chain")</f>
        <v>CPSase_sm_chain</v>
      </c>
      <c r="CY122" t="str">
        <f>HYPERLINK("http://smart.embl-heidelberg.de/smart/do_annotation.pl?DOMAIN=CPSase_sm_chain&amp;BLAST=DUMMY","0.059")</f>
        <v>0.059</v>
      </c>
      <c r="CZ122" s="4" t="s">
        <v>42</v>
      </c>
      <c r="DA122" t="s">
        <v>42</v>
      </c>
      <c r="DB122" t="s">
        <v>42</v>
      </c>
      <c r="DC122" t="s">
        <v>42</v>
      </c>
      <c r="DD122" t="s">
        <v>42</v>
      </c>
      <c r="DE122" t="s">
        <v>42</v>
      </c>
      <c r="DF122" t="s">
        <v>42</v>
      </c>
      <c r="DG122" t="s">
        <v>42</v>
      </c>
      <c r="DH122" s="4" t="s">
        <v>42</v>
      </c>
      <c r="DI122" t="s">
        <v>42</v>
      </c>
      <c r="DJ122" s="4" t="s">
        <v>42</v>
      </c>
      <c r="DK122" t="s">
        <v>42</v>
      </c>
      <c r="DL122" s="4">
        <v>365</v>
      </c>
      <c r="DM122">
        <v>1</v>
      </c>
      <c r="DN122" s="4">
        <v>374</v>
      </c>
      <c r="DO122">
        <v>1</v>
      </c>
      <c r="DP122" s="4">
        <v>379</v>
      </c>
      <c r="DQ122">
        <v>1</v>
      </c>
      <c r="DR122" s="4">
        <v>394</v>
      </c>
      <c r="DS122">
        <v>1</v>
      </c>
      <c r="DT122" s="4">
        <v>404</v>
      </c>
      <c r="DU122">
        <v>1</v>
      </c>
      <c r="DV122" s="4">
        <v>418</v>
      </c>
      <c r="DW122">
        <v>1</v>
      </c>
      <c r="DX122" s="4">
        <v>421</v>
      </c>
      <c r="DY122">
        <v>1</v>
      </c>
      <c r="DZ122" s="4">
        <v>426</v>
      </c>
      <c r="EA122">
        <v>1</v>
      </c>
      <c r="EB122" s="4">
        <v>431</v>
      </c>
      <c r="EC122">
        <v>1</v>
      </c>
      <c r="ED122" s="4">
        <v>435</v>
      </c>
      <c r="EE122">
        <v>1</v>
      </c>
      <c r="EF122" s="4">
        <v>440</v>
      </c>
      <c r="EG122">
        <v>1</v>
      </c>
      <c r="EH122" s="4">
        <v>445</v>
      </c>
      <c r="EI122">
        <v>1</v>
      </c>
      <c r="EJ122" s="4">
        <v>451</v>
      </c>
      <c r="EK122">
        <v>1</v>
      </c>
    </row>
    <row r="123" spans="1:141" x14ac:dyDescent="0.2">
      <c r="A123" t="str">
        <f>HYPERLINK("http://exon.niaid.nih.gov/transcriptome/C_felis/S1/links/cf/cf-contig_626.txt","cf-contig_626")</f>
        <v>cf-contig_626</v>
      </c>
      <c r="B123">
        <v>1</v>
      </c>
      <c r="C123" s="10" t="s">
        <v>4827</v>
      </c>
      <c r="D123">
        <v>1</v>
      </c>
      <c r="E123" t="str">
        <f>HYPERLINK("http://exon.niaid.nih.gov/transcriptome/C_felis/S1/links/cf/cf-5-36-asb-626.txt","Contig-626")</f>
        <v>Contig-626</v>
      </c>
      <c r="F123" t="str">
        <f>HYPERLINK("http://exon.niaid.nih.gov/transcriptome/C_felis/S1/links/cf/cf-5-36-626-CLU.txt","Contig626")</f>
        <v>Contig626</v>
      </c>
      <c r="G123" t="str">
        <f>HYPERLINK("http://exon.niaid.nih.gov/transcriptome/C_felis/S1/links/cf/cf-5-36-626-qual.txt","63.2")</f>
        <v>63.2</v>
      </c>
      <c r="H123" t="s">
        <v>11</v>
      </c>
      <c r="I123">
        <v>66.7</v>
      </c>
      <c r="J123">
        <v>506</v>
      </c>
      <c r="K123" t="s">
        <v>12</v>
      </c>
      <c r="L123">
        <v>1</v>
      </c>
      <c r="M123" t="s">
        <v>639</v>
      </c>
      <c r="N123">
        <v>506</v>
      </c>
      <c r="O123">
        <v>525</v>
      </c>
      <c r="P123">
        <v>285</v>
      </c>
      <c r="Q123" t="s">
        <v>1445</v>
      </c>
      <c r="R123">
        <v>2</v>
      </c>
      <c r="S123" s="7" t="str">
        <f>HYPERLINK("http://exon.niaid.nih.gov/transcriptome/C_felis/S1/links/Sigp/CF-CONTIG_626-SigP.txt","Cyt")</f>
        <v>Cyt</v>
      </c>
      <c r="U123">
        <v>1</v>
      </c>
      <c r="V123" s="4">
        <v>511</v>
      </c>
      <c r="W123">
        <v>1</v>
      </c>
      <c r="X123" s="4">
        <v>523</v>
      </c>
      <c r="Y123">
        <v>1</v>
      </c>
      <c r="Z123" s="4">
        <v>533</v>
      </c>
      <c r="AA123">
        <v>1</v>
      </c>
      <c r="AB123" s="4" t="str">
        <f>HYPERLINK("http://exon.niaid.nih.gov/transcriptome/C_felis/S1/links/XC-ASB/cf-contig_626-XC-ASB.txt","XC-contig_52")</f>
        <v>XC-contig_52</v>
      </c>
      <c r="AC123">
        <v>8.3000000000000004E-2</v>
      </c>
      <c r="AD123" s="10" t="s">
        <v>4827</v>
      </c>
      <c r="AE123" t="s">
        <v>4637</v>
      </c>
      <c r="AF123" t="str">
        <f>HYPERLINK("http://exon.niaid.nih.gov/transcriptome/C_felis/S1/links/KOG/cf-contig_626-KOG.txt","KOG")</f>
        <v>KOG</v>
      </c>
      <c r="AG123" s="5">
        <v>2E-41</v>
      </c>
      <c r="AH123">
        <v>93</v>
      </c>
      <c r="AI123" s="4" t="str">
        <f>HYPERLINK("http://exon.niaid.nih.gov/transcriptome/C_felis/S1/links/NR/cf-contig_626-NR.txt","cysteine-rich PDZ-binding protein")</f>
        <v>cysteine-rich PDZ-binding protein</v>
      </c>
      <c r="AJ123" t="str">
        <f>HYPERLINK("http://www.ncbi.nlm.nih.gov/sutils/blink.cgi?pid=110771988","5E-042")</f>
        <v>5E-042</v>
      </c>
      <c r="AK123" t="str">
        <f>HYPERLINK("http://www.ncbi.nlm.nih.gov/protein/110771988","gi|110771988")</f>
        <v>gi|110771988</v>
      </c>
      <c r="AL123">
        <v>174</v>
      </c>
      <c r="AM123">
        <v>92</v>
      </c>
      <c r="AN123">
        <v>100</v>
      </c>
      <c r="AO123">
        <v>83</v>
      </c>
      <c r="AP123">
        <v>93</v>
      </c>
      <c r="AQ123">
        <v>15</v>
      </c>
      <c r="AR123">
        <v>0</v>
      </c>
      <c r="AS123">
        <v>8</v>
      </c>
      <c r="AT123">
        <v>47</v>
      </c>
      <c r="AU123">
        <v>1</v>
      </c>
      <c r="AV123">
        <v>2</v>
      </c>
      <c r="AW123" t="s">
        <v>12</v>
      </c>
      <c r="AY123" t="s">
        <v>1676</v>
      </c>
      <c r="AZ123" t="s">
        <v>2135</v>
      </c>
      <c r="BA123" s="4" t="str">
        <f>HYPERLINK("http://exon.niaid.nih.gov/transcriptome/C_felis/S1/links/SWISSP/cf-contig_626-SWISSP.txt","Cysteine-rich PDZ-binding protein")</f>
        <v>Cysteine-rich PDZ-binding protein</v>
      </c>
      <c r="BB123" t="str">
        <f>HYPERLINK("http://www.uniprot.org/uniprot/Q792Q4","2E-035")</f>
        <v>2E-035</v>
      </c>
      <c r="BC123" t="s">
        <v>3965</v>
      </c>
      <c r="BD123">
        <v>148</v>
      </c>
      <c r="BE123">
        <v>92</v>
      </c>
      <c r="BF123">
        <v>101</v>
      </c>
      <c r="BG123">
        <v>72</v>
      </c>
      <c r="BH123">
        <v>92</v>
      </c>
      <c r="BI123">
        <v>26</v>
      </c>
      <c r="BJ123">
        <v>1</v>
      </c>
      <c r="BK123">
        <v>8</v>
      </c>
      <c r="BL123">
        <v>47</v>
      </c>
      <c r="BM123">
        <v>1</v>
      </c>
      <c r="BN123">
        <v>2</v>
      </c>
      <c r="BO123" t="s">
        <v>12</v>
      </c>
      <c r="BQ123" t="s">
        <v>1676</v>
      </c>
      <c r="BR123" t="s">
        <v>1684</v>
      </c>
      <c r="BS123" s="4" t="str">
        <f>HYPERLINK("http://exon.niaid.nih.gov/transcriptome/C_felis/S1/links/CDD/cf-contig_626-CDD.txt","Cript")</f>
        <v>Cript</v>
      </c>
      <c r="BT123" t="str">
        <f>HYPERLINK("http://www.ncbi.nlm.nih.gov/Structure/cdd/cddsrv.cgi?uid=pfam10235&amp;version=v4.0","9E-040")</f>
        <v>9E-040</v>
      </c>
      <c r="BU123" t="s">
        <v>3966</v>
      </c>
      <c r="BV123" s="4" t="s">
        <v>3967</v>
      </c>
      <c r="BW123">
        <f>HYPERLINK("http://exon.niaid.nih.gov/transcriptome/C_felis/S1/links/GO/cf-contig_626-GO.txt",1E-35)</f>
        <v>1E-35</v>
      </c>
      <c r="BX123" t="str">
        <f>HYPERLINK("http://amigo.geneontology.org/cgi-bin/amigo/term_details?term=GO:0030165","GO:0030165")</f>
        <v>GO:0030165</v>
      </c>
      <c r="BY123" t="s">
        <v>3968</v>
      </c>
      <c r="BZ123" t="s">
        <v>3969</v>
      </c>
      <c r="CA123" t="s">
        <v>3970</v>
      </c>
      <c r="CB123" t="s">
        <v>42</v>
      </c>
      <c r="CD123" s="5">
        <v>1E-35</v>
      </c>
      <c r="CE123" t="str">
        <f>HYPERLINK("http://amigo.geneontology.org/cgi-bin/amigo/term_details?term=GO:0005737","GO:0005737")</f>
        <v>GO:0005737</v>
      </c>
      <c r="CF123" t="s">
        <v>1966</v>
      </c>
      <c r="CG123" t="s">
        <v>1967</v>
      </c>
      <c r="CH123" t="s">
        <v>42</v>
      </c>
      <c r="CI123" t="s">
        <v>42</v>
      </c>
      <c r="CK123" s="5">
        <v>1E-35</v>
      </c>
      <c r="CL123" t="str">
        <f>HYPERLINK("http://amigo.geneontology.org/cgi-bin/amigo/term_details?term=GO:0031122","GO:0031122")</f>
        <v>GO:0031122</v>
      </c>
      <c r="CM123" t="s">
        <v>3971</v>
      </c>
      <c r="CN123" t="s">
        <v>3972</v>
      </c>
      <c r="CO123" t="s">
        <v>3973</v>
      </c>
      <c r="CP123" t="s">
        <v>42</v>
      </c>
      <c r="CR123" s="5">
        <v>1E-35</v>
      </c>
      <c r="CS123" s="4" t="str">
        <f>HYPERLINK("http://exon.niaid.nih.gov/transcriptome/C_felis/S1/links/KOG/cf-contig_626-KOG.txt","Microtubule-associated protein CRIPT")</f>
        <v>Microtubule-associated protein CRIPT</v>
      </c>
      <c r="CT123" t="str">
        <f>HYPERLINK("http://www.ncbi.nlm.nih.gov/COG/grace/shokog.cgi?KOG3476","2E-041")</f>
        <v>2E-041</v>
      </c>
      <c r="CU123" t="s">
        <v>3092</v>
      </c>
      <c r="CV123" s="4" t="str">
        <f>HYPERLINK("http://exon.niaid.nih.gov/transcriptome/C_felis/S1/links/PFAM/cf-contig_626-PFAM.txt","Cript")</f>
        <v>Cript</v>
      </c>
      <c r="CW123" t="str">
        <f>HYPERLINK("http://pfam.sanger.ac.uk/family?acc=PF10235","2E-040")</f>
        <v>2E-040</v>
      </c>
      <c r="CX123" s="4" t="str">
        <f>HYPERLINK("http://exon.niaid.nih.gov/transcriptome/C_felis/S1/links/SMART/cf-contig_626-SMART.txt","ZnF_C4")</f>
        <v>ZnF_C4</v>
      </c>
      <c r="CY123" t="str">
        <f>HYPERLINK("http://smart.embl-heidelberg.de/smart/do_annotation.pl?DOMAIN=ZnF_C4&amp;BLAST=DUMMY","0.084")</f>
        <v>0.084</v>
      </c>
      <c r="CZ123" s="4" t="s">
        <v>42</v>
      </c>
      <c r="DA123" t="s">
        <v>42</v>
      </c>
      <c r="DB123" t="s">
        <v>42</v>
      </c>
      <c r="DC123" t="s">
        <v>42</v>
      </c>
      <c r="DD123" t="s">
        <v>42</v>
      </c>
      <c r="DE123" t="s">
        <v>42</v>
      </c>
      <c r="DF123" t="s">
        <v>42</v>
      </c>
      <c r="DG123" t="s">
        <v>42</v>
      </c>
      <c r="DH123" s="4" t="s">
        <v>42</v>
      </c>
      <c r="DI123" t="s">
        <v>42</v>
      </c>
      <c r="DJ123" s="4" t="s">
        <v>42</v>
      </c>
      <c r="DK123" t="s">
        <v>42</v>
      </c>
      <c r="DL123" s="4">
        <v>511</v>
      </c>
      <c r="DM123">
        <v>1</v>
      </c>
      <c r="DN123" s="4">
        <v>523</v>
      </c>
      <c r="DO123">
        <v>1</v>
      </c>
      <c r="DP123" s="4">
        <v>533</v>
      </c>
      <c r="DQ123">
        <v>1</v>
      </c>
      <c r="DR123" s="4">
        <v>552</v>
      </c>
      <c r="DS123">
        <v>1</v>
      </c>
      <c r="DT123" s="4">
        <v>565</v>
      </c>
      <c r="DU123">
        <v>1</v>
      </c>
      <c r="DV123" s="4">
        <v>579</v>
      </c>
      <c r="DW123">
        <v>1</v>
      </c>
      <c r="DX123" s="4">
        <v>588</v>
      </c>
      <c r="DY123">
        <v>1</v>
      </c>
      <c r="DZ123" s="4">
        <v>596</v>
      </c>
      <c r="EA123">
        <v>1</v>
      </c>
      <c r="EB123" s="4">
        <v>601</v>
      </c>
      <c r="EC123">
        <v>1</v>
      </c>
      <c r="ED123" s="4">
        <v>605</v>
      </c>
      <c r="EE123">
        <v>1</v>
      </c>
      <c r="EF123" s="4">
        <v>611</v>
      </c>
      <c r="EG123">
        <v>1</v>
      </c>
      <c r="EH123" s="4">
        <v>619</v>
      </c>
      <c r="EI123">
        <v>1</v>
      </c>
      <c r="EJ123" s="4">
        <v>626</v>
      </c>
      <c r="EK123">
        <v>1</v>
      </c>
    </row>
    <row r="124" spans="1:141" x14ac:dyDescent="0.2">
      <c r="A124" t="str">
        <f>HYPERLINK("http://exon.niaid.nih.gov/transcriptome/C_felis/S1/links/cf/cf-contig_576.txt","cf-contig_576")</f>
        <v>cf-contig_576</v>
      </c>
      <c r="B124">
        <v>1</v>
      </c>
      <c r="C124" s="10" t="s">
        <v>4807</v>
      </c>
      <c r="D124">
        <v>1</v>
      </c>
      <c r="E124" t="str">
        <f>HYPERLINK("http://exon.niaid.nih.gov/transcriptome/C_felis/S1/links/cf/cf-5-36-asb-576.txt","Contig-576")</f>
        <v>Contig-576</v>
      </c>
      <c r="F124" t="str">
        <f>HYPERLINK("http://exon.niaid.nih.gov/transcriptome/C_felis/S1/links/cf/cf-5-36-576-CLU.txt","Contig576")</f>
        <v>Contig576</v>
      </c>
      <c r="G124" t="str">
        <f>HYPERLINK("http://exon.niaid.nih.gov/transcriptome/C_felis/S1/links/cf/cf-5-36-576-qual.txt","48.1")</f>
        <v>48.1</v>
      </c>
      <c r="H124" t="s">
        <v>11</v>
      </c>
      <c r="I124">
        <v>64.400000000000006</v>
      </c>
      <c r="J124">
        <v>144</v>
      </c>
      <c r="K124" t="s">
        <v>12</v>
      </c>
      <c r="L124">
        <v>1</v>
      </c>
      <c r="M124" t="s">
        <v>589</v>
      </c>
      <c r="N124">
        <v>144</v>
      </c>
      <c r="O124">
        <v>163</v>
      </c>
      <c r="P124">
        <v>141</v>
      </c>
      <c r="Q124" t="s">
        <v>1395</v>
      </c>
      <c r="R124">
        <v>2</v>
      </c>
      <c r="S124" s="7" t="s">
        <v>4585</v>
      </c>
      <c r="U124">
        <v>1</v>
      </c>
      <c r="V124" s="4">
        <v>469</v>
      </c>
      <c r="W124">
        <v>1</v>
      </c>
      <c r="X124" s="4">
        <v>479</v>
      </c>
      <c r="Y124">
        <v>1</v>
      </c>
      <c r="Z124" s="4">
        <v>488</v>
      </c>
      <c r="AA124">
        <v>1</v>
      </c>
      <c r="AB124" s="4" t="str">
        <f>HYPERLINK("http://exon.niaid.nih.gov/transcriptome/C_felis/S1/links/XC-ASB/cf-contig_576-XC-ASB.txt","XC-contig_183")</f>
        <v>XC-contig_183</v>
      </c>
      <c r="AC124">
        <v>1.0000000000000001E-18</v>
      </c>
      <c r="AD124" s="10" t="s">
        <v>4807</v>
      </c>
      <c r="AE124" t="s">
        <v>4637</v>
      </c>
      <c r="AF124" t="str">
        <f>HYPERLINK("http://exon.niaid.nih.gov/transcriptome/C_felis/S1/links/GO/cf-contig_576-GO.txt","GO")</f>
        <v>GO</v>
      </c>
      <c r="AG124">
        <v>9.9999999999999994E-12</v>
      </c>
      <c r="AH124">
        <v>9.6999999999999993</v>
      </c>
      <c r="AI124" s="4" t="str">
        <f>HYPERLINK("http://exon.niaid.nih.gov/transcriptome/C_felis/S1/links/NR/cf-contig_576-NR.txt","receptor for activated protein kinase C")</f>
        <v>receptor for activated protein kinase C</v>
      </c>
      <c r="AJ124" t="str">
        <f>HYPERLINK("http://www.ncbi.nlm.nih.gov/sutils/blink.cgi?pid=237770133","2E-010")</f>
        <v>2E-010</v>
      </c>
      <c r="AK124" t="str">
        <f>HYPERLINK("http://www.ncbi.nlm.nih.gov/protein/237770133","gi|237770133")</f>
        <v>gi|237770133</v>
      </c>
      <c r="AL124">
        <v>69.3</v>
      </c>
      <c r="AM124">
        <v>31</v>
      </c>
      <c r="AN124">
        <v>319</v>
      </c>
      <c r="AO124">
        <v>96</v>
      </c>
      <c r="AP124">
        <v>10</v>
      </c>
      <c r="AQ124">
        <v>1</v>
      </c>
      <c r="AR124">
        <v>0</v>
      </c>
      <c r="AS124">
        <v>288</v>
      </c>
      <c r="AT124">
        <v>13</v>
      </c>
      <c r="AU124">
        <v>1</v>
      </c>
      <c r="AV124">
        <v>1</v>
      </c>
      <c r="AW124" t="s">
        <v>12</v>
      </c>
      <c r="AY124" t="s">
        <v>1676</v>
      </c>
      <c r="AZ124" t="s">
        <v>2037</v>
      </c>
      <c r="BA124" s="4" t="str">
        <f>HYPERLINK("http://exon.niaid.nih.gov/transcriptome/C_felis/S1/links/SWISSP/cf-contig_576-SWISSP.txt","Guanine nucleotide-binding protein subunit beta-like protein")</f>
        <v>Guanine nucleotide-binding protein subunit beta-like protein</v>
      </c>
      <c r="BB124" t="str">
        <f>HYPERLINK("http://www.uniprot.org/uniprot/O18640","2E-011")</f>
        <v>2E-011</v>
      </c>
      <c r="BC124" t="s">
        <v>3759</v>
      </c>
      <c r="BD124">
        <v>67.8</v>
      </c>
      <c r="BE124">
        <v>30</v>
      </c>
      <c r="BF124">
        <v>318</v>
      </c>
      <c r="BG124">
        <v>100</v>
      </c>
      <c r="BH124">
        <v>10</v>
      </c>
      <c r="BI124">
        <v>0</v>
      </c>
      <c r="BJ124">
        <v>0</v>
      </c>
      <c r="BK124">
        <v>287</v>
      </c>
      <c r="BL124">
        <v>13</v>
      </c>
      <c r="BM124">
        <v>1</v>
      </c>
      <c r="BN124">
        <v>1</v>
      </c>
      <c r="BO124" t="s">
        <v>12</v>
      </c>
      <c r="BQ124" t="s">
        <v>1676</v>
      </c>
      <c r="BR124" t="s">
        <v>1804</v>
      </c>
      <c r="BS124" s="4" t="str">
        <f>HYPERLINK("http://exon.niaid.nih.gov/transcriptome/C_felis/S1/links/CDD/cf-contig_576-CDD.txt","WD40")</f>
        <v>WD40</v>
      </c>
      <c r="BT124" t="str">
        <f>HYPERLINK("http://www.ncbi.nlm.nih.gov/Structure/cdd/cddsrv.cgi?uid=cd00200&amp;version=v4.0","7E-005")</f>
        <v>7E-005</v>
      </c>
      <c r="BU124" t="s">
        <v>3760</v>
      </c>
      <c r="BV124" s="4" t="s">
        <v>3761</v>
      </c>
      <c r="BW124">
        <f>HYPERLINK("http://exon.niaid.nih.gov/transcriptome/C_felis/S1/links/GO/cf-contig_576-GO.txt",0.00000000001)</f>
        <v>9.9999999999999994E-12</v>
      </c>
      <c r="BX124" t="str">
        <f>HYPERLINK("http://amigo.geneontology.org/cgi-bin/amigo/term_details?term=GO:0005080","GO:0005080")</f>
        <v>GO:0005080</v>
      </c>
      <c r="BY124" t="s">
        <v>3762</v>
      </c>
      <c r="BZ124" t="s">
        <v>3763</v>
      </c>
      <c r="CA124" t="s">
        <v>3764</v>
      </c>
      <c r="CB124" t="s">
        <v>42</v>
      </c>
      <c r="CD124">
        <v>9.9999999999999994E-12</v>
      </c>
      <c r="CE124" t="str">
        <f>HYPERLINK("http://amigo.geneontology.org/cgi-bin/amigo/term_details?term=GO:0005737","GO:0005737")</f>
        <v>GO:0005737</v>
      </c>
      <c r="CF124" t="s">
        <v>1966</v>
      </c>
      <c r="CG124" t="s">
        <v>1967</v>
      </c>
      <c r="CH124" t="s">
        <v>42</v>
      </c>
      <c r="CI124" t="s">
        <v>42</v>
      </c>
      <c r="CK124">
        <v>9.9999999999999994E-12</v>
      </c>
      <c r="CL124" t="str">
        <f>HYPERLINK("http://amigo.geneontology.org/cgi-bin/amigo/term_details?term=GO:0048477","GO:0048477")</f>
        <v>GO:0048477</v>
      </c>
      <c r="CM124" t="s">
        <v>3765</v>
      </c>
      <c r="CN124" t="s">
        <v>3766</v>
      </c>
      <c r="CO124" t="s">
        <v>3767</v>
      </c>
      <c r="CP124" t="s">
        <v>42</v>
      </c>
      <c r="CR124">
        <v>9.9999999999999994E-12</v>
      </c>
      <c r="CS124" s="4" t="str">
        <f>HYPERLINK("http://exon.niaid.nih.gov/transcriptome/C_felis/S1/links/KOG/cf-contig_576-KOG.txt","G protein beta subunit-like protein")</f>
        <v>G protein beta subunit-like protein</v>
      </c>
      <c r="CT124" t="str">
        <f>HYPERLINK("http://www.ncbi.nlm.nih.gov/COG/grace/shokog.cgi?KOG0279","4E-011")</f>
        <v>4E-011</v>
      </c>
      <c r="CU124" t="s">
        <v>1780</v>
      </c>
      <c r="CV124" s="4" t="str">
        <f>HYPERLINK("http://exon.niaid.nih.gov/transcriptome/C_felis/S1/links/PFAM/cf-contig_576-PFAM.txt","WD40")</f>
        <v>WD40</v>
      </c>
      <c r="CW124" t="str">
        <f>HYPERLINK("http://pfam.sanger.ac.uk/family?acc=PF00400","3E-005")</f>
        <v>3E-005</v>
      </c>
      <c r="CX124" s="4" t="str">
        <f>HYPERLINK("http://exon.niaid.nih.gov/transcriptome/C_felis/S1/links/SMART/cf-contig_576-SMART.txt","WD40")</f>
        <v>WD40</v>
      </c>
      <c r="CY124" t="str">
        <f>HYPERLINK("http://smart.embl-heidelberg.de/smart/do_annotation.pl?DOMAIN=WD40&amp;BLAST=DUMMY","8E-006")</f>
        <v>8E-006</v>
      </c>
      <c r="CZ124" s="4" t="s">
        <v>42</v>
      </c>
      <c r="DA124" t="s">
        <v>42</v>
      </c>
      <c r="DB124" t="s">
        <v>42</v>
      </c>
      <c r="DC124" t="s">
        <v>42</v>
      </c>
      <c r="DD124" t="s">
        <v>42</v>
      </c>
      <c r="DE124" t="s">
        <v>42</v>
      </c>
      <c r="DF124" t="s">
        <v>42</v>
      </c>
      <c r="DG124" t="s">
        <v>42</v>
      </c>
      <c r="DH124" s="4" t="s">
        <v>42</v>
      </c>
      <c r="DI124" t="s">
        <v>42</v>
      </c>
      <c r="DJ124" s="4" t="s">
        <v>42</v>
      </c>
      <c r="DK124" t="s">
        <v>42</v>
      </c>
      <c r="DL124" s="4">
        <v>469</v>
      </c>
      <c r="DM124">
        <v>1</v>
      </c>
      <c r="DN124" s="4">
        <v>479</v>
      </c>
      <c r="DO124">
        <v>1</v>
      </c>
      <c r="DP124" s="4">
        <v>488</v>
      </c>
      <c r="DQ124">
        <v>1</v>
      </c>
      <c r="DR124" s="4">
        <v>506</v>
      </c>
      <c r="DS124">
        <v>1</v>
      </c>
      <c r="DT124" s="4">
        <v>518</v>
      </c>
      <c r="DU124">
        <v>1</v>
      </c>
      <c r="DV124" s="4">
        <v>532</v>
      </c>
      <c r="DW124">
        <v>1</v>
      </c>
      <c r="DX124" s="4">
        <v>540</v>
      </c>
      <c r="DY124">
        <v>1</v>
      </c>
      <c r="DZ124" s="4">
        <v>548</v>
      </c>
      <c r="EA124">
        <v>1</v>
      </c>
      <c r="EB124" s="4">
        <v>553</v>
      </c>
      <c r="EC124">
        <v>1</v>
      </c>
      <c r="ED124" s="4">
        <v>557</v>
      </c>
      <c r="EE124">
        <v>1</v>
      </c>
      <c r="EF124" s="4">
        <v>562</v>
      </c>
      <c r="EG124">
        <v>1</v>
      </c>
      <c r="EH124" s="4">
        <v>569</v>
      </c>
      <c r="EI124">
        <v>1</v>
      </c>
      <c r="EJ124" s="4">
        <v>576</v>
      </c>
      <c r="EK124">
        <v>1</v>
      </c>
    </row>
    <row r="125" spans="1:141" x14ac:dyDescent="0.2">
      <c r="A125" t="str">
        <f>HYPERLINK("http://exon.niaid.nih.gov/transcriptome/C_felis/S1/links/cf/cf-contig_288.txt","cf-contig_288")</f>
        <v>cf-contig_288</v>
      </c>
      <c r="B125">
        <v>1</v>
      </c>
      <c r="C125" s="10" t="s">
        <v>4719</v>
      </c>
      <c r="D125">
        <v>1</v>
      </c>
      <c r="E125" t="str">
        <f>HYPERLINK("http://exon.niaid.nih.gov/transcriptome/C_felis/S1/links/cf/cf-5-36-asb-288.txt","Contig-288")</f>
        <v>Contig-288</v>
      </c>
      <c r="F125" t="str">
        <f>HYPERLINK("http://exon.niaid.nih.gov/transcriptome/C_felis/S1/links/cf/cf-5-36-288-CLU.txt","Contig288")</f>
        <v>Contig288</v>
      </c>
      <c r="G125" t="str">
        <f>HYPERLINK("http://exon.niaid.nih.gov/transcriptome/C_felis/S1/links/cf/cf-5-36-288-qual.txt","34.6")</f>
        <v>34.6</v>
      </c>
      <c r="H125" t="s">
        <v>11</v>
      </c>
      <c r="I125">
        <v>54.1</v>
      </c>
      <c r="J125">
        <v>1054</v>
      </c>
      <c r="K125" t="s">
        <v>12</v>
      </c>
      <c r="L125">
        <v>1</v>
      </c>
      <c r="M125" t="s">
        <v>301</v>
      </c>
      <c r="N125">
        <v>1054</v>
      </c>
      <c r="O125">
        <v>1073</v>
      </c>
      <c r="P125">
        <v>657</v>
      </c>
      <c r="Q125" t="s">
        <v>1108</v>
      </c>
      <c r="R125">
        <v>1</v>
      </c>
      <c r="S125" s="7" t="str">
        <f>HYPERLINK("http://exon.niaid.nih.gov/transcriptome/C_felis/S1/links/Sigp/CF-CONTIG_288-SigP.txt","Cyt")</f>
        <v>Cyt</v>
      </c>
      <c r="U125">
        <v>1</v>
      </c>
      <c r="V125" s="4">
        <v>231</v>
      </c>
      <c r="W125">
        <v>1</v>
      </c>
      <c r="X125" s="4">
        <v>236</v>
      </c>
      <c r="Y125">
        <v>1</v>
      </c>
      <c r="Z125" s="4">
        <v>235</v>
      </c>
      <c r="AA125">
        <v>1</v>
      </c>
      <c r="AB125" s="4" t="str">
        <f>HYPERLINK("http://exon.niaid.nih.gov/transcriptome/C_felis/S1/links/XC-ASB/cf-contig_288-XC-ASB.txt","XC-contig_170")</f>
        <v>XC-contig_170</v>
      </c>
      <c r="AC125">
        <v>1.4E-2</v>
      </c>
      <c r="AD125" s="10" t="s">
        <v>4719</v>
      </c>
      <c r="AE125" t="s">
        <v>4637</v>
      </c>
      <c r="AF125" t="str">
        <f>HYPERLINK("http://exon.niaid.nih.gov/transcriptome/C_felis/S1/links/GO/cf-contig_288-GO.txt","GO")</f>
        <v>GO</v>
      </c>
      <c r="AG125">
        <v>8.9999999999999995E-15</v>
      </c>
      <c r="AH125">
        <v>32.1</v>
      </c>
      <c r="AI125" s="4" t="str">
        <f>HYPERLINK("http://exon.niaid.nih.gov/transcriptome/C_felis/S1/links/NR/cf-contig_288-NR.txt","similar to AGAP009638-PA")</f>
        <v>similar to AGAP009638-PA</v>
      </c>
      <c r="AJ125" t="str">
        <f>HYPERLINK("http://www.ncbi.nlm.nih.gov/sutils/blink.cgi?pid=189238710","1E-102")</f>
        <v>1E-102</v>
      </c>
      <c r="AK125" t="str">
        <f>HYPERLINK("http://www.ncbi.nlm.nih.gov/protein/189238710","gi|189238710")</f>
        <v>gi|189238710</v>
      </c>
      <c r="AL125">
        <v>264</v>
      </c>
      <c r="AM125">
        <v>2413</v>
      </c>
      <c r="AN125">
        <v>3589</v>
      </c>
      <c r="AO125">
        <v>67</v>
      </c>
      <c r="AP125">
        <v>67</v>
      </c>
      <c r="AQ125">
        <v>59</v>
      </c>
      <c r="AR125">
        <v>0</v>
      </c>
      <c r="AS125">
        <v>0</v>
      </c>
      <c r="AT125">
        <v>0</v>
      </c>
      <c r="AU125">
        <v>153</v>
      </c>
      <c r="AV125">
        <v>1</v>
      </c>
      <c r="AW125" t="s">
        <v>1689</v>
      </c>
      <c r="AY125" t="s">
        <v>1676</v>
      </c>
      <c r="AZ125" t="s">
        <v>1878</v>
      </c>
      <c r="BA125" s="4" t="str">
        <f>HYPERLINK("http://exon.niaid.nih.gov/transcriptome/C_felis/S1/links/SWISSP/cf-contig_288-SWISSP.txt","Thioredoxin domain-containing protein 2")</f>
        <v>Thioredoxin domain-containing protein 2</v>
      </c>
      <c r="BB125" t="str">
        <f>HYPERLINK("http://www.uniprot.org/uniprot/Q86VQ3","1E-014")</f>
        <v>1E-014</v>
      </c>
      <c r="BC125" t="s">
        <v>2682</v>
      </c>
      <c r="BD125">
        <v>81.3</v>
      </c>
      <c r="BE125">
        <v>313</v>
      </c>
      <c r="BF125">
        <v>553</v>
      </c>
      <c r="BG125">
        <v>31</v>
      </c>
      <c r="BH125">
        <v>57</v>
      </c>
      <c r="BI125">
        <v>122</v>
      </c>
      <c r="BJ125">
        <v>5</v>
      </c>
      <c r="BK125">
        <v>138</v>
      </c>
      <c r="BL125">
        <v>57</v>
      </c>
      <c r="BM125">
        <v>6</v>
      </c>
      <c r="BN125">
        <v>1</v>
      </c>
      <c r="BO125" t="s">
        <v>1689</v>
      </c>
      <c r="BQ125" t="s">
        <v>1676</v>
      </c>
      <c r="BR125" t="s">
        <v>1690</v>
      </c>
      <c r="BS125" s="4" t="str">
        <f>HYPERLINK("http://exon.niaid.nih.gov/transcriptome/C_felis/S1/links/CDD/cf-contig_288-CDD.txt","MIP-T3")</f>
        <v>MIP-T3</v>
      </c>
      <c r="BT125" t="str">
        <f>HYPERLINK("http://www.ncbi.nlm.nih.gov/Structure/cdd/cddsrv.cgi?uid=pfam10243&amp;version=v4.0","5E-009")</f>
        <v>5E-009</v>
      </c>
      <c r="BU125" t="s">
        <v>2683</v>
      </c>
      <c r="BV125" s="4" t="s">
        <v>2684</v>
      </c>
      <c r="BW125">
        <f>HYPERLINK("http://exon.niaid.nih.gov/transcriptome/C_felis/S1/links/GO/cf-contig_288-GO.txt",0.00000000000000005)</f>
        <v>4.9999999999999999E-17</v>
      </c>
      <c r="BX125" t="str">
        <f>HYPERLINK("http://amigo.geneontology.org/cgi-bin/amigo/term_details?term=GO:0004791","GO:0004791")</f>
        <v>GO:0004791</v>
      </c>
      <c r="BY125" t="s">
        <v>2685</v>
      </c>
      <c r="BZ125" t="s">
        <v>2686</v>
      </c>
      <c r="CA125" t="s">
        <v>2687</v>
      </c>
      <c r="CB125" t="str">
        <f>HYPERLINK("http://www.genome.jp/dbget-bin/www_bfind_sub?mode=bfind&amp;max_hit=1000&amp;dbkey=kegg&amp;keywords=EC:1.8.1.9","EC:1.8.1.9")</f>
        <v>EC:1.8.1.9</v>
      </c>
      <c r="CC125" t="str">
        <f>HYPERLINK("http://www.genome.jp/dbget-bin/www_bget?rn:R02016","KEGG:R02016")</f>
        <v>KEGG:R02016</v>
      </c>
      <c r="CD125">
        <v>8.9999999999999995E-15</v>
      </c>
      <c r="CE125" t="str">
        <f>HYPERLINK("http://amigo.geneontology.org/cgi-bin/amigo/term_details?term=GO:0001520","GO:0001520")</f>
        <v>GO:0001520</v>
      </c>
      <c r="CF125" t="s">
        <v>2688</v>
      </c>
      <c r="CG125" t="s">
        <v>2689</v>
      </c>
      <c r="CH125" t="s">
        <v>2690</v>
      </c>
      <c r="CI125" t="s">
        <v>42</v>
      </c>
      <c r="CK125">
        <v>8.9999999999999995E-15</v>
      </c>
      <c r="CL125" t="str">
        <f>HYPERLINK("http://amigo.geneontology.org/cgi-bin/amigo/term_details?term=GO:0006467","GO:0006467")</f>
        <v>GO:0006467</v>
      </c>
      <c r="CM125" t="s">
        <v>2691</v>
      </c>
      <c r="CN125" t="s">
        <v>2692</v>
      </c>
      <c r="CO125" t="s">
        <v>2693</v>
      </c>
      <c r="CP125" t="s">
        <v>42</v>
      </c>
      <c r="CR125">
        <v>8.9999999999999995E-15</v>
      </c>
      <c r="CS125" s="4" t="str">
        <f>HYPERLINK("http://exon.niaid.nih.gov/transcriptome/C_felis/S1/links/KOG/cf-contig_288-KOG.txt","Translation initiation factor 5B (eIF-5B)")</f>
        <v>Translation initiation factor 5B (eIF-5B)</v>
      </c>
      <c r="CT125" t="str">
        <f>HYPERLINK("http://www.ncbi.nlm.nih.gov/COG/grace/shokog.cgi?KOG1144","9E-007")</f>
        <v>9E-007</v>
      </c>
      <c r="CU125" t="s">
        <v>1707</v>
      </c>
      <c r="CV125" s="4" t="str">
        <f>HYPERLINK("http://exon.niaid.nih.gov/transcriptome/C_felis/S1/links/PFAM/cf-contig_288-PFAM.txt","MIP-T3")</f>
        <v>MIP-T3</v>
      </c>
      <c r="CW125" t="str">
        <f>HYPERLINK("http://pfam.sanger.ac.uk/family?acc=PF10243","1E-009")</f>
        <v>1E-009</v>
      </c>
      <c r="CX125" s="4" t="str">
        <f>HYPERLINK("http://exon.niaid.nih.gov/transcriptome/C_felis/S1/links/SMART/cf-contig_288-SMART.txt","TLC")</f>
        <v>TLC</v>
      </c>
      <c r="CY125" t="str">
        <f>HYPERLINK("http://smart.embl-heidelberg.de/smart/do_annotation.pl?DOMAIN=TLC&amp;BLAST=DUMMY","0.057")</f>
        <v>0.057</v>
      </c>
      <c r="CZ125" s="4" t="s">
        <v>42</v>
      </c>
      <c r="DA125" t="s">
        <v>42</v>
      </c>
      <c r="DB125" t="s">
        <v>42</v>
      </c>
      <c r="DC125" t="s">
        <v>42</v>
      </c>
      <c r="DD125" t="s">
        <v>42</v>
      </c>
      <c r="DE125" t="s">
        <v>42</v>
      </c>
      <c r="DF125" t="s">
        <v>42</v>
      </c>
      <c r="DG125" t="s">
        <v>42</v>
      </c>
      <c r="DH125" s="4" t="s">
        <v>42</v>
      </c>
      <c r="DI125" t="s">
        <v>42</v>
      </c>
      <c r="DJ125" s="4" t="s">
        <v>42</v>
      </c>
      <c r="DK125" t="s">
        <v>42</v>
      </c>
      <c r="DL125" s="4">
        <v>231</v>
      </c>
      <c r="DM125">
        <v>1</v>
      </c>
      <c r="DN125" s="4">
        <v>236</v>
      </c>
      <c r="DO125">
        <v>1</v>
      </c>
      <c r="DP125" s="4">
        <v>235</v>
      </c>
      <c r="DQ125">
        <v>1</v>
      </c>
      <c r="DR125" s="4">
        <v>244</v>
      </c>
      <c r="DS125">
        <v>1</v>
      </c>
      <c r="DT125" s="4">
        <v>250</v>
      </c>
      <c r="DU125">
        <v>1</v>
      </c>
      <c r="DV125" s="4">
        <v>262</v>
      </c>
      <c r="DW125">
        <v>1</v>
      </c>
      <c r="DX125" s="4">
        <v>264</v>
      </c>
      <c r="DY125">
        <v>1</v>
      </c>
      <c r="DZ125" s="4">
        <v>269</v>
      </c>
      <c r="EA125">
        <v>1</v>
      </c>
      <c r="EB125" s="4">
        <v>274</v>
      </c>
      <c r="EC125">
        <v>1</v>
      </c>
      <c r="ED125" s="4">
        <v>277</v>
      </c>
      <c r="EE125">
        <v>1</v>
      </c>
      <c r="EF125" s="4">
        <v>281</v>
      </c>
      <c r="EG125">
        <v>1</v>
      </c>
      <c r="EH125" s="4">
        <v>283</v>
      </c>
      <c r="EI125">
        <v>1</v>
      </c>
      <c r="EJ125" s="4">
        <v>288</v>
      </c>
      <c r="EK125">
        <v>1</v>
      </c>
    </row>
    <row r="126" spans="1:141" x14ac:dyDescent="0.2">
      <c r="A126" t="str">
        <f>HYPERLINK("http://exon.niaid.nih.gov/transcriptome/C_felis/S1/links/cf/cf-contig_426.txt","cf-contig_426")</f>
        <v>cf-contig_426</v>
      </c>
      <c r="B126">
        <v>1</v>
      </c>
      <c r="C126" s="10" t="s">
        <v>4763</v>
      </c>
      <c r="D126">
        <v>1</v>
      </c>
      <c r="E126" t="str">
        <f>HYPERLINK("http://exon.niaid.nih.gov/transcriptome/C_felis/S1/links/cf/cf-5-36-asb-426.txt","Contig-426")</f>
        <v>Contig-426</v>
      </c>
      <c r="F126" t="str">
        <f>HYPERLINK("http://exon.niaid.nih.gov/transcriptome/C_felis/S1/links/cf/cf-5-36-426-CLU.txt","Contig426")</f>
        <v>Contig426</v>
      </c>
      <c r="G126" t="str">
        <f>HYPERLINK("http://exon.niaid.nih.gov/transcriptome/C_felis/S1/links/cf/cf-5-36-426-qual.txt","64.1")</f>
        <v>64.1</v>
      </c>
      <c r="H126" t="s">
        <v>11</v>
      </c>
      <c r="I126">
        <v>66.900000000000006</v>
      </c>
      <c r="J126">
        <v>232</v>
      </c>
      <c r="K126" t="s">
        <v>12</v>
      </c>
      <c r="L126">
        <v>1</v>
      </c>
      <c r="M126" t="s">
        <v>439</v>
      </c>
      <c r="N126">
        <v>232</v>
      </c>
      <c r="O126">
        <v>251</v>
      </c>
      <c r="P126">
        <v>159</v>
      </c>
      <c r="Q126" t="s">
        <v>1246</v>
      </c>
      <c r="R126">
        <v>2</v>
      </c>
      <c r="S126" s="7" t="s">
        <v>4585</v>
      </c>
      <c r="U126">
        <v>1</v>
      </c>
      <c r="V126" s="4">
        <v>347</v>
      </c>
      <c r="W126">
        <v>1</v>
      </c>
      <c r="X126" s="4">
        <v>356</v>
      </c>
      <c r="Y126">
        <v>1</v>
      </c>
      <c r="Z126" s="4">
        <v>359</v>
      </c>
      <c r="AA126">
        <v>1</v>
      </c>
      <c r="AB126" s="4" t="str">
        <f>HYPERLINK("http://exon.niaid.nih.gov/transcriptome/C_felis/S1/links/XC-ASB/cf-contig_426-XC-ASB.txt","XC-contig_214")</f>
        <v>XC-contig_214</v>
      </c>
      <c r="AC126">
        <v>0.21</v>
      </c>
      <c r="AD126" s="10" t="s">
        <v>4763</v>
      </c>
      <c r="AE126" t="s">
        <v>4637</v>
      </c>
      <c r="AF126" t="str">
        <f>HYPERLINK("http://exon.niaid.nih.gov/transcriptome/C_felis/S1/links/GO/cf-contig_426-GO.txt","GO")</f>
        <v>GO</v>
      </c>
      <c r="AG126">
        <v>9.9999999999999998E-13</v>
      </c>
      <c r="AH126">
        <v>7.8</v>
      </c>
      <c r="AI126" s="4" t="str">
        <f>HYPERLINK("http://exon.niaid.nih.gov/transcriptome/C_felis/S1/links/NR/cf-contig_426-NR.txt","N-alpha-acetyltransferase 35, NatC auxiliary subunit-like")</f>
        <v>N-alpha-acetyltransferase 35, NatC auxiliary subunit-like</v>
      </c>
      <c r="AJ126" t="str">
        <f>HYPERLINK("http://www.ncbi.nlm.nih.gov/sutils/blink.cgi?pid=350411194","2E-012")</f>
        <v>2E-012</v>
      </c>
      <c r="AK126" t="str">
        <f>HYPERLINK("http://www.ncbi.nlm.nih.gov/protein/350411194","gi|350411194")</f>
        <v>gi|350411194</v>
      </c>
      <c r="AL126">
        <v>76.3</v>
      </c>
      <c r="AM126">
        <v>47</v>
      </c>
      <c r="AN126">
        <v>728</v>
      </c>
      <c r="AO126">
        <v>72</v>
      </c>
      <c r="AP126">
        <v>7</v>
      </c>
      <c r="AQ126">
        <v>13</v>
      </c>
      <c r="AR126">
        <v>1</v>
      </c>
      <c r="AS126">
        <v>681</v>
      </c>
      <c r="AT126">
        <v>20</v>
      </c>
      <c r="AU126">
        <v>1</v>
      </c>
      <c r="AV126">
        <v>2</v>
      </c>
      <c r="AW126" t="s">
        <v>12</v>
      </c>
      <c r="AY126" t="s">
        <v>1676</v>
      </c>
      <c r="AZ126" t="s">
        <v>2234</v>
      </c>
      <c r="BA126" s="4" t="str">
        <f>HYPERLINK("http://exon.niaid.nih.gov/transcriptome/C_felis/S1/links/SWISSP/cf-contig_426-SWISSP.txt","N-alpha-acetyltransferase 35, NatC auxiliary subunit")</f>
        <v>N-alpha-acetyltransferase 35, NatC auxiliary subunit</v>
      </c>
      <c r="BB126" t="str">
        <f>HYPERLINK("http://www.uniprot.org/uniprot/Q6PHQ8","1E-012")</f>
        <v>1E-012</v>
      </c>
      <c r="BC126" t="s">
        <v>3190</v>
      </c>
      <c r="BD126">
        <v>72</v>
      </c>
      <c r="BE126">
        <v>52</v>
      </c>
      <c r="BF126">
        <v>725</v>
      </c>
      <c r="BG126">
        <v>62</v>
      </c>
      <c r="BH126">
        <v>7</v>
      </c>
      <c r="BI126">
        <v>20</v>
      </c>
      <c r="BJ126">
        <v>1</v>
      </c>
      <c r="BK126">
        <v>673</v>
      </c>
      <c r="BL126">
        <v>5</v>
      </c>
      <c r="BM126">
        <v>1</v>
      </c>
      <c r="BN126">
        <v>2</v>
      </c>
      <c r="BO126" t="s">
        <v>12</v>
      </c>
      <c r="BQ126" t="s">
        <v>1676</v>
      </c>
      <c r="BR126" t="s">
        <v>1705</v>
      </c>
      <c r="BS126" s="4" t="str">
        <f>HYPERLINK("http://exon.niaid.nih.gov/transcriptome/C_felis/S1/links/CDD/cf-contig_426-CDD.txt","NDH_I_M")</f>
        <v>NDH_I_M</v>
      </c>
      <c r="BT126" t="str">
        <f>HYPERLINK("http://www.ncbi.nlm.nih.gov/Structure/cdd/cddsrv.cgi?uid=TIGR01972&amp;version=v4.0","0.25")</f>
        <v>0.25</v>
      </c>
      <c r="BU126" t="s">
        <v>3191</v>
      </c>
      <c r="BV126" s="4" t="s">
        <v>3192</v>
      </c>
      <c r="BW126">
        <f>HYPERLINK("http://exon.niaid.nih.gov/transcriptome/C_felis/S1/links/GO/cf-contig_426-GO.txt",0.000000000001)</f>
        <v>9.9999999999999998E-13</v>
      </c>
      <c r="BX126" t="str">
        <f>HYPERLINK("http://amigo.geneontology.org/cgi-bin/amigo/term_details?term=GO:0003674","GO:0003674")</f>
        <v>GO:0003674</v>
      </c>
      <c r="BY126" t="s">
        <v>1851</v>
      </c>
      <c r="BZ126" t="s">
        <v>1852</v>
      </c>
      <c r="CA126" t="s">
        <v>1853</v>
      </c>
      <c r="CB126" t="s">
        <v>42</v>
      </c>
      <c r="CD126">
        <v>5.0000000000000003E-10</v>
      </c>
      <c r="CE126" t="str">
        <f>HYPERLINK("http://amigo.geneontology.org/cgi-bin/amigo/term_details?term=GO:0005737","GO:0005737")</f>
        <v>GO:0005737</v>
      </c>
      <c r="CF126" t="s">
        <v>1966</v>
      </c>
      <c r="CG126" t="s">
        <v>1967</v>
      </c>
      <c r="CH126" t="s">
        <v>42</v>
      </c>
      <c r="CI126" t="s">
        <v>42</v>
      </c>
      <c r="CK126">
        <v>5.0000000000000003E-10</v>
      </c>
      <c r="CL126" t="str">
        <f>HYPERLINK("http://amigo.geneontology.org/cgi-bin/amigo/term_details?term=GO:0008150","GO:0008150")</f>
        <v>GO:0008150</v>
      </c>
      <c r="CM126" t="s">
        <v>1857</v>
      </c>
      <c r="CN126" t="s">
        <v>1858</v>
      </c>
      <c r="CO126" t="s">
        <v>1859</v>
      </c>
      <c r="CP126" t="s">
        <v>42</v>
      </c>
      <c r="CR126">
        <v>5.0000000000000003E-10</v>
      </c>
      <c r="CS126" s="4" t="str">
        <f>HYPERLINK("http://exon.niaid.nih.gov/transcriptome/C_felis/S1/links/KOG/cf-contig_426-KOG.txt","Glucose-repressible protein and related proteins")</f>
        <v>Glucose-repressible protein and related proteins</v>
      </c>
      <c r="CT126" t="str">
        <f>HYPERLINK("http://www.ncbi.nlm.nih.gov/COG/grace/shokog.cgi?KOG2343","2E-007")</f>
        <v>2E-007</v>
      </c>
      <c r="CU126" t="s">
        <v>1721</v>
      </c>
      <c r="CV126" s="4" t="str">
        <f>HYPERLINK("http://exon.niaid.nih.gov/transcriptome/C_felis/S1/links/PFAM/cf-contig_426-PFAM.txt","Elf1")</f>
        <v>Elf1</v>
      </c>
      <c r="CW126" t="str">
        <f>HYPERLINK("http://pfam.sanger.ac.uk/family?acc=PF05129","0.50")</f>
        <v>0.50</v>
      </c>
      <c r="CX126" s="4" t="str">
        <f>HYPERLINK("http://exon.niaid.nih.gov/transcriptome/C_felis/S1/links/SMART/cf-contig_426-SMART.txt","Piwi")</f>
        <v>Piwi</v>
      </c>
      <c r="CY126" t="str">
        <f>HYPERLINK("http://smart.embl-heidelberg.de/smart/do_annotation.pl?DOMAIN=Piwi&amp;BLAST=DUMMY","0.52")</f>
        <v>0.52</v>
      </c>
      <c r="CZ126" s="4" t="s">
        <v>42</v>
      </c>
      <c r="DA126" t="s">
        <v>42</v>
      </c>
      <c r="DB126" t="s">
        <v>42</v>
      </c>
      <c r="DC126" t="s">
        <v>42</v>
      </c>
      <c r="DD126" t="s">
        <v>42</v>
      </c>
      <c r="DE126" t="s">
        <v>42</v>
      </c>
      <c r="DF126" t="s">
        <v>42</v>
      </c>
      <c r="DG126" t="s">
        <v>42</v>
      </c>
      <c r="DH126" s="4" t="s">
        <v>42</v>
      </c>
      <c r="DI126" t="s">
        <v>42</v>
      </c>
      <c r="DJ126" s="4" t="s">
        <v>42</v>
      </c>
      <c r="DK126" t="s">
        <v>42</v>
      </c>
      <c r="DL126" s="4">
        <v>347</v>
      </c>
      <c r="DM126">
        <v>1</v>
      </c>
      <c r="DN126" s="4">
        <v>356</v>
      </c>
      <c r="DO126">
        <v>1</v>
      </c>
      <c r="DP126" s="4">
        <v>359</v>
      </c>
      <c r="DQ126">
        <v>1</v>
      </c>
      <c r="DR126" s="4">
        <v>371</v>
      </c>
      <c r="DS126">
        <v>1</v>
      </c>
      <c r="DT126" s="4">
        <v>381</v>
      </c>
      <c r="DU126">
        <v>1</v>
      </c>
      <c r="DV126" s="4">
        <v>394</v>
      </c>
      <c r="DW126">
        <v>1</v>
      </c>
      <c r="DX126" s="4">
        <v>397</v>
      </c>
      <c r="DY126">
        <v>1</v>
      </c>
      <c r="DZ126" s="4">
        <v>402</v>
      </c>
      <c r="EA126">
        <v>1</v>
      </c>
      <c r="EB126" s="4">
        <v>407</v>
      </c>
      <c r="EC126">
        <v>1</v>
      </c>
      <c r="ED126" s="4">
        <v>411</v>
      </c>
      <c r="EE126">
        <v>1</v>
      </c>
      <c r="EF126" s="4">
        <v>416</v>
      </c>
      <c r="EG126">
        <v>1</v>
      </c>
      <c r="EH126" s="4">
        <v>420</v>
      </c>
      <c r="EI126">
        <v>1</v>
      </c>
      <c r="EJ126" s="4">
        <v>426</v>
      </c>
      <c r="EK126">
        <v>1</v>
      </c>
    </row>
    <row r="127" spans="1:141" s="6" customFormat="1" x14ac:dyDescent="0.2">
      <c r="A127" s="12" t="s">
        <v>4881</v>
      </c>
      <c r="AB127" s="6" t="s">
        <v>42</v>
      </c>
    </row>
    <row r="128" spans="1:141" x14ac:dyDescent="0.2">
      <c r="A128" t="str">
        <f>HYPERLINK("http://exon.niaid.nih.gov/transcriptome/C_felis/S1/links/cf/cf-contig_134.txt","cf-contig_134")</f>
        <v>cf-contig_134</v>
      </c>
      <c r="B128">
        <v>3</v>
      </c>
      <c r="C128" s="10" t="s">
        <v>4647</v>
      </c>
      <c r="D128">
        <v>3</v>
      </c>
      <c r="E128" t="str">
        <f>HYPERLINK("http://exon.niaid.nih.gov/transcriptome/C_felis/S1/links/cf/cf-5-36-asb-134.txt","Contig-134")</f>
        <v>Contig-134</v>
      </c>
      <c r="F128" t="str">
        <f>HYPERLINK("http://exon.niaid.nih.gov/transcriptome/C_felis/S1/links/cf/cf-5-36-134-CLU.txt","Contig134")</f>
        <v>Contig134</v>
      </c>
      <c r="G128" t="str">
        <f>HYPERLINK("http://exon.niaid.nih.gov/transcriptome/C_felis/S1/links/cf/cf-5-36-134-qual.txt","77.5")</f>
        <v>77.5</v>
      </c>
      <c r="H128" t="s">
        <v>11</v>
      </c>
      <c r="I128">
        <v>63.5</v>
      </c>
      <c r="J128">
        <v>668</v>
      </c>
      <c r="K128" t="s">
        <v>12</v>
      </c>
      <c r="L128">
        <v>3</v>
      </c>
      <c r="M128" t="s">
        <v>147</v>
      </c>
      <c r="N128">
        <v>666</v>
      </c>
      <c r="O128">
        <v>687</v>
      </c>
      <c r="P128">
        <v>204</v>
      </c>
      <c r="Q128" t="s">
        <v>954</v>
      </c>
      <c r="R128">
        <v>3</v>
      </c>
      <c r="S128" s="7" t="str">
        <f>HYPERLINK("http://exon.niaid.nih.gov/transcriptome/C_felis/S1/links/Sigp/CF-CONTIG_134-SigP.txt","SIG")</f>
        <v>SIG</v>
      </c>
      <c r="T128" t="s">
        <v>4590</v>
      </c>
      <c r="U128">
        <v>3</v>
      </c>
      <c r="V128" s="4">
        <f>HYPERLINK("http://exon.niaid.nih.gov/transcriptome/C_felis/S1/links/cluster/cf-5-36-asb30-50-Id-CLU11.txt", 11)</f>
        <v>11</v>
      </c>
      <c r="W128">
        <f>HYPERLINK("http://exon.niaid.nih.gov/transcriptome/C_felis/S1/links/cluster/cf-5-36-asb30-50-Id-CLTL11.txt", 4)</f>
        <v>4</v>
      </c>
      <c r="X128" s="4">
        <f>HYPERLINK("http://exon.niaid.nih.gov/transcriptome/C_felis/S1/links/cluster/cf-5-36-asb35-50-Id-CLU10.txt", 10)</f>
        <v>10</v>
      </c>
      <c r="Y128">
        <f>HYPERLINK("http://exon.niaid.nih.gov/transcriptome/C_felis/S1/links/cluster/cf-5-36-asb35-50-Id-CLTL10.txt", 4)</f>
        <v>4</v>
      </c>
      <c r="Z128" s="4">
        <f>HYPERLINK("http://exon.niaid.nih.gov/transcriptome/C_felis/S1/links/cluster/cf-5-36-asb40-50-Id-CLU8.txt", 8)</f>
        <v>8</v>
      </c>
      <c r="AA128">
        <f>HYPERLINK("http://exon.niaid.nih.gov/transcriptome/C_felis/S1/links/cluster/cf-5-36-asb40-50-Id-CLTL8.txt", 4)</f>
        <v>4</v>
      </c>
      <c r="AB128" s="4" t="str">
        <f>HYPERLINK("http://exon.niaid.nih.gov/transcriptome/C_felis/S1/links/XC-ASB/cf-contig_134-XC-ASB.txt","XC-contig_110")</f>
        <v>XC-contig_110</v>
      </c>
      <c r="AC128">
        <v>2E-8</v>
      </c>
      <c r="AD128" s="10" t="s">
        <v>4647</v>
      </c>
      <c r="AE128" t="s">
        <v>4619</v>
      </c>
      <c r="AF128" t="str">
        <f>HYPERLINK("http://exon.niaid.nih.gov/transcriptome/C_felis/S1/links/GO/cf-contig_134-GO.txt","GO")</f>
        <v>GO</v>
      </c>
      <c r="AG128">
        <v>3E-10</v>
      </c>
      <c r="AH128">
        <v>8.4</v>
      </c>
      <c r="AI128" s="4" t="str">
        <f>HYPERLINK("http://exon.niaid.nih.gov/transcriptome/C_felis/S1/links/NR/cf-contig_134-NR.txt","galactosidase")</f>
        <v>galactosidase</v>
      </c>
      <c r="AJ128" t="str">
        <f>HYPERLINK("http://www.ncbi.nlm.nih.gov/sutils/blink.cgi?pid=326431879","8E-010")</f>
        <v>8E-010</v>
      </c>
      <c r="AK128" t="str">
        <f>HYPERLINK("http://www.ncbi.nlm.nih.gov/protein/326431879","gi|326431879")</f>
        <v>gi|326431879</v>
      </c>
      <c r="AL128">
        <v>68.599999999999994</v>
      </c>
      <c r="AM128">
        <v>68</v>
      </c>
      <c r="AN128">
        <v>417</v>
      </c>
      <c r="AO128">
        <v>75</v>
      </c>
      <c r="AP128">
        <v>17</v>
      </c>
      <c r="AQ128">
        <v>8</v>
      </c>
      <c r="AR128">
        <v>0</v>
      </c>
      <c r="AS128">
        <v>215</v>
      </c>
      <c r="AT128">
        <v>14</v>
      </c>
      <c r="AU128">
        <v>19</v>
      </c>
      <c r="AV128">
        <v>-1</v>
      </c>
      <c r="AW128" t="s">
        <v>1689</v>
      </c>
      <c r="AY128" t="s">
        <v>1666</v>
      </c>
      <c r="AZ128" t="s">
        <v>2173</v>
      </c>
      <c r="BA128" s="4" t="str">
        <f>HYPERLINK("http://exon.niaid.nih.gov/transcriptome/C_felis/S1/links/SWISSP/cf-contig_134-SWISSP.txt","Uncharacterized protein U88")</f>
        <v>Uncharacterized protein U88</v>
      </c>
      <c r="BB128" t="str">
        <f>HYPERLINK("http://www.uniprot.org/uniprot/Q69566","4E-009")</f>
        <v>4E-009</v>
      </c>
      <c r="BC128" t="s">
        <v>2174</v>
      </c>
      <c r="BD128">
        <v>62</v>
      </c>
      <c r="BE128">
        <v>412</v>
      </c>
      <c r="BF128">
        <v>413</v>
      </c>
      <c r="BG128">
        <v>81</v>
      </c>
      <c r="BH128">
        <v>100</v>
      </c>
      <c r="BI128">
        <v>5</v>
      </c>
      <c r="BJ128">
        <v>0</v>
      </c>
      <c r="BK128">
        <v>0</v>
      </c>
      <c r="BL128">
        <v>0</v>
      </c>
      <c r="BM128">
        <v>187</v>
      </c>
      <c r="BN128">
        <v>2</v>
      </c>
      <c r="BO128" t="s">
        <v>1689</v>
      </c>
      <c r="BQ128" t="s">
        <v>1676</v>
      </c>
      <c r="BR128" t="s">
        <v>2175</v>
      </c>
      <c r="BS128" s="4" t="str">
        <f>HYPERLINK("http://exon.niaid.nih.gov/transcriptome/C_felis/S1/links/CDD/cf-contig_134-CDD.txt","PRK10019")</f>
        <v>PRK10019</v>
      </c>
      <c r="BT128" t="str">
        <f>HYPERLINK("http://www.ncbi.nlm.nih.gov/Structure/cdd/cddsrv.cgi?uid=PRK10019&amp;version=v4.0","0.002")</f>
        <v>0.002</v>
      </c>
      <c r="BU128" t="s">
        <v>2176</v>
      </c>
      <c r="BV128" s="4" t="s">
        <v>2177</v>
      </c>
      <c r="BW128">
        <f>HYPERLINK("http://exon.niaid.nih.gov/transcriptome/C_felis/S1/links/GO/cf-contig_134-GO.txt",0.0000000003)</f>
        <v>3E-10</v>
      </c>
      <c r="BX128" t="str">
        <f>HYPERLINK("http://amigo.geneontology.org/cgi-bin/amigo/term_details?term=GO:0004872","GO:0004872")</f>
        <v>GO:0004872</v>
      </c>
      <c r="BY128" t="s">
        <v>2178</v>
      </c>
      <c r="BZ128" t="s">
        <v>2179</v>
      </c>
      <c r="CA128" t="s">
        <v>2180</v>
      </c>
      <c r="CB128" t="s">
        <v>42</v>
      </c>
      <c r="CD128">
        <v>3E-10</v>
      </c>
      <c r="CE128" t="str">
        <f>HYPERLINK("http://amigo.geneontology.org/cgi-bin/amigo/term_details?term=GO:0008305","GO:0008305")</f>
        <v>GO:0008305</v>
      </c>
      <c r="CF128" t="s">
        <v>2181</v>
      </c>
      <c r="CG128" t="s">
        <v>2182</v>
      </c>
      <c r="CH128" t="s">
        <v>2183</v>
      </c>
      <c r="CI128" t="s">
        <v>42</v>
      </c>
      <c r="CK128">
        <v>3E-10</v>
      </c>
      <c r="CL128" t="str">
        <f>HYPERLINK("http://amigo.geneontology.org/cgi-bin/amigo/term_details?term=GO:0007155","GO:0007155")</f>
        <v>GO:0007155</v>
      </c>
      <c r="CM128" t="s">
        <v>2184</v>
      </c>
      <c r="CN128" t="s">
        <v>2185</v>
      </c>
      <c r="CO128" t="s">
        <v>2186</v>
      </c>
      <c r="CP128" t="s">
        <v>42</v>
      </c>
      <c r="CR128">
        <v>3E-10</v>
      </c>
      <c r="CS128" s="4" t="str">
        <f>HYPERLINK("http://exon.niaid.nih.gov/transcriptome/C_felis/S1/links/KOG/cf-contig_134-KOG.txt","Zn2+ transporter")</f>
        <v>Zn2+ transporter</v>
      </c>
      <c r="CT128" t="str">
        <f>HYPERLINK("http://www.ncbi.nlm.nih.gov/COG/grace/shokog.cgi?KOG1482","0.13")</f>
        <v>0.13</v>
      </c>
      <c r="CU128" t="s">
        <v>1681</v>
      </c>
      <c r="CV128" s="4" t="str">
        <f>HYPERLINK("http://exon.niaid.nih.gov/transcriptome/C_felis/S1/links/PFAM/cf-contig_134-PFAM.txt","Papilloma_E5")</f>
        <v>Papilloma_E5</v>
      </c>
      <c r="CW128" t="str">
        <f>HYPERLINK("http://pfam.sanger.ac.uk/family?acc=PF03025","0.003")</f>
        <v>0.003</v>
      </c>
      <c r="CX128" s="4" t="str">
        <f>HYPERLINK("http://exon.niaid.nih.gov/transcriptome/C_felis/S1/links/SMART/cf-contig_134-SMART.txt","SMR")</f>
        <v>SMR</v>
      </c>
      <c r="CY128" t="str">
        <f>HYPERLINK("http://smart.embl-heidelberg.de/smart/do_annotation.pl?DOMAIN=SMR&amp;BLAST=DUMMY","0.011")</f>
        <v>0.011</v>
      </c>
      <c r="CZ128" s="4" t="s">
        <v>42</v>
      </c>
      <c r="DA128" t="s">
        <v>42</v>
      </c>
      <c r="DB128" t="s">
        <v>42</v>
      </c>
      <c r="DC128" t="s">
        <v>42</v>
      </c>
      <c r="DD128" t="s">
        <v>42</v>
      </c>
      <c r="DE128" t="s">
        <v>42</v>
      </c>
      <c r="DF128" t="s">
        <v>42</v>
      </c>
      <c r="DG128" t="s">
        <v>42</v>
      </c>
      <c r="DH128" s="4" t="s">
        <v>42</v>
      </c>
      <c r="DI128" t="s">
        <v>42</v>
      </c>
      <c r="DJ128" s="4" t="s">
        <v>42</v>
      </c>
      <c r="DK128" t="s">
        <v>42</v>
      </c>
      <c r="DL128" s="4">
        <f>HYPERLINK("http://exon.niaid.nih.gov/transcriptome/C_felis/S1/links/cluster/cf-5-36-asb30-50-Id-CLU11.txt", 11)</f>
        <v>11</v>
      </c>
      <c r="DM128">
        <f>HYPERLINK("http://exon.niaid.nih.gov/transcriptome/C_felis/S1/links/cluster/cf-5-36-asb30-50-Id-CLTL11.txt", 4)</f>
        <v>4</v>
      </c>
      <c r="DN128" s="4">
        <f>HYPERLINK("http://exon.niaid.nih.gov/transcriptome/C_felis/S1/links/cluster/cf-5-36-asb35-50-Id-CLU10.txt", 10)</f>
        <v>10</v>
      </c>
      <c r="DO128">
        <f>HYPERLINK("http://exon.niaid.nih.gov/transcriptome/C_felis/S1/links/cluster/cf-5-36-asb35-50-Id-CLTL10.txt", 4)</f>
        <v>4</v>
      </c>
      <c r="DP128" s="4">
        <f>HYPERLINK("http://exon.niaid.nih.gov/transcriptome/C_felis/S1/links/cluster/cf-5-36-asb40-50-Id-CLU8.txt", 8)</f>
        <v>8</v>
      </c>
      <c r="DQ128">
        <f>HYPERLINK("http://exon.niaid.nih.gov/transcriptome/C_felis/S1/links/cluster/cf-5-36-asb40-50-Id-CLTL8.txt", 4)</f>
        <v>4</v>
      </c>
      <c r="DR128" s="4">
        <f>HYPERLINK("http://exon.niaid.nih.gov/transcriptome/C_felis/S1/links/cluster/cf-5-36-asb45-50-Id-CLU8.txt", 8)</f>
        <v>8</v>
      </c>
      <c r="DS128">
        <f>HYPERLINK("http://exon.niaid.nih.gov/transcriptome/C_felis/S1/links/cluster/cf-5-36-asb45-50-Id-CLTL8.txt", 4)</f>
        <v>4</v>
      </c>
      <c r="DT128" s="4">
        <f>HYPERLINK("http://exon.niaid.nih.gov/transcriptome/C_felis/S1/links/cluster/cf-5-36-asb50-50-Id-CLU10.txt", 10)</f>
        <v>10</v>
      </c>
      <c r="DU128">
        <f>HYPERLINK("http://exon.niaid.nih.gov/transcriptome/C_felis/S1/links/cluster/cf-5-36-asb50-50-Id-CLTL10.txt", 3)</f>
        <v>3</v>
      </c>
      <c r="DV128" s="4">
        <f>HYPERLINK("http://exon.niaid.nih.gov/transcriptome/C_felis/S1/links/cluster/cf-5-36-asb55-50-Id-CLU24.txt", 24)</f>
        <v>24</v>
      </c>
      <c r="DW128">
        <f>HYPERLINK("http://exon.niaid.nih.gov/transcriptome/C_felis/S1/links/cluster/cf-5-36-asb55-50-Id-CLTL24.txt", 2)</f>
        <v>2</v>
      </c>
      <c r="DX128" s="4">
        <f>HYPERLINK("http://exon.niaid.nih.gov/transcriptome/C_felis/S1/links/cluster/cf-5-36-asb60-50-Id-CLU21.txt", 21)</f>
        <v>21</v>
      </c>
      <c r="DY128">
        <f>HYPERLINK("http://exon.niaid.nih.gov/transcriptome/C_felis/S1/links/cluster/cf-5-36-asb60-50-Id-CLTL21.txt", 2)</f>
        <v>2</v>
      </c>
      <c r="DZ128" s="4">
        <f>HYPERLINK("http://exon.niaid.nih.gov/transcriptome/C_felis/S1/links/cluster/cf-5-36-asb65-50-Id-CLU18.txt", 18)</f>
        <v>18</v>
      </c>
      <c r="EA128">
        <f>HYPERLINK("http://exon.niaid.nih.gov/transcriptome/C_felis/S1/links/cluster/cf-5-36-asb65-50-Id-CLTL18.txt", 2)</f>
        <v>2</v>
      </c>
      <c r="EB128" s="4">
        <f>HYPERLINK("http://exon.niaid.nih.gov/transcriptome/C_felis/S1/links/cluster/cf-5-36-asb70-50-Id-CLU14.txt", 14)</f>
        <v>14</v>
      </c>
      <c r="EC128">
        <f>HYPERLINK("http://exon.niaid.nih.gov/transcriptome/C_felis/S1/links/cluster/cf-5-36-asb70-50-Id-CLTL14.txt", 2)</f>
        <v>2</v>
      </c>
      <c r="ED128" s="4">
        <f>HYPERLINK("http://exon.niaid.nih.gov/transcriptome/C_felis/S1/links/cluster/cf-5-36-asb75-50-Id-CLU12.txt", 12)</f>
        <v>12</v>
      </c>
      <c r="EE128">
        <f>HYPERLINK("http://exon.niaid.nih.gov/transcriptome/C_felis/S1/links/cluster/cf-5-36-asb75-50-Id-CLTL12.txt", 2)</f>
        <v>2</v>
      </c>
      <c r="EF128" s="4">
        <f>HYPERLINK("http://exon.niaid.nih.gov/transcriptome/C_felis/S1/links/cluster/cf-5-36-asb80-50-Id-CLU9.txt", 9)</f>
        <v>9</v>
      </c>
      <c r="EG128">
        <f>HYPERLINK("http://exon.niaid.nih.gov/transcriptome/C_felis/S1/links/cluster/cf-5-36-asb80-50-Id-CLTL9.txt", 2)</f>
        <v>2</v>
      </c>
      <c r="EH128" s="4">
        <v>133</v>
      </c>
      <c r="EI128">
        <v>1</v>
      </c>
      <c r="EJ128" s="4">
        <v>134</v>
      </c>
      <c r="EK128">
        <v>1</v>
      </c>
    </row>
    <row r="129" spans="1:141" s="6" customFormat="1" x14ac:dyDescent="0.2">
      <c r="A129" s="12" t="s">
        <v>4882</v>
      </c>
      <c r="AB129" s="6" t="s">
        <v>42</v>
      </c>
    </row>
    <row r="130" spans="1:141" x14ac:dyDescent="0.2">
      <c r="A130" t="str">
        <f>HYPERLINK("http://exon.niaid.nih.gov/transcriptome/C_felis/S1/links/cf/cf-contig_622.txt","cf-contig_622")</f>
        <v>cf-contig_622</v>
      </c>
      <c r="B130">
        <v>1</v>
      </c>
      <c r="C130" s="10" t="s">
        <v>4825</v>
      </c>
      <c r="D130">
        <v>1</v>
      </c>
      <c r="E130" t="str">
        <f>HYPERLINK("http://exon.niaid.nih.gov/transcriptome/C_felis/S1/links/cf/cf-5-36-asb-622.txt","Contig-622")</f>
        <v>Contig-622</v>
      </c>
      <c r="F130" t="str">
        <f>HYPERLINK("http://exon.niaid.nih.gov/transcriptome/C_felis/S1/links/cf/cf-5-36-622-CLU.txt","Contig622")</f>
        <v>Contig622</v>
      </c>
      <c r="G130" t="str">
        <f>HYPERLINK("http://exon.niaid.nih.gov/transcriptome/C_felis/S1/links/cf/cf-5-36-622-qual.txt","61.6")</f>
        <v>61.6</v>
      </c>
      <c r="H130" t="s">
        <v>11</v>
      </c>
      <c r="I130">
        <v>71</v>
      </c>
      <c r="J130">
        <v>409</v>
      </c>
      <c r="K130" t="s">
        <v>12</v>
      </c>
      <c r="L130">
        <v>1</v>
      </c>
      <c r="M130" t="s">
        <v>635</v>
      </c>
      <c r="N130">
        <v>409</v>
      </c>
      <c r="O130">
        <v>428</v>
      </c>
      <c r="P130">
        <v>237</v>
      </c>
      <c r="Q130" t="s">
        <v>1441</v>
      </c>
      <c r="R130">
        <v>3</v>
      </c>
      <c r="S130" s="7" t="str">
        <f>HYPERLINK("http://exon.niaid.nih.gov/transcriptome/C_felis/S1/links/Sigp/CF-CONTIG_622-SigP.txt","Cyt")</f>
        <v>Cyt</v>
      </c>
      <c r="U130">
        <v>1</v>
      </c>
      <c r="V130" s="4">
        <v>508</v>
      </c>
      <c r="W130">
        <v>1</v>
      </c>
      <c r="X130" s="4">
        <v>520</v>
      </c>
      <c r="Y130">
        <v>1</v>
      </c>
      <c r="Z130" s="4">
        <v>530</v>
      </c>
      <c r="AA130">
        <v>1</v>
      </c>
      <c r="AB130" s="4" t="str">
        <f>HYPERLINK("http://exon.niaid.nih.gov/transcriptome/C_felis/S1/links/XC-ASB/cf-contig_622-XC-ASB.txt","XC-contig_57")</f>
        <v>XC-contig_57</v>
      </c>
      <c r="AC130">
        <v>5.0000000000000001E-3</v>
      </c>
      <c r="AD130" s="10" t="s">
        <v>4825</v>
      </c>
      <c r="AE130" t="s">
        <v>4678</v>
      </c>
      <c r="AF130" t="str">
        <f>HYPERLINK("http://exon.niaid.nih.gov/transcriptome/C_felis/S1/links/NR/cf-contig_622-NR.txt","NR")</f>
        <v>NR</v>
      </c>
      <c r="AG130">
        <v>2.9999999999999998E-13</v>
      </c>
      <c r="AH130">
        <v>12.7</v>
      </c>
      <c r="AI130" s="4" t="str">
        <f>HYPERLINK("http://exon.niaid.nih.gov/transcriptome/C_felis/S1/links/NR/cf-contig_622-NR.txt","hypothetical protein TcasGA2_TC008121")</f>
        <v>hypothetical protein TcasGA2_TC008121</v>
      </c>
      <c r="AJ130" t="str">
        <f>HYPERLINK("http://www.ncbi.nlm.nih.gov/sutils/blink.cgi?pid=270005986","3E-013")</f>
        <v>3E-013</v>
      </c>
      <c r="AK130" t="str">
        <f>HYPERLINK("http://www.ncbi.nlm.nih.gov/protein/270005986","gi|270005986")</f>
        <v>gi|270005986</v>
      </c>
      <c r="AL130">
        <v>78.599999999999994</v>
      </c>
      <c r="AM130">
        <v>75</v>
      </c>
      <c r="AN130">
        <v>579</v>
      </c>
      <c r="AO130">
        <v>44</v>
      </c>
      <c r="AP130">
        <v>13</v>
      </c>
      <c r="AQ130">
        <v>42</v>
      </c>
      <c r="AR130">
        <v>0</v>
      </c>
      <c r="AS130">
        <v>488</v>
      </c>
      <c r="AT130">
        <v>33</v>
      </c>
      <c r="AU130">
        <v>1</v>
      </c>
      <c r="AV130">
        <v>3</v>
      </c>
      <c r="AW130" t="s">
        <v>12</v>
      </c>
      <c r="AX130">
        <v>1.333</v>
      </c>
      <c r="AY130" t="s">
        <v>1676</v>
      </c>
      <c r="AZ130" t="s">
        <v>1878</v>
      </c>
      <c r="BA130" s="4" t="str">
        <f>HYPERLINK("http://exon.niaid.nih.gov/transcriptome/C_felis/S1/links/SWISSP/cf-contig_622-SWISSP.txt","Protein lin-9 homolog")</f>
        <v>Protein lin-9 homolog</v>
      </c>
      <c r="BB130" t="str">
        <f>HYPERLINK("http://www.uniprot.org/uniprot/Q4R8N2","1E-007")</f>
        <v>1E-007</v>
      </c>
      <c r="BC130" t="s">
        <v>3947</v>
      </c>
      <c r="BD130">
        <v>55.5</v>
      </c>
      <c r="BE130">
        <v>70</v>
      </c>
      <c r="BF130">
        <v>542</v>
      </c>
      <c r="BG130">
        <v>36</v>
      </c>
      <c r="BH130">
        <v>13</v>
      </c>
      <c r="BI130">
        <v>45</v>
      </c>
      <c r="BJ130">
        <v>1</v>
      </c>
      <c r="BK130">
        <v>455</v>
      </c>
      <c r="BL130">
        <v>51</v>
      </c>
      <c r="BM130">
        <v>1</v>
      </c>
      <c r="BN130">
        <v>3</v>
      </c>
      <c r="BO130" t="s">
        <v>12</v>
      </c>
      <c r="BQ130" t="s">
        <v>1676</v>
      </c>
      <c r="BR130" t="s">
        <v>3948</v>
      </c>
      <c r="BS130" s="4" t="str">
        <f>HYPERLINK("http://exon.niaid.nih.gov/transcriptome/C_felis/S1/links/CDD/cf-contig_622-CDD.txt","flavin_oxioredu")</f>
        <v>flavin_oxioredu</v>
      </c>
      <c r="BT130" t="str">
        <f>HYPERLINK("http://www.ncbi.nlm.nih.gov/Structure/cdd/cddsrv.cgi?uid=cd06189&amp;version=v4.0","0.015")</f>
        <v>0.015</v>
      </c>
      <c r="BU130" t="s">
        <v>3949</v>
      </c>
      <c r="BV130" s="4" t="s">
        <v>3950</v>
      </c>
      <c r="BW130">
        <f>HYPERLINK("http://exon.niaid.nih.gov/transcriptome/C_felis/S1/links/GO/cf-contig_622-GO.txt",0.00000009)</f>
        <v>8.9999999999999999E-8</v>
      </c>
      <c r="BX130" t="s">
        <v>42</v>
      </c>
      <c r="BY130" t="s">
        <v>42</v>
      </c>
      <c r="BZ130" t="s">
        <v>42</v>
      </c>
      <c r="CA130" t="s">
        <v>42</v>
      </c>
      <c r="CC130" t="s">
        <v>42</v>
      </c>
      <c r="CD130" t="s">
        <v>42</v>
      </c>
      <c r="CE130" t="str">
        <f>HYPERLINK("http://amigo.geneontology.org/cgi-bin/amigo/term_details?term=GO:0005634","GO:0005634")</f>
        <v>GO:0005634</v>
      </c>
      <c r="CF130" t="s">
        <v>2064</v>
      </c>
      <c r="CG130" t="s">
        <v>2065</v>
      </c>
      <c r="CH130" t="s">
        <v>2066</v>
      </c>
      <c r="CI130" t="s">
        <v>42</v>
      </c>
      <c r="CK130">
        <v>2.9999999999999999E-7</v>
      </c>
      <c r="CL130" t="s">
        <v>42</v>
      </c>
      <c r="CM130" t="s">
        <v>42</v>
      </c>
      <c r="CN130" t="s">
        <v>42</v>
      </c>
      <c r="CO130" t="s">
        <v>42</v>
      </c>
      <c r="CQ130" t="s">
        <v>42</v>
      </c>
      <c r="CR130" t="s">
        <v>42</v>
      </c>
      <c r="CS130" s="4" t="str">
        <f>HYPERLINK("http://exon.niaid.nih.gov/transcriptome/C_felis/S1/links/KOG/cf-contig_622-KOG.txt","Glucosyltransferase - Alg8p")</f>
        <v>Glucosyltransferase - Alg8p</v>
      </c>
      <c r="CT130" t="str">
        <f>HYPERLINK("http://www.ncbi.nlm.nih.gov/COG/grace/shokog.cgi?KOG2576","0.68")</f>
        <v>0.68</v>
      </c>
      <c r="CU130" t="s">
        <v>1692</v>
      </c>
      <c r="CV130" s="4" t="str">
        <f>HYPERLINK("http://exon.niaid.nih.gov/transcriptome/C_felis/S1/links/PFAM/cf-contig_622-PFAM.txt","GpcrRhopsn4")</f>
        <v>GpcrRhopsn4</v>
      </c>
      <c r="CW130" t="str">
        <f>HYPERLINK("http://pfam.sanger.ac.uk/family?acc=PF10192","0.044")</f>
        <v>0.044</v>
      </c>
      <c r="CX130" s="4" t="str">
        <f>HYPERLINK("http://exon.niaid.nih.gov/transcriptome/C_felis/S1/links/SMART/cf-contig_622-SMART.txt","BBC")</f>
        <v>BBC</v>
      </c>
      <c r="CY130" t="str">
        <f>HYPERLINK("http://smart.embl-heidelberg.de/smart/do_annotation.pl?DOMAIN=BBC&amp;BLAST=DUMMY","0.023")</f>
        <v>0.023</v>
      </c>
      <c r="CZ130" s="4" t="s">
        <v>42</v>
      </c>
      <c r="DA130" t="s">
        <v>42</v>
      </c>
      <c r="DB130" t="s">
        <v>42</v>
      </c>
      <c r="DC130" t="s">
        <v>42</v>
      </c>
      <c r="DD130" t="s">
        <v>42</v>
      </c>
      <c r="DE130" t="s">
        <v>42</v>
      </c>
      <c r="DF130" t="s">
        <v>42</v>
      </c>
      <c r="DG130" t="s">
        <v>42</v>
      </c>
      <c r="DH130" s="4" t="s">
        <v>42</v>
      </c>
      <c r="DI130" t="s">
        <v>42</v>
      </c>
      <c r="DJ130" s="4" t="s">
        <v>42</v>
      </c>
      <c r="DK130" t="s">
        <v>42</v>
      </c>
      <c r="DL130" s="4">
        <v>508</v>
      </c>
      <c r="DM130">
        <v>1</v>
      </c>
      <c r="DN130" s="4">
        <v>520</v>
      </c>
      <c r="DO130">
        <v>1</v>
      </c>
      <c r="DP130" s="4">
        <v>530</v>
      </c>
      <c r="DQ130">
        <v>1</v>
      </c>
      <c r="DR130" s="4">
        <v>549</v>
      </c>
      <c r="DS130">
        <v>1</v>
      </c>
      <c r="DT130" s="4">
        <v>561</v>
      </c>
      <c r="DU130">
        <v>1</v>
      </c>
      <c r="DV130" s="4">
        <v>575</v>
      </c>
      <c r="DW130">
        <v>1</v>
      </c>
      <c r="DX130" s="4">
        <v>584</v>
      </c>
      <c r="DY130">
        <v>1</v>
      </c>
      <c r="DZ130" s="4">
        <v>592</v>
      </c>
      <c r="EA130">
        <v>1</v>
      </c>
      <c r="EB130" s="4">
        <v>597</v>
      </c>
      <c r="EC130">
        <v>1</v>
      </c>
      <c r="ED130" s="4">
        <v>601</v>
      </c>
      <c r="EE130">
        <v>1</v>
      </c>
      <c r="EF130" s="4">
        <v>607</v>
      </c>
      <c r="EG130">
        <v>1</v>
      </c>
      <c r="EH130" s="4">
        <v>615</v>
      </c>
      <c r="EI130">
        <v>1</v>
      </c>
      <c r="EJ130" s="4">
        <v>622</v>
      </c>
      <c r="EK130">
        <v>1</v>
      </c>
    </row>
    <row r="131" spans="1:141" x14ac:dyDescent="0.2">
      <c r="A131" t="str">
        <f>HYPERLINK("http://exon.niaid.nih.gov/transcriptome/C_felis/S1/links/cf/cf-contig_697.txt","cf-contig_697")</f>
        <v>cf-contig_697</v>
      </c>
      <c r="B131">
        <v>1</v>
      </c>
      <c r="C131" s="10" t="s">
        <v>4848</v>
      </c>
      <c r="D131">
        <v>1</v>
      </c>
      <c r="E131" t="str">
        <f>HYPERLINK("http://exon.niaid.nih.gov/transcriptome/C_felis/S1/links/cf/cf-5-36-asb-697.txt","Contig-697")</f>
        <v>Contig-697</v>
      </c>
      <c r="F131" t="str">
        <f>HYPERLINK("http://exon.niaid.nih.gov/transcriptome/C_felis/S1/links/cf/cf-5-36-697-CLU.txt","Contig697")</f>
        <v>Contig697</v>
      </c>
      <c r="G131" t="str">
        <f>HYPERLINK("http://exon.niaid.nih.gov/transcriptome/C_felis/S1/links/cf/cf-5-36-697-qual.txt","64.1")</f>
        <v>64.1</v>
      </c>
      <c r="H131" t="s">
        <v>11</v>
      </c>
      <c r="I131">
        <v>58.7</v>
      </c>
      <c r="J131">
        <v>364</v>
      </c>
      <c r="K131" t="s">
        <v>12</v>
      </c>
      <c r="L131">
        <v>1</v>
      </c>
      <c r="M131" t="s">
        <v>710</v>
      </c>
      <c r="N131">
        <v>364</v>
      </c>
      <c r="O131">
        <v>383</v>
      </c>
      <c r="P131">
        <v>273</v>
      </c>
      <c r="Q131" t="s">
        <v>1516</v>
      </c>
      <c r="R131">
        <v>1</v>
      </c>
      <c r="S131" s="7" t="str">
        <f>HYPERLINK("http://exon.niaid.nih.gov/transcriptome/C_felis/S1/links/Sigp/CF-CONTIG_697-SigP.txt","Cyt")</f>
        <v>Cyt</v>
      </c>
      <c r="U131">
        <v>1</v>
      </c>
      <c r="V131" s="4">
        <v>568</v>
      </c>
      <c r="W131">
        <v>1</v>
      </c>
      <c r="X131" s="4">
        <v>583</v>
      </c>
      <c r="Y131">
        <v>1</v>
      </c>
      <c r="Z131" s="4">
        <v>595</v>
      </c>
      <c r="AA131">
        <v>1</v>
      </c>
      <c r="AB131" s="4" t="str">
        <f>HYPERLINK("http://exon.niaid.nih.gov/transcriptome/C_felis/S1/links/XC-ASB/cf-contig_697-XC-ASB.txt","XC-contig_190")</f>
        <v>XC-contig_190</v>
      </c>
      <c r="AC131">
        <v>0.38</v>
      </c>
      <c r="AD131" s="10" t="s">
        <v>4848</v>
      </c>
      <c r="AE131" t="s">
        <v>4678</v>
      </c>
      <c r="AF131" t="str">
        <f>HYPERLINK("http://exon.niaid.nih.gov/transcriptome/C_felis/S1/links/PFAM/cf-contig_697-PFAM.txt","PFAM")</f>
        <v>PFAM</v>
      </c>
      <c r="AG131" s="5">
        <v>7.9999999999999998E-28</v>
      </c>
      <c r="AH131">
        <v>59.2</v>
      </c>
      <c r="AI131" s="4" t="str">
        <f>HYPERLINK("http://exon.niaid.nih.gov/transcriptome/C_felis/S1/links/NR/cf-contig_697-NR.txt","AGAP009652-PA")</f>
        <v>AGAP009652-PA</v>
      </c>
      <c r="AJ131" t="str">
        <f>HYPERLINK("http://www.ncbi.nlm.nih.gov/sutils/blink.cgi?pid=31232346","3E-028")</f>
        <v>3E-028</v>
      </c>
      <c r="AK131" t="str">
        <f>HYPERLINK("http://www.ncbi.nlm.nih.gov/protein/31232346","gi|31232346")</f>
        <v>gi|31232346</v>
      </c>
      <c r="AL131">
        <v>128</v>
      </c>
      <c r="AM131">
        <v>86</v>
      </c>
      <c r="AN131">
        <v>153</v>
      </c>
      <c r="AO131">
        <v>65</v>
      </c>
      <c r="AP131">
        <v>57</v>
      </c>
      <c r="AQ131">
        <v>30</v>
      </c>
      <c r="AR131">
        <v>0</v>
      </c>
      <c r="AS131">
        <v>64</v>
      </c>
      <c r="AT131">
        <v>19</v>
      </c>
      <c r="AU131">
        <v>1</v>
      </c>
      <c r="AV131">
        <v>1</v>
      </c>
      <c r="AW131" t="s">
        <v>12</v>
      </c>
      <c r="AY131" t="s">
        <v>1676</v>
      </c>
      <c r="AZ131" t="s">
        <v>2374</v>
      </c>
      <c r="BA131" s="4" t="str">
        <f>HYPERLINK("http://exon.niaid.nih.gov/transcriptome/C_felis/S1/links/SWISSP/cf-contig_697-SWISSP.txt","NADH dehydrogenase")</f>
        <v>NADH dehydrogenase</v>
      </c>
      <c r="BB131" t="str">
        <f>HYPERLINK("http://www.uniprot.org/uniprot/Q95KV7","5E-007")</f>
        <v>5E-007</v>
      </c>
      <c r="BC131" t="s">
        <v>4196</v>
      </c>
      <c r="BD131">
        <v>53.1</v>
      </c>
      <c r="BE131">
        <v>64</v>
      </c>
      <c r="BF131">
        <v>144</v>
      </c>
      <c r="BG131">
        <v>43</v>
      </c>
      <c r="BH131">
        <v>45</v>
      </c>
      <c r="BI131">
        <v>41</v>
      </c>
      <c r="BJ131">
        <v>0</v>
      </c>
      <c r="BK131">
        <v>61</v>
      </c>
      <c r="BL131">
        <v>19</v>
      </c>
      <c r="BM131">
        <v>1</v>
      </c>
      <c r="BN131">
        <v>1</v>
      </c>
      <c r="BO131" t="s">
        <v>12</v>
      </c>
      <c r="BQ131" t="s">
        <v>1676</v>
      </c>
      <c r="BR131" t="s">
        <v>1679</v>
      </c>
      <c r="BS131" s="4" t="str">
        <f>HYPERLINK("http://exon.niaid.nih.gov/transcriptome/C_felis/S1/links/CDD/cf-contig_697-CDD.txt","GRIM-19")</f>
        <v>GRIM-19</v>
      </c>
      <c r="BT131" t="str">
        <f>HYPERLINK("http://www.ncbi.nlm.nih.gov/Structure/cdd/cddsrv.cgi?uid=pfam06212&amp;version=v4.0","3E-027")</f>
        <v>3E-027</v>
      </c>
      <c r="BU131" t="s">
        <v>4197</v>
      </c>
      <c r="BV131" s="4" t="s">
        <v>4198</v>
      </c>
      <c r="BW131">
        <f>HYPERLINK("http://exon.niaid.nih.gov/transcriptome/C_felis/S1/links/GO/cf-contig_697-GO.txt",2E-25)</f>
        <v>2.0000000000000001E-25</v>
      </c>
      <c r="BX131" t="str">
        <f>HYPERLINK("http://amigo.geneontology.org/cgi-bin/amigo/term_details?term=GO:0003954","GO:0003954")</f>
        <v>GO:0003954</v>
      </c>
      <c r="BY131" t="s">
        <v>4199</v>
      </c>
      <c r="BZ131" t="s">
        <v>4200</v>
      </c>
      <c r="CA131" t="s">
        <v>4201</v>
      </c>
      <c r="CB131" t="str">
        <f>HYPERLINK("http://www.genome.jp/dbget-bin/www_bfind_sub?mode=bfind&amp;max_hit=1000&amp;dbkey=kegg&amp;keywords=EC:1.6.99.3","EC:1.6.99.3")</f>
        <v>EC:1.6.99.3</v>
      </c>
      <c r="CD131" s="5">
        <v>2.0000000000000001E-25</v>
      </c>
      <c r="CE131" t="str">
        <f>HYPERLINK("http://amigo.geneontology.org/cgi-bin/amigo/term_details?term=GO:0005747","GO:0005747")</f>
        <v>GO:0005747</v>
      </c>
      <c r="CF131" t="s">
        <v>3137</v>
      </c>
      <c r="CG131" t="s">
        <v>3138</v>
      </c>
      <c r="CH131" t="s">
        <v>42</v>
      </c>
      <c r="CI131" t="s">
        <v>42</v>
      </c>
      <c r="CK131" s="5">
        <v>2.0000000000000001E-25</v>
      </c>
      <c r="CL131" t="str">
        <f>HYPERLINK("http://amigo.geneontology.org/cgi-bin/amigo/term_details?term=GO:0006120","GO:0006120")</f>
        <v>GO:0006120</v>
      </c>
      <c r="CM131" t="s">
        <v>3139</v>
      </c>
      <c r="CN131" t="s">
        <v>3140</v>
      </c>
      <c r="CO131" t="s">
        <v>3141</v>
      </c>
      <c r="CP131" t="s">
        <v>42</v>
      </c>
      <c r="CR131" s="5">
        <v>2.0000000000000001E-25</v>
      </c>
      <c r="CS131" s="4" t="str">
        <f>HYPERLINK("http://exon.niaid.nih.gov/transcriptome/C_felis/S1/links/KOG/cf-contig_697-KOG.txt","NADH:ubiquinone oxidoreductase, B16.6 subunit/cell death-regulatory protein")</f>
        <v>NADH:ubiquinone oxidoreductase, B16.6 subunit/cell death-regulatory protein</v>
      </c>
      <c r="CT131" t="str">
        <f>HYPERLINK("http://www.ncbi.nlm.nih.gov/COG/grace/shokog.cgi?KOG3300","5E-020")</f>
        <v>5E-020</v>
      </c>
      <c r="CU131" t="s">
        <v>4202</v>
      </c>
      <c r="CV131" s="4" t="str">
        <f>HYPERLINK("http://exon.niaid.nih.gov/transcriptome/C_felis/S1/links/PFAM/cf-contig_697-PFAM.txt","GRIM-19")</f>
        <v>GRIM-19</v>
      </c>
      <c r="CW131" t="str">
        <f>HYPERLINK("http://pfam.sanger.ac.uk/family?acc=PF06212","8E-028")</f>
        <v>8E-028</v>
      </c>
      <c r="CX131" s="4" t="str">
        <f>HYPERLINK("http://exon.niaid.nih.gov/transcriptome/C_felis/S1/links/SMART/cf-contig_697-SMART.txt","C1_4")</f>
        <v>C1_4</v>
      </c>
      <c r="CY131" t="str">
        <f>HYPERLINK("http://smart.embl-heidelberg.de/smart/do_annotation.pl?DOMAIN=C1_4&amp;BLAST=DUMMY","0.029")</f>
        <v>0.029</v>
      </c>
      <c r="CZ131" s="4" t="s">
        <v>42</v>
      </c>
      <c r="DA131" t="s">
        <v>42</v>
      </c>
      <c r="DB131" t="s">
        <v>42</v>
      </c>
      <c r="DC131" t="s">
        <v>42</v>
      </c>
      <c r="DD131" t="s">
        <v>42</v>
      </c>
      <c r="DE131" t="s">
        <v>42</v>
      </c>
      <c r="DF131" t="s">
        <v>42</v>
      </c>
      <c r="DG131" t="s">
        <v>42</v>
      </c>
      <c r="DH131" s="4" t="s">
        <v>42</v>
      </c>
      <c r="DI131" t="s">
        <v>42</v>
      </c>
      <c r="DJ131" s="4" t="s">
        <v>42</v>
      </c>
      <c r="DK131" t="s">
        <v>42</v>
      </c>
      <c r="DL131" s="4">
        <v>568</v>
      </c>
      <c r="DM131">
        <v>1</v>
      </c>
      <c r="DN131" s="4">
        <v>583</v>
      </c>
      <c r="DO131">
        <v>1</v>
      </c>
      <c r="DP131" s="4">
        <v>595</v>
      </c>
      <c r="DQ131">
        <v>1</v>
      </c>
      <c r="DR131" s="4">
        <v>616</v>
      </c>
      <c r="DS131">
        <v>1</v>
      </c>
      <c r="DT131" s="4">
        <v>630</v>
      </c>
      <c r="DU131">
        <v>1</v>
      </c>
      <c r="DV131" s="4">
        <v>645</v>
      </c>
      <c r="DW131">
        <v>1</v>
      </c>
      <c r="DX131" s="4">
        <v>654</v>
      </c>
      <c r="DY131">
        <v>1</v>
      </c>
      <c r="DZ131" s="4">
        <v>664</v>
      </c>
      <c r="EA131">
        <v>1</v>
      </c>
      <c r="EB131" s="4">
        <v>669</v>
      </c>
      <c r="EC131">
        <v>1</v>
      </c>
      <c r="ED131" s="4">
        <v>673</v>
      </c>
      <c r="EE131">
        <v>1</v>
      </c>
      <c r="EF131" s="4">
        <v>679</v>
      </c>
      <c r="EG131">
        <v>1</v>
      </c>
      <c r="EH131" s="4">
        <v>688</v>
      </c>
      <c r="EI131">
        <v>1</v>
      </c>
      <c r="EJ131" s="4">
        <v>697</v>
      </c>
      <c r="EK131">
        <v>1</v>
      </c>
    </row>
    <row r="132" spans="1:141" x14ac:dyDescent="0.2">
      <c r="A132" t="str">
        <f>HYPERLINK("http://exon.niaid.nih.gov/transcriptome/C_felis/S1/links/cf/cf-contig_242.txt","cf-contig_242")</f>
        <v>cf-contig_242</v>
      </c>
      <c r="B132">
        <v>2</v>
      </c>
      <c r="C132" s="10" t="s">
        <v>4710</v>
      </c>
      <c r="D132">
        <v>2</v>
      </c>
      <c r="E132" t="str">
        <f>HYPERLINK("http://exon.niaid.nih.gov/transcriptome/C_felis/S1/links/cf/cf-5-36-asb-242.txt","Contig-242")</f>
        <v>Contig-242</v>
      </c>
      <c r="F132" t="str">
        <f>HYPERLINK("http://exon.niaid.nih.gov/transcriptome/C_felis/S1/links/cf/cf-5-36-242-CLU.txt","Contig242")</f>
        <v>Contig242</v>
      </c>
      <c r="G132" t="str">
        <f>HYPERLINK("http://exon.niaid.nih.gov/transcriptome/C_felis/S1/links/cf/cf-5-36-242-qual.txt","79.6")</f>
        <v>79.6</v>
      </c>
      <c r="H132">
        <v>0.3</v>
      </c>
      <c r="I132">
        <v>67</v>
      </c>
      <c r="J132">
        <v>757</v>
      </c>
      <c r="K132" t="s">
        <v>12</v>
      </c>
      <c r="L132">
        <v>2</v>
      </c>
      <c r="M132" t="s">
        <v>255</v>
      </c>
      <c r="N132">
        <v>757</v>
      </c>
      <c r="O132">
        <v>776</v>
      </c>
      <c r="P132">
        <v>645</v>
      </c>
      <c r="Q132" t="s">
        <v>1062</v>
      </c>
      <c r="R132">
        <v>3</v>
      </c>
      <c r="S132" s="7" t="str">
        <f>HYPERLINK("http://exon.niaid.nih.gov/transcriptome/C_felis/S1/links/Sigp/CF-CONTIG_242-SigP.txt","Cyt")</f>
        <v>Cyt</v>
      </c>
      <c r="U132">
        <v>2</v>
      </c>
      <c r="V132" s="4">
        <v>191</v>
      </c>
      <c r="W132">
        <v>1</v>
      </c>
      <c r="X132" s="4">
        <v>194</v>
      </c>
      <c r="Y132">
        <v>1</v>
      </c>
      <c r="Z132" s="4">
        <v>192</v>
      </c>
      <c r="AA132">
        <v>1</v>
      </c>
      <c r="AB132" s="4" t="str">
        <f>HYPERLINK("http://exon.niaid.nih.gov/transcriptome/C_felis/S1/links/XC-ASB/cf-contig_242-XC-ASB.txt","XC-contig_102")</f>
        <v>XC-contig_102</v>
      </c>
      <c r="AC132">
        <v>9E-46</v>
      </c>
      <c r="AD132" s="10" t="s">
        <v>4710</v>
      </c>
      <c r="AE132" t="s">
        <v>4678</v>
      </c>
      <c r="AF132" t="str">
        <f>HYPERLINK("http://exon.niaid.nih.gov/transcriptome/C_felis/S1/links/GO/cf-contig_242-GO.txt","GO")</f>
        <v>GO</v>
      </c>
      <c r="AG132">
        <v>0</v>
      </c>
      <c r="AH132">
        <v>69.099999999999994</v>
      </c>
      <c r="AI132" s="4" t="str">
        <f>HYPERLINK("http://exon.niaid.nih.gov/transcriptome/C_felis/S1/links/NR/cf-contig_242-NR.txt","polyubiquitin-like")</f>
        <v>polyubiquitin-like</v>
      </c>
      <c r="AJ132" t="str">
        <f>HYPERLINK("http://www.ncbi.nlm.nih.gov/sutils/blink.cgi?pid=340374850","1E-113")</f>
        <v>1E-113</v>
      </c>
      <c r="AK132" t="str">
        <f>HYPERLINK("http://www.ncbi.nlm.nih.gov/protein/340374850","gi|340374850")</f>
        <v>gi|340374850</v>
      </c>
      <c r="AL132">
        <v>414</v>
      </c>
      <c r="AM132">
        <v>380</v>
      </c>
      <c r="AN132">
        <v>381</v>
      </c>
      <c r="AO132">
        <v>100</v>
      </c>
      <c r="AP132">
        <v>100</v>
      </c>
      <c r="AQ132">
        <v>0</v>
      </c>
      <c r="AR132">
        <v>0</v>
      </c>
      <c r="AS132">
        <v>1</v>
      </c>
      <c r="AT132">
        <v>15</v>
      </c>
      <c r="AU132">
        <v>4</v>
      </c>
      <c r="AV132">
        <v>3</v>
      </c>
      <c r="AW132" t="s">
        <v>12</v>
      </c>
      <c r="AY132" t="s">
        <v>1676</v>
      </c>
      <c r="AZ132" t="s">
        <v>2578</v>
      </c>
      <c r="BA132" s="4" t="str">
        <f>HYPERLINK("http://exon.niaid.nih.gov/transcriptome/C_felis/S1/links/SWISSP/cf-contig_242-SWISSP.txt","Polyubiquitin-C")</f>
        <v>Polyubiquitin-C</v>
      </c>
      <c r="BB132" t="str">
        <f>HYPERLINK("http://www.uniprot.org/uniprot/P0CG68","1E-115")</f>
        <v>1E-115</v>
      </c>
      <c r="BC132" t="s">
        <v>2579</v>
      </c>
      <c r="BD132">
        <v>414</v>
      </c>
      <c r="BE132">
        <v>532</v>
      </c>
      <c r="BF132">
        <v>533</v>
      </c>
      <c r="BG132">
        <v>100</v>
      </c>
      <c r="BH132">
        <v>100</v>
      </c>
      <c r="BI132">
        <v>0</v>
      </c>
      <c r="BJ132">
        <v>0</v>
      </c>
      <c r="BK132">
        <v>1</v>
      </c>
      <c r="BL132">
        <v>15</v>
      </c>
      <c r="BM132">
        <v>6</v>
      </c>
      <c r="BN132">
        <v>3</v>
      </c>
      <c r="BO132" t="s">
        <v>12</v>
      </c>
      <c r="BQ132" t="s">
        <v>1676</v>
      </c>
      <c r="BR132" t="s">
        <v>1902</v>
      </c>
      <c r="BS132" s="4" t="str">
        <f>HYPERLINK("http://exon.niaid.nih.gov/transcriptome/C_felis/S1/links/CDD/cf-contig_242-CDD.txt","Ubiquitin")</f>
        <v>Ubiquitin</v>
      </c>
      <c r="BT132" t="str">
        <f>HYPERLINK("http://www.ncbi.nlm.nih.gov/Structure/cdd/cddsrv.cgi?uid=cd01803&amp;version=v4.0","6E-044")</f>
        <v>6E-044</v>
      </c>
      <c r="BU132" t="s">
        <v>2580</v>
      </c>
      <c r="BV132" s="4" t="s">
        <v>2581</v>
      </c>
      <c r="BW132">
        <f>HYPERLINK("http://exon.niaid.nih.gov/transcriptome/C_felis/S1/links/GO/cf-contig_242-GO.txt",0)</f>
        <v>0</v>
      </c>
      <c r="BX132" t="str">
        <f>HYPERLINK("http://amigo.geneontology.org/cgi-bin/amigo/term_details?term=GO:0004842","GO:0004842")</f>
        <v>GO:0004842</v>
      </c>
      <c r="BY132" t="s">
        <v>2582</v>
      </c>
      <c r="BZ132" t="s">
        <v>2583</v>
      </c>
      <c r="CA132" t="s">
        <v>2584</v>
      </c>
      <c r="CB132" t="str">
        <f>HYPERLINK("http://www.genome.jp/dbget-bin/www_bfind_sub?mode=bfind&amp;max_hit=1000&amp;dbkey=kegg&amp;keywords=EC:6.3.2.19","EC:6.3.2.19")</f>
        <v>EC:6.3.2.19</v>
      </c>
      <c r="CC132" t="str">
        <f>HYPERLINK("http://www.genome.jp/dbget-bin/www_bget?rn:R03876","KEGG:R03876")</f>
        <v>KEGG:R03876</v>
      </c>
      <c r="CD132" s="5">
        <v>1.0000000000000001E-114</v>
      </c>
      <c r="CE132" t="str">
        <f>HYPERLINK("http://amigo.geneontology.org/cgi-bin/amigo/term_details?term=GO:0005634","GO:0005634")</f>
        <v>GO:0005634</v>
      </c>
      <c r="CF132" t="s">
        <v>2064</v>
      </c>
      <c r="CG132" t="s">
        <v>2065</v>
      </c>
      <c r="CH132" t="s">
        <v>2066</v>
      </c>
      <c r="CI132" t="s">
        <v>42</v>
      </c>
      <c r="CK132" s="5">
        <v>1.0000000000000001E-114</v>
      </c>
      <c r="CL132" t="str">
        <f>HYPERLINK("http://amigo.geneontology.org/cgi-bin/amigo/term_details?term=GO:0000075","GO:0000075")</f>
        <v>GO:0000075</v>
      </c>
      <c r="CM132" t="s">
        <v>2585</v>
      </c>
      <c r="CN132" t="s">
        <v>2586</v>
      </c>
      <c r="CO132" t="s">
        <v>42</v>
      </c>
      <c r="CP132" t="s">
        <v>42</v>
      </c>
      <c r="CR132" s="5">
        <v>1.0000000000000001E-114</v>
      </c>
      <c r="CS132" s="4" t="str">
        <f>HYPERLINK("http://exon.niaid.nih.gov/transcriptome/C_felis/S1/links/KOG/cf-contig_242-KOG.txt","Ubiquitin/40S ribosomal protein S27a fusion")</f>
        <v>Ubiquitin/40S ribosomal protein S27a fusion</v>
      </c>
      <c r="CT132" t="str">
        <f>HYPERLINK("http://www.ncbi.nlm.nih.gov/COG/grace/shokog.cgi?KOG0004","1E-036")</f>
        <v>1E-036</v>
      </c>
      <c r="CU132" t="s">
        <v>1707</v>
      </c>
      <c r="CV132" s="4" t="str">
        <f>HYPERLINK("http://exon.niaid.nih.gov/transcriptome/C_felis/S1/links/PFAM/cf-contig_242-PFAM.txt","ubiquitin")</f>
        <v>ubiquitin</v>
      </c>
      <c r="CW132" t="str">
        <f>HYPERLINK("http://pfam.sanger.ac.uk/family?acc=PF00240","3E-030")</f>
        <v>3E-030</v>
      </c>
      <c r="CX132" s="4" t="str">
        <f>HYPERLINK("http://exon.niaid.nih.gov/transcriptome/C_felis/S1/links/SMART/cf-contig_242-SMART.txt","UBQ")</f>
        <v>UBQ</v>
      </c>
      <c r="CY132" t="str">
        <f>HYPERLINK("http://smart.embl-heidelberg.de/smart/do_annotation.pl?DOMAIN=UBQ&amp;BLAST=DUMMY","7E-031")</f>
        <v>7E-031</v>
      </c>
      <c r="CZ132" s="4" t="s">
        <v>42</v>
      </c>
      <c r="DA132" t="s">
        <v>42</v>
      </c>
      <c r="DB132" t="s">
        <v>42</v>
      </c>
      <c r="DC132" t="s">
        <v>42</v>
      </c>
      <c r="DD132" t="s">
        <v>42</v>
      </c>
      <c r="DE132" t="s">
        <v>42</v>
      </c>
      <c r="DF132" t="s">
        <v>42</v>
      </c>
      <c r="DG132" t="s">
        <v>42</v>
      </c>
      <c r="DH132" s="4" t="s">
        <v>42</v>
      </c>
      <c r="DI132" t="s">
        <v>42</v>
      </c>
      <c r="DJ132" s="4" t="s">
        <v>42</v>
      </c>
      <c r="DK132" t="s">
        <v>42</v>
      </c>
      <c r="DL132" s="4">
        <v>191</v>
      </c>
      <c r="DM132">
        <v>1</v>
      </c>
      <c r="DN132" s="4">
        <v>194</v>
      </c>
      <c r="DO132">
        <v>1</v>
      </c>
      <c r="DP132" s="4">
        <v>192</v>
      </c>
      <c r="DQ132">
        <v>1</v>
      </c>
      <c r="DR132" s="4">
        <v>200</v>
      </c>
      <c r="DS132">
        <v>1</v>
      </c>
      <c r="DT132" s="4">
        <v>206</v>
      </c>
      <c r="DU132">
        <v>1</v>
      </c>
      <c r="DV132" s="4">
        <v>218</v>
      </c>
      <c r="DW132">
        <v>1</v>
      </c>
      <c r="DX132" s="4">
        <v>220</v>
      </c>
      <c r="DY132">
        <v>1</v>
      </c>
      <c r="DZ132" s="4">
        <v>224</v>
      </c>
      <c r="EA132">
        <v>1</v>
      </c>
      <c r="EB132" s="4">
        <v>229</v>
      </c>
      <c r="EC132">
        <v>1</v>
      </c>
      <c r="ED132" s="4">
        <v>232</v>
      </c>
      <c r="EE132">
        <v>1</v>
      </c>
      <c r="EF132" s="4">
        <v>235</v>
      </c>
      <c r="EG132">
        <v>1</v>
      </c>
      <c r="EH132" s="4">
        <v>237</v>
      </c>
      <c r="EI132">
        <v>1</v>
      </c>
      <c r="EJ132" s="4">
        <v>242</v>
      </c>
      <c r="EK132">
        <v>1</v>
      </c>
    </row>
    <row r="133" spans="1:141" s="6" customFormat="1" x14ac:dyDescent="0.2">
      <c r="A133" s="12" t="s">
        <v>4883</v>
      </c>
      <c r="AB133" s="6" t="s">
        <v>42</v>
      </c>
    </row>
    <row r="134" spans="1:141" x14ac:dyDescent="0.2">
      <c r="A134" t="str">
        <f>HYPERLINK("http://exon.niaid.nih.gov/transcriptome/C_felis/S1/links/cf/cf-contig_371.txt","cf-contig_371")</f>
        <v>cf-contig_371</v>
      </c>
      <c r="B134">
        <v>1</v>
      </c>
      <c r="C134" s="10" t="s">
        <v>4747</v>
      </c>
      <c r="D134">
        <v>1</v>
      </c>
      <c r="E134" t="str">
        <f>HYPERLINK("http://exon.niaid.nih.gov/transcriptome/C_felis/S1/links/cf/cf-5-36-asb-371.txt","Contig-371")</f>
        <v>Contig-371</v>
      </c>
      <c r="F134" t="str">
        <f>HYPERLINK("http://exon.niaid.nih.gov/transcriptome/C_felis/S1/links/cf/cf-5-36-371-CLU.txt","Contig371")</f>
        <v>Contig371</v>
      </c>
      <c r="G134" t="str">
        <f>HYPERLINK("http://exon.niaid.nih.gov/transcriptome/C_felis/S1/links/cf/cf-5-36-371-qual.txt","65.7")</f>
        <v>65.7</v>
      </c>
      <c r="H134" t="s">
        <v>11</v>
      </c>
      <c r="I134">
        <v>69.099999999999994</v>
      </c>
      <c r="J134">
        <v>537</v>
      </c>
      <c r="K134" t="s">
        <v>12</v>
      </c>
      <c r="L134">
        <v>1</v>
      </c>
      <c r="M134" t="s">
        <v>384</v>
      </c>
      <c r="N134">
        <v>537</v>
      </c>
      <c r="O134">
        <v>556</v>
      </c>
      <c r="P134">
        <v>294</v>
      </c>
      <c r="Q134" t="s">
        <v>1191</v>
      </c>
      <c r="R134">
        <v>2</v>
      </c>
      <c r="S134" s="7" t="str">
        <f>HYPERLINK("http://exon.niaid.nih.gov/transcriptome/C_felis/S1/links/Sigp/CF-CONTIG_371-SigP.txt","Cyt")</f>
        <v>Cyt</v>
      </c>
      <c r="U134">
        <v>1</v>
      </c>
      <c r="V134" s="4">
        <v>300</v>
      </c>
      <c r="W134">
        <v>1</v>
      </c>
      <c r="X134" s="4">
        <v>307</v>
      </c>
      <c r="Y134">
        <v>1</v>
      </c>
      <c r="Z134" s="4">
        <v>308</v>
      </c>
      <c r="AA134">
        <v>1</v>
      </c>
      <c r="AB134" s="4" t="str">
        <f>HYPERLINK("http://exon.niaid.nih.gov/transcriptome/C_felis/S1/links/XC-ASB/cf-contig_371-XC-ASB.txt","XC-contig_176")</f>
        <v>XC-contig_176</v>
      </c>
      <c r="AC134">
        <v>1.1000000000000001</v>
      </c>
      <c r="AD134" s="10" t="s">
        <v>4747</v>
      </c>
      <c r="AE134" t="s">
        <v>4748</v>
      </c>
      <c r="AF134" t="str">
        <f>HYPERLINK("http://exon.niaid.nih.gov/transcriptome/C_felis/S1/links/KOG/cf-contig_371-KOG.txt","KOG")</f>
        <v>KOG</v>
      </c>
      <c r="AG134" s="5">
        <v>9.9999999999999993E-40</v>
      </c>
      <c r="AH134">
        <v>9.3000000000000007</v>
      </c>
      <c r="AI134" s="4" t="str">
        <f>HYPERLINK("http://exon.niaid.nih.gov/transcriptome/C_felis/S1/links/NR/cf-contig_371-NR.txt","glycine dehydrogenase")</f>
        <v>glycine dehydrogenase</v>
      </c>
      <c r="AJ134" t="str">
        <f>HYPERLINK("http://www.ncbi.nlm.nih.gov/sutils/blink.cgi?pid=45383510","2E-034")</f>
        <v>2E-034</v>
      </c>
      <c r="AK134" t="str">
        <f>HYPERLINK("http://www.ncbi.nlm.nih.gov/protein/45383510","gi|45383510")</f>
        <v>gi|45383510</v>
      </c>
      <c r="AL134">
        <v>149</v>
      </c>
      <c r="AM134">
        <v>94</v>
      </c>
      <c r="AN134">
        <v>1004</v>
      </c>
      <c r="AO134">
        <v>70</v>
      </c>
      <c r="AP134">
        <v>9</v>
      </c>
      <c r="AQ134">
        <v>28</v>
      </c>
      <c r="AR134">
        <v>0</v>
      </c>
      <c r="AS134">
        <v>898</v>
      </c>
      <c r="AT134">
        <v>8</v>
      </c>
      <c r="AU134">
        <v>1</v>
      </c>
      <c r="AV134">
        <v>2</v>
      </c>
      <c r="AW134" t="s">
        <v>12</v>
      </c>
      <c r="AY134" t="s">
        <v>1676</v>
      </c>
      <c r="AZ134" t="s">
        <v>1809</v>
      </c>
      <c r="BA134" s="4" t="str">
        <f>HYPERLINK("http://exon.niaid.nih.gov/transcriptome/C_felis/S1/links/SWISSP/cf-contig_371-SWISSP.txt","Glycine dehydrogenase")</f>
        <v>Glycine dehydrogenase</v>
      </c>
      <c r="BB134" t="str">
        <f>HYPERLINK("http://www.uniprot.org/uniprot/P15505","1E-035")</f>
        <v>1E-035</v>
      </c>
      <c r="BC134" t="s">
        <v>2976</v>
      </c>
      <c r="BD134">
        <v>149</v>
      </c>
      <c r="BE134">
        <v>94</v>
      </c>
      <c r="BF134">
        <v>1004</v>
      </c>
      <c r="BG134">
        <v>70</v>
      </c>
      <c r="BH134">
        <v>9</v>
      </c>
      <c r="BI134">
        <v>28</v>
      </c>
      <c r="BJ134">
        <v>0</v>
      </c>
      <c r="BK134">
        <v>898</v>
      </c>
      <c r="BL134">
        <v>8</v>
      </c>
      <c r="BM134">
        <v>1</v>
      </c>
      <c r="BN134">
        <v>2</v>
      </c>
      <c r="BO134" t="s">
        <v>12</v>
      </c>
      <c r="BQ134" t="s">
        <v>1676</v>
      </c>
      <c r="BR134" t="s">
        <v>1809</v>
      </c>
      <c r="BS134" s="4" t="str">
        <f>HYPERLINK("http://exon.niaid.nih.gov/transcriptome/C_felis/S1/links/CDD/cf-contig_371-CDD.txt","PRK05367")</f>
        <v>PRK05367</v>
      </c>
      <c r="BT134" t="str">
        <f>HYPERLINK("http://www.ncbi.nlm.nih.gov/Structure/cdd/cddsrv.cgi?uid=PRK05367&amp;version=v4.0","5E-043")</f>
        <v>5E-043</v>
      </c>
      <c r="BU134" t="s">
        <v>2977</v>
      </c>
      <c r="BV134" s="4" t="s">
        <v>2978</v>
      </c>
      <c r="BW134">
        <f>HYPERLINK("http://exon.niaid.nih.gov/transcriptome/C_felis/S1/links/GO/cf-contig_371-GO.txt",9E-36)</f>
        <v>9.0000000000000005E-36</v>
      </c>
      <c r="BX134" t="str">
        <f>HYPERLINK("http://amigo.geneontology.org/cgi-bin/amigo/term_details?term=GO:0004375","GO:0004375")</f>
        <v>GO:0004375</v>
      </c>
      <c r="BY134" t="s">
        <v>2979</v>
      </c>
      <c r="BZ134" t="s">
        <v>2980</v>
      </c>
      <c r="CA134" t="s">
        <v>2981</v>
      </c>
      <c r="CB134" t="str">
        <f>HYPERLINK("http://www.genome.jp/dbget-bin/www_bfind_sub?mode=bfind&amp;max_hit=1000&amp;dbkey=kegg&amp;keywords=EC:1.4.4.2","EC:1.4.4.2")</f>
        <v>EC:1.4.4.2</v>
      </c>
      <c r="CD134" s="5">
        <v>9.0000000000000005E-36</v>
      </c>
      <c r="CE134" t="str">
        <f>HYPERLINK("http://amigo.geneontology.org/cgi-bin/amigo/term_details?term=GO:0005739","GO:0005739")</f>
        <v>GO:0005739</v>
      </c>
      <c r="CF134" t="s">
        <v>2551</v>
      </c>
      <c r="CG134" t="s">
        <v>2552</v>
      </c>
      <c r="CH134" t="s">
        <v>2553</v>
      </c>
      <c r="CI134" t="s">
        <v>42</v>
      </c>
      <c r="CK134" s="5">
        <v>9.0000000000000005E-36</v>
      </c>
      <c r="CL134" t="str">
        <f>HYPERLINK("http://amigo.geneontology.org/cgi-bin/amigo/term_details?term=GO:0006520","GO:0006520")</f>
        <v>GO:0006520</v>
      </c>
      <c r="CM134" t="s">
        <v>2982</v>
      </c>
      <c r="CN134" t="s">
        <v>2983</v>
      </c>
      <c r="CO134" t="s">
        <v>2984</v>
      </c>
      <c r="CP134" t="s">
        <v>42</v>
      </c>
      <c r="CR134" s="5">
        <v>9.0000000000000005E-36</v>
      </c>
      <c r="CS134" s="4" t="str">
        <f>HYPERLINK("http://exon.niaid.nih.gov/transcriptome/C_felis/S1/links/KOG/cf-contig_371-KOG.txt","Glycine dehydrogenase (decarboxylating)")</f>
        <v>Glycine dehydrogenase (decarboxylating)</v>
      </c>
      <c r="CT134" t="str">
        <f>HYPERLINK("http://www.ncbi.nlm.nih.gov/COG/grace/shokog.cgi?KOG2040","1E-039")</f>
        <v>1E-039</v>
      </c>
      <c r="CU134" t="s">
        <v>2408</v>
      </c>
      <c r="CV134" s="4" t="str">
        <f>HYPERLINK("http://exon.niaid.nih.gov/transcriptome/C_felis/S1/links/PFAM/cf-contig_371-PFAM.txt","DUF72")</f>
        <v>DUF72</v>
      </c>
      <c r="CW134" t="str">
        <f>HYPERLINK("http://pfam.sanger.ac.uk/family?acc=PF01904","0.070")</f>
        <v>0.070</v>
      </c>
      <c r="CX134" s="4" t="str">
        <f>HYPERLINK("http://exon.niaid.nih.gov/transcriptome/C_felis/S1/links/SMART/cf-contig_371-SMART.txt","Malic_M")</f>
        <v>Malic_M</v>
      </c>
      <c r="CY134" t="str">
        <f>HYPERLINK("http://smart.embl-heidelberg.de/smart/do_annotation.pl?DOMAIN=Malic_M&amp;BLAST=DUMMY","0.086")</f>
        <v>0.086</v>
      </c>
      <c r="CZ134" s="4" t="s">
        <v>42</v>
      </c>
      <c r="DA134" t="s">
        <v>42</v>
      </c>
      <c r="DB134" t="s">
        <v>42</v>
      </c>
      <c r="DC134" t="s">
        <v>42</v>
      </c>
      <c r="DD134" t="s">
        <v>42</v>
      </c>
      <c r="DE134" t="s">
        <v>42</v>
      </c>
      <c r="DF134" t="s">
        <v>42</v>
      </c>
      <c r="DG134" t="s">
        <v>42</v>
      </c>
      <c r="DH134" s="4" t="s">
        <v>42</v>
      </c>
      <c r="DI134" t="s">
        <v>42</v>
      </c>
      <c r="DJ134" s="4" t="s">
        <v>42</v>
      </c>
      <c r="DK134" t="s">
        <v>42</v>
      </c>
      <c r="DL134" s="4">
        <v>300</v>
      </c>
      <c r="DM134">
        <v>1</v>
      </c>
      <c r="DN134" s="4">
        <v>307</v>
      </c>
      <c r="DO134">
        <v>1</v>
      </c>
      <c r="DP134" s="4">
        <v>308</v>
      </c>
      <c r="DQ134">
        <v>1</v>
      </c>
      <c r="DR134" s="4">
        <v>319</v>
      </c>
      <c r="DS134">
        <v>1</v>
      </c>
      <c r="DT134" s="4">
        <v>329</v>
      </c>
      <c r="DU134">
        <v>1</v>
      </c>
      <c r="DV134" s="4">
        <v>342</v>
      </c>
      <c r="DW134">
        <v>1</v>
      </c>
      <c r="DX134" s="4">
        <v>345</v>
      </c>
      <c r="DY134">
        <v>1</v>
      </c>
      <c r="DZ134" s="4">
        <v>350</v>
      </c>
      <c r="EA134">
        <v>1</v>
      </c>
      <c r="EB134" s="4">
        <v>355</v>
      </c>
      <c r="EC134">
        <v>1</v>
      </c>
      <c r="ED134" s="4">
        <v>359</v>
      </c>
      <c r="EE134">
        <v>1</v>
      </c>
      <c r="EF134" s="4">
        <v>364</v>
      </c>
      <c r="EG134">
        <v>1</v>
      </c>
      <c r="EH134" s="4">
        <v>366</v>
      </c>
      <c r="EI134">
        <v>1</v>
      </c>
      <c r="EJ134" s="4">
        <v>371</v>
      </c>
      <c r="EK134">
        <v>1</v>
      </c>
    </row>
    <row r="135" spans="1:141" x14ac:dyDescent="0.2">
      <c r="A135" t="str">
        <f>HYPERLINK("http://exon.niaid.nih.gov/transcriptome/C_felis/S1/links/cf/cf-contig_664.txt","cf-contig_664")</f>
        <v>cf-contig_664</v>
      </c>
      <c r="B135">
        <v>1</v>
      </c>
      <c r="C135" s="10" t="s">
        <v>4839</v>
      </c>
      <c r="D135">
        <v>1</v>
      </c>
      <c r="E135" t="str">
        <f>HYPERLINK("http://exon.niaid.nih.gov/transcriptome/C_felis/S1/links/cf/cf-5-36-asb-664.txt","Contig-664")</f>
        <v>Contig-664</v>
      </c>
      <c r="F135" t="str">
        <f>HYPERLINK("http://exon.niaid.nih.gov/transcriptome/C_felis/S1/links/cf/cf-5-36-664-CLU.txt","Contig664")</f>
        <v>Contig664</v>
      </c>
      <c r="G135" t="str">
        <f>HYPERLINK("http://exon.niaid.nih.gov/transcriptome/C_felis/S1/links/cf/cf-5-36-664-qual.txt","63.3")</f>
        <v>63.3</v>
      </c>
      <c r="H135" t="s">
        <v>11</v>
      </c>
      <c r="I135">
        <v>69.7</v>
      </c>
      <c r="J135">
        <v>308</v>
      </c>
      <c r="K135" t="s">
        <v>12</v>
      </c>
      <c r="L135">
        <v>1</v>
      </c>
      <c r="M135" t="s">
        <v>677</v>
      </c>
      <c r="N135">
        <v>308</v>
      </c>
      <c r="O135">
        <v>327</v>
      </c>
      <c r="P135">
        <v>165</v>
      </c>
      <c r="Q135" t="s">
        <v>1483</v>
      </c>
      <c r="R135">
        <v>1</v>
      </c>
      <c r="S135" s="7" t="s">
        <v>4585</v>
      </c>
      <c r="U135">
        <v>1</v>
      </c>
      <c r="V135" s="4">
        <v>543</v>
      </c>
      <c r="W135">
        <v>1</v>
      </c>
      <c r="X135" s="4">
        <v>555</v>
      </c>
      <c r="Y135">
        <v>1</v>
      </c>
      <c r="Z135" s="4">
        <v>567</v>
      </c>
      <c r="AA135">
        <v>1</v>
      </c>
      <c r="AB135" s="4" t="str">
        <f>HYPERLINK("http://exon.niaid.nih.gov/transcriptome/C_felis/S1/links/XC-ASB/cf-contig_664-XC-ASB.txt","XC-contig_166")</f>
        <v>XC-contig_166</v>
      </c>
      <c r="AC135">
        <v>0.25</v>
      </c>
      <c r="AD135" s="10" t="s">
        <v>4839</v>
      </c>
      <c r="AE135" t="s">
        <v>4748</v>
      </c>
      <c r="AF135" t="str">
        <f>HYPERLINK("http://exon.niaid.nih.gov/transcriptome/C_felis/S1/links/KOG/cf-contig_664-KOG.txt","KOG")</f>
        <v>KOG</v>
      </c>
      <c r="AG135">
        <v>8.9999999999999999E-8</v>
      </c>
      <c r="AH135">
        <v>13.2</v>
      </c>
      <c r="AI135" s="4" t="str">
        <f>HYPERLINK("http://exon.niaid.nih.gov/transcriptome/C_felis/S1/links/NR/cf-contig_664-NR.txt","similar to homocysteine S-methyltransferase isoform 1")</f>
        <v>similar to homocysteine S-methyltransferase isoform 1</v>
      </c>
      <c r="AJ135" t="str">
        <f>HYPERLINK("http://www.ncbi.nlm.nih.gov/sutils/blink.cgi?pid=91083213","6E-008")</f>
        <v>6E-008</v>
      </c>
      <c r="AK135" t="str">
        <f>HYPERLINK("http://www.ncbi.nlm.nih.gov/protein/91083213","gi|91083213")</f>
        <v>gi|91083213</v>
      </c>
      <c r="AL135">
        <v>61.2</v>
      </c>
      <c r="AM135">
        <v>48</v>
      </c>
      <c r="AN135">
        <v>348</v>
      </c>
      <c r="AO135">
        <v>48</v>
      </c>
      <c r="AP135">
        <v>14</v>
      </c>
      <c r="AQ135">
        <v>25</v>
      </c>
      <c r="AR135">
        <v>0</v>
      </c>
      <c r="AS135">
        <v>288</v>
      </c>
      <c r="AT135">
        <v>13</v>
      </c>
      <c r="AU135">
        <v>1</v>
      </c>
      <c r="AV135">
        <v>1</v>
      </c>
      <c r="AW135" t="s">
        <v>12</v>
      </c>
      <c r="AY135" t="s">
        <v>1676</v>
      </c>
      <c r="AZ135" t="s">
        <v>1878</v>
      </c>
      <c r="BA135" s="4" t="str">
        <f>HYPERLINK("http://exon.niaid.nih.gov/transcriptome/C_felis/S1/links/SWISSP/cf-contig_664-SWISSP.txt","Homocysteine S-methyltransferase 2")</f>
        <v>Homocysteine S-methyltransferase 2</v>
      </c>
      <c r="BB135" t="str">
        <f>HYPERLINK("http://www.uniprot.org/uniprot/Q9M1W4","2E-004")</f>
        <v>2E-004</v>
      </c>
      <c r="BC135" t="s">
        <v>4098</v>
      </c>
      <c r="BD135">
        <v>44.7</v>
      </c>
      <c r="BE135">
        <v>36</v>
      </c>
      <c r="BF135">
        <v>333</v>
      </c>
      <c r="BG135">
        <v>47</v>
      </c>
      <c r="BH135">
        <v>11</v>
      </c>
      <c r="BI135">
        <v>21</v>
      </c>
      <c r="BJ135">
        <v>0</v>
      </c>
      <c r="BK135">
        <v>297</v>
      </c>
      <c r="BL135">
        <v>43</v>
      </c>
      <c r="BM135">
        <v>1</v>
      </c>
      <c r="BN135">
        <v>1</v>
      </c>
      <c r="BO135" t="s">
        <v>12</v>
      </c>
      <c r="BQ135" t="s">
        <v>1676</v>
      </c>
      <c r="BR135" t="s">
        <v>1714</v>
      </c>
      <c r="BS135" s="4" t="str">
        <f>HYPERLINK("http://exon.niaid.nih.gov/transcriptome/C_felis/S1/links/CDD/cf-contig_664-CDD.txt","mmuM")</f>
        <v>mmuM</v>
      </c>
      <c r="BT135" t="str">
        <f>HYPERLINK("http://www.ncbi.nlm.nih.gov/Structure/cdd/cddsrv.cgi?uid=PRK09485&amp;version=v4.0","4E-007")</f>
        <v>4E-007</v>
      </c>
      <c r="BU135" t="s">
        <v>4099</v>
      </c>
      <c r="BV135" s="4" t="s">
        <v>4100</v>
      </c>
      <c r="BW135">
        <f>HYPERLINK("http://exon.niaid.nih.gov/transcriptome/C_felis/S1/links/GO/cf-contig_664-GO.txt",0.000002)</f>
        <v>1.9999999999999999E-6</v>
      </c>
      <c r="BX135" t="str">
        <f>HYPERLINK("http://amigo.geneontology.org/cgi-bin/amigo/term_details?term=GO:0016205","GO:0016205")</f>
        <v>GO:0016205</v>
      </c>
      <c r="BY135" t="s">
        <v>4101</v>
      </c>
      <c r="BZ135" t="s">
        <v>4102</v>
      </c>
      <c r="CA135" t="s">
        <v>42</v>
      </c>
      <c r="CB135" t="str">
        <f>HYPERLINK("http://www.genome.jp/dbget-bin/www_bfind_sub?mode=bfind&amp;max_hit=1000&amp;dbkey=kegg&amp;keywords=EC:2.1.1.-","EC:2.1.1.-")</f>
        <v>EC:2.1.1.-</v>
      </c>
      <c r="CD135">
        <v>1.9999999999999999E-6</v>
      </c>
      <c r="CE135" t="s">
        <v>42</v>
      </c>
      <c r="CF135" t="s">
        <v>42</v>
      </c>
      <c r="CG135" t="s">
        <v>42</v>
      </c>
      <c r="CH135" t="s">
        <v>42</v>
      </c>
      <c r="CJ135" t="s">
        <v>42</v>
      </c>
      <c r="CK135" t="s">
        <v>42</v>
      </c>
      <c r="CL135" t="s">
        <v>42</v>
      </c>
      <c r="CM135" t="s">
        <v>42</v>
      </c>
      <c r="CN135" t="s">
        <v>42</v>
      </c>
      <c r="CO135" t="s">
        <v>42</v>
      </c>
      <c r="CQ135" t="s">
        <v>42</v>
      </c>
      <c r="CR135" t="s">
        <v>42</v>
      </c>
      <c r="CS135" s="4" t="str">
        <f>HYPERLINK("http://exon.niaid.nih.gov/transcriptome/C_felis/S1/links/KOG/cf-contig_664-KOG.txt","Homocysteine S-methyltransferase")</f>
        <v>Homocysteine S-methyltransferase</v>
      </c>
      <c r="CT135" t="str">
        <f>HYPERLINK("http://www.ncbi.nlm.nih.gov/COG/grace/shokog.cgi?KOG1579","9E-008")</f>
        <v>9E-008</v>
      </c>
      <c r="CU135" t="s">
        <v>2408</v>
      </c>
      <c r="CV135" s="4" t="str">
        <f>HYPERLINK("http://exon.niaid.nih.gov/transcriptome/C_felis/S1/links/PFAM/cf-contig_664-PFAM.txt","S-methyl_trans")</f>
        <v>S-methyl_trans</v>
      </c>
      <c r="CW135" t="str">
        <f>HYPERLINK("http://pfam.sanger.ac.uk/family?acc=PF02574","4E-007")</f>
        <v>4E-007</v>
      </c>
      <c r="CX135" s="4" t="str">
        <f>HYPERLINK("http://exon.niaid.nih.gov/transcriptome/C_felis/S1/links/SMART/cf-contig_664-SMART.txt","SprT")</f>
        <v>SprT</v>
      </c>
      <c r="CY135" t="str">
        <f>HYPERLINK("http://smart.embl-heidelberg.de/smart/do_annotation.pl?DOMAIN=SprT&amp;BLAST=DUMMY","0.14")</f>
        <v>0.14</v>
      </c>
      <c r="CZ135" s="4" t="s">
        <v>42</v>
      </c>
      <c r="DA135" t="s">
        <v>42</v>
      </c>
      <c r="DB135" t="s">
        <v>42</v>
      </c>
      <c r="DC135" t="s">
        <v>42</v>
      </c>
      <c r="DD135" t="s">
        <v>42</v>
      </c>
      <c r="DE135" t="s">
        <v>42</v>
      </c>
      <c r="DF135" t="s">
        <v>42</v>
      </c>
      <c r="DG135" t="s">
        <v>42</v>
      </c>
      <c r="DH135" s="4" t="s">
        <v>42</v>
      </c>
      <c r="DI135" t="s">
        <v>42</v>
      </c>
      <c r="DJ135" s="4" t="s">
        <v>42</v>
      </c>
      <c r="DK135" t="s">
        <v>42</v>
      </c>
      <c r="DL135" s="4">
        <v>543</v>
      </c>
      <c r="DM135">
        <v>1</v>
      </c>
      <c r="DN135" s="4">
        <v>555</v>
      </c>
      <c r="DO135">
        <v>1</v>
      </c>
      <c r="DP135" s="4">
        <v>567</v>
      </c>
      <c r="DQ135">
        <v>1</v>
      </c>
      <c r="DR135" s="4">
        <v>587</v>
      </c>
      <c r="DS135">
        <v>1</v>
      </c>
      <c r="DT135" s="4">
        <v>600</v>
      </c>
      <c r="DU135">
        <v>1</v>
      </c>
      <c r="DV135" s="4">
        <v>614</v>
      </c>
      <c r="DW135">
        <v>1</v>
      </c>
      <c r="DX135" s="4">
        <v>623</v>
      </c>
      <c r="DY135">
        <v>1</v>
      </c>
      <c r="DZ135" s="4">
        <v>633</v>
      </c>
      <c r="EA135">
        <v>1</v>
      </c>
      <c r="EB135" s="4">
        <v>638</v>
      </c>
      <c r="EC135">
        <v>1</v>
      </c>
      <c r="ED135" s="4">
        <v>642</v>
      </c>
      <c r="EE135">
        <v>1</v>
      </c>
      <c r="EF135" s="4">
        <v>648</v>
      </c>
      <c r="EG135">
        <v>1</v>
      </c>
      <c r="EH135" s="4">
        <v>656</v>
      </c>
      <c r="EI135">
        <v>1</v>
      </c>
      <c r="EJ135" s="4">
        <v>664</v>
      </c>
      <c r="EK135">
        <v>1</v>
      </c>
    </row>
    <row r="136" spans="1:141" x14ac:dyDescent="0.2">
      <c r="A136" t="str">
        <f>HYPERLINK("http://exon.niaid.nih.gov/transcriptome/C_felis/S1/links/cf/cf-contig_623.txt","cf-contig_623")</f>
        <v>cf-contig_623</v>
      </c>
      <c r="B136">
        <v>1</v>
      </c>
      <c r="C136" s="10" t="s">
        <v>4826</v>
      </c>
      <c r="D136">
        <v>1</v>
      </c>
      <c r="E136" t="str">
        <f>HYPERLINK("http://exon.niaid.nih.gov/transcriptome/C_felis/S1/links/cf/cf-5-36-asb-623.txt","Contig-623")</f>
        <v>Contig-623</v>
      </c>
      <c r="F136" t="str">
        <f>HYPERLINK("http://exon.niaid.nih.gov/transcriptome/C_felis/S1/links/cf/cf-5-36-623-CLU.txt","Contig623")</f>
        <v>Contig623</v>
      </c>
      <c r="G136" t="str">
        <f>HYPERLINK("http://exon.niaid.nih.gov/transcriptome/C_felis/S1/links/cf/cf-5-36-623-qual.txt","64.4")</f>
        <v>64.4</v>
      </c>
      <c r="H136" t="s">
        <v>11</v>
      </c>
      <c r="I136">
        <v>71.7</v>
      </c>
      <c r="J136">
        <v>678</v>
      </c>
      <c r="K136" t="s">
        <v>12</v>
      </c>
      <c r="L136">
        <v>1</v>
      </c>
      <c r="M136" t="s">
        <v>636</v>
      </c>
      <c r="N136">
        <v>678</v>
      </c>
      <c r="O136">
        <v>697</v>
      </c>
      <c r="P136">
        <v>201</v>
      </c>
      <c r="Q136" t="s">
        <v>1442</v>
      </c>
      <c r="R136">
        <v>3</v>
      </c>
      <c r="S136" s="7" t="str">
        <f>HYPERLINK("http://exon.niaid.nih.gov/transcriptome/C_felis/S1/links/Sigp/CF-CONTIG_623-SigP.txt","Cyt")</f>
        <v>Cyt</v>
      </c>
      <c r="U136">
        <v>1</v>
      </c>
      <c r="V136" s="4">
        <v>509</v>
      </c>
      <c r="W136">
        <v>1</v>
      </c>
      <c r="X136" s="4">
        <v>521</v>
      </c>
      <c r="Y136">
        <v>1</v>
      </c>
      <c r="Z136" s="4">
        <v>531</v>
      </c>
      <c r="AA136">
        <v>1</v>
      </c>
      <c r="AB136" s="4" t="str">
        <f>HYPERLINK("http://exon.niaid.nih.gov/transcriptome/C_felis/S1/links/XC-ASB/cf-contig_623-XC-ASB.txt","XC-contig_16")</f>
        <v>XC-contig_16</v>
      </c>
      <c r="AC136">
        <v>0.22</v>
      </c>
      <c r="AD136" s="10" t="s">
        <v>4826</v>
      </c>
      <c r="AE136" t="s">
        <v>4748</v>
      </c>
      <c r="AF136" t="str">
        <f>HYPERLINK("http://exon.niaid.nih.gov/transcriptome/C_felis/S1/links/KOG/cf-contig_623-KOG.txt","KOG")</f>
        <v>KOG</v>
      </c>
      <c r="AG136">
        <v>9.9999999999999998E-13</v>
      </c>
      <c r="AH136">
        <v>22.9</v>
      </c>
      <c r="AI136" s="4" t="str">
        <f>HYPERLINK("http://exon.niaid.nih.gov/transcriptome/C_felis/S1/links/NR/cf-contig_623-NR.txt","phosphoserine phosphatase")</f>
        <v>phosphoserine phosphatase</v>
      </c>
      <c r="AJ136" t="str">
        <f>HYPERLINK("http://www.ncbi.nlm.nih.gov/sutils/blink.cgi?pid=284413682","1E-010")</f>
        <v>1E-010</v>
      </c>
      <c r="AK136" t="str">
        <f>HYPERLINK("http://www.ncbi.nlm.nih.gov/protein/284413682","gi|284413682")</f>
        <v>gi|284413682</v>
      </c>
      <c r="AL136">
        <v>71.2</v>
      </c>
      <c r="AM136">
        <v>49</v>
      </c>
      <c r="AN136">
        <v>237</v>
      </c>
      <c r="AO136">
        <v>68</v>
      </c>
      <c r="AP136">
        <v>21</v>
      </c>
      <c r="AQ136">
        <v>16</v>
      </c>
      <c r="AR136">
        <v>2</v>
      </c>
      <c r="AS136">
        <v>170</v>
      </c>
      <c r="AT136">
        <v>30</v>
      </c>
      <c r="AU136">
        <v>1</v>
      </c>
      <c r="AV136">
        <v>3</v>
      </c>
      <c r="AW136" t="s">
        <v>12</v>
      </c>
      <c r="AY136" t="s">
        <v>1676</v>
      </c>
      <c r="AZ136" t="s">
        <v>3951</v>
      </c>
      <c r="BA136" s="4" t="str">
        <f>HYPERLINK("http://exon.niaid.nih.gov/transcriptome/C_felis/S1/links/SWISSP/cf-contig_623-SWISSP.txt","Phosphoserine phosphatase")</f>
        <v>Phosphoserine phosphatase</v>
      </c>
      <c r="BB136" t="str">
        <f>HYPERLINK("http://www.uniprot.org/uniprot/Q2KHU0","4E-011")</f>
        <v>4E-011</v>
      </c>
      <c r="BC136" t="s">
        <v>3952</v>
      </c>
      <c r="BD136">
        <v>68.599999999999994</v>
      </c>
      <c r="BE136">
        <v>48</v>
      </c>
      <c r="BF136">
        <v>225</v>
      </c>
      <c r="BG136">
        <v>63</v>
      </c>
      <c r="BH136">
        <v>22</v>
      </c>
      <c r="BI136">
        <v>18</v>
      </c>
      <c r="BJ136">
        <v>2</v>
      </c>
      <c r="BK136">
        <v>171</v>
      </c>
      <c r="BL136">
        <v>33</v>
      </c>
      <c r="BM136">
        <v>1</v>
      </c>
      <c r="BN136">
        <v>3</v>
      </c>
      <c r="BO136" t="s">
        <v>12</v>
      </c>
      <c r="BQ136" t="s">
        <v>1676</v>
      </c>
      <c r="BR136" t="s">
        <v>1679</v>
      </c>
      <c r="BS136" s="4" t="str">
        <f>HYPERLINK("http://exon.niaid.nih.gov/transcriptome/C_felis/S1/links/CDD/cf-contig_623-CDD.txt","PLN02954")</f>
        <v>PLN02954</v>
      </c>
      <c r="BT136" t="str">
        <f>HYPERLINK("http://www.ncbi.nlm.nih.gov/Structure/cdd/cddsrv.cgi?uid=PLN02954&amp;version=v4.0","2E-014")</f>
        <v>2E-014</v>
      </c>
      <c r="BU136" t="s">
        <v>3953</v>
      </c>
      <c r="BV136" s="4" t="s">
        <v>3954</v>
      </c>
      <c r="BW136">
        <f>HYPERLINK("http://exon.niaid.nih.gov/transcriptome/C_felis/S1/links/GO/cf-contig_623-GO.txt",0.00000000002)</f>
        <v>1.9999999999999999E-11</v>
      </c>
      <c r="BX136" t="str">
        <f>HYPERLINK("http://amigo.geneontology.org/cgi-bin/amigo/term_details?term=GO:0000287","GO:0000287")</f>
        <v>GO:0000287</v>
      </c>
      <c r="BY136" t="s">
        <v>3955</v>
      </c>
      <c r="BZ136" t="s">
        <v>3956</v>
      </c>
      <c r="CA136" t="s">
        <v>3957</v>
      </c>
      <c r="CB136" t="s">
        <v>42</v>
      </c>
      <c r="CD136">
        <v>3E-11</v>
      </c>
      <c r="CE136" t="str">
        <f>HYPERLINK("http://amigo.geneontology.org/cgi-bin/amigo/term_details?term=GO:0005737","GO:0005737")</f>
        <v>GO:0005737</v>
      </c>
      <c r="CF136" t="s">
        <v>1966</v>
      </c>
      <c r="CG136" t="s">
        <v>1967</v>
      </c>
      <c r="CH136" t="s">
        <v>42</v>
      </c>
      <c r="CI136" t="s">
        <v>42</v>
      </c>
      <c r="CK136">
        <v>3E-11</v>
      </c>
      <c r="CL136" t="str">
        <f>HYPERLINK("http://amigo.geneontology.org/cgi-bin/amigo/term_details?term=GO:0006563","GO:0006563")</f>
        <v>GO:0006563</v>
      </c>
      <c r="CM136" t="s">
        <v>3958</v>
      </c>
      <c r="CN136" t="s">
        <v>3959</v>
      </c>
      <c r="CO136" t="s">
        <v>3960</v>
      </c>
      <c r="CP136" t="s">
        <v>42</v>
      </c>
      <c r="CR136">
        <v>3E-11</v>
      </c>
      <c r="CS136" s="4" t="str">
        <f>HYPERLINK("http://exon.niaid.nih.gov/transcriptome/C_felis/S1/links/KOG/cf-contig_623-KOG.txt","Phosphoserine phosphatase")</f>
        <v>Phosphoserine phosphatase</v>
      </c>
      <c r="CT136" t="str">
        <f>HYPERLINK("http://www.ncbi.nlm.nih.gov/COG/grace/shokog.cgi?KOG1615","1E-012")</f>
        <v>1E-012</v>
      </c>
      <c r="CU136" t="s">
        <v>2408</v>
      </c>
      <c r="CV136" s="4" t="str">
        <f>HYPERLINK("http://exon.niaid.nih.gov/transcriptome/C_felis/S1/links/PFAM/cf-contig_623-PFAM.txt","Fibrillarin_2")</f>
        <v>Fibrillarin_2</v>
      </c>
      <c r="CW136" t="str">
        <f>HYPERLINK("http://pfam.sanger.ac.uk/family?acc=PF10113","0.19")</f>
        <v>0.19</v>
      </c>
      <c r="CX136" s="4" t="str">
        <f>HYPERLINK("http://exon.niaid.nih.gov/transcriptome/C_felis/S1/links/SMART/cf-contig_623-SMART.txt","SERPIN")</f>
        <v>SERPIN</v>
      </c>
      <c r="CY136" t="str">
        <f>HYPERLINK("http://smart.embl-heidelberg.de/smart/do_annotation.pl?DOMAIN=SERPIN&amp;BLAST=DUMMY","0.30")</f>
        <v>0.30</v>
      </c>
      <c r="CZ136" s="4" t="s">
        <v>42</v>
      </c>
      <c r="DA136" t="s">
        <v>42</v>
      </c>
      <c r="DB136" t="s">
        <v>42</v>
      </c>
      <c r="DC136" t="s">
        <v>42</v>
      </c>
      <c r="DD136" t="s">
        <v>42</v>
      </c>
      <c r="DE136" t="s">
        <v>42</v>
      </c>
      <c r="DF136" t="s">
        <v>42</v>
      </c>
      <c r="DG136" t="s">
        <v>42</v>
      </c>
      <c r="DH136" s="4" t="s">
        <v>42</v>
      </c>
      <c r="DI136" t="s">
        <v>42</v>
      </c>
      <c r="DJ136" s="4" t="s">
        <v>42</v>
      </c>
      <c r="DK136" t="s">
        <v>42</v>
      </c>
      <c r="DL136" s="4">
        <v>509</v>
      </c>
      <c r="DM136">
        <v>1</v>
      </c>
      <c r="DN136" s="4">
        <v>521</v>
      </c>
      <c r="DO136">
        <v>1</v>
      </c>
      <c r="DP136" s="4">
        <v>531</v>
      </c>
      <c r="DQ136">
        <v>1</v>
      </c>
      <c r="DR136" s="4">
        <v>550</v>
      </c>
      <c r="DS136">
        <v>1</v>
      </c>
      <c r="DT136" s="4">
        <v>562</v>
      </c>
      <c r="DU136">
        <v>1</v>
      </c>
      <c r="DV136" s="4">
        <v>576</v>
      </c>
      <c r="DW136">
        <v>1</v>
      </c>
      <c r="DX136" s="4">
        <v>585</v>
      </c>
      <c r="DY136">
        <v>1</v>
      </c>
      <c r="DZ136" s="4">
        <v>593</v>
      </c>
      <c r="EA136">
        <v>1</v>
      </c>
      <c r="EB136" s="4">
        <v>598</v>
      </c>
      <c r="EC136">
        <v>1</v>
      </c>
      <c r="ED136" s="4">
        <v>602</v>
      </c>
      <c r="EE136">
        <v>1</v>
      </c>
      <c r="EF136" s="4">
        <v>608</v>
      </c>
      <c r="EG136">
        <v>1</v>
      </c>
      <c r="EH136" s="4">
        <v>616</v>
      </c>
      <c r="EI136">
        <v>1</v>
      </c>
      <c r="EJ136" s="4">
        <v>623</v>
      </c>
      <c r="EK136">
        <v>1</v>
      </c>
    </row>
    <row r="137" spans="1:141" x14ac:dyDescent="0.2">
      <c r="A137" t="str">
        <f>HYPERLINK("http://exon.niaid.nih.gov/transcriptome/C_felis/S1/links/cf/cf-contig_501.txt","cf-contig_501")</f>
        <v>cf-contig_501</v>
      </c>
      <c r="B137">
        <v>1</v>
      </c>
      <c r="C137" s="10" t="s">
        <v>4784</v>
      </c>
      <c r="D137">
        <v>1</v>
      </c>
      <c r="E137" t="str">
        <f>HYPERLINK("http://exon.niaid.nih.gov/transcriptome/C_felis/S1/links/cf/cf-5-36-asb-501.txt","Contig-501")</f>
        <v>Contig-501</v>
      </c>
      <c r="F137" t="str">
        <f>HYPERLINK("http://exon.niaid.nih.gov/transcriptome/C_felis/S1/links/cf/cf-5-36-501-CLU.txt","Contig501")</f>
        <v>Contig501</v>
      </c>
      <c r="G137" t="str">
        <f>HYPERLINK("http://exon.niaid.nih.gov/transcriptome/C_felis/S1/links/cf/cf-5-36-501-qual.txt","65.2")</f>
        <v>65.2</v>
      </c>
      <c r="H137" t="s">
        <v>11</v>
      </c>
      <c r="I137">
        <v>71.3</v>
      </c>
      <c r="J137">
        <v>487</v>
      </c>
      <c r="K137" t="s">
        <v>12</v>
      </c>
      <c r="L137">
        <v>1</v>
      </c>
      <c r="M137" t="s">
        <v>514</v>
      </c>
      <c r="N137">
        <v>487</v>
      </c>
      <c r="O137">
        <v>506</v>
      </c>
      <c r="P137">
        <v>240</v>
      </c>
      <c r="Q137" t="s">
        <v>1320</v>
      </c>
      <c r="R137">
        <v>3</v>
      </c>
      <c r="S137" s="7" t="s">
        <v>4585</v>
      </c>
      <c r="U137">
        <v>1</v>
      </c>
      <c r="V137" s="4">
        <v>409</v>
      </c>
      <c r="W137">
        <v>1</v>
      </c>
      <c r="X137" s="4">
        <v>418</v>
      </c>
      <c r="Y137">
        <v>1</v>
      </c>
      <c r="Z137" s="4">
        <v>423</v>
      </c>
      <c r="AA137">
        <v>1</v>
      </c>
      <c r="AB137" s="4" t="str">
        <f>HYPERLINK("http://exon.niaid.nih.gov/transcriptome/C_felis/S1/links/XC-ASB/cf-contig_501-XC-ASB.txt","XC-contig_141")</f>
        <v>XC-contig_141</v>
      </c>
      <c r="AC137">
        <v>0.15</v>
      </c>
      <c r="AD137" s="10" t="s">
        <v>4784</v>
      </c>
      <c r="AE137" t="s">
        <v>4748</v>
      </c>
      <c r="AF137" t="str">
        <f>HYPERLINK("http://exon.niaid.nih.gov/transcriptome/C_felis/S1/links/KOG/cf-contig_501-KOG.txt","KOG")</f>
        <v>KOG</v>
      </c>
      <c r="AG137" s="5">
        <v>9.9999999999999998E-17</v>
      </c>
      <c r="AH137">
        <v>24.3</v>
      </c>
      <c r="AI137" s="4" t="str">
        <f>HYPERLINK("http://exon.niaid.nih.gov/transcriptome/C_felis/S1/links/NR/cf-contig_501-NR.txt","GI23961")</f>
        <v>GI23961</v>
      </c>
      <c r="AJ137" t="str">
        <f>HYPERLINK("http://www.ncbi.nlm.nih.gov/sutils/blink.cgi?pid=195107677","1E-016")</f>
        <v>1E-016</v>
      </c>
      <c r="AK137" t="str">
        <f>HYPERLINK("http://www.ncbi.nlm.nih.gov/protein/195107677","gi|195107677")</f>
        <v>gi|195107677</v>
      </c>
      <c r="AL137">
        <v>89.7</v>
      </c>
      <c r="AM137">
        <v>68</v>
      </c>
      <c r="AN137">
        <v>289</v>
      </c>
      <c r="AO137">
        <v>57</v>
      </c>
      <c r="AP137">
        <v>24</v>
      </c>
      <c r="AQ137">
        <v>29</v>
      </c>
      <c r="AR137">
        <v>0</v>
      </c>
      <c r="AS137">
        <v>217</v>
      </c>
      <c r="AT137">
        <v>18</v>
      </c>
      <c r="AU137">
        <v>1</v>
      </c>
      <c r="AV137">
        <v>3</v>
      </c>
      <c r="AW137" t="s">
        <v>12</v>
      </c>
      <c r="AY137" t="s">
        <v>1676</v>
      </c>
      <c r="AZ137" t="s">
        <v>2326</v>
      </c>
      <c r="BA137" s="4" t="str">
        <f>HYPERLINK("http://exon.niaid.nih.gov/transcriptome/C_felis/S1/links/SWISSP/cf-contig_501-SWISSP.txt","Spermidine synthase")</f>
        <v>Spermidine synthase</v>
      </c>
      <c r="BB137" t="str">
        <f>HYPERLINK("http://www.uniprot.org/uniprot/Q9Y8H7","7E-014")</f>
        <v>7E-014</v>
      </c>
      <c r="BC137" t="s">
        <v>3486</v>
      </c>
      <c r="BD137">
        <v>76.599999999999994</v>
      </c>
      <c r="BE137">
        <v>72</v>
      </c>
      <c r="BF137">
        <v>291</v>
      </c>
      <c r="BG137">
        <v>51</v>
      </c>
      <c r="BH137">
        <v>25</v>
      </c>
      <c r="BI137">
        <v>36</v>
      </c>
      <c r="BJ137">
        <v>0</v>
      </c>
      <c r="BK137">
        <v>218</v>
      </c>
      <c r="BL137">
        <v>9</v>
      </c>
      <c r="BM137">
        <v>1</v>
      </c>
      <c r="BN137">
        <v>3</v>
      </c>
      <c r="BO137" t="s">
        <v>12</v>
      </c>
      <c r="BQ137" t="s">
        <v>1676</v>
      </c>
      <c r="BR137" t="s">
        <v>3424</v>
      </c>
      <c r="BS137" s="4" t="str">
        <f>HYPERLINK("http://exon.niaid.nih.gov/transcriptome/C_felis/S1/links/CDD/cf-contig_501-CDD.txt","speE")</f>
        <v>speE</v>
      </c>
      <c r="BT137" t="str">
        <f>HYPERLINK("http://www.ncbi.nlm.nih.gov/Structure/cdd/cddsrv.cgi?uid=TIGR00417&amp;version=v4.0","3E-015")</f>
        <v>3E-015</v>
      </c>
      <c r="BU137" t="s">
        <v>3487</v>
      </c>
      <c r="BV137" s="4" t="s">
        <v>3488</v>
      </c>
      <c r="BW137">
        <f>HYPERLINK("http://exon.niaid.nih.gov/transcriptome/C_felis/S1/links/GO/cf-contig_501-GO.txt",0.0000000000000005)</f>
        <v>5.0000000000000004E-16</v>
      </c>
      <c r="BX137" t="str">
        <f>HYPERLINK("http://amigo.geneontology.org/cgi-bin/amigo/term_details?term=GO:0004766","GO:0004766")</f>
        <v>GO:0004766</v>
      </c>
      <c r="BY137" t="s">
        <v>3489</v>
      </c>
      <c r="BZ137" t="s">
        <v>3490</v>
      </c>
      <c r="CA137" t="s">
        <v>3491</v>
      </c>
      <c r="CB137" t="str">
        <f>HYPERLINK("http://www.genome.jp/dbget-bin/www_bfind_sub?mode=bfind&amp;max_hit=1000&amp;dbkey=kegg&amp;keywords=EC:2.5.1.16","EC:2.5.1.16")</f>
        <v>EC:2.5.1.16</v>
      </c>
      <c r="CD137" s="5">
        <v>5.0000000000000004E-16</v>
      </c>
      <c r="CE137" t="str">
        <f>HYPERLINK("http://amigo.geneontology.org/cgi-bin/amigo/term_details?term=GO:0005575","GO:0005575")</f>
        <v>GO:0005575</v>
      </c>
      <c r="CF137" t="s">
        <v>1838</v>
      </c>
      <c r="CG137" t="s">
        <v>1839</v>
      </c>
      <c r="CH137" t="s">
        <v>1840</v>
      </c>
      <c r="CI137" t="s">
        <v>42</v>
      </c>
      <c r="CK137" s="5">
        <v>5.0000000000000004E-16</v>
      </c>
      <c r="CL137" t="str">
        <f>HYPERLINK("http://amigo.geneontology.org/cgi-bin/amigo/term_details?term=GO:0008295","GO:0008295")</f>
        <v>GO:0008295</v>
      </c>
      <c r="CM137" t="s">
        <v>3492</v>
      </c>
      <c r="CN137" t="s">
        <v>3493</v>
      </c>
      <c r="CO137" t="s">
        <v>3494</v>
      </c>
      <c r="CP137" t="s">
        <v>42</v>
      </c>
      <c r="CR137" s="5">
        <v>5.0000000000000004E-16</v>
      </c>
      <c r="CS137" s="4" t="str">
        <f>HYPERLINK("http://exon.niaid.nih.gov/transcriptome/C_felis/S1/links/KOG/cf-contig_501-KOG.txt","Spermidine synthase")</f>
        <v>Spermidine synthase</v>
      </c>
      <c r="CT137" t="str">
        <f>HYPERLINK("http://www.ncbi.nlm.nih.gov/COG/grace/shokog.cgi?KOG1562","1E-016")</f>
        <v>1E-016</v>
      </c>
      <c r="CU137" t="s">
        <v>2408</v>
      </c>
      <c r="CV137" s="4" t="str">
        <f>HYPERLINK("http://exon.niaid.nih.gov/transcriptome/C_felis/S1/links/PFAM/cf-contig_501-PFAM.txt","Spermine_synth")</f>
        <v>Spermine_synth</v>
      </c>
      <c r="CW137" t="str">
        <f>HYPERLINK("http://pfam.sanger.ac.uk/family?acc=PF01564","0.001")</f>
        <v>0.001</v>
      </c>
      <c r="CX137" s="4" t="str">
        <f>HYPERLINK("http://exon.niaid.nih.gov/transcriptome/C_felis/S1/links/SMART/cf-contig_501-SMART.txt","TFS2M")</f>
        <v>TFS2M</v>
      </c>
      <c r="CY137" t="str">
        <f>HYPERLINK("http://smart.embl-heidelberg.de/smart/do_annotation.pl?DOMAIN=TFS2M&amp;BLAST=DUMMY","0.86")</f>
        <v>0.86</v>
      </c>
      <c r="CZ137" s="4" t="s">
        <v>42</v>
      </c>
      <c r="DA137" t="s">
        <v>42</v>
      </c>
      <c r="DB137" t="s">
        <v>42</v>
      </c>
      <c r="DC137" t="s">
        <v>42</v>
      </c>
      <c r="DD137" t="s">
        <v>42</v>
      </c>
      <c r="DE137" t="s">
        <v>42</v>
      </c>
      <c r="DF137" t="s">
        <v>42</v>
      </c>
      <c r="DG137" t="s">
        <v>42</v>
      </c>
      <c r="DH137" s="4" t="s">
        <v>42</v>
      </c>
      <c r="DI137" t="s">
        <v>42</v>
      </c>
      <c r="DJ137" s="4" t="s">
        <v>42</v>
      </c>
      <c r="DK137" t="s">
        <v>42</v>
      </c>
      <c r="DL137" s="4">
        <v>409</v>
      </c>
      <c r="DM137">
        <v>1</v>
      </c>
      <c r="DN137" s="4">
        <v>418</v>
      </c>
      <c r="DO137">
        <v>1</v>
      </c>
      <c r="DP137" s="4">
        <v>423</v>
      </c>
      <c r="DQ137">
        <v>1</v>
      </c>
      <c r="DR137" s="4">
        <v>438</v>
      </c>
      <c r="DS137">
        <v>1</v>
      </c>
      <c r="DT137" s="4">
        <v>448</v>
      </c>
      <c r="DU137">
        <v>1</v>
      </c>
      <c r="DV137" s="4">
        <v>462</v>
      </c>
      <c r="DW137">
        <v>1</v>
      </c>
      <c r="DX137" s="4">
        <v>468</v>
      </c>
      <c r="DY137">
        <v>1</v>
      </c>
      <c r="DZ137" s="4">
        <v>475</v>
      </c>
      <c r="EA137">
        <v>1</v>
      </c>
      <c r="EB137" s="4">
        <v>480</v>
      </c>
      <c r="EC137">
        <v>1</v>
      </c>
      <c r="ED137" s="4">
        <v>484</v>
      </c>
      <c r="EE137">
        <v>1</v>
      </c>
      <c r="EF137" s="4">
        <v>489</v>
      </c>
      <c r="EG137">
        <v>1</v>
      </c>
      <c r="EH137" s="4">
        <v>495</v>
      </c>
      <c r="EI137">
        <v>1</v>
      </c>
      <c r="EJ137" s="4">
        <v>501</v>
      </c>
      <c r="EK137">
        <v>1</v>
      </c>
    </row>
    <row r="138" spans="1:141" x14ac:dyDescent="0.2">
      <c r="A138" t="str">
        <f>HYPERLINK("http://exon.niaid.nih.gov/transcriptome/C_felis/S1/links/cf/cf-contig_378.txt","cf-contig_378")</f>
        <v>cf-contig_378</v>
      </c>
      <c r="B138">
        <v>1</v>
      </c>
      <c r="C138" s="10" t="s">
        <v>4752</v>
      </c>
      <c r="D138">
        <v>1</v>
      </c>
      <c r="E138" t="str">
        <f>HYPERLINK("http://exon.niaid.nih.gov/transcriptome/C_felis/S1/links/cf/cf-5-36-asb-378.txt","Contig-378")</f>
        <v>Contig-378</v>
      </c>
      <c r="F138" t="str">
        <f>HYPERLINK("http://exon.niaid.nih.gov/transcriptome/C_felis/S1/links/cf/cf-5-36-378-CLU.txt","Contig378")</f>
        <v>Contig378</v>
      </c>
      <c r="G138" t="str">
        <f>HYPERLINK("http://exon.niaid.nih.gov/transcriptome/C_felis/S1/links/cf/cf-5-36-378-qual.txt","67.3")</f>
        <v>67.3</v>
      </c>
      <c r="H138" t="s">
        <v>11</v>
      </c>
      <c r="I138">
        <v>70.3</v>
      </c>
      <c r="J138">
        <v>331</v>
      </c>
      <c r="K138" t="s">
        <v>12</v>
      </c>
      <c r="L138">
        <v>1</v>
      </c>
      <c r="M138" t="s">
        <v>391</v>
      </c>
      <c r="N138">
        <v>331</v>
      </c>
      <c r="O138">
        <v>350</v>
      </c>
      <c r="P138">
        <v>120</v>
      </c>
      <c r="Q138" t="s">
        <v>1198</v>
      </c>
      <c r="R138">
        <v>2</v>
      </c>
      <c r="S138" s="7" t="s">
        <v>4585</v>
      </c>
      <c r="U138">
        <v>1</v>
      </c>
      <c r="V138" s="4">
        <v>307</v>
      </c>
      <c r="W138">
        <v>1</v>
      </c>
      <c r="X138" s="4">
        <v>314</v>
      </c>
      <c r="Y138">
        <v>1</v>
      </c>
      <c r="Z138" s="4">
        <v>315</v>
      </c>
      <c r="AA138">
        <v>1</v>
      </c>
      <c r="AB138" s="4" t="str">
        <f>HYPERLINK("http://exon.niaid.nih.gov/transcriptome/C_felis/S1/links/XC-ASB/cf-contig_378-XC-ASB.txt","XC-contig_176")</f>
        <v>XC-contig_176</v>
      </c>
      <c r="AC138">
        <v>7.0000000000000007E-2</v>
      </c>
      <c r="AD138" s="10" t="s">
        <v>4752</v>
      </c>
      <c r="AE138" t="s">
        <v>4748</v>
      </c>
      <c r="AF138" t="str">
        <f>HYPERLINK("http://exon.niaid.nih.gov/transcriptome/C_felis/S1/links/KOG/cf-contig_378-KOG.txt","KOG")</f>
        <v>KOG</v>
      </c>
      <c r="AG138">
        <v>8.9999999999999995E-9</v>
      </c>
      <c r="AH138">
        <v>17.899999999999999</v>
      </c>
      <c r="AI138" s="4" t="str">
        <f>HYPERLINK("http://exon.niaid.nih.gov/transcriptome/C_felis/S1/links/NR/cf-contig_378-NR.txt","AGAP003246-PA")</f>
        <v>AGAP003246-PA</v>
      </c>
      <c r="AJ138" t="str">
        <f>HYPERLINK("http://www.ncbi.nlm.nih.gov/sutils/blink.cgi?pid=118783391","4E-007")</f>
        <v>4E-007</v>
      </c>
      <c r="AK138" t="str">
        <f>HYPERLINK("http://www.ncbi.nlm.nih.gov/protein/118783391","gi|118783391")</f>
        <v>gi|118783391</v>
      </c>
      <c r="AL138">
        <v>58.5</v>
      </c>
      <c r="AM138">
        <v>43</v>
      </c>
      <c r="AN138">
        <v>355</v>
      </c>
      <c r="AO138">
        <v>63</v>
      </c>
      <c r="AP138">
        <v>12</v>
      </c>
      <c r="AQ138">
        <v>17</v>
      </c>
      <c r="AR138">
        <v>0</v>
      </c>
      <c r="AS138">
        <v>305</v>
      </c>
      <c r="AT138">
        <v>3</v>
      </c>
      <c r="AU138">
        <v>1</v>
      </c>
      <c r="AV138">
        <v>3</v>
      </c>
      <c r="AW138" t="s">
        <v>12</v>
      </c>
      <c r="AX138">
        <v>2.3260000000000001</v>
      </c>
      <c r="AY138" t="s">
        <v>1676</v>
      </c>
      <c r="AZ138" t="s">
        <v>2374</v>
      </c>
      <c r="BA138" s="4" t="str">
        <f>HYPERLINK("http://exon.niaid.nih.gov/transcriptome/C_felis/S1/links/SWISSP/cf-contig_378-SWISSP.txt","Mannan-binding lectin serine protease 2")</f>
        <v>Mannan-binding lectin serine protease 2</v>
      </c>
      <c r="BB138" t="str">
        <f>HYPERLINK("http://www.uniprot.org/uniprot/O00187","2E-004")</f>
        <v>2E-004</v>
      </c>
      <c r="BC138" t="s">
        <v>3004</v>
      </c>
      <c r="BD138">
        <v>44.7</v>
      </c>
      <c r="BE138">
        <v>44</v>
      </c>
      <c r="BF138">
        <v>686</v>
      </c>
      <c r="BG138">
        <v>46</v>
      </c>
      <c r="BH138">
        <v>7</v>
      </c>
      <c r="BI138">
        <v>24</v>
      </c>
      <c r="BJ138">
        <v>0</v>
      </c>
      <c r="BK138">
        <v>632</v>
      </c>
      <c r="BL138">
        <v>3</v>
      </c>
      <c r="BM138">
        <v>1</v>
      </c>
      <c r="BN138">
        <v>3</v>
      </c>
      <c r="BO138" t="s">
        <v>12</v>
      </c>
      <c r="BP138">
        <v>2.2730000000000001</v>
      </c>
      <c r="BQ138" t="s">
        <v>1676</v>
      </c>
      <c r="BR138" t="s">
        <v>1690</v>
      </c>
      <c r="BS138" s="4" t="str">
        <f>HYPERLINK("http://exon.niaid.nih.gov/transcriptome/C_felis/S1/links/CDD/cf-contig_378-CDD.txt","Tryp_SPc")</f>
        <v>Tryp_SPc</v>
      </c>
      <c r="BT138" t="str">
        <f>HYPERLINK("http://www.ncbi.nlm.nih.gov/Structure/cdd/cddsrv.cgi?uid=smart00020&amp;version=v4.0","5E-008")</f>
        <v>5E-008</v>
      </c>
      <c r="BU138" t="s">
        <v>3005</v>
      </c>
      <c r="BV138" s="4" t="s">
        <v>3006</v>
      </c>
      <c r="BW138">
        <f>HYPERLINK("http://exon.niaid.nih.gov/transcriptome/C_felis/S1/links/GO/cf-contig_378-GO.txt",0.000002)</f>
        <v>1.9999999999999999E-6</v>
      </c>
      <c r="BX138" t="str">
        <f>HYPERLINK("http://amigo.geneontology.org/cgi-bin/amigo/term_details?term=GO:0004252","GO:0004252")</f>
        <v>GO:0004252</v>
      </c>
      <c r="BY138" t="s">
        <v>3007</v>
      </c>
      <c r="BZ138" t="s">
        <v>3008</v>
      </c>
      <c r="CA138" t="s">
        <v>3009</v>
      </c>
      <c r="CB138" t="str">
        <f>HYPERLINK("http://www.genome.jp/dbget-bin/www_bfind_sub?mode=bfind&amp;max_hit=1000&amp;dbkey=kegg&amp;keywords=EC:3.4.21","EC:3.4.21")</f>
        <v>EC:3.4.21</v>
      </c>
      <c r="CD138">
        <v>3.0000000000000001E-5</v>
      </c>
      <c r="CE138" t="s">
        <v>42</v>
      </c>
      <c r="CF138" t="s">
        <v>42</v>
      </c>
      <c r="CG138" t="s">
        <v>42</v>
      </c>
      <c r="CH138" t="s">
        <v>42</v>
      </c>
      <c r="CJ138" t="s">
        <v>42</v>
      </c>
      <c r="CK138" t="s">
        <v>42</v>
      </c>
      <c r="CL138" t="str">
        <f>HYPERLINK("http://amigo.geneontology.org/cgi-bin/amigo/term_details?term=GO:0006508","GO:0006508")</f>
        <v>GO:0006508</v>
      </c>
      <c r="CM138" t="s">
        <v>3010</v>
      </c>
      <c r="CN138" t="s">
        <v>3011</v>
      </c>
      <c r="CO138" t="s">
        <v>3012</v>
      </c>
      <c r="CP138" t="s">
        <v>42</v>
      </c>
      <c r="CR138">
        <v>3.0000000000000001E-5</v>
      </c>
      <c r="CS138" s="4" t="str">
        <f>HYPERLINK("http://exon.niaid.nih.gov/transcriptome/C_felis/S1/links/KOG/cf-contig_378-KOG.txt","Trypsin")</f>
        <v>Trypsin</v>
      </c>
      <c r="CT138" t="str">
        <f>HYPERLINK("http://www.ncbi.nlm.nih.gov/COG/grace/shokog.cgi?KOG3627","9E-009")</f>
        <v>9E-009</v>
      </c>
      <c r="CU138" t="s">
        <v>2408</v>
      </c>
      <c r="CV138" s="4" t="str">
        <f>HYPERLINK("http://exon.niaid.nih.gov/transcriptome/C_felis/S1/links/PFAM/cf-contig_378-PFAM.txt","Trypsin")</f>
        <v>Trypsin</v>
      </c>
      <c r="CW138" t="str">
        <f>HYPERLINK("http://pfam.sanger.ac.uk/family?acc=PF00089","3E-006")</f>
        <v>3E-006</v>
      </c>
      <c r="CX138" s="4" t="str">
        <f>HYPERLINK("http://exon.niaid.nih.gov/transcriptome/C_felis/S1/links/SMART/cf-contig_378-SMART.txt","Tryp_SPc")</f>
        <v>Tryp_SPc</v>
      </c>
      <c r="CY138" t="str">
        <f>HYPERLINK("http://smart.embl-heidelberg.de/smart/do_annotation.pl?DOMAIN=Tryp_SPc&amp;BLAST=DUMMY","8E-010")</f>
        <v>8E-010</v>
      </c>
      <c r="CZ138" s="4" t="s">
        <v>42</v>
      </c>
      <c r="DA138" t="s">
        <v>42</v>
      </c>
      <c r="DB138" t="s">
        <v>42</v>
      </c>
      <c r="DC138" t="s">
        <v>42</v>
      </c>
      <c r="DD138" t="s">
        <v>42</v>
      </c>
      <c r="DE138" t="s">
        <v>42</v>
      </c>
      <c r="DF138" t="s">
        <v>42</v>
      </c>
      <c r="DG138" t="s">
        <v>42</v>
      </c>
      <c r="DH138" s="4" t="s">
        <v>42</v>
      </c>
      <c r="DI138" t="s">
        <v>42</v>
      </c>
      <c r="DJ138" s="4" t="s">
        <v>42</v>
      </c>
      <c r="DK138" t="s">
        <v>42</v>
      </c>
      <c r="DL138" s="4">
        <v>307</v>
      </c>
      <c r="DM138">
        <v>1</v>
      </c>
      <c r="DN138" s="4">
        <v>314</v>
      </c>
      <c r="DO138">
        <v>1</v>
      </c>
      <c r="DP138" s="4">
        <v>315</v>
      </c>
      <c r="DQ138">
        <v>1</v>
      </c>
      <c r="DR138" s="4">
        <v>326</v>
      </c>
      <c r="DS138">
        <v>1</v>
      </c>
      <c r="DT138" s="4">
        <v>336</v>
      </c>
      <c r="DU138">
        <v>1</v>
      </c>
      <c r="DV138" s="4">
        <v>349</v>
      </c>
      <c r="DW138">
        <v>1</v>
      </c>
      <c r="DX138" s="4">
        <v>352</v>
      </c>
      <c r="DY138">
        <v>1</v>
      </c>
      <c r="DZ138" s="4">
        <v>357</v>
      </c>
      <c r="EA138">
        <v>1</v>
      </c>
      <c r="EB138" s="4">
        <v>362</v>
      </c>
      <c r="EC138">
        <v>1</v>
      </c>
      <c r="ED138" s="4">
        <v>366</v>
      </c>
      <c r="EE138">
        <v>1</v>
      </c>
      <c r="EF138" s="4">
        <v>371</v>
      </c>
      <c r="EG138">
        <v>1</v>
      </c>
      <c r="EH138" s="4">
        <v>373</v>
      </c>
      <c r="EI138">
        <v>1</v>
      </c>
      <c r="EJ138" s="4">
        <v>378</v>
      </c>
      <c r="EK138">
        <v>1</v>
      </c>
    </row>
    <row r="139" spans="1:141" x14ac:dyDescent="0.2">
      <c r="A139" t="str">
        <f>HYPERLINK("http://exon.niaid.nih.gov/transcriptome/C_felis/S1/links/cf/cf-contig_524.txt","cf-contig_524")</f>
        <v>cf-contig_524</v>
      </c>
      <c r="B139">
        <v>1</v>
      </c>
      <c r="C139" s="10" t="s">
        <v>4793</v>
      </c>
      <c r="D139">
        <v>1</v>
      </c>
      <c r="E139" t="str">
        <f>HYPERLINK("http://exon.niaid.nih.gov/transcriptome/C_felis/S1/links/cf/cf-5-36-asb-524.txt","Contig-524")</f>
        <v>Contig-524</v>
      </c>
      <c r="F139" t="str">
        <f>HYPERLINK("http://exon.niaid.nih.gov/transcriptome/C_felis/S1/links/cf/cf-5-36-524-CLU.txt","Contig524")</f>
        <v>Contig524</v>
      </c>
      <c r="G139" t="str">
        <f>HYPERLINK("http://exon.niaid.nih.gov/transcriptome/C_felis/S1/links/cf/cf-5-36-524-qual.txt","63.3")</f>
        <v>63.3</v>
      </c>
      <c r="H139" t="s">
        <v>11</v>
      </c>
      <c r="I139">
        <v>67</v>
      </c>
      <c r="J139">
        <v>644</v>
      </c>
      <c r="K139" t="s">
        <v>12</v>
      </c>
      <c r="L139">
        <v>1</v>
      </c>
      <c r="M139" t="s">
        <v>537</v>
      </c>
      <c r="N139">
        <v>644</v>
      </c>
      <c r="O139">
        <v>663</v>
      </c>
      <c r="P139">
        <v>474</v>
      </c>
      <c r="Q139" t="s">
        <v>1343</v>
      </c>
      <c r="R139">
        <v>2</v>
      </c>
      <c r="S139" s="7" t="str">
        <f>HYPERLINK("http://exon.niaid.nih.gov/transcriptome/C_felis/S1/links/Sigp/CF-CONTIG_524-SigP.txt","Cyt")</f>
        <v>Cyt</v>
      </c>
      <c r="U139">
        <v>1</v>
      </c>
      <c r="V139" s="4">
        <v>428</v>
      </c>
      <c r="W139">
        <v>1</v>
      </c>
      <c r="X139" s="4">
        <v>437</v>
      </c>
      <c r="Y139">
        <v>1</v>
      </c>
      <c r="Z139" s="4">
        <v>442</v>
      </c>
      <c r="AA139">
        <v>1</v>
      </c>
      <c r="AB139" s="4" t="str">
        <f>HYPERLINK("http://exon.niaid.nih.gov/transcriptome/C_felis/S1/links/XC-ASB/cf-contig_524-XC-ASB.txt","XC-contig_147")</f>
        <v>XC-contig_147</v>
      </c>
      <c r="AC139">
        <v>0.21</v>
      </c>
      <c r="AD139" s="10" t="s">
        <v>4793</v>
      </c>
      <c r="AE139" t="s">
        <v>4748</v>
      </c>
      <c r="AF139" t="str">
        <f>HYPERLINK("http://exon.niaid.nih.gov/transcriptome/C_felis/S1/links/KOG/cf-contig_524-KOG.txt","KOG")</f>
        <v>KOG</v>
      </c>
      <c r="AG139" s="5">
        <v>2.0000000000000001E-56</v>
      </c>
      <c r="AH139">
        <v>48.6</v>
      </c>
      <c r="AI139" s="4" t="str">
        <f>HYPERLINK("http://exon.niaid.nih.gov/transcriptome/C_felis/S1/links/NR/cf-contig_524-NR.txt","AGAP004311-PA")</f>
        <v>AGAP004311-PA</v>
      </c>
      <c r="AJ139" t="str">
        <f>HYPERLINK("http://www.ncbi.nlm.nih.gov/sutils/blink.cgi?pid=158292018","2E-059")</f>
        <v>2E-059</v>
      </c>
      <c r="AK139" t="str">
        <f>HYPERLINK("http://www.ncbi.nlm.nih.gov/protein/158292018","gi|158292018")</f>
        <v>gi|158292018</v>
      </c>
      <c r="AL139">
        <v>233</v>
      </c>
      <c r="AM139">
        <v>146</v>
      </c>
      <c r="AN139">
        <v>316</v>
      </c>
      <c r="AO139">
        <v>79</v>
      </c>
      <c r="AP139">
        <v>47</v>
      </c>
      <c r="AQ139">
        <v>30</v>
      </c>
      <c r="AR139">
        <v>0</v>
      </c>
      <c r="AS139">
        <v>161</v>
      </c>
      <c r="AT139">
        <v>32</v>
      </c>
      <c r="AU139">
        <v>1</v>
      </c>
      <c r="AV139">
        <v>2</v>
      </c>
      <c r="AW139" t="s">
        <v>12</v>
      </c>
      <c r="AY139" t="s">
        <v>1676</v>
      </c>
      <c r="AZ139" t="s">
        <v>2374</v>
      </c>
      <c r="BA139" s="4" t="str">
        <f>HYPERLINK("http://exon.niaid.nih.gov/transcriptome/C_felis/S1/links/SWISSP/cf-contig_524-SWISSP.txt","Phosphopantothenate--cysteine ligase")</f>
        <v>Phosphopantothenate--cysteine ligase</v>
      </c>
      <c r="BB139" t="str">
        <f>HYPERLINK("http://www.uniprot.org/uniprot/Q8VDG5","2E-038")</f>
        <v>2E-038</v>
      </c>
      <c r="BC139" t="s">
        <v>3590</v>
      </c>
      <c r="BD139">
        <v>159</v>
      </c>
      <c r="BE139">
        <v>146</v>
      </c>
      <c r="BF139">
        <v>311</v>
      </c>
      <c r="BG139">
        <v>54</v>
      </c>
      <c r="BH139">
        <v>47</v>
      </c>
      <c r="BI139">
        <v>67</v>
      </c>
      <c r="BJ139">
        <v>0</v>
      </c>
      <c r="BK139">
        <v>161</v>
      </c>
      <c r="BL139">
        <v>32</v>
      </c>
      <c r="BM139">
        <v>1</v>
      </c>
      <c r="BN139">
        <v>2</v>
      </c>
      <c r="BO139" t="s">
        <v>12</v>
      </c>
      <c r="BQ139" t="s">
        <v>1676</v>
      </c>
      <c r="BR139" t="s">
        <v>1705</v>
      </c>
      <c r="BS139" s="4" t="str">
        <f>HYPERLINK("http://exon.niaid.nih.gov/transcriptome/C_felis/S1/links/CDD/cf-contig_524-CDD.txt","DFP")</f>
        <v>DFP</v>
      </c>
      <c r="BT139" t="str">
        <f>HYPERLINK("http://www.ncbi.nlm.nih.gov/Structure/cdd/cddsrv.cgi?uid=pfam04127&amp;version=v4.0","1E-028")</f>
        <v>1E-028</v>
      </c>
      <c r="BU139" t="s">
        <v>3591</v>
      </c>
      <c r="BV139" s="4" t="s">
        <v>3592</v>
      </c>
      <c r="BW139">
        <f>HYPERLINK("http://exon.niaid.nih.gov/transcriptome/C_felis/S1/links/GO/cf-contig_524-GO.txt",2E-60)</f>
        <v>1.9999999999999999E-60</v>
      </c>
      <c r="BX139" t="str">
        <f>HYPERLINK("http://amigo.geneontology.org/cgi-bin/amigo/term_details?term=GO:0003674","GO:0003674")</f>
        <v>GO:0003674</v>
      </c>
      <c r="BY139" t="s">
        <v>1851</v>
      </c>
      <c r="BZ139" t="s">
        <v>1852</v>
      </c>
      <c r="CA139" t="s">
        <v>1853</v>
      </c>
      <c r="CB139" t="s">
        <v>42</v>
      </c>
      <c r="CD139" s="5">
        <v>1.9999999999999999E-39</v>
      </c>
      <c r="CE139" t="str">
        <f>HYPERLINK("http://amigo.geneontology.org/cgi-bin/amigo/term_details?term=GO:0005575","GO:0005575")</f>
        <v>GO:0005575</v>
      </c>
      <c r="CF139" t="s">
        <v>1838</v>
      </c>
      <c r="CG139" t="s">
        <v>1839</v>
      </c>
      <c r="CH139" t="s">
        <v>1840</v>
      </c>
      <c r="CI139" t="s">
        <v>42</v>
      </c>
      <c r="CK139" s="5">
        <v>1.9999999999999999E-39</v>
      </c>
      <c r="CL139" t="str">
        <f>HYPERLINK("http://amigo.geneontology.org/cgi-bin/amigo/term_details?term=GO:0008150","GO:0008150")</f>
        <v>GO:0008150</v>
      </c>
      <c r="CM139" t="s">
        <v>1857</v>
      </c>
      <c r="CN139" t="s">
        <v>1858</v>
      </c>
      <c r="CO139" t="s">
        <v>1859</v>
      </c>
      <c r="CP139" t="s">
        <v>42</v>
      </c>
      <c r="CR139" s="5">
        <v>1.9999999999999999E-39</v>
      </c>
      <c r="CS139" s="4" t="str">
        <f>HYPERLINK("http://exon.niaid.nih.gov/transcriptome/C_felis/S1/links/KOG/cf-contig_524-KOG.txt","Uncharacterized conserved protein with similarity to phosphopantothenoylcysteine synthetase/decarboxylase")</f>
        <v>Uncharacterized conserved protein with similarity to phosphopantothenoylcysteine synthetase/decarboxylase</v>
      </c>
      <c r="CT139" t="str">
        <f>HYPERLINK("http://www.ncbi.nlm.nih.gov/COG/grace/shokog.cgi?KOG2728","2E-056")</f>
        <v>2E-056</v>
      </c>
      <c r="CU139" t="s">
        <v>1721</v>
      </c>
      <c r="CV139" s="4" t="str">
        <f>HYPERLINK("http://exon.niaid.nih.gov/transcriptome/C_felis/S1/links/PFAM/cf-contig_524-PFAM.txt","DFP")</f>
        <v>DFP</v>
      </c>
      <c r="CW139" t="str">
        <f>HYPERLINK("http://pfam.sanger.ac.uk/family?acc=PF04127","2E-029")</f>
        <v>2E-029</v>
      </c>
      <c r="CX139" s="4" t="str">
        <f>HYPERLINK("http://exon.niaid.nih.gov/transcriptome/C_felis/S1/links/SMART/cf-contig_524-SMART.txt","ZnF_TAZ")</f>
        <v>ZnF_TAZ</v>
      </c>
      <c r="CY139" t="str">
        <f>HYPERLINK("http://smart.embl-heidelberg.de/smart/do_annotation.pl?DOMAIN=ZnF_TAZ&amp;BLAST=DUMMY","0.032")</f>
        <v>0.032</v>
      </c>
      <c r="CZ139" s="4" t="s">
        <v>42</v>
      </c>
      <c r="DA139" t="s">
        <v>42</v>
      </c>
      <c r="DB139" t="s">
        <v>42</v>
      </c>
      <c r="DC139" t="s">
        <v>42</v>
      </c>
      <c r="DD139" t="s">
        <v>42</v>
      </c>
      <c r="DE139" t="s">
        <v>42</v>
      </c>
      <c r="DF139" t="s">
        <v>42</v>
      </c>
      <c r="DG139" t="s">
        <v>42</v>
      </c>
      <c r="DH139" s="4" t="s">
        <v>42</v>
      </c>
      <c r="DI139" t="s">
        <v>42</v>
      </c>
      <c r="DJ139" s="4" t="s">
        <v>42</v>
      </c>
      <c r="DK139" t="s">
        <v>42</v>
      </c>
      <c r="DL139" s="4">
        <v>428</v>
      </c>
      <c r="DM139">
        <v>1</v>
      </c>
      <c r="DN139" s="4">
        <v>437</v>
      </c>
      <c r="DO139">
        <v>1</v>
      </c>
      <c r="DP139" s="4">
        <v>442</v>
      </c>
      <c r="DQ139">
        <v>1</v>
      </c>
      <c r="DR139" s="4">
        <v>457</v>
      </c>
      <c r="DS139">
        <v>1</v>
      </c>
      <c r="DT139" s="4">
        <v>469</v>
      </c>
      <c r="DU139">
        <v>1</v>
      </c>
      <c r="DV139" s="4">
        <v>483</v>
      </c>
      <c r="DW139">
        <v>1</v>
      </c>
      <c r="DX139" s="4">
        <v>489</v>
      </c>
      <c r="DY139">
        <v>1</v>
      </c>
      <c r="DZ139" s="4">
        <v>497</v>
      </c>
      <c r="EA139">
        <v>1</v>
      </c>
      <c r="EB139" s="4">
        <v>502</v>
      </c>
      <c r="EC139">
        <v>1</v>
      </c>
      <c r="ED139" s="4">
        <v>506</v>
      </c>
      <c r="EE139">
        <v>1</v>
      </c>
      <c r="EF139" s="4">
        <v>511</v>
      </c>
      <c r="EG139">
        <v>1</v>
      </c>
      <c r="EH139" s="4">
        <v>517</v>
      </c>
      <c r="EI139">
        <v>1</v>
      </c>
      <c r="EJ139" s="4">
        <v>524</v>
      </c>
      <c r="EK139">
        <v>1</v>
      </c>
    </row>
    <row r="140" spans="1:141" s="6" customFormat="1" x14ac:dyDescent="0.2">
      <c r="A140" s="12" t="s">
        <v>4884</v>
      </c>
      <c r="AB140" s="6" t="s">
        <v>42</v>
      </c>
    </row>
    <row r="141" spans="1:141" x14ac:dyDescent="0.2">
      <c r="A141" t="str">
        <f>HYPERLINK("http://exon.niaid.nih.gov/transcriptome/C_felis/S1/links/cf/cf-contig_455.txt","cf-contig_455")</f>
        <v>cf-contig_455</v>
      </c>
      <c r="B141">
        <v>1</v>
      </c>
      <c r="C141" s="10" t="s">
        <v>4773</v>
      </c>
      <c r="D141">
        <v>1</v>
      </c>
      <c r="E141" t="str">
        <f>HYPERLINK("http://exon.niaid.nih.gov/transcriptome/C_felis/S1/links/cf/cf-5-36-asb-455.txt","Contig-455")</f>
        <v>Contig-455</v>
      </c>
      <c r="F141" t="str">
        <f>HYPERLINK("http://exon.niaid.nih.gov/transcriptome/C_felis/S1/links/cf/cf-5-36-455-CLU.txt","Contig455")</f>
        <v>Contig455</v>
      </c>
      <c r="G141" t="str">
        <f>HYPERLINK("http://exon.niaid.nih.gov/transcriptome/C_felis/S1/links/cf/cf-5-36-455-qual.txt","48.")</f>
        <v>48.</v>
      </c>
      <c r="H141" t="s">
        <v>11</v>
      </c>
      <c r="I141">
        <v>48</v>
      </c>
      <c r="J141" t="s">
        <v>42</v>
      </c>
      <c r="K141" t="s">
        <v>12</v>
      </c>
      <c r="L141">
        <v>1</v>
      </c>
      <c r="M141" t="s">
        <v>468</v>
      </c>
      <c r="N141" t="s">
        <v>42</v>
      </c>
      <c r="O141">
        <v>1025</v>
      </c>
      <c r="P141">
        <v>366</v>
      </c>
      <c r="Q141" t="s">
        <v>1274</v>
      </c>
      <c r="R141">
        <v>2</v>
      </c>
      <c r="S141" s="7" t="str">
        <f>HYPERLINK("http://exon.niaid.nih.gov/transcriptome/C_felis/S1/links/Sigp/CF-CONTIG_455-SigP.txt","Cyt")</f>
        <v>Cyt</v>
      </c>
      <c r="U141">
        <v>1</v>
      </c>
      <c r="V141" s="4">
        <v>369</v>
      </c>
      <c r="W141">
        <v>1</v>
      </c>
      <c r="X141" s="4">
        <v>378</v>
      </c>
      <c r="Y141">
        <v>1</v>
      </c>
      <c r="Z141" s="4">
        <v>383</v>
      </c>
      <c r="AA141">
        <v>1</v>
      </c>
      <c r="AB141" s="4" t="str">
        <f>HYPERLINK("http://exon.niaid.nih.gov/transcriptome/C_felis/S1/links/XC-ASB/cf-contig_455-XC-ASB.txt","XC-contig_252")</f>
        <v>XC-contig_252</v>
      </c>
      <c r="AC141">
        <v>2.2000000000000002</v>
      </c>
      <c r="AD141" s="10" t="s">
        <v>4773</v>
      </c>
      <c r="AE141" t="s">
        <v>4698</v>
      </c>
      <c r="AF141" t="str">
        <f>HYPERLINK("http://exon.niaid.nih.gov/transcriptome/C_felis/S1/links/GO/cf-contig_455-GO.txt","GO")</f>
        <v>GO</v>
      </c>
      <c r="AG141" s="5">
        <v>2.0000000000000001E-83</v>
      </c>
      <c r="AH141">
        <v>46.5</v>
      </c>
      <c r="AI141" s="4" t="str">
        <f>HYPERLINK("http://exon.niaid.nih.gov/transcriptome/C_felis/S1/links/NR/cf-contig_455-NR.txt","6-phosphogluconolactonase")</f>
        <v>6-phosphogluconolactonase</v>
      </c>
      <c r="AJ141" t="str">
        <f>HYPERLINK("http://www.ncbi.nlm.nih.gov/sutils/blink.cgi?pid=170769005","5E-086")</f>
        <v>5E-086</v>
      </c>
      <c r="AK141" t="str">
        <f>HYPERLINK("http://www.ncbi.nlm.nih.gov/protein/170769005","gi|170769005")</f>
        <v>gi|170769005</v>
      </c>
      <c r="AL141">
        <v>301</v>
      </c>
      <c r="AM141">
        <v>226</v>
      </c>
      <c r="AN141">
        <v>331</v>
      </c>
      <c r="AO141">
        <v>92</v>
      </c>
      <c r="AP141">
        <v>69</v>
      </c>
      <c r="AQ141">
        <v>12</v>
      </c>
      <c r="AR141">
        <v>0</v>
      </c>
      <c r="AS141">
        <v>105</v>
      </c>
      <c r="AT141">
        <v>497</v>
      </c>
      <c r="AU141">
        <v>3</v>
      </c>
      <c r="AV141">
        <v>-2</v>
      </c>
      <c r="AW141" t="s">
        <v>1689</v>
      </c>
      <c r="AY141" t="s">
        <v>1666</v>
      </c>
      <c r="AZ141" t="s">
        <v>3319</v>
      </c>
      <c r="BA141" s="4" t="str">
        <f>HYPERLINK("http://exon.niaid.nih.gov/transcriptome/C_felis/S1/links/SWISSP/cf-contig_455-SWISSP.txt","6-phosphogluconolactonase")</f>
        <v>6-phosphogluconolactonase</v>
      </c>
      <c r="BB141" t="str">
        <f>HYPERLINK("http://www.uniprot.org/uniprot/Q32EZ9","2E-083")</f>
        <v>2E-083</v>
      </c>
      <c r="BC141" t="s">
        <v>3320</v>
      </c>
      <c r="BD141">
        <v>309</v>
      </c>
      <c r="BE141">
        <v>288</v>
      </c>
      <c r="BF141">
        <v>331</v>
      </c>
      <c r="BG141">
        <v>95</v>
      </c>
      <c r="BH141">
        <v>87</v>
      </c>
      <c r="BI141">
        <v>7</v>
      </c>
      <c r="BJ141">
        <v>0</v>
      </c>
      <c r="BK141">
        <v>43</v>
      </c>
      <c r="BL141">
        <v>497</v>
      </c>
      <c r="BM141">
        <v>4</v>
      </c>
      <c r="BN141">
        <v>-2</v>
      </c>
      <c r="BO141" t="s">
        <v>1689</v>
      </c>
      <c r="BQ141" t="s">
        <v>1666</v>
      </c>
      <c r="BR141" t="s">
        <v>3321</v>
      </c>
      <c r="BS141" s="4" t="str">
        <f>HYPERLINK("http://exon.niaid.nih.gov/transcriptome/C_felis/S1/links/CDD/cf-contig_455-CDD.txt","PRK11028")</f>
        <v>PRK11028</v>
      </c>
      <c r="BT141" t="str">
        <f>HYPERLINK("http://www.ncbi.nlm.nih.gov/Structure/cdd/cddsrv.cgi?uid=PRK11028&amp;version=v4.0","1E-086")</f>
        <v>1E-086</v>
      </c>
      <c r="BU141" t="s">
        <v>3322</v>
      </c>
      <c r="BV141" s="4" t="s">
        <v>3323</v>
      </c>
      <c r="BW141">
        <f>HYPERLINK("http://exon.niaid.nih.gov/transcriptome/C_felis/S1/links/GO/cf-contig_455-GO.txt",2E-83)</f>
        <v>2.0000000000000001E-83</v>
      </c>
      <c r="BX141" t="str">
        <f>HYPERLINK("http://amigo.geneontology.org/cgi-bin/amigo/term_details?term=GO:0017057","GO:0017057")</f>
        <v>GO:0017057</v>
      </c>
      <c r="BY141" t="s">
        <v>3324</v>
      </c>
      <c r="BZ141" t="s">
        <v>3325</v>
      </c>
      <c r="CA141" t="s">
        <v>3326</v>
      </c>
      <c r="CB141" t="str">
        <f>HYPERLINK("http://www.genome.jp/dbget-bin/www_bfind_sub?mode=bfind&amp;max_hit=1000&amp;dbkey=kegg&amp;keywords=EC:3.1.1.31","EC:3.1.1.31")</f>
        <v>EC:3.1.1.31</v>
      </c>
      <c r="CC141" t="str">
        <f>HYPERLINK("http://www.genome.jp/dbget-bin/www_bget?rn:R02035","KEGG:R02035")</f>
        <v>KEGG:R02035</v>
      </c>
      <c r="CD141" s="5">
        <v>2.0000000000000001E-83</v>
      </c>
      <c r="CE141" t="str">
        <f>HYPERLINK("http://amigo.geneontology.org/cgi-bin/amigo/term_details?term=GO:0005737","GO:0005737")</f>
        <v>GO:0005737</v>
      </c>
      <c r="CF141" t="s">
        <v>1966</v>
      </c>
      <c r="CG141" t="s">
        <v>1967</v>
      </c>
      <c r="CH141" t="s">
        <v>42</v>
      </c>
      <c r="CI141" t="s">
        <v>42</v>
      </c>
      <c r="CK141" s="5">
        <v>2.0000000000000001E-83</v>
      </c>
      <c r="CL141" t="str">
        <f>HYPERLINK("http://amigo.geneontology.org/cgi-bin/amigo/term_details?term=GO:0005975","GO:0005975")</f>
        <v>GO:0005975</v>
      </c>
      <c r="CM141" t="s">
        <v>2221</v>
      </c>
      <c r="CN141" t="s">
        <v>2222</v>
      </c>
      <c r="CO141" t="s">
        <v>2223</v>
      </c>
      <c r="CP141" t="s">
        <v>42</v>
      </c>
      <c r="CR141" s="5">
        <v>2.0000000000000001E-83</v>
      </c>
      <c r="CS141" s="4" t="str">
        <f>HYPERLINK("http://exon.niaid.nih.gov/transcriptome/C_felis/S1/links/KOG/cf-contig_455-KOG.txt","Uncharacterized conserved protein WDR8, contains WD repeats")</f>
        <v>Uncharacterized conserved protein WDR8, contains WD repeats</v>
      </c>
      <c r="CT141" t="str">
        <f>HYPERLINK("http://www.ncbi.nlm.nih.gov/COG/grace/shokog.cgi?KOG4497","0.20")</f>
        <v>0.20</v>
      </c>
      <c r="CU141" t="s">
        <v>1721</v>
      </c>
      <c r="CV141" s="4" t="str">
        <f>HYPERLINK("http://exon.niaid.nih.gov/transcriptome/C_felis/S1/links/PFAM/cf-contig_455-PFAM.txt","Lactonase")</f>
        <v>Lactonase</v>
      </c>
      <c r="CW141" t="str">
        <f>HYPERLINK("http://pfam.sanger.ac.uk/family?acc=PF10282","5E-050")</f>
        <v>5E-050</v>
      </c>
      <c r="CX141" s="4" t="str">
        <f>HYPERLINK("http://exon.niaid.nih.gov/transcriptome/C_felis/S1/links/SMART/cf-contig_455-SMART.txt","NPCBM")</f>
        <v>NPCBM</v>
      </c>
      <c r="CY141" t="str">
        <f>HYPERLINK("http://smart.embl-heidelberg.de/smart/do_annotation.pl?DOMAIN=NPCBM&amp;BLAST=DUMMY","0.035")</f>
        <v>0.035</v>
      </c>
      <c r="CZ141" s="4" t="s">
        <v>42</v>
      </c>
      <c r="DA141" t="s">
        <v>42</v>
      </c>
      <c r="DB141" t="s">
        <v>42</v>
      </c>
      <c r="DC141" t="s">
        <v>42</v>
      </c>
      <c r="DD141" t="s">
        <v>42</v>
      </c>
      <c r="DE141" t="s">
        <v>42</v>
      </c>
      <c r="DF141" t="s">
        <v>42</v>
      </c>
      <c r="DG141" t="s">
        <v>42</v>
      </c>
      <c r="DH141" s="4" t="s">
        <v>42</v>
      </c>
      <c r="DI141" t="s">
        <v>42</v>
      </c>
      <c r="DJ141" s="4" t="s">
        <v>42</v>
      </c>
      <c r="DK141" t="s">
        <v>42</v>
      </c>
      <c r="DL141" s="4">
        <v>369</v>
      </c>
      <c r="DM141">
        <v>1</v>
      </c>
      <c r="DN141" s="4">
        <v>378</v>
      </c>
      <c r="DO141">
        <v>1</v>
      </c>
      <c r="DP141" s="4">
        <v>383</v>
      </c>
      <c r="DQ141">
        <v>1</v>
      </c>
      <c r="DR141" s="4">
        <v>398</v>
      </c>
      <c r="DS141">
        <v>1</v>
      </c>
      <c r="DT141" s="4">
        <v>408</v>
      </c>
      <c r="DU141">
        <v>1</v>
      </c>
      <c r="DV141" s="4">
        <v>422</v>
      </c>
      <c r="DW141">
        <v>1</v>
      </c>
      <c r="DX141" s="4">
        <v>425</v>
      </c>
      <c r="DY141">
        <v>1</v>
      </c>
      <c r="DZ141" s="4">
        <v>430</v>
      </c>
      <c r="EA141">
        <v>1</v>
      </c>
      <c r="EB141" s="4">
        <v>435</v>
      </c>
      <c r="EC141">
        <v>1</v>
      </c>
      <c r="ED141" s="4">
        <v>439</v>
      </c>
      <c r="EE141">
        <v>1</v>
      </c>
      <c r="EF141" s="4">
        <v>444</v>
      </c>
      <c r="EG141">
        <v>1</v>
      </c>
      <c r="EH141" s="4">
        <v>449</v>
      </c>
      <c r="EI141">
        <v>1</v>
      </c>
      <c r="EJ141" s="4">
        <v>455</v>
      </c>
      <c r="EK141">
        <v>1</v>
      </c>
    </row>
    <row r="142" spans="1:141" x14ac:dyDescent="0.2">
      <c r="A142" t="str">
        <f>HYPERLINK("http://exon.niaid.nih.gov/transcriptome/C_felis/S1/links/cf/cf-contig_440.txt","cf-contig_440")</f>
        <v>cf-contig_440</v>
      </c>
      <c r="B142">
        <v>1</v>
      </c>
      <c r="C142" s="10" t="s">
        <v>4767</v>
      </c>
      <c r="D142">
        <v>1</v>
      </c>
      <c r="E142" t="str">
        <f>HYPERLINK("http://exon.niaid.nih.gov/transcriptome/C_felis/S1/links/cf/cf-5-36-asb-440.txt","Contig-440")</f>
        <v>Contig-440</v>
      </c>
      <c r="F142" t="str">
        <f>HYPERLINK("http://exon.niaid.nih.gov/transcriptome/C_felis/S1/links/cf/cf-5-36-440-CLU.txt","Contig440")</f>
        <v>Contig440</v>
      </c>
      <c r="G142" t="str">
        <f>HYPERLINK("http://exon.niaid.nih.gov/transcriptome/C_felis/S1/links/cf/cf-5-36-440-qual.txt","64.3")</f>
        <v>64.3</v>
      </c>
      <c r="H142" t="s">
        <v>11</v>
      </c>
      <c r="I142">
        <v>75.400000000000006</v>
      </c>
      <c r="J142">
        <v>331</v>
      </c>
      <c r="K142" t="s">
        <v>12</v>
      </c>
      <c r="L142">
        <v>1</v>
      </c>
      <c r="M142" t="s">
        <v>453</v>
      </c>
      <c r="N142">
        <v>331</v>
      </c>
      <c r="O142">
        <v>350</v>
      </c>
      <c r="P142">
        <v>141</v>
      </c>
      <c r="Q142" t="s">
        <v>1259</v>
      </c>
      <c r="R142">
        <v>3</v>
      </c>
      <c r="S142" s="7" t="s">
        <v>4585</v>
      </c>
      <c r="U142">
        <v>1</v>
      </c>
      <c r="V142" s="4">
        <v>356</v>
      </c>
      <c r="W142">
        <v>1</v>
      </c>
      <c r="X142" s="4">
        <v>365</v>
      </c>
      <c r="Y142">
        <v>1</v>
      </c>
      <c r="Z142" s="4">
        <v>370</v>
      </c>
      <c r="AA142">
        <v>1</v>
      </c>
      <c r="AB142" s="4" t="str">
        <f>HYPERLINK("http://exon.niaid.nih.gov/transcriptome/C_felis/S1/links/XC-ASB/cf-contig_440-XC-ASB.txt","XC-contig_67")</f>
        <v>XC-contig_67</v>
      </c>
      <c r="AC142">
        <v>1.2</v>
      </c>
      <c r="AD142" s="10" t="s">
        <v>4767</v>
      </c>
      <c r="AE142" t="s">
        <v>4698</v>
      </c>
      <c r="AF142" t="str">
        <f>HYPERLINK("http://exon.niaid.nih.gov/transcriptome/C_felis/S1/links/GO/cf-contig_440-GO.txt","GO")</f>
        <v>GO</v>
      </c>
      <c r="AG142" s="5">
        <v>7.0000000000000003E-17</v>
      </c>
      <c r="AH142">
        <v>3.5</v>
      </c>
      <c r="AI142" s="4" t="str">
        <f>HYPERLINK("http://exon.niaid.nih.gov/transcriptome/C_felis/S1/links/NR/cf-contig_440-NR.txt","hypothetical protein TcasGA2_TC015096")</f>
        <v>hypothetical protein TcasGA2_TC015096</v>
      </c>
      <c r="AJ142" t="str">
        <f>HYPERLINK("http://www.ncbi.nlm.nih.gov/sutils/blink.cgi?pid=270008566","9E-016")</f>
        <v>9E-016</v>
      </c>
      <c r="AK142" t="str">
        <f>HYPERLINK("http://www.ncbi.nlm.nih.gov/protein/270008566","gi|270008566")</f>
        <v>gi|270008566</v>
      </c>
      <c r="AL142">
        <v>87</v>
      </c>
      <c r="AM142">
        <v>39</v>
      </c>
      <c r="AN142">
        <v>1089</v>
      </c>
      <c r="AO142">
        <v>95</v>
      </c>
      <c r="AP142">
        <v>4</v>
      </c>
      <c r="AQ142">
        <v>2</v>
      </c>
      <c r="AR142">
        <v>0</v>
      </c>
      <c r="AS142">
        <v>1050</v>
      </c>
      <c r="AT142">
        <v>5</v>
      </c>
      <c r="AU142">
        <v>1</v>
      </c>
      <c r="AV142">
        <v>2</v>
      </c>
      <c r="AW142" t="s">
        <v>12</v>
      </c>
      <c r="AY142" t="s">
        <v>1676</v>
      </c>
      <c r="AZ142" t="s">
        <v>1878</v>
      </c>
      <c r="BA142" s="4" t="str">
        <f>HYPERLINK("http://exon.niaid.nih.gov/transcriptome/C_felis/S1/links/SWISSP/cf-contig_440-SWISSP.txt","ATP-citrate synthase")</f>
        <v>ATP-citrate synthase</v>
      </c>
      <c r="BB142" t="str">
        <f>HYPERLINK("http://www.uniprot.org/uniprot/Q2TCH3","3E-014")</f>
        <v>3E-014</v>
      </c>
      <c r="BC142" t="s">
        <v>3245</v>
      </c>
      <c r="BD142">
        <v>77</v>
      </c>
      <c r="BE142">
        <v>35</v>
      </c>
      <c r="BF142">
        <v>1101</v>
      </c>
      <c r="BG142">
        <v>91</v>
      </c>
      <c r="BH142">
        <v>3</v>
      </c>
      <c r="BI142">
        <v>3</v>
      </c>
      <c r="BJ142">
        <v>0</v>
      </c>
      <c r="BK142">
        <v>1062</v>
      </c>
      <c r="BL142">
        <v>5</v>
      </c>
      <c r="BM142">
        <v>1</v>
      </c>
      <c r="BN142">
        <v>2</v>
      </c>
      <c r="BO142" t="s">
        <v>12</v>
      </c>
      <c r="BQ142" t="s">
        <v>1676</v>
      </c>
      <c r="BR142" t="s">
        <v>3246</v>
      </c>
      <c r="BS142" s="4" t="str">
        <f>HYPERLINK("http://exon.niaid.nih.gov/transcriptome/C_felis/S1/links/CDD/cf-contig_440-CDD.txt","PLN02522")</f>
        <v>PLN02522</v>
      </c>
      <c r="BT142" t="str">
        <f>HYPERLINK("http://www.ncbi.nlm.nih.gov/Structure/cdd/cddsrv.cgi?uid=PLN02522&amp;version=v4.0","1E-014")</f>
        <v>1E-014</v>
      </c>
      <c r="BU142" t="s">
        <v>3247</v>
      </c>
      <c r="BV142" s="4" t="s">
        <v>3248</v>
      </c>
      <c r="BW142">
        <f>HYPERLINK("http://exon.niaid.nih.gov/transcriptome/C_felis/S1/links/GO/cf-contig_440-GO.txt",0.00000000000000007)</f>
        <v>7.0000000000000003E-17</v>
      </c>
      <c r="BX142" t="str">
        <f>HYPERLINK("http://amigo.geneontology.org/cgi-bin/amigo/term_details?term=GO:0003878","GO:0003878")</f>
        <v>GO:0003878</v>
      </c>
      <c r="BY142" t="s">
        <v>3249</v>
      </c>
      <c r="BZ142" t="s">
        <v>3250</v>
      </c>
      <c r="CA142" t="s">
        <v>3251</v>
      </c>
      <c r="CB142" t="str">
        <f>HYPERLINK("http://www.genome.jp/dbget-bin/www_bfind_sub?mode=bfind&amp;max_hit=1000&amp;dbkey=kegg&amp;keywords=EC:2.3.3.8","EC:2.3.3.8")</f>
        <v>EC:2.3.3.8</v>
      </c>
      <c r="CC142" t="str">
        <f>HYPERLINK("http://www.genome.jp/dbget-bin/www_bget?rn:R00352","KEGG:R00352")</f>
        <v>KEGG:R00352</v>
      </c>
      <c r="CD142" s="5">
        <v>7.0000000000000003E-17</v>
      </c>
      <c r="CE142" t="str">
        <f>HYPERLINK("http://amigo.geneontology.org/cgi-bin/amigo/term_details?term=GO:0005737","GO:0005737")</f>
        <v>GO:0005737</v>
      </c>
      <c r="CF142" t="s">
        <v>1966</v>
      </c>
      <c r="CG142" t="s">
        <v>1967</v>
      </c>
      <c r="CH142" t="s">
        <v>42</v>
      </c>
      <c r="CI142" t="s">
        <v>42</v>
      </c>
      <c r="CK142" s="5">
        <v>7.0000000000000003E-17</v>
      </c>
      <c r="CL142" t="str">
        <f>HYPERLINK("http://amigo.geneontology.org/cgi-bin/amigo/term_details?term=GO:0006101","GO:0006101")</f>
        <v>GO:0006101</v>
      </c>
      <c r="CM142" t="s">
        <v>3252</v>
      </c>
      <c r="CN142" t="s">
        <v>3253</v>
      </c>
      <c r="CO142" t="s">
        <v>3254</v>
      </c>
      <c r="CP142" t="s">
        <v>42</v>
      </c>
      <c r="CR142" s="5">
        <v>7.0000000000000003E-17</v>
      </c>
      <c r="CS142" s="4" t="str">
        <f>HYPERLINK("http://exon.niaid.nih.gov/transcriptome/C_felis/S1/links/KOG/cf-contig_440-KOG.txt","ATP-citrate lyase")</f>
        <v>ATP-citrate lyase</v>
      </c>
      <c r="CT142" t="str">
        <f>HYPERLINK("http://www.ncbi.nlm.nih.gov/COG/grace/shokog.cgi?KOG1254","1E-016")</f>
        <v>1E-016</v>
      </c>
      <c r="CU142" t="s">
        <v>1793</v>
      </c>
      <c r="CV142" s="4" t="str">
        <f>HYPERLINK("http://exon.niaid.nih.gov/transcriptome/C_felis/S1/links/PFAM/cf-contig_440-PFAM.txt","Med27")</f>
        <v>Med27</v>
      </c>
      <c r="CW142" t="str">
        <f>HYPERLINK("http://pfam.sanger.ac.uk/family?acc=PF11571","0.089")</f>
        <v>0.089</v>
      </c>
      <c r="CX142" s="4" t="str">
        <f>HYPERLINK("http://exon.niaid.nih.gov/transcriptome/C_felis/S1/links/SMART/cf-contig_440-SMART.txt","CARP")</f>
        <v>CARP</v>
      </c>
      <c r="CY142" t="str">
        <f>HYPERLINK("http://smart.embl-heidelberg.de/smart/do_annotation.pl?DOMAIN=CARP&amp;BLAST=DUMMY","0.17")</f>
        <v>0.17</v>
      </c>
      <c r="CZ142" s="4" t="s">
        <v>42</v>
      </c>
      <c r="DA142" t="s">
        <v>42</v>
      </c>
      <c r="DB142" t="s">
        <v>42</v>
      </c>
      <c r="DC142" t="s">
        <v>42</v>
      </c>
      <c r="DD142" t="s">
        <v>42</v>
      </c>
      <c r="DE142" t="s">
        <v>42</v>
      </c>
      <c r="DF142" t="s">
        <v>42</v>
      </c>
      <c r="DG142" t="s">
        <v>42</v>
      </c>
      <c r="DH142" s="4" t="s">
        <v>42</v>
      </c>
      <c r="DI142" t="s">
        <v>42</v>
      </c>
      <c r="DJ142" s="4" t="s">
        <v>42</v>
      </c>
      <c r="DK142" t="s">
        <v>42</v>
      </c>
      <c r="DL142" s="4">
        <v>356</v>
      </c>
      <c r="DM142">
        <v>1</v>
      </c>
      <c r="DN142" s="4">
        <v>365</v>
      </c>
      <c r="DO142">
        <v>1</v>
      </c>
      <c r="DP142" s="4">
        <v>370</v>
      </c>
      <c r="DQ142">
        <v>1</v>
      </c>
      <c r="DR142" s="4">
        <v>384</v>
      </c>
      <c r="DS142">
        <v>1</v>
      </c>
      <c r="DT142" s="4">
        <v>394</v>
      </c>
      <c r="DU142">
        <v>1</v>
      </c>
      <c r="DV142" s="4">
        <v>408</v>
      </c>
      <c r="DW142">
        <v>1</v>
      </c>
      <c r="DX142" s="4">
        <v>411</v>
      </c>
      <c r="DY142">
        <v>1</v>
      </c>
      <c r="DZ142" s="4">
        <v>416</v>
      </c>
      <c r="EA142">
        <v>1</v>
      </c>
      <c r="EB142" s="4">
        <v>421</v>
      </c>
      <c r="EC142">
        <v>1</v>
      </c>
      <c r="ED142" s="4">
        <v>425</v>
      </c>
      <c r="EE142">
        <v>1</v>
      </c>
      <c r="EF142" s="4">
        <v>430</v>
      </c>
      <c r="EG142">
        <v>1</v>
      </c>
      <c r="EH142" s="4">
        <v>434</v>
      </c>
      <c r="EI142">
        <v>1</v>
      </c>
      <c r="EJ142" s="4">
        <v>440</v>
      </c>
      <c r="EK142">
        <v>1</v>
      </c>
    </row>
    <row r="143" spans="1:141" x14ac:dyDescent="0.2">
      <c r="A143" t="str">
        <f>HYPERLINK("http://exon.niaid.nih.gov/transcriptome/C_felis/S1/links/cf/cf-contig_222.txt","cf-contig_222")</f>
        <v>cf-contig_222</v>
      </c>
      <c r="B143">
        <v>1</v>
      </c>
      <c r="C143" s="10" t="s">
        <v>4697</v>
      </c>
      <c r="D143">
        <v>1</v>
      </c>
      <c r="E143" t="str">
        <f>HYPERLINK("http://exon.niaid.nih.gov/transcriptome/C_felis/S1/links/cf/cf-5-36-asb-222.txt","Contig-222")</f>
        <v>Contig-222</v>
      </c>
      <c r="F143" t="str">
        <f>HYPERLINK("http://exon.niaid.nih.gov/transcriptome/C_felis/S1/links/cf/cf-5-36-222-CLU.txt","Contig222")</f>
        <v>Contig222</v>
      </c>
      <c r="G143" t="str">
        <f>HYPERLINK("http://exon.niaid.nih.gov/transcriptome/C_felis/S1/links/cf/cf-5-36-222-qual.txt","57.8")</f>
        <v>57.8</v>
      </c>
      <c r="H143" t="s">
        <v>11</v>
      </c>
      <c r="I143">
        <v>60.4</v>
      </c>
      <c r="J143">
        <v>819</v>
      </c>
      <c r="K143" t="s">
        <v>12</v>
      </c>
      <c r="L143">
        <v>1</v>
      </c>
      <c r="M143" t="s">
        <v>235</v>
      </c>
      <c r="N143">
        <v>819</v>
      </c>
      <c r="O143">
        <v>838</v>
      </c>
      <c r="P143">
        <v>603</v>
      </c>
      <c r="Q143" t="s">
        <v>1042</v>
      </c>
      <c r="R143">
        <v>1</v>
      </c>
      <c r="S143" s="7" t="str">
        <f>HYPERLINK("http://exon.niaid.nih.gov/transcriptome/C_felis/S1/links/Sigp/CF-CONTIG_222-SigP.txt","Cyt")</f>
        <v>Cyt</v>
      </c>
      <c r="U143">
        <v>1</v>
      </c>
      <c r="V143" s="4">
        <f>HYPERLINK("http://exon.niaid.nih.gov/transcriptome/C_felis/S1/links/cluster/cf-5-36-asb30-50-Id-CLU54.txt", 54)</f>
        <v>54</v>
      </c>
      <c r="W143">
        <f>HYPERLINK("http://exon.niaid.nih.gov/transcriptome/C_felis/S1/links/cluster/cf-5-36-asb30-50-Id-CLTL54.txt", 2)</f>
        <v>2</v>
      </c>
      <c r="X143" s="4">
        <f>HYPERLINK("http://exon.niaid.nih.gov/transcriptome/C_felis/S1/links/cluster/cf-5-36-asb35-50-Id-CLU47.txt", 47)</f>
        <v>47</v>
      </c>
      <c r="Y143">
        <f>HYPERLINK("http://exon.niaid.nih.gov/transcriptome/C_felis/S1/links/cluster/cf-5-36-asb35-50-Id-CLTL47.txt", 2)</f>
        <v>2</v>
      </c>
      <c r="Z143" s="4">
        <f>HYPERLINK("http://exon.niaid.nih.gov/transcriptome/C_felis/S1/links/cluster/cf-5-36-asb40-50-Id-CLU44.txt", 44)</f>
        <v>44</v>
      </c>
      <c r="AA143">
        <f>HYPERLINK("http://exon.niaid.nih.gov/transcriptome/C_felis/S1/links/cluster/cf-5-36-asb40-50-Id-CLTL44.txt", 2)</f>
        <v>2</v>
      </c>
      <c r="AB143" s="4" t="str">
        <f>HYPERLINK("http://exon.niaid.nih.gov/transcriptome/C_felis/S1/links/XC-ASB/cf-contig_222-XC-ASB.txt","XC-contig_57")</f>
        <v>XC-contig_57</v>
      </c>
      <c r="AC143">
        <v>0.5</v>
      </c>
      <c r="AD143" s="10" t="s">
        <v>4697</v>
      </c>
      <c r="AE143" t="s">
        <v>4698</v>
      </c>
      <c r="AF143" t="str">
        <f>HYPERLINK("http://exon.niaid.nih.gov/transcriptome/C_felis/S1/links/KOG/cf-contig_222-KOG.txt","KOG")</f>
        <v>KOG</v>
      </c>
      <c r="AG143" s="5">
        <v>9.9999999999999993E-89</v>
      </c>
      <c r="AH143">
        <v>54.2</v>
      </c>
      <c r="AI143" s="4" t="str">
        <f>HYPERLINK("http://exon.niaid.nih.gov/transcriptome/C_felis/S1/links/NR/cf-contig_222-NR.txt","fructose-bisphosphate aldolase")</f>
        <v>fructose-bisphosphate aldolase</v>
      </c>
      <c r="AJ143" t="str">
        <f>HYPERLINK("http://www.ncbi.nlm.nih.gov/sutils/blink.cgi?pid=157111184","4E-084")</f>
        <v>4E-084</v>
      </c>
      <c r="AK143" t="str">
        <f>HYPERLINK("http://www.ncbi.nlm.nih.gov/protein/157111184","gi|157111184")</f>
        <v>gi|157111184</v>
      </c>
      <c r="AL143">
        <v>315</v>
      </c>
      <c r="AM143">
        <v>196</v>
      </c>
      <c r="AN143">
        <v>364</v>
      </c>
      <c r="AO143">
        <v>79</v>
      </c>
      <c r="AP143">
        <v>54</v>
      </c>
      <c r="AQ143">
        <v>41</v>
      </c>
      <c r="AR143">
        <v>0</v>
      </c>
      <c r="AS143">
        <v>168</v>
      </c>
      <c r="AT143">
        <v>13</v>
      </c>
      <c r="AU143">
        <v>1</v>
      </c>
      <c r="AV143">
        <v>1</v>
      </c>
      <c r="AW143" t="s">
        <v>12</v>
      </c>
      <c r="AY143" t="s">
        <v>1676</v>
      </c>
      <c r="AZ143" t="s">
        <v>2267</v>
      </c>
      <c r="BA143" s="4" t="str">
        <f>HYPERLINK("http://exon.niaid.nih.gov/transcriptome/C_felis/S1/links/SWISSP/cf-contig_222-SWISSP.txt","Fructose-bisphosphate aldolase")</f>
        <v>Fructose-bisphosphate aldolase</v>
      </c>
      <c r="BB143" t="str">
        <f>HYPERLINK("http://www.uniprot.org/uniprot/P07764","8E-079")</f>
        <v>8E-079</v>
      </c>
      <c r="BC143" t="s">
        <v>2496</v>
      </c>
      <c r="BD143">
        <v>293</v>
      </c>
      <c r="BE143">
        <v>193</v>
      </c>
      <c r="BF143">
        <v>361</v>
      </c>
      <c r="BG143">
        <v>77</v>
      </c>
      <c r="BH143">
        <v>54</v>
      </c>
      <c r="BI143">
        <v>45</v>
      </c>
      <c r="BJ143">
        <v>0</v>
      </c>
      <c r="BK143">
        <v>168</v>
      </c>
      <c r="BL143">
        <v>13</v>
      </c>
      <c r="BM143">
        <v>1</v>
      </c>
      <c r="BN143">
        <v>1</v>
      </c>
      <c r="BO143" t="s">
        <v>12</v>
      </c>
      <c r="BQ143" t="s">
        <v>1676</v>
      </c>
      <c r="BR143" t="s">
        <v>1804</v>
      </c>
      <c r="BS143" s="4" t="str">
        <f>HYPERLINK("http://exon.niaid.nih.gov/transcriptome/C_felis/S1/links/CDD/cf-contig_222-CDD.txt","Glycolytic")</f>
        <v>Glycolytic</v>
      </c>
      <c r="BT143" t="str">
        <f>HYPERLINK("http://www.ncbi.nlm.nih.gov/Structure/cdd/cddsrv.cgi?uid=pfam00274&amp;version=v4.0","1E-103")</f>
        <v>1E-103</v>
      </c>
      <c r="BU143" t="s">
        <v>2497</v>
      </c>
      <c r="BV143" s="4" t="s">
        <v>2498</v>
      </c>
      <c r="BW143">
        <f>HYPERLINK("http://exon.niaid.nih.gov/transcriptome/C_felis/S1/links/GO/cf-contig_222-GO.txt",6E-79)</f>
        <v>6E-79</v>
      </c>
      <c r="BX143" t="str">
        <f>HYPERLINK("http://amigo.geneontology.org/cgi-bin/amigo/term_details?term=GO:0004332","GO:0004332")</f>
        <v>GO:0004332</v>
      </c>
      <c r="BY143" t="s">
        <v>2499</v>
      </c>
      <c r="BZ143" t="s">
        <v>2500</v>
      </c>
      <c r="CA143" t="s">
        <v>2501</v>
      </c>
      <c r="CB143" t="str">
        <f>HYPERLINK("http://www.genome.jp/dbget-bin/www_bfind_sub?mode=bfind&amp;max_hit=1000&amp;dbkey=kegg&amp;keywords=EC:4.1.2.13","EC:4.1.2.13")</f>
        <v>EC:4.1.2.13</v>
      </c>
      <c r="CD143" s="5">
        <v>6E-79</v>
      </c>
      <c r="CE143" t="str">
        <f>HYPERLINK("http://amigo.geneontology.org/cgi-bin/amigo/term_details?term=GO:0030018","GO:0030018")</f>
        <v>GO:0030018</v>
      </c>
      <c r="CF143" t="s">
        <v>2502</v>
      </c>
      <c r="CG143" t="s">
        <v>2503</v>
      </c>
      <c r="CH143" t="s">
        <v>2504</v>
      </c>
      <c r="CI143" t="s">
        <v>42</v>
      </c>
      <c r="CK143" s="5">
        <v>6E-79</v>
      </c>
      <c r="CL143" t="str">
        <f>HYPERLINK("http://amigo.geneontology.org/cgi-bin/amigo/term_details?term=GO:0006096","GO:0006096")</f>
        <v>GO:0006096</v>
      </c>
      <c r="CM143" t="s">
        <v>1962</v>
      </c>
      <c r="CN143" t="s">
        <v>1963</v>
      </c>
      <c r="CO143" t="s">
        <v>1964</v>
      </c>
      <c r="CP143" t="s">
        <v>42</v>
      </c>
      <c r="CR143" s="5">
        <v>6E-79</v>
      </c>
      <c r="CS143" s="4" t="str">
        <f>HYPERLINK("http://exon.niaid.nih.gov/transcriptome/C_felis/S1/links/KOG/cf-contig_222-KOG.txt","Fructose-biphosphate aldolase")</f>
        <v>Fructose-biphosphate aldolase</v>
      </c>
      <c r="CT143" t="str">
        <f>HYPERLINK("http://www.ncbi.nlm.nih.gov/COG/grace/shokog.cgi?KOG1557","1E-088")</f>
        <v>1E-088</v>
      </c>
      <c r="CU143" t="s">
        <v>1823</v>
      </c>
      <c r="CV143" s="4" t="str">
        <f>HYPERLINK("http://exon.niaid.nih.gov/transcriptome/C_felis/S1/links/PFAM/cf-contig_222-PFAM.txt","Glycolytic")</f>
        <v>Glycolytic</v>
      </c>
      <c r="CW143" t="str">
        <f>HYPERLINK("http://pfam.sanger.ac.uk/family?acc=PF00274","1E-104")</f>
        <v>1E-104</v>
      </c>
      <c r="CX143" s="4" t="str">
        <f>HYPERLINK("http://exon.niaid.nih.gov/transcriptome/C_felis/S1/links/SMART/cf-contig_222-SMART.txt","LIGANc")</f>
        <v>LIGANc</v>
      </c>
      <c r="CY143" t="str">
        <f>HYPERLINK("http://smart.embl-heidelberg.de/smart/do_annotation.pl?DOMAIN=LIGANc&amp;BLAST=DUMMY","0.20")</f>
        <v>0.20</v>
      </c>
      <c r="CZ143" s="4" t="s">
        <v>42</v>
      </c>
      <c r="DA143" t="s">
        <v>42</v>
      </c>
      <c r="DB143" t="s">
        <v>42</v>
      </c>
      <c r="DC143" t="s">
        <v>42</v>
      </c>
      <c r="DD143" t="s">
        <v>42</v>
      </c>
      <c r="DE143" t="s">
        <v>42</v>
      </c>
      <c r="DF143" t="s">
        <v>42</v>
      </c>
      <c r="DG143" t="s">
        <v>42</v>
      </c>
      <c r="DH143" s="4" t="s">
        <v>42</v>
      </c>
      <c r="DI143" t="s">
        <v>42</v>
      </c>
      <c r="DJ143" s="4" t="s">
        <v>42</v>
      </c>
      <c r="DK143" t="s">
        <v>42</v>
      </c>
      <c r="DL143" s="4">
        <f>HYPERLINK("http://exon.niaid.nih.gov/transcriptome/C_felis/S1/links/cluster/cf-5-36-asb30-50-Id-CLU54.txt", 54)</f>
        <v>54</v>
      </c>
      <c r="DM143">
        <f>HYPERLINK("http://exon.niaid.nih.gov/transcriptome/C_felis/S1/links/cluster/cf-5-36-asb30-50-Id-CLTL54.txt", 2)</f>
        <v>2</v>
      </c>
      <c r="DN143" s="4">
        <f>HYPERLINK("http://exon.niaid.nih.gov/transcriptome/C_felis/S1/links/cluster/cf-5-36-asb35-50-Id-CLU47.txt", 47)</f>
        <v>47</v>
      </c>
      <c r="DO143">
        <f>HYPERLINK("http://exon.niaid.nih.gov/transcriptome/C_felis/S1/links/cluster/cf-5-36-asb35-50-Id-CLTL47.txt", 2)</f>
        <v>2</v>
      </c>
      <c r="DP143" s="4">
        <f>HYPERLINK("http://exon.niaid.nih.gov/transcriptome/C_felis/S1/links/cluster/cf-5-36-asb40-50-Id-CLU44.txt", 44)</f>
        <v>44</v>
      </c>
      <c r="DQ143">
        <f>HYPERLINK("http://exon.niaid.nih.gov/transcriptome/C_felis/S1/links/cluster/cf-5-36-asb40-50-Id-CLTL44.txt", 2)</f>
        <v>2</v>
      </c>
      <c r="DR143" s="4">
        <f>HYPERLINK("http://exon.niaid.nih.gov/transcriptome/C_felis/S1/links/cluster/cf-5-36-asb45-50-Id-CLU39.txt", 39)</f>
        <v>39</v>
      </c>
      <c r="DS143">
        <f>HYPERLINK("http://exon.niaid.nih.gov/transcriptome/C_felis/S1/links/cluster/cf-5-36-asb45-50-Id-CLTL39.txt", 2)</f>
        <v>2</v>
      </c>
      <c r="DT143" s="4">
        <f>HYPERLINK("http://exon.niaid.nih.gov/transcriptome/C_felis/S1/links/cluster/cf-5-36-asb50-50-Id-CLU35.txt", 35)</f>
        <v>35</v>
      </c>
      <c r="DU143">
        <f>HYPERLINK("http://exon.niaid.nih.gov/transcriptome/C_felis/S1/links/cluster/cf-5-36-asb50-50-Id-CLTL35.txt", 2)</f>
        <v>2</v>
      </c>
      <c r="DV143" s="4">
        <f>HYPERLINK("http://exon.niaid.nih.gov/transcriptome/C_felis/S1/links/cluster/cf-5-36-asb55-50-Id-CLU32.txt", 32)</f>
        <v>32</v>
      </c>
      <c r="DW143">
        <f>HYPERLINK("http://exon.niaid.nih.gov/transcriptome/C_felis/S1/links/cluster/cf-5-36-asb55-50-Id-CLTL32.txt", 2)</f>
        <v>2</v>
      </c>
      <c r="DX143" s="4">
        <f>HYPERLINK("http://exon.niaid.nih.gov/transcriptome/C_felis/S1/links/cluster/cf-5-36-asb60-50-Id-CLU29.txt", 29)</f>
        <v>29</v>
      </c>
      <c r="DY143">
        <f>HYPERLINK("http://exon.niaid.nih.gov/transcriptome/C_felis/S1/links/cluster/cf-5-36-asb60-50-Id-CLTL29.txt", 2)</f>
        <v>2</v>
      </c>
      <c r="DZ143" s="4">
        <v>204</v>
      </c>
      <c r="EA143">
        <v>1</v>
      </c>
      <c r="EB143" s="4">
        <v>209</v>
      </c>
      <c r="EC143">
        <v>1</v>
      </c>
      <c r="ED143" s="4">
        <v>212</v>
      </c>
      <c r="EE143">
        <v>1</v>
      </c>
      <c r="EF143" s="4">
        <v>215</v>
      </c>
      <c r="EG143">
        <v>1</v>
      </c>
      <c r="EH143" s="4">
        <v>217</v>
      </c>
      <c r="EI143">
        <v>1</v>
      </c>
      <c r="EJ143" s="4">
        <v>222</v>
      </c>
      <c r="EK143">
        <v>1</v>
      </c>
    </row>
    <row r="144" spans="1:141" x14ac:dyDescent="0.2">
      <c r="A144" t="str">
        <f>HYPERLINK("http://exon.niaid.nih.gov/transcriptome/C_felis/S1/links/cf/cf-contig_223.txt","cf-contig_223")</f>
        <v>cf-contig_223</v>
      </c>
      <c r="B144">
        <v>1</v>
      </c>
      <c r="C144" s="10" t="s">
        <v>4697</v>
      </c>
      <c r="D144">
        <v>1</v>
      </c>
      <c r="E144" t="str">
        <f>HYPERLINK("http://exon.niaid.nih.gov/transcriptome/C_felis/S1/links/cf/cf-5-36-asb-223.txt","Contig-223")</f>
        <v>Contig-223</v>
      </c>
      <c r="F144" t="str">
        <f>HYPERLINK("http://exon.niaid.nih.gov/transcriptome/C_felis/S1/links/cf/cf-5-36-223-CLU.txt","Contig223")</f>
        <v>Contig223</v>
      </c>
      <c r="G144" t="str">
        <f>HYPERLINK("http://exon.niaid.nih.gov/transcriptome/C_felis/S1/links/cf/cf-5-36-223-qual.txt","65.9")</f>
        <v>65.9</v>
      </c>
      <c r="H144" t="s">
        <v>11</v>
      </c>
      <c r="I144">
        <v>63.5</v>
      </c>
      <c r="J144">
        <v>548</v>
      </c>
      <c r="K144" t="s">
        <v>12</v>
      </c>
      <c r="L144">
        <v>1</v>
      </c>
      <c r="M144" t="s">
        <v>236</v>
      </c>
      <c r="N144">
        <v>548</v>
      </c>
      <c r="O144">
        <v>567</v>
      </c>
      <c r="P144">
        <v>267</v>
      </c>
      <c r="Q144" t="s">
        <v>1043</v>
      </c>
      <c r="R144">
        <v>2</v>
      </c>
      <c r="S144" s="7" t="str">
        <f>HYPERLINK("http://exon.niaid.nih.gov/transcriptome/C_felis/S1/links/Sigp/CF-CONTIG_223-SigP.txt","Cyt")</f>
        <v>Cyt</v>
      </c>
      <c r="U144">
        <v>1</v>
      </c>
      <c r="V144" s="4">
        <f>HYPERLINK("http://exon.niaid.nih.gov/transcriptome/C_felis/S1/links/cluster/cf-5-36-asb30-50-Id-CLU54.txt", 54)</f>
        <v>54</v>
      </c>
      <c r="W144">
        <f>HYPERLINK("http://exon.niaid.nih.gov/transcriptome/C_felis/S1/links/cluster/cf-5-36-asb30-50-Id-CLTL54.txt", 2)</f>
        <v>2</v>
      </c>
      <c r="X144" s="4">
        <f>HYPERLINK("http://exon.niaid.nih.gov/transcriptome/C_felis/S1/links/cluster/cf-5-36-asb35-50-Id-CLU47.txt", 47)</f>
        <v>47</v>
      </c>
      <c r="Y144">
        <f>HYPERLINK("http://exon.niaid.nih.gov/transcriptome/C_felis/S1/links/cluster/cf-5-36-asb35-50-Id-CLTL47.txt", 2)</f>
        <v>2</v>
      </c>
      <c r="Z144" s="4">
        <f>HYPERLINK("http://exon.niaid.nih.gov/transcriptome/C_felis/S1/links/cluster/cf-5-36-asb40-50-Id-CLU44.txt", 44)</f>
        <v>44</v>
      </c>
      <c r="AA144">
        <f>HYPERLINK("http://exon.niaid.nih.gov/transcriptome/C_felis/S1/links/cluster/cf-5-36-asb40-50-Id-CLTL44.txt", 2)</f>
        <v>2</v>
      </c>
      <c r="AB144" s="4" t="str">
        <f>HYPERLINK("http://exon.niaid.nih.gov/transcriptome/C_felis/S1/links/XC-ASB/cf-contig_223-XC-ASB.txt","XC-contig_57")</f>
        <v>XC-contig_57</v>
      </c>
      <c r="AC144">
        <v>0.32</v>
      </c>
      <c r="AD144" s="10" t="s">
        <v>4697</v>
      </c>
      <c r="AE144" t="s">
        <v>4698</v>
      </c>
      <c r="AF144" t="str">
        <f>HYPERLINK("http://exon.niaid.nih.gov/transcriptome/C_felis/S1/links/KOG/cf-contig_223-KOG.txt","KOG")</f>
        <v>KOG</v>
      </c>
      <c r="AG144" s="5">
        <v>1.0000000000000001E-37</v>
      </c>
      <c r="AH144">
        <v>28.9</v>
      </c>
      <c r="AI144" s="4" t="str">
        <f>HYPERLINK("http://exon.niaid.nih.gov/transcriptome/C_felis/S1/links/NR/cf-contig_223-NR.txt","fructose-bisphosphate aldolase")</f>
        <v>fructose-bisphosphate aldolase</v>
      </c>
      <c r="AJ144" t="str">
        <f>HYPERLINK("http://www.ncbi.nlm.nih.gov/sutils/blink.cgi?pid=157111184","4E-036")</f>
        <v>4E-036</v>
      </c>
      <c r="AK144" t="str">
        <f>HYPERLINK("http://www.ncbi.nlm.nih.gov/protein/157111184","gi|157111184")</f>
        <v>gi|157111184</v>
      </c>
      <c r="AL144">
        <v>155</v>
      </c>
      <c r="AM144">
        <v>104</v>
      </c>
      <c r="AN144">
        <v>364</v>
      </c>
      <c r="AO144">
        <v>74</v>
      </c>
      <c r="AP144">
        <v>29</v>
      </c>
      <c r="AQ144">
        <v>27</v>
      </c>
      <c r="AR144">
        <v>0</v>
      </c>
      <c r="AS144">
        <v>260</v>
      </c>
      <c r="AT144">
        <v>14</v>
      </c>
      <c r="AU144">
        <v>1</v>
      </c>
      <c r="AV144">
        <v>2</v>
      </c>
      <c r="AW144" t="s">
        <v>12</v>
      </c>
      <c r="AX144">
        <v>0.96199999999999997</v>
      </c>
      <c r="AY144" t="s">
        <v>1676</v>
      </c>
      <c r="AZ144" t="s">
        <v>2267</v>
      </c>
      <c r="BA144" s="4" t="str">
        <f>HYPERLINK("http://exon.niaid.nih.gov/transcriptome/C_felis/S1/links/SWISSP/cf-contig_223-SWISSP.txt","Fructose-bisphosphate aldolase")</f>
        <v>Fructose-bisphosphate aldolase</v>
      </c>
      <c r="BB144" t="str">
        <f>HYPERLINK("http://www.uniprot.org/uniprot/P07764","2E-032")</f>
        <v>2E-032</v>
      </c>
      <c r="BC144" t="s">
        <v>2496</v>
      </c>
      <c r="BD144">
        <v>139</v>
      </c>
      <c r="BE144">
        <v>102</v>
      </c>
      <c r="BF144">
        <v>361</v>
      </c>
      <c r="BG144">
        <v>68</v>
      </c>
      <c r="BH144">
        <v>29</v>
      </c>
      <c r="BI144">
        <v>33</v>
      </c>
      <c r="BJ144">
        <v>0</v>
      </c>
      <c r="BK144">
        <v>259</v>
      </c>
      <c r="BL144">
        <v>14</v>
      </c>
      <c r="BM144">
        <v>1</v>
      </c>
      <c r="BN144">
        <v>2</v>
      </c>
      <c r="BO144" t="s">
        <v>12</v>
      </c>
      <c r="BP144">
        <v>0.98</v>
      </c>
      <c r="BQ144" t="s">
        <v>1676</v>
      </c>
      <c r="BR144" t="s">
        <v>1804</v>
      </c>
      <c r="BS144" s="4" t="str">
        <f>HYPERLINK("http://exon.niaid.nih.gov/transcriptome/C_felis/S1/links/CDD/cf-contig_223-CDD.txt","Glycolytic")</f>
        <v>Glycolytic</v>
      </c>
      <c r="BT144" t="str">
        <f>HYPERLINK("http://www.ncbi.nlm.nih.gov/Structure/cdd/cddsrv.cgi?uid=pfam00274&amp;version=v4.0","4E-045")</f>
        <v>4E-045</v>
      </c>
      <c r="BU144" t="s">
        <v>2505</v>
      </c>
      <c r="BV144" s="4" t="s">
        <v>2498</v>
      </c>
      <c r="BW144">
        <f>HYPERLINK("http://exon.niaid.nih.gov/transcriptome/C_felis/S1/links/GO/cf-contig_223-GO.txt",1E-32)</f>
        <v>1.0000000000000001E-32</v>
      </c>
      <c r="BX144" t="str">
        <f>HYPERLINK("http://amigo.geneontology.org/cgi-bin/amigo/term_details?term=GO:0004332","GO:0004332")</f>
        <v>GO:0004332</v>
      </c>
      <c r="BY144" t="s">
        <v>2499</v>
      </c>
      <c r="BZ144" t="s">
        <v>2500</v>
      </c>
      <c r="CA144" t="s">
        <v>2501</v>
      </c>
      <c r="CB144" t="str">
        <f>HYPERLINK("http://www.genome.jp/dbget-bin/www_bfind_sub?mode=bfind&amp;max_hit=1000&amp;dbkey=kegg&amp;keywords=EC:4.1.2.13","EC:4.1.2.13")</f>
        <v>EC:4.1.2.13</v>
      </c>
      <c r="CD144" s="5">
        <v>1.0000000000000001E-32</v>
      </c>
      <c r="CE144" t="str">
        <f>HYPERLINK("http://amigo.geneontology.org/cgi-bin/amigo/term_details?term=GO:0030018","GO:0030018")</f>
        <v>GO:0030018</v>
      </c>
      <c r="CF144" t="s">
        <v>2502</v>
      </c>
      <c r="CG144" t="s">
        <v>2503</v>
      </c>
      <c r="CH144" t="s">
        <v>2504</v>
      </c>
      <c r="CI144" t="s">
        <v>42</v>
      </c>
      <c r="CK144" s="5">
        <v>1.0000000000000001E-32</v>
      </c>
      <c r="CL144" t="str">
        <f>HYPERLINK("http://amigo.geneontology.org/cgi-bin/amigo/term_details?term=GO:0006096","GO:0006096")</f>
        <v>GO:0006096</v>
      </c>
      <c r="CM144" t="s">
        <v>1962</v>
      </c>
      <c r="CN144" t="s">
        <v>1963</v>
      </c>
      <c r="CO144" t="s">
        <v>1964</v>
      </c>
      <c r="CP144" t="s">
        <v>42</v>
      </c>
      <c r="CR144" s="5">
        <v>1.0000000000000001E-32</v>
      </c>
      <c r="CS144" s="4" t="str">
        <f>HYPERLINK("http://exon.niaid.nih.gov/transcriptome/C_felis/S1/links/KOG/cf-contig_223-KOG.txt","Fructose-biphosphate aldolase")</f>
        <v>Fructose-biphosphate aldolase</v>
      </c>
      <c r="CT144" t="str">
        <f>HYPERLINK("http://www.ncbi.nlm.nih.gov/COG/grace/shokog.cgi?KOG1557","1E-037")</f>
        <v>1E-037</v>
      </c>
      <c r="CU144" t="s">
        <v>1823</v>
      </c>
      <c r="CV144" s="4" t="str">
        <f>HYPERLINK("http://exon.niaid.nih.gov/transcriptome/C_felis/S1/links/PFAM/cf-contig_223-PFAM.txt","Glycolytic")</f>
        <v>Glycolytic</v>
      </c>
      <c r="CW144" t="str">
        <f>HYPERLINK("http://pfam.sanger.ac.uk/family?acc=PF00274","9E-046")</f>
        <v>9E-046</v>
      </c>
      <c r="CX144" s="4" t="str">
        <f>HYPERLINK("http://exon.niaid.nih.gov/transcriptome/C_felis/S1/links/SMART/cf-contig_223-SMART.txt","LIGANc")</f>
        <v>LIGANc</v>
      </c>
      <c r="CY144" t="str">
        <f>HYPERLINK("http://smart.embl-heidelberg.de/smart/do_annotation.pl?DOMAIN=LIGANc&amp;BLAST=DUMMY","0.12")</f>
        <v>0.12</v>
      </c>
      <c r="CZ144" s="4" t="s">
        <v>42</v>
      </c>
      <c r="DA144" t="s">
        <v>42</v>
      </c>
      <c r="DB144" t="s">
        <v>42</v>
      </c>
      <c r="DC144" t="s">
        <v>42</v>
      </c>
      <c r="DD144" t="s">
        <v>42</v>
      </c>
      <c r="DE144" t="s">
        <v>42</v>
      </c>
      <c r="DF144" t="s">
        <v>42</v>
      </c>
      <c r="DG144" t="s">
        <v>42</v>
      </c>
      <c r="DH144" s="4" t="s">
        <v>42</v>
      </c>
      <c r="DI144" t="s">
        <v>42</v>
      </c>
      <c r="DJ144" s="4" t="s">
        <v>42</v>
      </c>
      <c r="DK144" t="s">
        <v>42</v>
      </c>
      <c r="DL144" s="4">
        <f>HYPERLINK("http://exon.niaid.nih.gov/transcriptome/C_felis/S1/links/cluster/cf-5-36-asb30-50-Id-CLU54.txt", 54)</f>
        <v>54</v>
      </c>
      <c r="DM144">
        <f>HYPERLINK("http://exon.niaid.nih.gov/transcriptome/C_felis/S1/links/cluster/cf-5-36-asb30-50-Id-CLTL54.txt", 2)</f>
        <v>2</v>
      </c>
      <c r="DN144" s="4">
        <f>HYPERLINK("http://exon.niaid.nih.gov/transcriptome/C_felis/S1/links/cluster/cf-5-36-asb35-50-Id-CLU47.txt", 47)</f>
        <v>47</v>
      </c>
      <c r="DO144">
        <f>HYPERLINK("http://exon.niaid.nih.gov/transcriptome/C_felis/S1/links/cluster/cf-5-36-asb35-50-Id-CLTL47.txt", 2)</f>
        <v>2</v>
      </c>
      <c r="DP144" s="4">
        <f>HYPERLINK("http://exon.niaid.nih.gov/transcriptome/C_felis/S1/links/cluster/cf-5-36-asb40-50-Id-CLU44.txt", 44)</f>
        <v>44</v>
      </c>
      <c r="DQ144">
        <f>HYPERLINK("http://exon.niaid.nih.gov/transcriptome/C_felis/S1/links/cluster/cf-5-36-asb40-50-Id-CLTL44.txt", 2)</f>
        <v>2</v>
      </c>
      <c r="DR144" s="4">
        <f>HYPERLINK("http://exon.niaid.nih.gov/transcriptome/C_felis/S1/links/cluster/cf-5-36-asb45-50-Id-CLU39.txt", 39)</f>
        <v>39</v>
      </c>
      <c r="DS144">
        <f>HYPERLINK("http://exon.niaid.nih.gov/transcriptome/C_felis/S1/links/cluster/cf-5-36-asb45-50-Id-CLTL39.txt", 2)</f>
        <v>2</v>
      </c>
      <c r="DT144" s="4">
        <f>HYPERLINK("http://exon.niaid.nih.gov/transcriptome/C_felis/S1/links/cluster/cf-5-36-asb50-50-Id-CLU35.txt", 35)</f>
        <v>35</v>
      </c>
      <c r="DU144">
        <f>HYPERLINK("http://exon.niaid.nih.gov/transcriptome/C_felis/S1/links/cluster/cf-5-36-asb50-50-Id-CLTL35.txt", 2)</f>
        <v>2</v>
      </c>
      <c r="DV144" s="4">
        <f>HYPERLINK("http://exon.niaid.nih.gov/transcriptome/C_felis/S1/links/cluster/cf-5-36-asb55-50-Id-CLU32.txt", 32)</f>
        <v>32</v>
      </c>
      <c r="DW144">
        <f>HYPERLINK("http://exon.niaid.nih.gov/transcriptome/C_felis/S1/links/cluster/cf-5-36-asb55-50-Id-CLTL32.txt", 2)</f>
        <v>2</v>
      </c>
      <c r="DX144" s="4">
        <f>HYPERLINK("http://exon.niaid.nih.gov/transcriptome/C_felis/S1/links/cluster/cf-5-36-asb60-50-Id-CLU29.txt", 29)</f>
        <v>29</v>
      </c>
      <c r="DY144">
        <f>HYPERLINK("http://exon.niaid.nih.gov/transcriptome/C_felis/S1/links/cluster/cf-5-36-asb60-50-Id-CLTL29.txt", 2)</f>
        <v>2</v>
      </c>
      <c r="DZ144" s="4">
        <v>205</v>
      </c>
      <c r="EA144">
        <v>1</v>
      </c>
      <c r="EB144" s="4">
        <v>210</v>
      </c>
      <c r="EC144">
        <v>1</v>
      </c>
      <c r="ED144" s="4">
        <v>213</v>
      </c>
      <c r="EE144">
        <v>1</v>
      </c>
      <c r="EF144" s="4">
        <v>216</v>
      </c>
      <c r="EG144">
        <v>1</v>
      </c>
      <c r="EH144" s="4">
        <v>218</v>
      </c>
      <c r="EI144">
        <v>1</v>
      </c>
      <c r="EJ144" s="4">
        <v>223</v>
      </c>
      <c r="EK144">
        <v>1</v>
      </c>
    </row>
    <row r="145" spans="1:141" x14ac:dyDescent="0.2">
      <c r="A145" t="str">
        <f>HYPERLINK("http://exon.niaid.nih.gov/transcriptome/C_felis/S1/links/cf/cf-contig_449.txt","cf-contig_449")</f>
        <v>cf-contig_449</v>
      </c>
      <c r="B145">
        <v>1</v>
      </c>
      <c r="C145" s="10" t="s">
        <v>4769</v>
      </c>
      <c r="D145">
        <v>1</v>
      </c>
      <c r="E145" t="str">
        <f>HYPERLINK("http://exon.niaid.nih.gov/transcriptome/C_felis/S1/links/cf/cf-5-36-asb-449.txt","Contig-449")</f>
        <v>Contig-449</v>
      </c>
      <c r="F145" t="str">
        <f>HYPERLINK("http://exon.niaid.nih.gov/transcriptome/C_felis/S1/links/cf/cf-5-36-449-CLU.txt","Contig449")</f>
        <v>Contig449</v>
      </c>
      <c r="G145" t="str">
        <f>HYPERLINK("http://exon.niaid.nih.gov/transcriptome/C_felis/S1/links/cf/cf-5-36-449-qual.txt","28.1")</f>
        <v>28.1</v>
      </c>
      <c r="H145" t="s">
        <v>11</v>
      </c>
      <c r="I145">
        <v>67.8</v>
      </c>
      <c r="J145">
        <v>376</v>
      </c>
      <c r="K145" t="s">
        <v>12</v>
      </c>
      <c r="L145">
        <v>1</v>
      </c>
      <c r="M145" t="s">
        <v>462</v>
      </c>
      <c r="N145">
        <v>376</v>
      </c>
      <c r="O145">
        <v>395</v>
      </c>
      <c r="P145">
        <v>120</v>
      </c>
      <c r="Q145" t="s">
        <v>1268</v>
      </c>
      <c r="R145">
        <v>2</v>
      </c>
      <c r="S145" s="7" t="s">
        <v>4585</v>
      </c>
      <c r="U145">
        <v>1</v>
      </c>
      <c r="V145" s="4">
        <f>HYPERLINK("http://exon.niaid.nih.gov/transcriptome/C_felis/S1/links/cluster/cf-5-36-asb30-50-Id-CLU79.txt", 79)</f>
        <v>79</v>
      </c>
      <c r="W145">
        <f>HYPERLINK("http://exon.niaid.nih.gov/transcriptome/C_felis/S1/links/cluster/cf-5-36-asb30-50-Id-CLTL79.txt", 2)</f>
        <v>2</v>
      </c>
      <c r="X145" s="4">
        <f>HYPERLINK("http://exon.niaid.nih.gov/transcriptome/C_felis/S1/links/cluster/cf-5-36-asb35-50-Id-CLU71.txt", 71)</f>
        <v>71</v>
      </c>
      <c r="Y145">
        <f>HYPERLINK("http://exon.niaid.nih.gov/transcriptome/C_felis/S1/links/cluster/cf-5-36-asb35-50-Id-CLTL71.txt", 2)</f>
        <v>2</v>
      </c>
      <c r="Z145" s="4">
        <f>HYPERLINK("http://exon.niaid.nih.gov/transcriptome/C_felis/S1/links/cluster/cf-5-36-asb40-50-Id-CLU65.txt", 65)</f>
        <v>65</v>
      </c>
      <c r="AA145">
        <f>HYPERLINK("http://exon.niaid.nih.gov/transcriptome/C_felis/S1/links/cluster/cf-5-36-asb40-50-Id-CLTL65.txt", 2)</f>
        <v>2</v>
      </c>
      <c r="AB145" s="4" t="str">
        <f>HYPERLINK("http://exon.niaid.nih.gov/transcriptome/C_felis/S1/links/XC-ASB/cf-contig_449-XC-ASB.txt","XC-contig_5")</f>
        <v>XC-contig_5</v>
      </c>
      <c r="AC145">
        <v>0.28999999999999998</v>
      </c>
      <c r="AD145" s="10" t="s">
        <v>4769</v>
      </c>
      <c r="AE145" t="s">
        <v>4698</v>
      </c>
      <c r="AF145" t="str">
        <f>HYPERLINK("http://exon.niaid.nih.gov/transcriptome/C_felis/S1/links/GO/cf-contig_449-GO.txt","GO")</f>
        <v>GO</v>
      </c>
      <c r="AG145">
        <v>2.9999999999999999E-7</v>
      </c>
      <c r="AH145">
        <v>17</v>
      </c>
      <c r="AI145" s="4" t="str">
        <f>HYPERLINK("http://exon.niaid.nih.gov/transcriptome/C_felis/S1/links/NR/cf-contig_449-NR.txt","glucosamine-6-phosphate isomerase-like isoform 1")</f>
        <v>glucosamine-6-phosphate isomerase-like isoform 1</v>
      </c>
      <c r="AJ145" t="str">
        <f>HYPERLINK("http://www.ncbi.nlm.nih.gov/sutils/blink.cgi?pid=156552402","4E-009")</f>
        <v>4E-009</v>
      </c>
      <c r="AK145" t="str">
        <f>HYPERLINK("http://www.ncbi.nlm.nih.gov/protein/156552402","gi|156552402")</f>
        <v>gi|156552402</v>
      </c>
      <c r="AL145">
        <v>55.8</v>
      </c>
      <c r="AM145">
        <v>74</v>
      </c>
      <c r="AN145">
        <v>281</v>
      </c>
      <c r="AO145">
        <v>61</v>
      </c>
      <c r="AP145">
        <v>27</v>
      </c>
      <c r="AQ145">
        <v>18</v>
      </c>
      <c r="AR145">
        <v>0</v>
      </c>
      <c r="AS145">
        <v>195</v>
      </c>
      <c r="AT145">
        <v>7</v>
      </c>
      <c r="AU145">
        <v>3</v>
      </c>
      <c r="AV145">
        <v>3</v>
      </c>
      <c r="AW145" t="s">
        <v>1689</v>
      </c>
      <c r="AX145">
        <v>2.7029999999999998</v>
      </c>
      <c r="AY145" t="s">
        <v>1676</v>
      </c>
      <c r="AZ145" t="s">
        <v>1897</v>
      </c>
      <c r="BA145" s="4" t="str">
        <f>HYPERLINK("http://exon.niaid.nih.gov/transcriptome/C_felis/S1/links/SWISSP/cf-contig_449-SWISSP.txt","Glucosamine-6-phosphate isomerase")</f>
        <v>Glucosamine-6-phosphate isomerase</v>
      </c>
      <c r="BB145" t="str">
        <f>HYPERLINK("http://www.uniprot.org/uniprot/Q16HW7","2E-009")</f>
        <v>2E-009</v>
      </c>
      <c r="BC145" t="s">
        <v>3283</v>
      </c>
      <c r="BD145">
        <v>55.1</v>
      </c>
      <c r="BE145">
        <v>73</v>
      </c>
      <c r="BF145">
        <v>278</v>
      </c>
      <c r="BG145">
        <v>60</v>
      </c>
      <c r="BH145">
        <v>27</v>
      </c>
      <c r="BI145">
        <v>18</v>
      </c>
      <c r="BJ145">
        <v>0</v>
      </c>
      <c r="BK145">
        <v>195</v>
      </c>
      <c r="BL145">
        <v>7</v>
      </c>
      <c r="BM145">
        <v>3</v>
      </c>
      <c r="BN145">
        <v>3</v>
      </c>
      <c r="BO145" t="s">
        <v>1689</v>
      </c>
      <c r="BP145">
        <v>2.74</v>
      </c>
      <c r="BQ145" t="s">
        <v>1676</v>
      </c>
      <c r="BR145" t="s">
        <v>2267</v>
      </c>
      <c r="BS145" s="4" t="str">
        <f>HYPERLINK("http://exon.niaid.nih.gov/transcriptome/C_felis/S1/links/CDD/cf-contig_449-CDD.txt","nagB")</f>
        <v>nagB</v>
      </c>
      <c r="BT145" t="str">
        <f>HYPERLINK("http://www.ncbi.nlm.nih.gov/Structure/cdd/cddsrv.cgi?uid=PRK00443&amp;version=v4.0","0.002")</f>
        <v>0.002</v>
      </c>
      <c r="BU145" t="s">
        <v>3284</v>
      </c>
      <c r="BV145" s="4" t="s">
        <v>3285</v>
      </c>
      <c r="BW145">
        <f>HYPERLINK("http://exon.niaid.nih.gov/transcriptome/C_felis/S1/links/GO/cf-contig_449-GO.txt",0.000000001)</f>
        <v>1.0000000000000001E-9</v>
      </c>
      <c r="BX145" t="str">
        <f>HYPERLINK("http://amigo.geneontology.org/cgi-bin/amigo/term_details?term=GO:0004342","GO:0004342")</f>
        <v>GO:0004342</v>
      </c>
      <c r="BY145" t="s">
        <v>3286</v>
      </c>
      <c r="BZ145" t="s">
        <v>3287</v>
      </c>
      <c r="CA145" t="s">
        <v>3288</v>
      </c>
      <c r="CB145" t="str">
        <f>HYPERLINK("http://www.genome.jp/dbget-bin/www_bfind_sub?mode=bfind&amp;max_hit=1000&amp;dbkey=kegg&amp;keywords=EC:3.5.99.6","EC:3.5.99.6")</f>
        <v>EC:3.5.99.6</v>
      </c>
      <c r="CC145" t="str">
        <f>HYPERLINK("http://www.genome.jp/dbget-bin/www_bget?rn:R00765","KEGG:R00765")</f>
        <v>KEGG:R00765</v>
      </c>
      <c r="CD145">
        <v>1.0000000000000001E-9</v>
      </c>
      <c r="CE145" t="str">
        <f>HYPERLINK("http://amigo.geneontology.org/cgi-bin/amigo/term_details?term=GO:0005737","GO:0005737")</f>
        <v>GO:0005737</v>
      </c>
      <c r="CF145" t="s">
        <v>1966</v>
      </c>
      <c r="CG145" t="s">
        <v>1967</v>
      </c>
      <c r="CH145" t="s">
        <v>42</v>
      </c>
      <c r="CI145" t="s">
        <v>42</v>
      </c>
      <c r="CK145">
        <v>1.0000000000000001E-9</v>
      </c>
      <c r="CL145" t="str">
        <f>HYPERLINK("http://amigo.geneontology.org/cgi-bin/amigo/term_details?term=GO:0006043","GO:0006043")</f>
        <v>GO:0006043</v>
      </c>
      <c r="CM145" t="s">
        <v>3289</v>
      </c>
      <c r="CN145" t="s">
        <v>3290</v>
      </c>
      <c r="CO145" t="s">
        <v>3291</v>
      </c>
      <c r="CP145" t="s">
        <v>42</v>
      </c>
      <c r="CR145">
        <v>1.0000000000000001E-9</v>
      </c>
      <c r="CS145" s="4" t="str">
        <f>HYPERLINK("http://exon.niaid.nih.gov/transcriptome/C_felis/S1/links/KOG/cf-contig_449-KOG.txt","Glucosamine-6-phosphate isomerase")</f>
        <v>Glucosamine-6-phosphate isomerase</v>
      </c>
      <c r="CT145" t="str">
        <f>HYPERLINK("http://www.ncbi.nlm.nih.gov/COG/grace/shokog.cgi?KOG3148","3E-005")</f>
        <v>3E-005</v>
      </c>
      <c r="CU145" t="s">
        <v>1823</v>
      </c>
      <c r="CV145" s="4" t="str">
        <f>HYPERLINK("http://exon.niaid.nih.gov/transcriptome/C_felis/S1/links/PFAM/cf-contig_449-PFAM.txt","UPF0172")</f>
        <v>UPF0172</v>
      </c>
      <c r="CW145" t="str">
        <f>HYPERLINK("http://pfam.sanger.ac.uk/family?acc=PF03665","0.14")</f>
        <v>0.14</v>
      </c>
      <c r="CX145" s="4" t="str">
        <f>HYPERLINK("http://exon.niaid.nih.gov/transcriptome/C_felis/S1/links/SMART/cf-contig_449-SMART.txt","DM6")</f>
        <v>DM6</v>
      </c>
      <c r="CY145" t="str">
        <f>HYPERLINK("http://smart.embl-heidelberg.de/smart/do_annotation.pl?DOMAIN=DM6&amp;BLAST=DUMMY","0.45")</f>
        <v>0.45</v>
      </c>
      <c r="CZ145" s="4" t="s">
        <v>42</v>
      </c>
      <c r="DA145" t="s">
        <v>42</v>
      </c>
      <c r="DB145" t="s">
        <v>42</v>
      </c>
      <c r="DC145" t="s">
        <v>42</v>
      </c>
      <c r="DD145" t="s">
        <v>42</v>
      </c>
      <c r="DE145" t="s">
        <v>42</v>
      </c>
      <c r="DF145" t="s">
        <v>42</v>
      </c>
      <c r="DG145" t="s">
        <v>42</v>
      </c>
      <c r="DH145" s="4" t="s">
        <v>42</v>
      </c>
      <c r="DI145" t="s">
        <v>42</v>
      </c>
      <c r="DJ145" s="4" t="s">
        <v>42</v>
      </c>
      <c r="DK145" t="s">
        <v>42</v>
      </c>
      <c r="DL145" s="4">
        <f>HYPERLINK("http://exon.niaid.nih.gov/transcriptome/C_felis/S1/links/cluster/cf-5-36-asb30-50-Id-CLU79.txt", 79)</f>
        <v>79</v>
      </c>
      <c r="DM145">
        <f>HYPERLINK("http://exon.niaid.nih.gov/transcriptome/C_felis/S1/links/cluster/cf-5-36-asb30-50-Id-CLTL79.txt", 2)</f>
        <v>2</v>
      </c>
      <c r="DN145" s="4">
        <f>HYPERLINK("http://exon.niaid.nih.gov/transcriptome/C_felis/S1/links/cluster/cf-5-36-asb35-50-Id-CLU71.txt", 71)</f>
        <v>71</v>
      </c>
      <c r="DO145">
        <f>HYPERLINK("http://exon.niaid.nih.gov/transcriptome/C_felis/S1/links/cluster/cf-5-36-asb35-50-Id-CLTL71.txt", 2)</f>
        <v>2</v>
      </c>
      <c r="DP145" s="4">
        <f>HYPERLINK("http://exon.niaid.nih.gov/transcriptome/C_felis/S1/links/cluster/cf-5-36-asb40-50-Id-CLU65.txt", 65)</f>
        <v>65</v>
      </c>
      <c r="DQ145">
        <f>HYPERLINK("http://exon.niaid.nih.gov/transcriptome/C_felis/S1/links/cluster/cf-5-36-asb40-50-Id-CLTL65.txt", 2)</f>
        <v>2</v>
      </c>
      <c r="DR145" s="4">
        <v>392</v>
      </c>
      <c r="DS145">
        <v>1</v>
      </c>
      <c r="DT145" s="4">
        <v>402</v>
      </c>
      <c r="DU145">
        <v>1</v>
      </c>
      <c r="DV145" s="4">
        <v>416</v>
      </c>
      <c r="DW145">
        <v>1</v>
      </c>
      <c r="DX145" s="4">
        <v>419</v>
      </c>
      <c r="DY145">
        <v>1</v>
      </c>
      <c r="DZ145" s="4">
        <v>424</v>
      </c>
      <c r="EA145">
        <v>1</v>
      </c>
      <c r="EB145" s="4">
        <v>429</v>
      </c>
      <c r="EC145">
        <v>1</v>
      </c>
      <c r="ED145" s="4">
        <v>433</v>
      </c>
      <c r="EE145">
        <v>1</v>
      </c>
      <c r="EF145" s="4">
        <v>438</v>
      </c>
      <c r="EG145">
        <v>1</v>
      </c>
      <c r="EH145" s="4">
        <v>443</v>
      </c>
      <c r="EI145">
        <v>1</v>
      </c>
      <c r="EJ145" s="4">
        <v>449</v>
      </c>
      <c r="EK145">
        <v>1</v>
      </c>
    </row>
    <row r="146" spans="1:141" x14ac:dyDescent="0.2">
      <c r="A146" t="str">
        <f>HYPERLINK("http://exon.niaid.nih.gov/transcriptome/C_felis/S1/links/cf/cf-contig_668.txt","cf-contig_668")</f>
        <v>cf-contig_668</v>
      </c>
      <c r="B146">
        <v>1</v>
      </c>
      <c r="C146" s="10" t="s">
        <v>4841</v>
      </c>
      <c r="D146">
        <v>1</v>
      </c>
      <c r="E146" t="str">
        <f>HYPERLINK("http://exon.niaid.nih.gov/transcriptome/C_felis/S1/links/cf/cf-5-36-asb-668.txt","Contig-668")</f>
        <v>Contig-668</v>
      </c>
      <c r="F146" t="str">
        <f>HYPERLINK("http://exon.niaid.nih.gov/transcriptome/C_felis/S1/links/cf/cf-5-36-668-CLU.txt","Contig668")</f>
        <v>Contig668</v>
      </c>
      <c r="G146" t="str">
        <f>HYPERLINK("http://exon.niaid.nih.gov/transcriptome/C_felis/S1/links/cf/cf-5-36-668-qual.txt","65.2")</f>
        <v>65.2</v>
      </c>
      <c r="H146" t="s">
        <v>11</v>
      </c>
      <c r="I146">
        <v>66.7</v>
      </c>
      <c r="J146">
        <v>410</v>
      </c>
      <c r="K146" t="s">
        <v>12</v>
      </c>
      <c r="L146">
        <v>1</v>
      </c>
      <c r="M146" t="s">
        <v>681</v>
      </c>
      <c r="N146">
        <v>410</v>
      </c>
      <c r="O146">
        <v>429</v>
      </c>
      <c r="P146">
        <v>285</v>
      </c>
      <c r="Q146" t="s">
        <v>1487</v>
      </c>
      <c r="R146">
        <v>1</v>
      </c>
      <c r="S146" s="7" t="str">
        <f>HYPERLINK("http://exon.niaid.nih.gov/transcriptome/C_felis/S1/links/Sigp/CF-CONTIG_668-SigP.txt","Cyt")</f>
        <v>Cyt</v>
      </c>
      <c r="U146">
        <v>1</v>
      </c>
      <c r="V146" s="4">
        <f>HYPERLINK("http://exon.niaid.nih.gov/transcriptome/C_felis/S1/links/cluster/cf-5-36-asb30-50-Id-CLU79.txt", 79)</f>
        <v>79</v>
      </c>
      <c r="W146">
        <f>HYPERLINK("http://exon.niaid.nih.gov/transcriptome/C_felis/S1/links/cluster/cf-5-36-asb30-50-Id-CLTL79.txt", 2)</f>
        <v>2</v>
      </c>
      <c r="X146" s="4">
        <f>HYPERLINK("http://exon.niaid.nih.gov/transcriptome/C_felis/S1/links/cluster/cf-5-36-asb35-50-Id-CLU71.txt", 71)</f>
        <v>71</v>
      </c>
      <c r="Y146">
        <f>HYPERLINK("http://exon.niaid.nih.gov/transcriptome/C_felis/S1/links/cluster/cf-5-36-asb35-50-Id-CLTL71.txt", 2)</f>
        <v>2</v>
      </c>
      <c r="Z146" s="4">
        <f>HYPERLINK("http://exon.niaid.nih.gov/transcriptome/C_felis/S1/links/cluster/cf-5-36-asb40-50-Id-CLU65.txt", 65)</f>
        <v>65</v>
      </c>
      <c r="AA146">
        <f>HYPERLINK("http://exon.niaid.nih.gov/transcriptome/C_felis/S1/links/cluster/cf-5-36-asb40-50-Id-CLTL65.txt", 2)</f>
        <v>2</v>
      </c>
      <c r="AB146" s="4" t="str">
        <f>HYPERLINK("http://exon.niaid.nih.gov/transcriptome/C_felis/S1/links/XC-ASB/cf-contig_668-XC-ASB.txt","XC-contig_52")</f>
        <v>XC-contig_52</v>
      </c>
      <c r="AC146">
        <v>0.12</v>
      </c>
      <c r="AD146" s="10" t="s">
        <v>4841</v>
      </c>
      <c r="AE146" t="s">
        <v>4698</v>
      </c>
      <c r="AF146" t="str">
        <f>HYPERLINK("http://exon.niaid.nih.gov/transcriptome/C_felis/S1/links/KOG/cf-contig_668-KOG.txt","KOG")</f>
        <v>KOG</v>
      </c>
      <c r="AG146" s="5">
        <v>9.9999999999999993E-41</v>
      </c>
      <c r="AH146">
        <v>30</v>
      </c>
      <c r="AI146" s="4" t="str">
        <f>HYPERLINK("http://exon.niaid.nih.gov/transcriptome/C_felis/S1/links/NR/cf-contig_668-NR.txt","glucosamine-6-phosphate isomerase-like isoform 1")</f>
        <v>glucosamine-6-phosphate isomerase-like isoform 1</v>
      </c>
      <c r="AJ146" t="str">
        <f>HYPERLINK("http://www.ncbi.nlm.nih.gov/sutils/blink.cgi?pid=156552402","6E-039")</f>
        <v>6E-039</v>
      </c>
      <c r="AK146" t="str">
        <f>HYPERLINK("http://www.ncbi.nlm.nih.gov/protein/156552402","gi|156552402")</f>
        <v>gi|156552402</v>
      </c>
      <c r="AL146">
        <v>164</v>
      </c>
      <c r="AM146">
        <v>86</v>
      </c>
      <c r="AN146">
        <v>281</v>
      </c>
      <c r="AO146">
        <v>91</v>
      </c>
      <c r="AP146">
        <v>31</v>
      </c>
      <c r="AQ146">
        <v>7</v>
      </c>
      <c r="AR146">
        <v>0</v>
      </c>
      <c r="AS146">
        <v>183</v>
      </c>
      <c r="AT146">
        <v>13</v>
      </c>
      <c r="AU146">
        <v>1</v>
      </c>
      <c r="AV146">
        <v>1</v>
      </c>
      <c r="AW146" t="s">
        <v>12</v>
      </c>
      <c r="AY146" t="s">
        <v>1676</v>
      </c>
      <c r="AZ146" t="s">
        <v>1897</v>
      </c>
      <c r="BA146" s="4" t="str">
        <f>HYPERLINK("http://exon.niaid.nih.gov/transcriptome/C_felis/S1/links/SWISSP/cf-contig_668-SWISSP.txt","Glucosamine-6-phosphate isomerase")</f>
        <v>Glucosamine-6-phosphate isomerase</v>
      </c>
      <c r="BB146" t="str">
        <f>HYPERLINK("http://www.uniprot.org/uniprot/Q16HW7","1E-039")</f>
        <v>1E-039</v>
      </c>
      <c r="BC146" t="s">
        <v>3283</v>
      </c>
      <c r="BD146">
        <v>161</v>
      </c>
      <c r="BE146">
        <v>85</v>
      </c>
      <c r="BF146">
        <v>278</v>
      </c>
      <c r="BG146">
        <v>91</v>
      </c>
      <c r="BH146">
        <v>31</v>
      </c>
      <c r="BI146">
        <v>7</v>
      </c>
      <c r="BJ146">
        <v>0</v>
      </c>
      <c r="BK146">
        <v>183</v>
      </c>
      <c r="BL146">
        <v>13</v>
      </c>
      <c r="BM146">
        <v>1</v>
      </c>
      <c r="BN146">
        <v>1</v>
      </c>
      <c r="BO146" t="s">
        <v>12</v>
      </c>
      <c r="BQ146" t="s">
        <v>1676</v>
      </c>
      <c r="BR146" t="s">
        <v>2267</v>
      </c>
      <c r="BS146" s="4" t="str">
        <f>HYPERLINK("http://exon.niaid.nih.gov/transcriptome/C_felis/S1/links/CDD/cf-contig_668-CDD.txt","nagB")</f>
        <v>nagB</v>
      </c>
      <c r="BT146" t="str">
        <f>HYPERLINK("http://www.ncbi.nlm.nih.gov/Structure/cdd/cddsrv.cgi?uid=PRK00443&amp;version=v4.0","2E-029")</f>
        <v>2E-029</v>
      </c>
      <c r="BU146" t="s">
        <v>4106</v>
      </c>
      <c r="BV146" s="4" t="s">
        <v>3285</v>
      </c>
      <c r="BW146">
        <f>HYPERLINK("http://exon.niaid.nih.gov/transcriptome/C_felis/S1/links/GO/cf-contig_668-GO.txt",1E-39)</f>
        <v>9.9999999999999993E-40</v>
      </c>
      <c r="BX146" t="str">
        <f>HYPERLINK("http://amigo.geneontology.org/cgi-bin/amigo/term_details?term=GO:0004342","GO:0004342")</f>
        <v>GO:0004342</v>
      </c>
      <c r="BY146" t="s">
        <v>3286</v>
      </c>
      <c r="BZ146" t="s">
        <v>3287</v>
      </c>
      <c r="CA146" t="s">
        <v>3288</v>
      </c>
      <c r="CB146" t="str">
        <f>HYPERLINK("http://www.genome.jp/dbget-bin/www_bfind_sub?mode=bfind&amp;max_hit=1000&amp;dbkey=kegg&amp;keywords=EC:3.5.99.6","EC:3.5.99.6")</f>
        <v>EC:3.5.99.6</v>
      </c>
      <c r="CC146" t="str">
        <f>HYPERLINK("http://www.genome.jp/dbget-bin/www_bget?rn:R00765","KEGG:R00765")</f>
        <v>KEGG:R00765</v>
      </c>
      <c r="CD146" s="5">
        <v>9.9999999999999993E-40</v>
      </c>
      <c r="CE146" t="str">
        <f>HYPERLINK("http://amigo.geneontology.org/cgi-bin/amigo/term_details?term=GO:0005737","GO:0005737")</f>
        <v>GO:0005737</v>
      </c>
      <c r="CF146" t="s">
        <v>1966</v>
      </c>
      <c r="CG146" t="s">
        <v>1967</v>
      </c>
      <c r="CH146" t="s">
        <v>42</v>
      </c>
      <c r="CI146" t="s">
        <v>42</v>
      </c>
      <c r="CK146" s="5">
        <v>9.9999999999999993E-40</v>
      </c>
      <c r="CL146" t="str">
        <f>HYPERLINK("http://amigo.geneontology.org/cgi-bin/amigo/term_details?term=GO:0006043","GO:0006043")</f>
        <v>GO:0006043</v>
      </c>
      <c r="CM146" t="s">
        <v>3289</v>
      </c>
      <c r="CN146" t="s">
        <v>3290</v>
      </c>
      <c r="CO146" t="s">
        <v>3291</v>
      </c>
      <c r="CP146" t="s">
        <v>42</v>
      </c>
      <c r="CR146" s="5">
        <v>9.9999999999999993E-40</v>
      </c>
      <c r="CS146" s="4" t="str">
        <f>HYPERLINK("http://exon.niaid.nih.gov/transcriptome/C_felis/S1/links/KOG/cf-contig_668-KOG.txt","Glucosamine-6-phosphate isomerase")</f>
        <v>Glucosamine-6-phosphate isomerase</v>
      </c>
      <c r="CT146" t="str">
        <f>HYPERLINK("http://www.ncbi.nlm.nih.gov/COG/grace/shokog.cgi?KOG3148","1E-040")</f>
        <v>1E-040</v>
      </c>
      <c r="CU146" t="s">
        <v>1823</v>
      </c>
      <c r="CV146" s="4" t="str">
        <f>HYPERLINK("http://exon.niaid.nih.gov/transcriptome/C_felis/S1/links/PFAM/cf-contig_668-PFAM.txt","Cas_NE0113")</f>
        <v>Cas_NE0113</v>
      </c>
      <c r="CW146" t="str">
        <f>HYPERLINK("http://pfam.sanger.ac.uk/family?acc=PF09623","0.34")</f>
        <v>0.34</v>
      </c>
      <c r="CX146" s="4" t="str">
        <f>HYPERLINK("http://exon.niaid.nih.gov/transcriptome/C_felis/S1/links/SMART/cf-contig_668-SMART.txt","COG6")</f>
        <v>COG6</v>
      </c>
      <c r="CY146" t="str">
        <f>HYPERLINK("http://smart.embl-heidelberg.de/smart/do_annotation.pl?DOMAIN=COG6&amp;BLAST=DUMMY","0.064")</f>
        <v>0.064</v>
      </c>
      <c r="CZ146" s="4" t="s">
        <v>42</v>
      </c>
      <c r="DA146" t="s">
        <v>42</v>
      </c>
      <c r="DB146" t="s">
        <v>42</v>
      </c>
      <c r="DC146" t="s">
        <v>42</v>
      </c>
      <c r="DD146" t="s">
        <v>42</v>
      </c>
      <c r="DE146" t="s">
        <v>42</v>
      </c>
      <c r="DF146" t="s">
        <v>42</v>
      </c>
      <c r="DG146" t="s">
        <v>42</v>
      </c>
      <c r="DH146" s="4" t="s">
        <v>42</v>
      </c>
      <c r="DI146" t="s">
        <v>42</v>
      </c>
      <c r="DJ146" s="4" t="s">
        <v>42</v>
      </c>
      <c r="DK146" t="s">
        <v>42</v>
      </c>
      <c r="DL146" s="4">
        <f>HYPERLINK("http://exon.niaid.nih.gov/transcriptome/C_felis/S1/links/cluster/cf-5-36-asb30-50-Id-CLU79.txt", 79)</f>
        <v>79</v>
      </c>
      <c r="DM146">
        <f>HYPERLINK("http://exon.niaid.nih.gov/transcriptome/C_felis/S1/links/cluster/cf-5-36-asb30-50-Id-CLTL79.txt", 2)</f>
        <v>2</v>
      </c>
      <c r="DN146" s="4">
        <f>HYPERLINK("http://exon.niaid.nih.gov/transcriptome/C_felis/S1/links/cluster/cf-5-36-asb35-50-Id-CLU71.txt", 71)</f>
        <v>71</v>
      </c>
      <c r="DO146">
        <f>HYPERLINK("http://exon.niaid.nih.gov/transcriptome/C_felis/S1/links/cluster/cf-5-36-asb35-50-Id-CLTL71.txt", 2)</f>
        <v>2</v>
      </c>
      <c r="DP146" s="4">
        <f>HYPERLINK("http://exon.niaid.nih.gov/transcriptome/C_felis/S1/links/cluster/cf-5-36-asb40-50-Id-CLU65.txt", 65)</f>
        <v>65</v>
      </c>
      <c r="DQ146">
        <f>HYPERLINK("http://exon.niaid.nih.gov/transcriptome/C_felis/S1/links/cluster/cf-5-36-asb40-50-Id-CLTL65.txt", 2)</f>
        <v>2</v>
      </c>
      <c r="DR146" s="4">
        <v>591</v>
      </c>
      <c r="DS146">
        <v>1</v>
      </c>
      <c r="DT146" s="4">
        <v>604</v>
      </c>
      <c r="DU146">
        <v>1</v>
      </c>
      <c r="DV146" s="4">
        <v>618</v>
      </c>
      <c r="DW146">
        <v>1</v>
      </c>
      <c r="DX146" s="4">
        <v>627</v>
      </c>
      <c r="DY146">
        <v>1</v>
      </c>
      <c r="DZ146" s="4">
        <v>637</v>
      </c>
      <c r="EA146">
        <v>1</v>
      </c>
      <c r="EB146" s="4">
        <v>642</v>
      </c>
      <c r="EC146">
        <v>1</v>
      </c>
      <c r="ED146" s="4">
        <v>646</v>
      </c>
      <c r="EE146">
        <v>1</v>
      </c>
      <c r="EF146" s="4">
        <v>652</v>
      </c>
      <c r="EG146">
        <v>1</v>
      </c>
      <c r="EH146" s="4">
        <v>660</v>
      </c>
      <c r="EI146">
        <v>1</v>
      </c>
      <c r="EJ146" s="4">
        <v>668</v>
      </c>
      <c r="EK146">
        <v>1</v>
      </c>
    </row>
    <row r="147" spans="1:141" x14ac:dyDescent="0.2">
      <c r="A147" t="str">
        <f>HYPERLINK("http://exon.niaid.nih.gov/transcriptome/C_felis/S1/links/cf/cf-contig_547.txt","cf-contig_547")</f>
        <v>cf-contig_547</v>
      </c>
      <c r="B147">
        <v>1</v>
      </c>
      <c r="C147" s="10" t="s">
        <v>4800</v>
      </c>
      <c r="D147">
        <v>1</v>
      </c>
      <c r="E147" t="str">
        <f>HYPERLINK("http://exon.niaid.nih.gov/transcriptome/C_felis/S1/links/cf/cf-5-36-asb-547.txt","Contig-547")</f>
        <v>Contig-547</v>
      </c>
      <c r="F147" t="str">
        <f>HYPERLINK("http://exon.niaid.nih.gov/transcriptome/C_felis/S1/links/cf/cf-5-36-547-CLU.txt","Contig547")</f>
        <v>Contig547</v>
      </c>
      <c r="G147" t="str">
        <f>HYPERLINK("http://exon.niaid.nih.gov/transcriptome/C_felis/S1/links/cf/cf-5-36-547-qual.txt","61.3")</f>
        <v>61.3</v>
      </c>
      <c r="H147" t="s">
        <v>11</v>
      </c>
      <c r="I147">
        <v>71.2</v>
      </c>
      <c r="J147">
        <v>196</v>
      </c>
      <c r="K147" t="s">
        <v>12</v>
      </c>
      <c r="L147">
        <v>1</v>
      </c>
      <c r="M147" t="s">
        <v>560</v>
      </c>
      <c r="N147">
        <v>196</v>
      </c>
      <c r="O147">
        <v>215</v>
      </c>
      <c r="P147">
        <v>150</v>
      </c>
      <c r="Q147" t="s">
        <v>1366</v>
      </c>
      <c r="R147">
        <v>1</v>
      </c>
      <c r="S147" s="7" t="s">
        <v>4585</v>
      </c>
      <c r="U147">
        <v>1</v>
      </c>
      <c r="V147" s="4">
        <v>449</v>
      </c>
      <c r="W147">
        <v>1</v>
      </c>
      <c r="X147" s="4">
        <v>459</v>
      </c>
      <c r="Y147">
        <v>1</v>
      </c>
      <c r="Z147" s="4">
        <v>465</v>
      </c>
      <c r="AA147">
        <v>1</v>
      </c>
      <c r="AB147" s="4" t="str">
        <f>HYPERLINK("http://exon.niaid.nih.gov/transcriptome/C_felis/S1/links/XC-ASB/cf-contig_547-XC-ASB.txt","XC-contig_131")</f>
        <v>XC-contig_131</v>
      </c>
      <c r="AC147">
        <v>0.62</v>
      </c>
      <c r="AD147" s="10" t="s">
        <v>4800</v>
      </c>
      <c r="AE147" t="s">
        <v>4698</v>
      </c>
      <c r="AF147" t="str">
        <f>HYPERLINK("http://exon.niaid.nih.gov/transcriptome/C_felis/S1/links/SMART/cf-contig_547-SMART.txt","SMART")</f>
        <v>SMART</v>
      </c>
      <c r="AG147">
        <v>3.9999999999999998E-7</v>
      </c>
      <c r="AH147">
        <v>37.200000000000003</v>
      </c>
      <c r="AI147" s="4" t="str">
        <f>HYPERLINK("http://exon.niaid.nih.gov/transcriptome/C_felis/S1/links/NR/cf-contig_547-NR.txt","hypothetical protein AND_01449")</f>
        <v>hypothetical protein AND_01449</v>
      </c>
      <c r="AJ147" t="str">
        <f>HYPERLINK("http://www.ncbi.nlm.nih.gov/sutils/blink.cgi?pid=312384870","0.020")</f>
        <v>0.020</v>
      </c>
      <c r="AK147" t="str">
        <f>HYPERLINK("http://www.ncbi.nlm.nih.gov/protein/312384870","gi|312384870")</f>
        <v>gi|312384870</v>
      </c>
      <c r="AL147">
        <v>42.7</v>
      </c>
      <c r="AM147">
        <v>44</v>
      </c>
      <c r="AN147">
        <v>195</v>
      </c>
      <c r="AO147">
        <v>42</v>
      </c>
      <c r="AP147">
        <v>23</v>
      </c>
      <c r="AQ147">
        <v>26</v>
      </c>
      <c r="AR147">
        <v>1</v>
      </c>
      <c r="AS147">
        <v>149</v>
      </c>
      <c r="AT147">
        <v>7</v>
      </c>
      <c r="AU147">
        <v>1</v>
      </c>
      <c r="AV147">
        <v>1</v>
      </c>
      <c r="AW147" t="s">
        <v>12</v>
      </c>
      <c r="AY147" t="s">
        <v>1676</v>
      </c>
      <c r="AZ147" t="s">
        <v>2506</v>
      </c>
      <c r="BA147" s="4" t="str">
        <f>HYPERLINK("http://exon.niaid.nih.gov/transcriptome/C_felis/S1/links/SWISSP/cf-contig_547-SWISSP.txt","Polypeptide N-acetylgalactosaminyltransferase-like 6")</f>
        <v>Polypeptide N-acetylgalactosaminyltransferase-like 6</v>
      </c>
      <c r="BB147" t="str">
        <f>HYPERLINK("http://www.uniprot.org/uniprot/Q49A17","0.73")</f>
        <v>0.73</v>
      </c>
      <c r="BC147" t="s">
        <v>3673</v>
      </c>
      <c r="BD147">
        <v>32.700000000000003</v>
      </c>
      <c r="BE147">
        <v>41</v>
      </c>
      <c r="BF147">
        <v>601</v>
      </c>
      <c r="BG147">
        <v>34</v>
      </c>
      <c r="BH147">
        <v>7</v>
      </c>
      <c r="BI147">
        <v>29</v>
      </c>
      <c r="BJ147">
        <v>1</v>
      </c>
      <c r="BK147">
        <v>544</v>
      </c>
      <c r="BL147">
        <v>10</v>
      </c>
      <c r="BM147">
        <v>1</v>
      </c>
      <c r="BN147">
        <v>1</v>
      </c>
      <c r="BO147" t="s">
        <v>12</v>
      </c>
      <c r="BQ147" t="s">
        <v>1676</v>
      </c>
      <c r="BR147" t="s">
        <v>1690</v>
      </c>
      <c r="BS147" s="4" t="str">
        <f>HYPERLINK("http://exon.niaid.nih.gov/transcriptome/C_felis/S1/links/CDD/cf-contig_547-CDD.txt","Ricin_B_lectin")</f>
        <v>Ricin_B_lectin</v>
      </c>
      <c r="BT147" t="str">
        <f>HYPERLINK("http://www.ncbi.nlm.nih.gov/Structure/cdd/cddsrv.cgi?uid=pfam00652&amp;version=v4.0","7E-007")</f>
        <v>7E-007</v>
      </c>
      <c r="BU147" t="s">
        <v>3674</v>
      </c>
      <c r="BV147" s="4" t="s">
        <v>42</v>
      </c>
      <c r="BW147" t="s">
        <v>42</v>
      </c>
      <c r="BX147" t="s">
        <v>42</v>
      </c>
      <c r="BY147" t="s">
        <v>42</v>
      </c>
      <c r="BZ147" t="s">
        <v>42</v>
      </c>
      <c r="CA147" t="s">
        <v>42</v>
      </c>
      <c r="CB147" t="s">
        <v>42</v>
      </c>
      <c r="CC147" t="s">
        <v>42</v>
      </c>
      <c r="CD147" t="s">
        <v>42</v>
      </c>
      <c r="CE147" t="s">
        <v>42</v>
      </c>
      <c r="CF147" t="s">
        <v>42</v>
      </c>
      <c r="CG147" t="s">
        <v>42</v>
      </c>
      <c r="CH147" t="s">
        <v>42</v>
      </c>
      <c r="CI147" t="s">
        <v>42</v>
      </c>
      <c r="CJ147" t="s">
        <v>42</v>
      </c>
      <c r="CK147" t="s">
        <v>42</v>
      </c>
      <c r="CL147" t="s">
        <v>42</v>
      </c>
      <c r="CM147" t="s">
        <v>42</v>
      </c>
      <c r="CN147" t="s">
        <v>42</v>
      </c>
      <c r="CO147" t="s">
        <v>42</v>
      </c>
      <c r="CP147" t="s">
        <v>42</v>
      </c>
      <c r="CQ147" t="s">
        <v>42</v>
      </c>
      <c r="CR147" t="s">
        <v>42</v>
      </c>
      <c r="CS147" s="4" t="str">
        <f>HYPERLINK("http://exon.niaid.nih.gov/transcriptome/C_felis/S1/links/KOG/cf-contig_547-KOG.txt","Polypeptide N-acetylgalactosaminyltransferase")</f>
        <v>Polypeptide N-acetylgalactosaminyltransferase</v>
      </c>
      <c r="CT147" t="str">
        <f>HYPERLINK("http://www.ncbi.nlm.nih.gov/COG/grace/shokog.cgi?KOG3736","3E-004")</f>
        <v>3E-004</v>
      </c>
      <c r="CU147" t="s">
        <v>2198</v>
      </c>
      <c r="CV147" s="4" t="str">
        <f>HYPERLINK("http://exon.niaid.nih.gov/transcriptome/C_felis/S1/links/PFAM/cf-contig_547-PFAM.txt","Ricin_B_lectin")</f>
        <v>Ricin_B_lectin</v>
      </c>
      <c r="CW147" t="str">
        <f>HYPERLINK("http://pfam.sanger.ac.uk/family?acc=PF00652","1E-007")</f>
        <v>1E-007</v>
      </c>
      <c r="CX147" s="4" t="str">
        <f>HYPERLINK("http://exon.niaid.nih.gov/transcriptome/C_felis/S1/links/SMART/cf-contig_547-SMART.txt","RICIN")</f>
        <v>RICIN</v>
      </c>
      <c r="CY147" t="str">
        <f>HYPERLINK("http://smart.embl-heidelberg.de/smart/do_annotation.pl?DOMAIN=RICIN&amp;BLAST=DUMMY","4E-007")</f>
        <v>4E-007</v>
      </c>
      <c r="CZ147" s="4" t="s">
        <v>42</v>
      </c>
      <c r="DA147" t="s">
        <v>42</v>
      </c>
      <c r="DB147" t="s">
        <v>42</v>
      </c>
      <c r="DC147" t="s">
        <v>42</v>
      </c>
      <c r="DD147" t="s">
        <v>42</v>
      </c>
      <c r="DE147" t="s">
        <v>42</v>
      </c>
      <c r="DF147" t="s">
        <v>42</v>
      </c>
      <c r="DG147" t="s">
        <v>42</v>
      </c>
      <c r="DH147" s="4" t="s">
        <v>42</v>
      </c>
      <c r="DI147" t="s">
        <v>42</v>
      </c>
      <c r="DJ147" s="4" t="s">
        <v>42</v>
      </c>
      <c r="DK147" t="s">
        <v>42</v>
      </c>
      <c r="DL147" s="4">
        <v>449</v>
      </c>
      <c r="DM147">
        <v>1</v>
      </c>
      <c r="DN147" s="4">
        <v>459</v>
      </c>
      <c r="DO147">
        <v>1</v>
      </c>
      <c r="DP147" s="4">
        <v>465</v>
      </c>
      <c r="DQ147">
        <v>1</v>
      </c>
      <c r="DR147" s="4">
        <v>480</v>
      </c>
      <c r="DS147">
        <v>1</v>
      </c>
      <c r="DT147" s="4">
        <v>492</v>
      </c>
      <c r="DU147">
        <v>1</v>
      </c>
      <c r="DV147" s="4">
        <v>506</v>
      </c>
      <c r="DW147">
        <v>1</v>
      </c>
      <c r="DX147" s="4">
        <v>512</v>
      </c>
      <c r="DY147">
        <v>1</v>
      </c>
      <c r="DZ147" s="4">
        <v>520</v>
      </c>
      <c r="EA147">
        <v>1</v>
      </c>
      <c r="EB147" s="4">
        <v>525</v>
      </c>
      <c r="EC147">
        <v>1</v>
      </c>
      <c r="ED147" s="4">
        <v>529</v>
      </c>
      <c r="EE147">
        <v>1</v>
      </c>
      <c r="EF147" s="4">
        <v>534</v>
      </c>
      <c r="EG147">
        <v>1</v>
      </c>
      <c r="EH147" s="4">
        <v>540</v>
      </c>
      <c r="EI147">
        <v>1</v>
      </c>
      <c r="EJ147" s="4">
        <v>547</v>
      </c>
      <c r="EK147">
        <v>1</v>
      </c>
    </row>
    <row r="148" spans="1:141" s="6" customFormat="1" x14ac:dyDescent="0.2">
      <c r="A148" s="12" t="s">
        <v>4885</v>
      </c>
      <c r="AB148" s="6" t="s">
        <v>42</v>
      </c>
    </row>
    <row r="149" spans="1:141" x14ac:dyDescent="0.2">
      <c r="A149" t="str">
        <f>HYPERLINK("http://exon.niaid.nih.gov/transcriptome/C_felis/S1/links/cf/cf-contig_387.txt","cf-contig_387")</f>
        <v>cf-contig_387</v>
      </c>
      <c r="B149">
        <v>1</v>
      </c>
      <c r="C149" s="10" t="s">
        <v>4754</v>
      </c>
      <c r="D149">
        <v>1</v>
      </c>
      <c r="E149" t="str">
        <f>HYPERLINK("http://exon.niaid.nih.gov/transcriptome/C_felis/S1/links/cf/cf-5-36-asb-387.txt","Contig-387")</f>
        <v>Contig-387</v>
      </c>
      <c r="F149" t="str">
        <f>HYPERLINK("http://exon.niaid.nih.gov/transcriptome/C_felis/S1/links/cf/cf-5-36-387-CLU.txt","Contig387")</f>
        <v>Contig387</v>
      </c>
      <c r="G149" t="str">
        <f>HYPERLINK("http://exon.niaid.nih.gov/transcriptome/C_felis/S1/links/cf/cf-5-36-387-qual.txt","64.7")</f>
        <v>64.7</v>
      </c>
      <c r="H149" t="s">
        <v>11</v>
      </c>
      <c r="I149">
        <v>75.5</v>
      </c>
      <c r="J149">
        <v>426</v>
      </c>
      <c r="K149" t="s">
        <v>12</v>
      </c>
      <c r="L149">
        <v>1</v>
      </c>
      <c r="M149" t="s">
        <v>400</v>
      </c>
      <c r="N149">
        <v>426</v>
      </c>
      <c r="O149">
        <v>445</v>
      </c>
      <c r="P149">
        <v>174</v>
      </c>
      <c r="Q149" t="s">
        <v>1207</v>
      </c>
      <c r="R149">
        <v>2</v>
      </c>
      <c r="S149" s="7" t="s">
        <v>4585</v>
      </c>
      <c r="U149">
        <v>1</v>
      </c>
      <c r="V149" s="4">
        <v>315</v>
      </c>
      <c r="W149">
        <v>1</v>
      </c>
      <c r="X149" s="4">
        <v>323</v>
      </c>
      <c r="Y149">
        <v>1</v>
      </c>
      <c r="Z149" s="4">
        <v>324</v>
      </c>
      <c r="AA149">
        <v>1</v>
      </c>
      <c r="AB149" s="4" t="str">
        <f>HYPERLINK("http://exon.niaid.nih.gov/transcriptome/C_felis/S1/links/XC-ASB/cf-contig_387-XC-ASB.txt","XC-contig_123")</f>
        <v>XC-contig_123</v>
      </c>
      <c r="AC149">
        <v>1.9999999999999999E-72</v>
      </c>
      <c r="AD149" s="10" t="s">
        <v>4754</v>
      </c>
      <c r="AE149" t="s">
        <v>4755</v>
      </c>
      <c r="AF149" t="str">
        <f>HYPERLINK("http://exon.niaid.nih.gov/transcriptome/C_felis/S1/links/KOG/cf-contig_387-KOG.txt","KOG")</f>
        <v>KOG</v>
      </c>
      <c r="AG149" s="5">
        <v>1E-56</v>
      </c>
      <c r="AH149">
        <v>60.1</v>
      </c>
      <c r="AI149" s="4" t="str">
        <f>HYPERLINK("http://exon.niaid.nih.gov/transcriptome/C_felis/S1/links/NR/cf-contig_387-NR.txt","cytochrome oxidase subunit II")</f>
        <v>cytochrome oxidase subunit II</v>
      </c>
      <c r="AJ149" t="str">
        <f>HYPERLINK("http://www.ncbi.nlm.nih.gov/sutils/blink.cgi?pid=343409604","2E-063")</f>
        <v>2E-063</v>
      </c>
      <c r="AK149" t="str">
        <f>HYPERLINK("http://www.ncbi.nlm.nih.gov/protein/343409604","gi|343409604")</f>
        <v>gi|343409604</v>
      </c>
      <c r="AL149">
        <v>245</v>
      </c>
      <c r="AM149">
        <v>135</v>
      </c>
      <c r="AN149">
        <v>227</v>
      </c>
      <c r="AO149">
        <v>91</v>
      </c>
      <c r="AP149">
        <v>60</v>
      </c>
      <c r="AQ149">
        <v>12</v>
      </c>
      <c r="AR149">
        <v>0</v>
      </c>
      <c r="AS149">
        <v>91</v>
      </c>
      <c r="AT149">
        <v>17</v>
      </c>
      <c r="AU149">
        <v>1</v>
      </c>
      <c r="AV149">
        <v>2</v>
      </c>
      <c r="AW149" t="s">
        <v>12</v>
      </c>
      <c r="AX149">
        <v>2.9630000000000001</v>
      </c>
      <c r="AY149" t="s">
        <v>1676</v>
      </c>
      <c r="AZ149" t="s">
        <v>1728</v>
      </c>
      <c r="BA149" s="4" t="str">
        <f>HYPERLINK("http://exon.niaid.nih.gov/transcriptome/C_felis/S1/links/SWISSP/cf-contig_387-SWISSP.txt","Cytochrome c oxidase subunit 2")</f>
        <v>Cytochrome c oxidase subunit 2</v>
      </c>
      <c r="BB149" t="str">
        <f>HYPERLINK("http://www.uniprot.org/uniprot/P29872","7E-065")</f>
        <v>7E-065</v>
      </c>
      <c r="BC149" t="s">
        <v>2862</v>
      </c>
      <c r="BD149">
        <v>245</v>
      </c>
      <c r="BE149">
        <v>135</v>
      </c>
      <c r="BF149">
        <v>227</v>
      </c>
      <c r="BG149">
        <v>91</v>
      </c>
      <c r="BH149">
        <v>60</v>
      </c>
      <c r="BI149">
        <v>12</v>
      </c>
      <c r="BJ149">
        <v>0</v>
      </c>
      <c r="BK149">
        <v>91</v>
      </c>
      <c r="BL149">
        <v>17</v>
      </c>
      <c r="BM149">
        <v>1</v>
      </c>
      <c r="BN149">
        <v>2</v>
      </c>
      <c r="BO149" t="s">
        <v>12</v>
      </c>
      <c r="BP149">
        <v>2.9630000000000001</v>
      </c>
      <c r="BQ149" t="s">
        <v>1676</v>
      </c>
      <c r="BR149" t="s">
        <v>1728</v>
      </c>
      <c r="BS149" s="4" t="str">
        <f>HYPERLINK("http://exon.niaid.nih.gov/transcriptome/C_felis/S1/links/CDD/cf-contig_387-CDD.txt","COX2")</f>
        <v>COX2</v>
      </c>
      <c r="BT149" t="str">
        <f>HYPERLINK("http://www.ncbi.nlm.nih.gov/Structure/cdd/cddsrv.cgi?uid=MTH00154&amp;version=v4.0","1E-079")</f>
        <v>1E-079</v>
      </c>
      <c r="BU149" t="s">
        <v>3038</v>
      </c>
      <c r="BV149" s="4" t="s">
        <v>3039</v>
      </c>
      <c r="BW149">
        <f>HYPERLINK("http://exon.niaid.nih.gov/transcriptome/C_felis/S1/links/GO/cf-contig_387-GO.txt",1E-54)</f>
        <v>1E-54</v>
      </c>
      <c r="BX149" t="str">
        <f>HYPERLINK("http://amigo.geneontology.org/cgi-bin/amigo/term_details?term=GO:0004129","GO:0004129")</f>
        <v>GO:0004129</v>
      </c>
      <c r="BY149" t="s">
        <v>3040</v>
      </c>
      <c r="BZ149" t="s">
        <v>3041</v>
      </c>
      <c r="CA149" t="s">
        <v>3042</v>
      </c>
      <c r="CB149" t="str">
        <f>HYPERLINK("http://www.genome.jp/dbget-bin/www_bfind_sub?mode=bfind&amp;max_hit=1000&amp;dbkey=kegg&amp;keywords=EC:1.9.3.1","EC:1.9.3.1")</f>
        <v>EC:1.9.3.1</v>
      </c>
      <c r="CD149" s="5">
        <v>1E-54</v>
      </c>
      <c r="CE149" t="str">
        <f>HYPERLINK("http://amigo.geneontology.org/cgi-bin/amigo/term_details?term=GO:0005751","GO:0005751")</f>
        <v>GO:0005751</v>
      </c>
      <c r="CF149" t="s">
        <v>3043</v>
      </c>
      <c r="CG149" t="s">
        <v>3044</v>
      </c>
      <c r="CH149" t="s">
        <v>42</v>
      </c>
      <c r="CI149" t="s">
        <v>42</v>
      </c>
      <c r="CK149" s="5">
        <v>1E-54</v>
      </c>
      <c r="CL149" t="str">
        <f>HYPERLINK("http://amigo.geneontology.org/cgi-bin/amigo/term_details?term=GO:0006123","GO:0006123")</f>
        <v>GO:0006123</v>
      </c>
      <c r="CM149" t="s">
        <v>3045</v>
      </c>
      <c r="CN149" t="s">
        <v>3046</v>
      </c>
      <c r="CO149" t="s">
        <v>3047</v>
      </c>
      <c r="CP149" t="s">
        <v>42</v>
      </c>
      <c r="CR149" s="5">
        <v>1E-54</v>
      </c>
      <c r="CS149" s="4" t="str">
        <f>HYPERLINK("http://exon.niaid.nih.gov/transcriptome/C_felis/S1/links/KOG/cf-contig_387-KOG.txt","Cytochrome c oxidase, subunit II, and related proteins")</f>
        <v>Cytochrome c oxidase, subunit II, and related proteins</v>
      </c>
      <c r="CT149" t="str">
        <f>HYPERLINK("http://www.ncbi.nlm.nih.gov/COG/grace/shokog.cgi?KOG4767","1E-056")</f>
        <v>1E-056</v>
      </c>
      <c r="CU149" t="s">
        <v>1793</v>
      </c>
      <c r="CV149" s="4" t="str">
        <f>HYPERLINK("http://exon.niaid.nih.gov/transcriptome/C_felis/S1/links/PFAM/cf-contig_387-PFAM.txt","COX2")</f>
        <v>COX2</v>
      </c>
      <c r="CW149" t="str">
        <f>HYPERLINK("http://pfam.sanger.ac.uk/family?acc=PF00116","5E-057")</f>
        <v>5E-057</v>
      </c>
      <c r="CX149" s="4" t="str">
        <f>HYPERLINK("http://exon.niaid.nih.gov/transcriptome/C_felis/S1/links/SMART/cf-contig_387-SMART.txt","AgrB")</f>
        <v>AgrB</v>
      </c>
      <c r="CY149" t="str">
        <f>HYPERLINK("http://smart.embl-heidelberg.de/smart/do_annotation.pl?DOMAIN=AgrB&amp;BLAST=DUMMY","0.15")</f>
        <v>0.15</v>
      </c>
      <c r="CZ149" s="4" t="s">
        <v>42</v>
      </c>
      <c r="DA149" t="s">
        <v>42</v>
      </c>
      <c r="DB149" t="s">
        <v>42</v>
      </c>
      <c r="DC149" t="s">
        <v>42</v>
      </c>
      <c r="DD149" t="s">
        <v>42</v>
      </c>
      <c r="DE149" t="s">
        <v>42</v>
      </c>
      <c r="DF149" t="s">
        <v>42</v>
      </c>
      <c r="DG149" t="s">
        <v>42</v>
      </c>
      <c r="DH149" s="4" t="str">
        <f>HYPERLINK("http://exon.niaid.nih.gov/transcriptome/C_felis/S1/links/MIT-PLA/cf-contig_387-MIT-PLA.txt","Haematobia irritans irritans mitochondrion, complete genome")</f>
        <v>Haematobia irritans irritans mitochondrion, complete genome</v>
      </c>
      <c r="DI149" t="str">
        <f>HYPERLINK("http://www.ncbi.nlm.nih.gov/entrez/viewer.fcgi?db=nucleotide&amp;val=66796422","7E-071")</f>
        <v>7E-071</v>
      </c>
      <c r="DJ149" s="4" t="s">
        <v>42</v>
      </c>
      <c r="DK149" t="s">
        <v>42</v>
      </c>
      <c r="DL149" s="4">
        <v>315</v>
      </c>
      <c r="DM149">
        <v>1</v>
      </c>
      <c r="DN149" s="4">
        <v>323</v>
      </c>
      <c r="DO149">
        <v>1</v>
      </c>
      <c r="DP149" s="4">
        <v>324</v>
      </c>
      <c r="DQ149">
        <v>1</v>
      </c>
      <c r="DR149" s="4">
        <v>335</v>
      </c>
      <c r="DS149">
        <v>1</v>
      </c>
      <c r="DT149" s="4">
        <v>345</v>
      </c>
      <c r="DU149">
        <v>1</v>
      </c>
      <c r="DV149" s="4">
        <v>358</v>
      </c>
      <c r="DW149">
        <v>1</v>
      </c>
      <c r="DX149" s="4">
        <v>361</v>
      </c>
      <c r="DY149">
        <v>1</v>
      </c>
      <c r="DZ149" s="4">
        <v>366</v>
      </c>
      <c r="EA149">
        <v>1</v>
      </c>
      <c r="EB149" s="4">
        <v>371</v>
      </c>
      <c r="EC149">
        <v>1</v>
      </c>
      <c r="ED149" s="4">
        <v>375</v>
      </c>
      <c r="EE149">
        <v>1</v>
      </c>
      <c r="EF149" s="4">
        <v>380</v>
      </c>
      <c r="EG149">
        <v>1</v>
      </c>
      <c r="EH149" s="4">
        <v>382</v>
      </c>
      <c r="EI149">
        <v>1</v>
      </c>
      <c r="EJ149" s="4">
        <v>387</v>
      </c>
      <c r="EK149">
        <v>1</v>
      </c>
    </row>
    <row r="150" spans="1:141" x14ac:dyDescent="0.2">
      <c r="A150" t="str">
        <f>HYPERLINK("http://exon.niaid.nih.gov/transcriptome/C_felis/S1/links/cf/cf-contig_764.txt","cf-contig_764")</f>
        <v>cf-contig_764</v>
      </c>
      <c r="B150">
        <v>1</v>
      </c>
      <c r="C150" s="10" t="s">
        <v>4871</v>
      </c>
      <c r="D150">
        <v>1</v>
      </c>
      <c r="E150" t="str">
        <f>HYPERLINK("http://exon.niaid.nih.gov/transcriptome/C_felis/S1/links/cf/cf-5-36-asb-764.txt","Contig-764")</f>
        <v>Contig-764</v>
      </c>
      <c r="F150" t="str">
        <f>HYPERLINK("http://exon.niaid.nih.gov/transcriptome/C_felis/S1/links/cf/cf-5-36-764-CLU.txt","Contig764")</f>
        <v>Contig764</v>
      </c>
      <c r="G150" t="str">
        <f>HYPERLINK("http://exon.niaid.nih.gov/transcriptome/C_felis/S1/links/cf/cf-5-36-764-qual.txt","63.")</f>
        <v>63.</v>
      </c>
      <c r="H150">
        <v>0.4</v>
      </c>
      <c r="I150">
        <v>62.5</v>
      </c>
      <c r="J150">
        <v>499</v>
      </c>
      <c r="K150" t="s">
        <v>12</v>
      </c>
      <c r="L150">
        <v>1</v>
      </c>
      <c r="M150" t="s">
        <v>777</v>
      </c>
      <c r="N150">
        <v>499</v>
      </c>
      <c r="O150">
        <v>518</v>
      </c>
      <c r="P150">
        <v>381</v>
      </c>
      <c r="Q150" t="s">
        <v>1583</v>
      </c>
      <c r="R150">
        <v>1</v>
      </c>
      <c r="S150" s="7" t="str">
        <f>HYPERLINK("http://exon.niaid.nih.gov/transcriptome/C_felis/S1/links/Sigp/CF-CONTIG_764-SigP.txt","Cyt")</f>
        <v>Cyt</v>
      </c>
      <c r="U150">
        <v>1</v>
      </c>
      <c r="V150" s="4">
        <v>613</v>
      </c>
      <c r="W150">
        <v>1</v>
      </c>
      <c r="X150" s="4">
        <v>634</v>
      </c>
      <c r="Y150">
        <v>1</v>
      </c>
      <c r="Z150" s="4">
        <v>649</v>
      </c>
      <c r="AA150">
        <v>1</v>
      </c>
      <c r="AB150" s="4" t="str">
        <f>HYPERLINK("http://exon.niaid.nih.gov/transcriptome/C_felis/S1/links/XC-ASB/cf-contig_764-XC-ASB.txt","XC-contig_234")</f>
        <v>XC-contig_234</v>
      </c>
      <c r="AC150">
        <v>0.25</v>
      </c>
      <c r="AD150" s="10" t="s">
        <v>4871</v>
      </c>
      <c r="AE150" t="s">
        <v>4755</v>
      </c>
      <c r="AF150" t="str">
        <f>HYPERLINK("http://exon.niaid.nih.gov/transcriptome/C_felis/S1/links/NR/cf-contig_764-NR.txt","NR")</f>
        <v>NR</v>
      </c>
      <c r="AG150" s="5">
        <v>9.9999999999999996E-39</v>
      </c>
      <c r="AH150">
        <v>78.3</v>
      </c>
      <c r="AI150" s="4" t="str">
        <f>HYPERLINK("http://exon.niaid.nih.gov/transcriptome/C_felis/S1/links/NR/cf-contig_764-NR.txt","cytochrome c oxidase subunit Vb COX4")</f>
        <v>cytochrome c oxidase subunit Vb COX4</v>
      </c>
      <c r="AJ150" t="str">
        <f>HYPERLINK("http://www.ncbi.nlm.nih.gov/sutils/blink.cgi?pid=289740249","1E-038")</f>
        <v>1E-038</v>
      </c>
      <c r="AK150" t="str">
        <f>HYPERLINK("http://www.ncbi.nlm.nih.gov/protein/289740249","gi|289740249")</f>
        <v>gi|289740249</v>
      </c>
      <c r="AL150">
        <v>162</v>
      </c>
      <c r="AM150">
        <v>93</v>
      </c>
      <c r="AN150">
        <v>120</v>
      </c>
      <c r="AO150">
        <v>76</v>
      </c>
      <c r="AP150">
        <v>78</v>
      </c>
      <c r="AQ150">
        <v>22</v>
      </c>
      <c r="AR150">
        <v>0</v>
      </c>
      <c r="AS150">
        <v>24</v>
      </c>
      <c r="AT150">
        <v>46</v>
      </c>
      <c r="AU150">
        <v>1</v>
      </c>
      <c r="AV150">
        <v>1</v>
      </c>
      <c r="AW150" t="s">
        <v>12</v>
      </c>
      <c r="AY150" t="s">
        <v>1676</v>
      </c>
      <c r="AZ150" t="s">
        <v>2572</v>
      </c>
      <c r="BA150" s="4" t="str">
        <f>HYPERLINK("http://exon.niaid.nih.gov/transcriptome/C_felis/S1/links/SWISSP/cf-contig_764-SWISSP.txt","Cytochrome c oxidase subunit 5B, mitochondrial")</f>
        <v>Cytochrome c oxidase subunit 5B, mitochondrial</v>
      </c>
      <c r="BB150" t="str">
        <f>HYPERLINK("http://www.uniprot.org/uniprot/P00428","4E-017")</f>
        <v>4E-017</v>
      </c>
      <c r="BC150" t="s">
        <v>4451</v>
      </c>
      <c r="BD150">
        <v>87.4</v>
      </c>
      <c r="BE150">
        <v>117</v>
      </c>
      <c r="BF150">
        <v>129</v>
      </c>
      <c r="BG150">
        <v>41</v>
      </c>
      <c r="BH150">
        <v>91</v>
      </c>
      <c r="BI150">
        <v>70</v>
      </c>
      <c r="BJ150">
        <v>8</v>
      </c>
      <c r="BK150">
        <v>10</v>
      </c>
      <c r="BL150">
        <v>1</v>
      </c>
      <c r="BM150">
        <v>1</v>
      </c>
      <c r="BN150">
        <v>1</v>
      </c>
      <c r="BO150" t="s">
        <v>12</v>
      </c>
      <c r="BQ150" t="s">
        <v>1676</v>
      </c>
      <c r="BR150" t="s">
        <v>1679</v>
      </c>
      <c r="BS150" s="4" t="str">
        <f>HYPERLINK("http://exon.niaid.nih.gov/transcriptome/C_felis/S1/links/CDD/cf-contig_764-CDD.txt","Cyt_c_Oxidase_V")</f>
        <v>Cyt_c_Oxidase_V</v>
      </c>
      <c r="BT150" t="str">
        <f>HYPERLINK("http://www.ncbi.nlm.nih.gov/Structure/cdd/cddsrv.cgi?uid=cd00924&amp;version=v4.0","3E-033")</f>
        <v>3E-033</v>
      </c>
      <c r="BU150" t="s">
        <v>4452</v>
      </c>
      <c r="BV150" s="4" t="s">
        <v>4453</v>
      </c>
      <c r="BW150">
        <f>HYPERLINK("http://exon.niaid.nih.gov/transcriptome/C_felis/S1/links/GO/cf-contig_764-GO.txt",1E-37)</f>
        <v>1.0000000000000001E-37</v>
      </c>
      <c r="BX150" t="str">
        <f>HYPERLINK("http://amigo.geneontology.org/cgi-bin/amigo/term_details?term=GO:0004129","GO:0004129")</f>
        <v>GO:0004129</v>
      </c>
      <c r="BY150" t="s">
        <v>3040</v>
      </c>
      <c r="BZ150" t="s">
        <v>3041</v>
      </c>
      <c r="CA150" t="s">
        <v>3042</v>
      </c>
      <c r="CB150" t="str">
        <f>HYPERLINK("http://www.genome.jp/dbget-bin/www_bfind_sub?mode=bfind&amp;max_hit=1000&amp;dbkey=kegg&amp;keywords=EC:1.9.3.1","EC:1.9.3.1")</f>
        <v>EC:1.9.3.1</v>
      </c>
      <c r="CD150" s="5">
        <v>1.0000000000000001E-37</v>
      </c>
      <c r="CE150" t="str">
        <f>HYPERLINK("http://amigo.geneontology.org/cgi-bin/amigo/term_details?term=GO:0005739","GO:0005739")</f>
        <v>GO:0005739</v>
      </c>
      <c r="CF150" t="s">
        <v>2551</v>
      </c>
      <c r="CG150" t="s">
        <v>2552</v>
      </c>
      <c r="CH150" t="s">
        <v>2553</v>
      </c>
      <c r="CI150" t="s">
        <v>42</v>
      </c>
      <c r="CK150" s="5">
        <v>1.0000000000000001E-37</v>
      </c>
      <c r="CL150" t="str">
        <f>HYPERLINK("http://amigo.geneontology.org/cgi-bin/amigo/term_details?term=GO:0006123","GO:0006123")</f>
        <v>GO:0006123</v>
      </c>
      <c r="CM150" t="s">
        <v>3045</v>
      </c>
      <c r="CN150" t="s">
        <v>3046</v>
      </c>
      <c r="CO150" t="s">
        <v>3047</v>
      </c>
      <c r="CP150" t="s">
        <v>42</v>
      </c>
      <c r="CR150" s="5">
        <v>1.0000000000000001E-37</v>
      </c>
      <c r="CS150" s="4" t="str">
        <f>HYPERLINK("http://exon.niaid.nih.gov/transcriptome/C_felis/S1/links/KOG/cf-contig_764-KOG.txt","Cytochrome c oxidase, subunit Vb/COX4")</f>
        <v>Cytochrome c oxidase, subunit Vb/COX4</v>
      </c>
      <c r="CT150" t="str">
        <f>HYPERLINK("http://www.ncbi.nlm.nih.gov/COG/grace/shokog.cgi?KOG3352","8E-033")</f>
        <v>8E-033</v>
      </c>
      <c r="CU150" t="s">
        <v>1793</v>
      </c>
      <c r="CV150" s="4" t="str">
        <f>HYPERLINK("http://exon.niaid.nih.gov/transcriptome/C_felis/S1/links/PFAM/cf-contig_764-PFAM.txt","COX5B")</f>
        <v>COX5B</v>
      </c>
      <c r="CW150" t="str">
        <f>HYPERLINK("http://pfam.sanger.ac.uk/family?acc=PF01215","7E-017")</f>
        <v>7E-017</v>
      </c>
      <c r="CX150" s="4" t="str">
        <f>HYPERLINK("http://exon.niaid.nih.gov/transcriptome/C_felis/S1/links/SMART/cf-contig_764-SMART.txt","rADc")</f>
        <v>rADc</v>
      </c>
      <c r="CY150" t="str">
        <f>HYPERLINK("http://smart.embl-heidelberg.de/smart/do_annotation.pl?DOMAIN=rADc&amp;BLAST=DUMMY","0.31")</f>
        <v>0.31</v>
      </c>
      <c r="CZ150" s="4" t="s">
        <v>42</v>
      </c>
      <c r="DA150" t="s">
        <v>42</v>
      </c>
      <c r="DB150" t="s">
        <v>42</v>
      </c>
      <c r="DC150" t="s">
        <v>42</v>
      </c>
      <c r="DD150" t="s">
        <v>42</v>
      </c>
      <c r="DE150" t="s">
        <v>42</v>
      </c>
      <c r="DF150" t="s">
        <v>42</v>
      </c>
      <c r="DG150" t="s">
        <v>42</v>
      </c>
      <c r="DH150" s="4" t="s">
        <v>42</v>
      </c>
      <c r="DI150" t="s">
        <v>42</v>
      </c>
      <c r="DJ150" s="4" t="s">
        <v>42</v>
      </c>
      <c r="DK150" t="s">
        <v>42</v>
      </c>
      <c r="DL150" s="4">
        <v>613</v>
      </c>
      <c r="DM150">
        <v>1</v>
      </c>
      <c r="DN150" s="4">
        <v>634</v>
      </c>
      <c r="DO150">
        <v>1</v>
      </c>
      <c r="DP150" s="4">
        <v>649</v>
      </c>
      <c r="DQ150">
        <v>1</v>
      </c>
      <c r="DR150" s="4">
        <v>671</v>
      </c>
      <c r="DS150">
        <v>1</v>
      </c>
      <c r="DT150" s="4">
        <v>686</v>
      </c>
      <c r="DU150">
        <v>1</v>
      </c>
      <c r="DV150" s="4">
        <v>701</v>
      </c>
      <c r="DW150">
        <v>1</v>
      </c>
      <c r="DX150" s="4">
        <v>715</v>
      </c>
      <c r="DY150">
        <v>1</v>
      </c>
      <c r="DZ150" s="4">
        <v>726</v>
      </c>
      <c r="EA150">
        <v>1</v>
      </c>
      <c r="EB150" s="4">
        <v>732</v>
      </c>
      <c r="EC150">
        <v>1</v>
      </c>
      <c r="ED150" s="4">
        <v>737</v>
      </c>
      <c r="EE150">
        <v>1</v>
      </c>
      <c r="EF150" s="4">
        <v>743</v>
      </c>
      <c r="EG150">
        <v>1</v>
      </c>
      <c r="EH150" s="4">
        <v>755</v>
      </c>
      <c r="EI150">
        <v>1</v>
      </c>
      <c r="EJ150" s="4">
        <v>764</v>
      </c>
      <c r="EK150">
        <v>1</v>
      </c>
    </row>
    <row r="151" spans="1:141" x14ac:dyDescent="0.2">
      <c r="A151" t="str">
        <f>HYPERLINK("http://exon.niaid.nih.gov/transcriptome/C_felis/S1/links/cf/cf-contig_527.txt","cf-contig_527")</f>
        <v>cf-contig_527</v>
      </c>
      <c r="B151">
        <v>1</v>
      </c>
      <c r="C151" s="10" t="s">
        <v>4794</v>
      </c>
      <c r="D151">
        <v>1</v>
      </c>
      <c r="E151" t="str">
        <f>HYPERLINK("http://exon.niaid.nih.gov/transcriptome/C_felis/S1/links/cf/cf-5-36-asb-527.txt","Contig-527")</f>
        <v>Contig-527</v>
      </c>
      <c r="F151" t="str">
        <f>HYPERLINK("http://exon.niaid.nih.gov/transcriptome/C_felis/S1/links/cf/cf-5-36-527-CLU.txt","Contig527")</f>
        <v>Contig527</v>
      </c>
      <c r="G151" t="str">
        <f>HYPERLINK("http://exon.niaid.nih.gov/transcriptome/C_felis/S1/links/cf/cf-5-36-527-qual.txt","52.9")</f>
        <v>52.9</v>
      </c>
      <c r="H151" t="s">
        <v>11</v>
      </c>
      <c r="I151">
        <v>70</v>
      </c>
      <c r="J151">
        <v>387</v>
      </c>
      <c r="K151" t="s">
        <v>12</v>
      </c>
      <c r="L151">
        <v>1</v>
      </c>
      <c r="M151" t="s">
        <v>540</v>
      </c>
      <c r="N151">
        <v>387</v>
      </c>
      <c r="O151">
        <v>406</v>
      </c>
      <c r="P151">
        <v>189</v>
      </c>
      <c r="Q151" t="s">
        <v>1346</v>
      </c>
      <c r="R151">
        <v>3</v>
      </c>
      <c r="S151" s="7" t="str">
        <f>HYPERLINK("http://exon.niaid.nih.gov/transcriptome/C_felis/S1/links/Sigp/CF-CONTIG_527-SigP.txt","Cyt")</f>
        <v>Cyt</v>
      </c>
      <c r="U151">
        <v>1</v>
      </c>
      <c r="V151" s="4">
        <v>431</v>
      </c>
      <c r="W151">
        <v>1</v>
      </c>
      <c r="X151" s="4">
        <v>440</v>
      </c>
      <c r="Y151">
        <v>1</v>
      </c>
      <c r="Z151" s="4">
        <v>445</v>
      </c>
      <c r="AA151">
        <v>1</v>
      </c>
      <c r="AB151" s="4" t="str">
        <f>HYPERLINK("http://exon.niaid.nih.gov/transcriptome/C_felis/S1/links/XC-ASB/cf-contig_527-XC-ASB.txt","XC-contig_154")</f>
        <v>XC-contig_154</v>
      </c>
      <c r="AC151">
        <v>6.0999999999999999E-2</v>
      </c>
      <c r="AD151" s="10" t="s">
        <v>4794</v>
      </c>
      <c r="AE151" t="s">
        <v>4755</v>
      </c>
      <c r="AF151" t="str">
        <f>HYPERLINK("http://exon.niaid.nih.gov/transcriptome/C_felis/S1/links/KOG/cf-contig_527-KOG.txt","KOG")</f>
        <v>KOG</v>
      </c>
      <c r="AG151" s="5">
        <v>2E-16</v>
      </c>
      <c r="AH151">
        <v>16</v>
      </c>
      <c r="AI151" s="4" t="str">
        <f>HYPERLINK("http://exon.niaid.nih.gov/transcriptome/C_felis/S1/links/NR/cf-contig_527-NR.txt","cytochrome c1")</f>
        <v>cytochrome c1</v>
      </c>
      <c r="AJ151" t="str">
        <f>HYPERLINK("http://www.ncbi.nlm.nih.gov/sutils/blink.cgi?pid=163838694","5E-014")</f>
        <v>5E-014</v>
      </c>
      <c r="AK151" t="str">
        <f>HYPERLINK("http://www.ncbi.nlm.nih.gov/protein/163838694","gi|163838694")</f>
        <v>gi|163838694</v>
      </c>
      <c r="AL151">
        <v>81.3</v>
      </c>
      <c r="AM151">
        <v>52</v>
      </c>
      <c r="AN151">
        <v>308</v>
      </c>
      <c r="AO151">
        <v>67</v>
      </c>
      <c r="AP151">
        <v>17</v>
      </c>
      <c r="AQ151">
        <v>17</v>
      </c>
      <c r="AR151">
        <v>0</v>
      </c>
      <c r="AS151">
        <v>256</v>
      </c>
      <c r="AT151">
        <v>5</v>
      </c>
      <c r="AU151">
        <v>1</v>
      </c>
      <c r="AV151">
        <v>2</v>
      </c>
      <c r="AW151" t="s">
        <v>12</v>
      </c>
      <c r="AY151" t="s">
        <v>1676</v>
      </c>
      <c r="AZ151" t="s">
        <v>2037</v>
      </c>
      <c r="BA151" s="4" t="str">
        <f>HYPERLINK("http://exon.niaid.nih.gov/transcriptome/C_felis/S1/links/SWISSP/cf-contig_527-SWISSP.txt","Cytochrome c1, heme protein, mitochondrial")</f>
        <v>Cytochrome c1, heme protein, mitochondrial</v>
      </c>
      <c r="BB151" t="str">
        <f>HYPERLINK("http://www.uniprot.org/uniprot/P08574","1E-010")</f>
        <v>1E-010</v>
      </c>
      <c r="BC151" t="s">
        <v>3595</v>
      </c>
      <c r="BD151">
        <v>65.5</v>
      </c>
      <c r="BE151">
        <v>48</v>
      </c>
      <c r="BF151">
        <v>325</v>
      </c>
      <c r="BG151">
        <v>53</v>
      </c>
      <c r="BH151">
        <v>15</v>
      </c>
      <c r="BI151">
        <v>23</v>
      </c>
      <c r="BJ151">
        <v>0</v>
      </c>
      <c r="BK151">
        <v>276</v>
      </c>
      <c r="BL151">
        <v>8</v>
      </c>
      <c r="BM151">
        <v>1</v>
      </c>
      <c r="BN151">
        <v>2</v>
      </c>
      <c r="BO151" t="s">
        <v>12</v>
      </c>
      <c r="BQ151" t="s">
        <v>1676</v>
      </c>
      <c r="BR151" t="s">
        <v>1690</v>
      </c>
      <c r="BS151" s="4" t="str">
        <f>HYPERLINK("http://exon.niaid.nih.gov/transcriptome/C_felis/S1/links/CDD/cf-contig_527-CDD.txt","Cytochrom_C1")</f>
        <v>Cytochrom_C1</v>
      </c>
      <c r="BT151" t="str">
        <f>HYPERLINK("http://www.ncbi.nlm.nih.gov/Structure/cdd/cddsrv.cgi?uid=pfam02167&amp;version=v4.0","6E-010")</f>
        <v>6E-010</v>
      </c>
      <c r="BU151" t="s">
        <v>3596</v>
      </c>
      <c r="BV151" s="4" t="s">
        <v>3597</v>
      </c>
      <c r="BW151">
        <f>HYPERLINK("http://exon.niaid.nih.gov/transcriptome/C_felis/S1/links/GO/cf-contig_527-GO.txt",0.0000000000005)</f>
        <v>4.9999999999999999E-13</v>
      </c>
      <c r="BX151" t="str">
        <f>HYPERLINK("http://amigo.geneontology.org/cgi-bin/amigo/term_details?term=GO:0045153","GO:0045153")</f>
        <v>GO:0045153</v>
      </c>
      <c r="BY151" t="s">
        <v>3598</v>
      </c>
      <c r="BZ151" t="s">
        <v>3599</v>
      </c>
      <c r="CA151" t="s">
        <v>3600</v>
      </c>
      <c r="CB151" t="s">
        <v>42</v>
      </c>
      <c r="CD151">
        <v>4.9999999999999999E-13</v>
      </c>
      <c r="CE151" t="str">
        <f>HYPERLINK("http://amigo.geneontology.org/cgi-bin/amigo/term_details?term=GO:0005750","GO:0005750")</f>
        <v>GO:0005750</v>
      </c>
      <c r="CF151" t="s">
        <v>3601</v>
      </c>
      <c r="CG151" t="s">
        <v>3602</v>
      </c>
      <c r="CH151" t="s">
        <v>3603</v>
      </c>
      <c r="CI151" t="s">
        <v>42</v>
      </c>
      <c r="CK151">
        <v>4.9999999999999999E-13</v>
      </c>
      <c r="CL151" t="str">
        <f>HYPERLINK("http://amigo.geneontology.org/cgi-bin/amigo/term_details?term=GO:0006119","GO:0006119")</f>
        <v>GO:0006119</v>
      </c>
      <c r="CM151" t="s">
        <v>3463</v>
      </c>
      <c r="CN151" t="s">
        <v>3464</v>
      </c>
      <c r="CO151" t="s">
        <v>3465</v>
      </c>
      <c r="CP151" t="s">
        <v>42</v>
      </c>
      <c r="CR151">
        <v>4.9999999999999999E-13</v>
      </c>
      <c r="CS151" s="4" t="str">
        <f>HYPERLINK("http://exon.niaid.nih.gov/transcriptome/C_felis/S1/links/KOG/cf-contig_527-KOG.txt","Cytochrome c1")</f>
        <v>Cytochrome c1</v>
      </c>
      <c r="CT151" t="str">
        <f>HYPERLINK("http://www.ncbi.nlm.nih.gov/COG/grace/shokog.cgi?KOG3052","2E-016")</f>
        <v>2E-016</v>
      </c>
      <c r="CU151" t="s">
        <v>1793</v>
      </c>
      <c r="CV151" s="4" t="str">
        <f>HYPERLINK("http://exon.niaid.nih.gov/transcriptome/C_felis/S1/links/PFAM/cf-contig_527-PFAM.txt","Cytochrom_C1")</f>
        <v>Cytochrom_C1</v>
      </c>
      <c r="CW151" t="str">
        <f>HYPERLINK("http://pfam.sanger.ac.uk/family?acc=PF02167","1E-010")</f>
        <v>1E-010</v>
      </c>
      <c r="CX151" s="4" t="str">
        <f>HYPERLINK("http://exon.niaid.nih.gov/transcriptome/C_felis/S1/links/SMART/cf-contig_527-SMART.txt","BROMO")</f>
        <v>BROMO</v>
      </c>
      <c r="CY151" t="str">
        <f>HYPERLINK("http://smart.embl-heidelberg.de/smart/do_annotation.pl?DOMAIN=BROMO&amp;BLAST=DUMMY","0.006")</f>
        <v>0.006</v>
      </c>
      <c r="CZ151" s="4" t="s">
        <v>42</v>
      </c>
      <c r="DA151" t="s">
        <v>42</v>
      </c>
      <c r="DB151" t="s">
        <v>42</v>
      </c>
      <c r="DC151" t="s">
        <v>42</v>
      </c>
      <c r="DD151" t="s">
        <v>42</v>
      </c>
      <c r="DE151" t="s">
        <v>42</v>
      </c>
      <c r="DF151" t="s">
        <v>42</v>
      </c>
      <c r="DG151" t="s">
        <v>42</v>
      </c>
      <c r="DH151" s="4" t="s">
        <v>42</v>
      </c>
      <c r="DI151" t="s">
        <v>42</v>
      </c>
      <c r="DJ151" s="4" t="s">
        <v>42</v>
      </c>
      <c r="DK151" t="s">
        <v>42</v>
      </c>
      <c r="DL151" s="4">
        <v>431</v>
      </c>
      <c r="DM151">
        <v>1</v>
      </c>
      <c r="DN151" s="4">
        <v>440</v>
      </c>
      <c r="DO151">
        <v>1</v>
      </c>
      <c r="DP151" s="4">
        <v>445</v>
      </c>
      <c r="DQ151">
        <v>1</v>
      </c>
      <c r="DR151" s="4">
        <v>460</v>
      </c>
      <c r="DS151">
        <v>1</v>
      </c>
      <c r="DT151" s="4">
        <v>472</v>
      </c>
      <c r="DU151">
        <v>1</v>
      </c>
      <c r="DV151" s="4">
        <v>486</v>
      </c>
      <c r="DW151">
        <v>1</v>
      </c>
      <c r="DX151" s="4">
        <v>492</v>
      </c>
      <c r="DY151">
        <v>1</v>
      </c>
      <c r="DZ151" s="4">
        <v>500</v>
      </c>
      <c r="EA151">
        <v>1</v>
      </c>
      <c r="EB151" s="4">
        <v>505</v>
      </c>
      <c r="EC151">
        <v>1</v>
      </c>
      <c r="ED151" s="4">
        <v>509</v>
      </c>
      <c r="EE151">
        <v>1</v>
      </c>
      <c r="EF151" s="4">
        <v>514</v>
      </c>
      <c r="EG151">
        <v>1</v>
      </c>
      <c r="EH151" s="4">
        <v>520</v>
      </c>
      <c r="EI151">
        <v>1</v>
      </c>
      <c r="EJ151" s="4">
        <v>527</v>
      </c>
      <c r="EK151">
        <v>1</v>
      </c>
    </row>
    <row r="152" spans="1:141" x14ac:dyDescent="0.2">
      <c r="A152" t="str">
        <f>HYPERLINK("http://exon.niaid.nih.gov/transcriptome/C_felis/S1/links/cf/cf-contig_490.txt","cf-contig_490")</f>
        <v>cf-contig_490</v>
      </c>
      <c r="B152">
        <v>1</v>
      </c>
      <c r="C152" s="10" t="s">
        <v>4783</v>
      </c>
      <c r="D152">
        <v>1</v>
      </c>
      <c r="E152" t="str">
        <f>HYPERLINK("http://exon.niaid.nih.gov/transcriptome/C_felis/S1/links/cf/cf-5-36-asb-490.txt","Contig-490")</f>
        <v>Contig-490</v>
      </c>
      <c r="F152" t="str">
        <f>HYPERLINK("http://exon.niaid.nih.gov/transcriptome/C_felis/S1/links/cf/cf-5-36-490-CLU.txt","Contig490")</f>
        <v>Contig490</v>
      </c>
      <c r="G152" t="str">
        <f>HYPERLINK("http://exon.niaid.nih.gov/transcriptome/C_felis/S1/links/cf/cf-5-36-490-qual.txt","54.4")</f>
        <v>54.4</v>
      </c>
      <c r="H152">
        <v>0.2</v>
      </c>
      <c r="I152">
        <v>63.2</v>
      </c>
      <c r="J152">
        <v>893</v>
      </c>
      <c r="K152" t="s">
        <v>12</v>
      </c>
      <c r="L152">
        <v>1</v>
      </c>
      <c r="M152" t="s">
        <v>503</v>
      </c>
      <c r="N152">
        <v>893</v>
      </c>
      <c r="O152">
        <v>912</v>
      </c>
      <c r="P152">
        <v>756</v>
      </c>
      <c r="Q152" t="s">
        <v>1309</v>
      </c>
      <c r="R152">
        <v>3</v>
      </c>
      <c r="S152" s="7" t="str">
        <f>HYPERLINK("http://exon.niaid.nih.gov/transcriptome/C_felis/S1/links/Sigp/CF-CONTIG_490-SigP.txt","Cyt")</f>
        <v>Cyt</v>
      </c>
      <c r="U152">
        <v>1</v>
      </c>
      <c r="V152" s="4">
        <v>398</v>
      </c>
      <c r="W152">
        <v>1</v>
      </c>
      <c r="X152" s="4">
        <v>407</v>
      </c>
      <c r="Y152">
        <v>1</v>
      </c>
      <c r="Z152" s="4">
        <v>412</v>
      </c>
      <c r="AA152">
        <v>1</v>
      </c>
      <c r="AB152" s="4" t="str">
        <f>HYPERLINK("http://exon.niaid.nih.gov/transcriptome/C_felis/S1/links/XC-ASB/cf-contig_490-XC-ASB.txt","XC-contig_224")</f>
        <v>XC-contig_224</v>
      </c>
      <c r="AC152">
        <v>0.55000000000000004</v>
      </c>
      <c r="AD152" s="10" t="s">
        <v>4783</v>
      </c>
      <c r="AE152" t="s">
        <v>4755</v>
      </c>
      <c r="AF152" t="str">
        <f>HYPERLINK("http://exon.niaid.nih.gov/transcriptome/C_felis/S1/links/KOG/cf-contig_490-KOG.txt","KOG")</f>
        <v>KOG</v>
      </c>
      <c r="AG152">
        <v>0</v>
      </c>
      <c r="AH152">
        <v>96</v>
      </c>
      <c r="AI152" s="4" t="str">
        <f>HYPERLINK("http://exon.niaid.nih.gov/transcriptome/C_felis/S1/links/NR/cf-contig_490-NR.txt","electron-transfer-flavoprotein beta polypeptide")</f>
        <v>electron-transfer-flavoprotein beta polypeptide</v>
      </c>
      <c r="AJ152" t="str">
        <f>HYPERLINK("http://www.ncbi.nlm.nih.gov/sutils/blink.cgi?pid=114053151","1E-112")</f>
        <v>1E-112</v>
      </c>
      <c r="AK152" t="str">
        <f>HYPERLINK("http://www.ncbi.nlm.nih.gov/protein/114053151","gi|114053151")</f>
        <v>gi|114053151</v>
      </c>
      <c r="AL152">
        <v>408</v>
      </c>
      <c r="AM152">
        <v>242</v>
      </c>
      <c r="AN152">
        <v>253</v>
      </c>
      <c r="AO152">
        <v>82</v>
      </c>
      <c r="AP152">
        <v>96</v>
      </c>
      <c r="AQ152">
        <v>43</v>
      </c>
      <c r="AR152">
        <v>0</v>
      </c>
      <c r="AS152">
        <v>11</v>
      </c>
      <c r="AT152">
        <v>30</v>
      </c>
      <c r="AU152">
        <v>1</v>
      </c>
      <c r="AV152">
        <v>3</v>
      </c>
      <c r="AW152" t="s">
        <v>12</v>
      </c>
      <c r="AY152" t="s">
        <v>1676</v>
      </c>
      <c r="AZ152" t="s">
        <v>2037</v>
      </c>
      <c r="BA152" s="4" t="str">
        <f>HYPERLINK("http://exon.niaid.nih.gov/transcriptome/C_felis/S1/links/SWISSP/cf-contig_490-SWISSP.txt","Electron transfer flavoprotein subunit beta")</f>
        <v>Electron transfer flavoprotein subunit beta</v>
      </c>
      <c r="BB152" t="str">
        <f>HYPERLINK("http://www.uniprot.org/uniprot/Q5RFK0","2E-095")</f>
        <v>2E-095</v>
      </c>
      <c r="BC152" t="s">
        <v>3455</v>
      </c>
      <c r="BD152">
        <v>349</v>
      </c>
      <c r="BE152">
        <v>242</v>
      </c>
      <c r="BF152">
        <v>255</v>
      </c>
      <c r="BG152">
        <v>70</v>
      </c>
      <c r="BH152">
        <v>95</v>
      </c>
      <c r="BI152">
        <v>71</v>
      </c>
      <c r="BJ152">
        <v>0</v>
      </c>
      <c r="BK152">
        <v>13</v>
      </c>
      <c r="BL152">
        <v>30</v>
      </c>
      <c r="BM152">
        <v>1</v>
      </c>
      <c r="BN152">
        <v>3</v>
      </c>
      <c r="BO152" t="s">
        <v>12</v>
      </c>
      <c r="BQ152" t="s">
        <v>1676</v>
      </c>
      <c r="BR152" t="s">
        <v>2347</v>
      </c>
      <c r="BS152" s="4" t="str">
        <f>HYPERLINK("http://exon.niaid.nih.gov/transcriptome/C_felis/S1/links/CDD/cf-contig_490-CDD.txt","FixA")</f>
        <v>FixA</v>
      </c>
      <c r="BT152" t="str">
        <f>HYPERLINK("http://www.ncbi.nlm.nih.gov/Structure/cdd/cddsrv.cgi?uid=COG2086&amp;version=v4.0","3E-077")</f>
        <v>3E-077</v>
      </c>
      <c r="BU152" t="s">
        <v>3456</v>
      </c>
      <c r="BV152" s="4" t="s">
        <v>3457</v>
      </c>
      <c r="BW152">
        <f>HYPERLINK("http://exon.niaid.nih.gov/transcriptome/C_felis/S1/links/GO/cf-contig_490-GO.txt",0)</f>
        <v>0</v>
      </c>
      <c r="BX152" t="str">
        <f>HYPERLINK("http://amigo.geneontology.org/cgi-bin/amigo/term_details?term=GO:0009055","GO:0009055")</f>
        <v>GO:0009055</v>
      </c>
      <c r="BY152" t="s">
        <v>3458</v>
      </c>
      <c r="BZ152" t="s">
        <v>3459</v>
      </c>
      <c r="CA152" t="s">
        <v>3460</v>
      </c>
      <c r="CB152" t="s">
        <v>42</v>
      </c>
      <c r="CD152" s="5">
        <v>9.9999999999999994E-107</v>
      </c>
      <c r="CE152" t="str">
        <f>HYPERLINK("http://amigo.geneontology.org/cgi-bin/amigo/term_details?term=GO:0017133","GO:0017133")</f>
        <v>GO:0017133</v>
      </c>
      <c r="CF152" t="s">
        <v>3461</v>
      </c>
      <c r="CG152" t="s">
        <v>3462</v>
      </c>
      <c r="CH152" t="s">
        <v>42</v>
      </c>
      <c r="CI152" t="s">
        <v>42</v>
      </c>
      <c r="CK152" s="5">
        <v>9.9999999999999994E-107</v>
      </c>
      <c r="CL152" t="str">
        <f>HYPERLINK("http://amigo.geneontology.org/cgi-bin/amigo/term_details?term=GO:0006119","GO:0006119")</f>
        <v>GO:0006119</v>
      </c>
      <c r="CM152" t="s">
        <v>3463</v>
      </c>
      <c r="CN152" t="s">
        <v>3464</v>
      </c>
      <c r="CO152" t="s">
        <v>3465</v>
      </c>
      <c r="CP152" t="s">
        <v>42</v>
      </c>
      <c r="CR152" s="5">
        <v>9.9999999999999994E-107</v>
      </c>
      <c r="CS152" s="4" t="str">
        <f>HYPERLINK("http://exon.niaid.nih.gov/transcriptome/C_felis/S1/links/KOG/cf-contig_490-KOG.txt","Electron transfer flavoprotein, beta subunit")</f>
        <v>Electron transfer flavoprotein, beta subunit</v>
      </c>
      <c r="CT152" t="str">
        <f>HYPERLINK("http://www.ncbi.nlm.nih.gov/COG/grace/shokog.cgi?KOG3180","1E-112")</f>
        <v>1E-112</v>
      </c>
      <c r="CU152" t="s">
        <v>1793</v>
      </c>
      <c r="CV152" s="4" t="str">
        <f>HYPERLINK("http://exon.niaid.nih.gov/transcriptome/C_felis/S1/links/PFAM/cf-contig_490-PFAM.txt","ETF")</f>
        <v>ETF</v>
      </c>
      <c r="CW152" t="str">
        <f>HYPERLINK("http://pfam.sanger.ac.uk/family?acc=PF01012","2E-033")</f>
        <v>2E-033</v>
      </c>
      <c r="CX152" s="4" t="str">
        <f>HYPERLINK("http://exon.niaid.nih.gov/transcriptome/C_felis/S1/links/SMART/cf-contig_490-SMART.txt","ETF")</f>
        <v>ETF</v>
      </c>
      <c r="CY152" t="str">
        <f>HYPERLINK("http://smart.embl-heidelberg.de/smart/do_annotation.pl?DOMAIN=ETF&amp;BLAST=DUMMY","2E-049")</f>
        <v>2E-049</v>
      </c>
      <c r="CZ152" s="4" t="s">
        <v>42</v>
      </c>
      <c r="DA152" t="s">
        <v>42</v>
      </c>
      <c r="DB152" t="s">
        <v>42</v>
      </c>
      <c r="DC152" t="s">
        <v>42</v>
      </c>
      <c r="DD152" t="s">
        <v>42</v>
      </c>
      <c r="DE152" t="s">
        <v>42</v>
      </c>
      <c r="DF152" t="s">
        <v>42</v>
      </c>
      <c r="DG152" t="s">
        <v>42</v>
      </c>
      <c r="DH152" s="4" t="s">
        <v>42</v>
      </c>
      <c r="DI152" t="s">
        <v>42</v>
      </c>
      <c r="DJ152" s="4" t="s">
        <v>42</v>
      </c>
      <c r="DK152" t="s">
        <v>42</v>
      </c>
      <c r="DL152" s="4">
        <v>398</v>
      </c>
      <c r="DM152">
        <v>1</v>
      </c>
      <c r="DN152" s="4">
        <v>407</v>
      </c>
      <c r="DO152">
        <v>1</v>
      </c>
      <c r="DP152" s="4">
        <v>412</v>
      </c>
      <c r="DQ152">
        <v>1</v>
      </c>
      <c r="DR152" s="4">
        <v>427</v>
      </c>
      <c r="DS152">
        <v>1</v>
      </c>
      <c r="DT152" s="4">
        <v>437</v>
      </c>
      <c r="DU152">
        <v>1</v>
      </c>
      <c r="DV152" s="4">
        <v>451</v>
      </c>
      <c r="DW152">
        <v>1</v>
      </c>
      <c r="DX152" s="4">
        <v>457</v>
      </c>
      <c r="DY152">
        <v>1</v>
      </c>
      <c r="DZ152" s="4">
        <v>464</v>
      </c>
      <c r="EA152">
        <v>1</v>
      </c>
      <c r="EB152" s="4">
        <v>469</v>
      </c>
      <c r="EC152">
        <v>1</v>
      </c>
      <c r="ED152" s="4">
        <v>473</v>
      </c>
      <c r="EE152">
        <v>1</v>
      </c>
      <c r="EF152" s="4">
        <v>478</v>
      </c>
      <c r="EG152">
        <v>1</v>
      </c>
      <c r="EH152" s="4">
        <v>484</v>
      </c>
      <c r="EI152">
        <v>1</v>
      </c>
      <c r="EJ152" s="4">
        <v>490</v>
      </c>
      <c r="EK152">
        <v>1</v>
      </c>
    </row>
    <row r="153" spans="1:141" x14ac:dyDescent="0.2">
      <c r="A153" t="str">
        <f>HYPERLINK("http://exon.niaid.nih.gov/transcriptome/C_felis/S1/links/cf/cf-contig_520.txt","cf-contig_520")</f>
        <v>cf-contig_520</v>
      </c>
      <c r="B153">
        <v>1</v>
      </c>
      <c r="C153" s="10" t="s">
        <v>4791</v>
      </c>
      <c r="D153">
        <v>1</v>
      </c>
      <c r="E153" t="str">
        <f>HYPERLINK("http://exon.niaid.nih.gov/transcriptome/C_felis/S1/links/cf/cf-5-36-asb-520.txt","Contig-520")</f>
        <v>Contig-520</v>
      </c>
      <c r="F153" t="str">
        <f>HYPERLINK("http://exon.niaid.nih.gov/transcriptome/C_felis/S1/links/cf/cf-5-36-520-CLU.txt","Contig520")</f>
        <v>Contig520</v>
      </c>
      <c r="G153" t="str">
        <f>HYPERLINK("http://exon.niaid.nih.gov/transcriptome/C_felis/S1/links/cf/cf-5-36-520-qual.txt","65.4")</f>
        <v>65.4</v>
      </c>
      <c r="H153" t="s">
        <v>11</v>
      </c>
      <c r="I153">
        <v>66.8</v>
      </c>
      <c r="J153">
        <v>475</v>
      </c>
      <c r="K153" t="s">
        <v>12</v>
      </c>
      <c r="L153">
        <v>1</v>
      </c>
      <c r="M153" t="s">
        <v>533</v>
      </c>
      <c r="N153">
        <v>475</v>
      </c>
      <c r="O153">
        <v>494</v>
      </c>
      <c r="P153">
        <v>324</v>
      </c>
      <c r="Q153" t="s">
        <v>1339</v>
      </c>
      <c r="R153">
        <v>1</v>
      </c>
      <c r="S153" s="7" t="str">
        <f>HYPERLINK("http://exon.niaid.nih.gov/transcriptome/C_felis/S1/links/Sigp/CF-CONTIG_520-SigP.txt","Cyt")</f>
        <v>Cyt</v>
      </c>
      <c r="U153">
        <v>1</v>
      </c>
      <c r="V153" s="4">
        <v>425</v>
      </c>
      <c r="W153">
        <v>1</v>
      </c>
      <c r="X153" s="4">
        <v>434</v>
      </c>
      <c r="Y153">
        <v>1</v>
      </c>
      <c r="Z153" s="4">
        <v>439</v>
      </c>
      <c r="AA153">
        <v>1</v>
      </c>
      <c r="AB153" s="4" t="str">
        <f>HYPERLINK("http://exon.niaid.nih.gov/transcriptome/C_felis/S1/links/XC-ASB/cf-contig_520-XC-ASB.txt","XC-contig_46")</f>
        <v>XC-contig_46</v>
      </c>
      <c r="AC153">
        <v>0.98</v>
      </c>
      <c r="AD153" s="10" t="s">
        <v>4791</v>
      </c>
      <c r="AE153" t="s">
        <v>4755</v>
      </c>
      <c r="AF153" t="str">
        <f>HYPERLINK("http://exon.niaid.nih.gov/transcriptome/C_felis/S1/links/KOG/cf-contig_520-KOG.txt","KOG")</f>
        <v>KOG</v>
      </c>
      <c r="AG153" s="5">
        <v>9.9999999999999999E-56</v>
      </c>
      <c r="AH153">
        <v>20.7</v>
      </c>
      <c r="AI153" s="4" t="str">
        <f>HYPERLINK("http://exon.niaid.nih.gov/transcriptome/C_felis/S1/links/NR/cf-contig_520-NR.txt","ATP synthase beta subunit")</f>
        <v>ATP synthase beta subunit</v>
      </c>
      <c r="AJ153" t="str">
        <f>HYPERLINK("http://www.ncbi.nlm.nih.gov/sutils/blink.cgi?pid=215259709","1E-049")</f>
        <v>1E-049</v>
      </c>
      <c r="AK153" t="str">
        <f>HYPERLINK("http://www.ncbi.nlm.nih.gov/protein/215259709","gi|215259709")</f>
        <v>gi|215259709</v>
      </c>
      <c r="AL153">
        <v>199</v>
      </c>
      <c r="AM153">
        <v>105</v>
      </c>
      <c r="AN153">
        <v>115</v>
      </c>
      <c r="AO153">
        <v>95</v>
      </c>
      <c r="AP153">
        <v>92</v>
      </c>
      <c r="AQ153">
        <v>5</v>
      </c>
      <c r="AR153">
        <v>0</v>
      </c>
      <c r="AS153">
        <v>10</v>
      </c>
      <c r="AT153">
        <v>4</v>
      </c>
      <c r="AU153">
        <v>1</v>
      </c>
      <c r="AV153">
        <v>1</v>
      </c>
      <c r="AW153" t="s">
        <v>12</v>
      </c>
      <c r="AY153" t="s">
        <v>1676</v>
      </c>
      <c r="AZ153" t="s">
        <v>3570</v>
      </c>
      <c r="BA153" s="4" t="str">
        <f>HYPERLINK("http://exon.niaid.nih.gov/transcriptome/C_felis/S1/links/SWISSP/cf-contig_520-SWISSP.txt","ATP synthase subunit beta, mitochondrial")</f>
        <v>ATP synthase subunit beta, mitochondrial</v>
      </c>
      <c r="BB153" t="str">
        <f>HYPERLINK("http://www.uniprot.org/uniprot/Q05825","8E-050")</f>
        <v>8E-050</v>
      </c>
      <c r="BC153" t="s">
        <v>3571</v>
      </c>
      <c r="BD153">
        <v>196</v>
      </c>
      <c r="BE153">
        <v>105</v>
      </c>
      <c r="BF153">
        <v>505</v>
      </c>
      <c r="BG153">
        <v>92</v>
      </c>
      <c r="BH153">
        <v>21</v>
      </c>
      <c r="BI153">
        <v>8</v>
      </c>
      <c r="BJ153">
        <v>0</v>
      </c>
      <c r="BK153">
        <v>400</v>
      </c>
      <c r="BL153">
        <v>4</v>
      </c>
      <c r="BM153">
        <v>1</v>
      </c>
      <c r="BN153">
        <v>1</v>
      </c>
      <c r="BO153" t="s">
        <v>12</v>
      </c>
      <c r="BQ153" t="s">
        <v>1676</v>
      </c>
      <c r="BR153" t="s">
        <v>1804</v>
      </c>
      <c r="BS153" s="4" t="str">
        <f>HYPERLINK("http://exon.niaid.nih.gov/transcriptome/C_felis/S1/links/CDD/cf-contig_520-CDD.txt","PRK09280")</f>
        <v>PRK09280</v>
      </c>
      <c r="BT153" t="str">
        <f>HYPERLINK("http://www.ncbi.nlm.nih.gov/Structure/cdd/cddsrv.cgi?uid=PRK09280&amp;version=v4.0","2E-060")</f>
        <v>2E-060</v>
      </c>
      <c r="BU153" t="s">
        <v>3572</v>
      </c>
      <c r="BV153" s="4" t="s">
        <v>3573</v>
      </c>
      <c r="BW153">
        <f>HYPERLINK("http://exon.niaid.nih.gov/transcriptome/C_felis/S1/links/GO/cf-contig_520-GO.txt",6E-50)</f>
        <v>5.9999999999999998E-50</v>
      </c>
      <c r="BX153" t="str">
        <f>HYPERLINK("http://amigo.geneontology.org/cgi-bin/amigo/term_details?term=GO:0008553","GO:0008553")</f>
        <v>GO:0008553</v>
      </c>
      <c r="BY153" t="s">
        <v>2753</v>
      </c>
      <c r="BZ153" t="s">
        <v>2754</v>
      </c>
      <c r="CA153" t="s">
        <v>2755</v>
      </c>
      <c r="CB153" t="str">
        <f>HYPERLINK("http://www.genome.jp/dbget-bin/www_bfind_sub?mode=bfind&amp;max_hit=1000&amp;dbkey=kegg&amp;keywords=EC:3.6.3.6","EC:3.6.3.6")</f>
        <v>EC:3.6.3.6</v>
      </c>
      <c r="CD153" s="5">
        <v>5.9999999999999998E-50</v>
      </c>
      <c r="CE153" t="str">
        <f>HYPERLINK("http://amigo.geneontology.org/cgi-bin/amigo/term_details?term=GO:0000275","GO:0000275")</f>
        <v>GO:0000275</v>
      </c>
      <c r="CF153" t="s">
        <v>3574</v>
      </c>
      <c r="CG153" t="s">
        <v>3575</v>
      </c>
      <c r="CH153" t="s">
        <v>3576</v>
      </c>
      <c r="CI153" t="s">
        <v>42</v>
      </c>
      <c r="CK153" s="5">
        <v>5.9999999999999998E-50</v>
      </c>
      <c r="CL153" t="str">
        <f>HYPERLINK("http://amigo.geneontology.org/cgi-bin/amigo/term_details?term=GO:0015992","GO:0015992")</f>
        <v>GO:0015992</v>
      </c>
      <c r="CM153" t="s">
        <v>2758</v>
      </c>
      <c r="CN153" t="s">
        <v>2759</v>
      </c>
      <c r="CO153" t="s">
        <v>2760</v>
      </c>
      <c r="CP153" t="s">
        <v>42</v>
      </c>
      <c r="CR153" s="5">
        <v>5.9999999999999998E-50</v>
      </c>
      <c r="CS153" s="4" t="str">
        <f>HYPERLINK("http://exon.niaid.nih.gov/transcriptome/C_felis/S1/links/KOG/cf-contig_520-KOG.txt","F0F1-type ATP synthase, beta subunit")</f>
        <v>F0F1-type ATP synthase, beta subunit</v>
      </c>
      <c r="CT153" t="str">
        <f>HYPERLINK("http://www.ncbi.nlm.nih.gov/COG/grace/shokog.cgi?KOG1350","1E-055")</f>
        <v>1E-055</v>
      </c>
      <c r="CU153" t="s">
        <v>1793</v>
      </c>
      <c r="CV153" s="4" t="str">
        <f>HYPERLINK("http://exon.niaid.nih.gov/transcriptome/C_felis/S1/links/PFAM/cf-contig_520-PFAM.txt","ATP-synt_ab_C")</f>
        <v>ATP-synt_ab_C</v>
      </c>
      <c r="CW153" t="str">
        <f>HYPERLINK("http://pfam.sanger.ac.uk/family?acc=PF00306","2E-030")</f>
        <v>2E-030</v>
      </c>
      <c r="CX153" s="4" t="str">
        <f>HYPERLINK("http://exon.niaid.nih.gov/transcriptome/C_felis/S1/links/SMART/cf-contig_520-SMART.txt","YceI")</f>
        <v>YceI</v>
      </c>
      <c r="CY153" t="str">
        <f>HYPERLINK("http://smart.embl-heidelberg.de/smart/do_annotation.pl?DOMAIN=YceI&amp;BLAST=DUMMY","0.17")</f>
        <v>0.17</v>
      </c>
      <c r="CZ153" s="4" t="s">
        <v>42</v>
      </c>
      <c r="DA153" t="s">
        <v>42</v>
      </c>
      <c r="DB153" t="s">
        <v>42</v>
      </c>
      <c r="DC153" t="s">
        <v>42</v>
      </c>
      <c r="DD153" t="s">
        <v>42</v>
      </c>
      <c r="DE153" t="s">
        <v>42</v>
      </c>
      <c r="DF153" t="s">
        <v>42</v>
      </c>
      <c r="DG153" t="s">
        <v>42</v>
      </c>
      <c r="DH153" s="4" t="s">
        <v>42</v>
      </c>
      <c r="DI153" t="s">
        <v>42</v>
      </c>
      <c r="DJ153" s="4" t="s">
        <v>42</v>
      </c>
      <c r="DK153" t="s">
        <v>42</v>
      </c>
      <c r="DL153" s="4">
        <v>425</v>
      </c>
      <c r="DM153">
        <v>1</v>
      </c>
      <c r="DN153" s="4">
        <v>434</v>
      </c>
      <c r="DO153">
        <v>1</v>
      </c>
      <c r="DP153" s="4">
        <v>439</v>
      </c>
      <c r="DQ153">
        <v>1</v>
      </c>
      <c r="DR153" s="4">
        <v>454</v>
      </c>
      <c r="DS153">
        <v>1</v>
      </c>
      <c r="DT153" s="4">
        <v>465</v>
      </c>
      <c r="DU153">
        <v>1</v>
      </c>
      <c r="DV153" s="4">
        <v>479</v>
      </c>
      <c r="DW153">
        <v>1</v>
      </c>
      <c r="DX153" s="4">
        <v>485</v>
      </c>
      <c r="DY153">
        <v>1</v>
      </c>
      <c r="DZ153" s="4">
        <v>493</v>
      </c>
      <c r="EA153">
        <v>1</v>
      </c>
      <c r="EB153" s="4">
        <v>498</v>
      </c>
      <c r="EC153">
        <v>1</v>
      </c>
      <c r="ED153" s="4">
        <v>502</v>
      </c>
      <c r="EE153">
        <v>1</v>
      </c>
      <c r="EF153" s="4">
        <v>507</v>
      </c>
      <c r="EG153">
        <v>1</v>
      </c>
      <c r="EH153" s="4">
        <v>513</v>
      </c>
      <c r="EI153">
        <v>1</v>
      </c>
      <c r="EJ153" s="4">
        <v>520</v>
      </c>
      <c r="EK153">
        <v>1</v>
      </c>
    </row>
    <row r="154" spans="1:141" x14ac:dyDescent="0.2">
      <c r="A154" t="str">
        <f>HYPERLINK("http://exon.niaid.nih.gov/transcriptome/C_felis/S1/links/cf/cf-contig_459.txt","cf-contig_459")</f>
        <v>cf-contig_459</v>
      </c>
      <c r="B154">
        <v>1</v>
      </c>
      <c r="C154" s="10" t="s">
        <v>4774</v>
      </c>
      <c r="D154">
        <v>1</v>
      </c>
      <c r="E154" t="str">
        <f>HYPERLINK("http://exon.niaid.nih.gov/transcriptome/C_felis/S1/links/cf/cf-5-36-asb-459.txt","Contig-459")</f>
        <v>Contig-459</v>
      </c>
      <c r="F154" t="str">
        <f>HYPERLINK("http://exon.niaid.nih.gov/transcriptome/C_felis/S1/links/cf/cf-5-36-459-CLU.txt","Contig459")</f>
        <v>Contig459</v>
      </c>
      <c r="G154" t="str">
        <f>HYPERLINK("http://exon.niaid.nih.gov/transcriptome/C_felis/S1/links/cf/cf-5-36-459-qual.txt","62.")</f>
        <v>62.</v>
      </c>
      <c r="H154" t="s">
        <v>11</v>
      </c>
      <c r="I154">
        <v>69.900000000000006</v>
      </c>
      <c r="J154">
        <v>217</v>
      </c>
      <c r="K154" t="s">
        <v>12</v>
      </c>
      <c r="L154">
        <v>1</v>
      </c>
      <c r="M154" t="s">
        <v>472</v>
      </c>
      <c r="N154">
        <v>217</v>
      </c>
      <c r="O154">
        <v>236</v>
      </c>
      <c r="P154">
        <v>162</v>
      </c>
      <c r="Q154" t="s">
        <v>1278</v>
      </c>
      <c r="R154">
        <v>2</v>
      </c>
      <c r="S154" s="7" t="str">
        <f>HYPERLINK("http://exon.niaid.nih.gov/transcriptome/C_felis/S1/links/Sigp/CF-CONTIG_459-SigP.txt","Cyt")</f>
        <v>Cyt</v>
      </c>
      <c r="U154">
        <v>1</v>
      </c>
      <c r="V154" s="4">
        <f>HYPERLINK("http://exon.niaid.nih.gov/transcriptome/C_felis/S1/links/cluster/cf-5-36-asb30-50-Id-CLU80.txt", 80)</f>
        <v>80</v>
      </c>
      <c r="W154">
        <f>HYPERLINK("http://exon.niaid.nih.gov/transcriptome/C_felis/S1/links/cluster/cf-5-36-asb30-50-Id-CLTL80.txt", 2)</f>
        <v>2</v>
      </c>
      <c r="X154" s="4">
        <f>HYPERLINK("http://exon.niaid.nih.gov/transcriptome/C_felis/S1/links/cluster/cf-5-36-asb35-50-Id-CLU72.txt", 72)</f>
        <v>72</v>
      </c>
      <c r="Y154">
        <f>HYPERLINK("http://exon.niaid.nih.gov/transcriptome/C_felis/S1/links/cluster/cf-5-36-asb35-50-Id-CLTL72.txt", 2)</f>
        <v>2</v>
      </c>
      <c r="Z154" s="4">
        <f>HYPERLINK("http://exon.niaid.nih.gov/transcriptome/C_felis/S1/links/cluster/cf-5-36-asb40-50-Id-CLU66.txt", 66)</f>
        <v>66</v>
      </c>
      <c r="AA154">
        <f>HYPERLINK("http://exon.niaid.nih.gov/transcriptome/C_felis/S1/links/cluster/cf-5-36-asb40-50-Id-CLTL66.txt", 2)</f>
        <v>2</v>
      </c>
      <c r="AB154" s="4" t="str">
        <f>HYPERLINK("http://exon.niaid.nih.gov/transcriptome/C_felis/S1/links/XC-ASB/cf-contig_459-XC-ASB.txt","XC-contig_179")</f>
        <v>XC-contig_179</v>
      </c>
      <c r="AC154">
        <v>0.51</v>
      </c>
      <c r="AD154" s="10" t="s">
        <v>4774</v>
      </c>
      <c r="AE154" t="s">
        <v>4755</v>
      </c>
      <c r="AF154" t="str">
        <f>HYPERLINK("http://exon.niaid.nih.gov/transcriptome/C_felis/S1/links/KOG/cf-contig_459-KOG.txt","KOG")</f>
        <v>KOG</v>
      </c>
      <c r="AG154" s="5">
        <v>7.9999999999999993E-21</v>
      </c>
      <c r="AH154">
        <v>33.9</v>
      </c>
      <c r="AI154" s="4" t="str">
        <f>HYPERLINK("http://exon.niaid.nih.gov/transcriptome/C_felis/S1/links/NR/cf-contig_459-NR.txt","hypothetical protein AND_22659")</f>
        <v>hypothetical protein AND_22659</v>
      </c>
      <c r="AJ154" t="str">
        <f>HYPERLINK("http://www.ncbi.nlm.nih.gov/sutils/blink.cgi?pid=312371088","7E-022")</f>
        <v>7E-022</v>
      </c>
      <c r="AK154" t="str">
        <f>HYPERLINK("http://www.ncbi.nlm.nih.gov/protein/312371088","gi|312371088")</f>
        <v>gi|312371088</v>
      </c>
      <c r="AL154">
        <v>107</v>
      </c>
      <c r="AM154">
        <v>52</v>
      </c>
      <c r="AN154">
        <v>187</v>
      </c>
      <c r="AO154">
        <v>92</v>
      </c>
      <c r="AP154">
        <v>28</v>
      </c>
      <c r="AQ154">
        <v>4</v>
      </c>
      <c r="AR154">
        <v>0</v>
      </c>
      <c r="AS154">
        <v>135</v>
      </c>
      <c r="AT154">
        <v>5</v>
      </c>
      <c r="AU154">
        <v>1</v>
      </c>
      <c r="AV154">
        <v>2</v>
      </c>
      <c r="AW154" t="s">
        <v>12</v>
      </c>
      <c r="AY154" t="s">
        <v>1676</v>
      </c>
      <c r="AZ154" t="s">
        <v>2506</v>
      </c>
      <c r="BA154" s="4" t="str">
        <f>HYPERLINK("http://exon.niaid.nih.gov/transcriptome/C_felis/S1/links/SWISSP/cf-contig_459-SWISSP.txt","Adrenodoxin-like protein, mitochondrial")</f>
        <v>Adrenodoxin-like protein, mitochondrial</v>
      </c>
      <c r="BB154" t="str">
        <f>HYPERLINK("http://www.uniprot.org/uniprot/P37193","7E-020")</f>
        <v>7E-020</v>
      </c>
      <c r="BC154" t="s">
        <v>3334</v>
      </c>
      <c r="BD154">
        <v>95.9</v>
      </c>
      <c r="BE154">
        <v>52</v>
      </c>
      <c r="BF154">
        <v>172</v>
      </c>
      <c r="BG154">
        <v>77</v>
      </c>
      <c r="BH154">
        <v>31</v>
      </c>
      <c r="BI154">
        <v>12</v>
      </c>
      <c r="BJ154">
        <v>0</v>
      </c>
      <c r="BK154">
        <v>120</v>
      </c>
      <c r="BL154">
        <v>5</v>
      </c>
      <c r="BM154">
        <v>1</v>
      </c>
      <c r="BN154">
        <v>2</v>
      </c>
      <c r="BO154" t="s">
        <v>12</v>
      </c>
      <c r="BQ154" t="s">
        <v>1676</v>
      </c>
      <c r="BR154" t="s">
        <v>1804</v>
      </c>
      <c r="BS154" s="4" t="str">
        <f>HYPERLINK("http://exon.niaid.nih.gov/transcriptome/C_felis/S1/links/CDD/cf-contig_459-CDD.txt","PLN02593")</f>
        <v>PLN02593</v>
      </c>
      <c r="BT154" t="str">
        <f>HYPERLINK("http://www.ncbi.nlm.nih.gov/Structure/cdd/cddsrv.cgi?uid=PLN02593&amp;version=v4.0","1E-020")</f>
        <v>1E-020</v>
      </c>
      <c r="BU154" t="s">
        <v>3335</v>
      </c>
      <c r="BV154" s="4" t="s">
        <v>3336</v>
      </c>
      <c r="BW154">
        <f>HYPERLINK("http://exon.niaid.nih.gov/transcriptome/C_felis/S1/links/GO/cf-contig_459-GO.txt",5E-20)</f>
        <v>4.9999999999999999E-20</v>
      </c>
      <c r="BX154" t="str">
        <f>HYPERLINK("http://amigo.geneontology.org/cgi-bin/amigo/term_details?term=GO:0051536","GO:0051536")</f>
        <v>GO:0051536</v>
      </c>
      <c r="BY154" t="s">
        <v>3337</v>
      </c>
      <c r="BZ154" t="s">
        <v>3338</v>
      </c>
      <c r="CA154" t="s">
        <v>3339</v>
      </c>
      <c r="CB154" t="s">
        <v>42</v>
      </c>
      <c r="CD154" s="5">
        <v>1.0000000000000001E-18</v>
      </c>
      <c r="CE154" t="str">
        <f>HYPERLINK("http://amigo.geneontology.org/cgi-bin/amigo/term_details?term=GO:0005759","GO:0005759")</f>
        <v>GO:0005759</v>
      </c>
      <c r="CF154" t="s">
        <v>3340</v>
      </c>
      <c r="CG154" t="s">
        <v>3341</v>
      </c>
      <c r="CH154" t="s">
        <v>3342</v>
      </c>
      <c r="CI154" t="s">
        <v>42</v>
      </c>
      <c r="CK154" s="5">
        <v>1.0000000000000001E-18</v>
      </c>
      <c r="CL154" t="str">
        <f>HYPERLINK("http://amigo.geneontology.org/cgi-bin/amigo/term_details?term=GO:0022900","GO:0022900")</f>
        <v>GO:0022900</v>
      </c>
      <c r="CM154" t="s">
        <v>3343</v>
      </c>
      <c r="CN154" t="s">
        <v>3344</v>
      </c>
      <c r="CO154" t="s">
        <v>42</v>
      </c>
      <c r="CP154" t="s">
        <v>42</v>
      </c>
      <c r="CR154" s="5">
        <v>1.0000000000000001E-18</v>
      </c>
      <c r="CS154" s="4" t="str">
        <f>HYPERLINK("http://exon.niaid.nih.gov/transcriptome/C_felis/S1/links/KOG/cf-contig_459-KOG.txt","Ferredoxin")</f>
        <v>Ferredoxin</v>
      </c>
      <c r="CT154" t="str">
        <f>HYPERLINK("http://www.ncbi.nlm.nih.gov/COG/grace/shokog.cgi?KOG3309","8E-021")</f>
        <v>8E-021</v>
      </c>
      <c r="CU154" t="s">
        <v>1793</v>
      </c>
      <c r="CV154" s="4" t="str">
        <f>HYPERLINK("http://exon.niaid.nih.gov/transcriptome/C_felis/S1/links/PFAM/cf-contig_459-PFAM.txt","HTS")</f>
        <v>HTS</v>
      </c>
      <c r="CW154" t="str">
        <f>HYPERLINK("http://pfam.sanger.ac.uk/family?acc=PF04204","0.64")</f>
        <v>0.64</v>
      </c>
      <c r="CX154" s="4" t="str">
        <f>HYPERLINK("http://exon.niaid.nih.gov/transcriptome/C_felis/S1/links/SMART/cf-contig_459-SMART.txt","DZF")</f>
        <v>DZF</v>
      </c>
      <c r="CY154" t="str">
        <f>HYPERLINK("http://smart.embl-heidelberg.de/smart/do_annotation.pl?DOMAIN=DZF&amp;BLAST=DUMMY","0.64")</f>
        <v>0.64</v>
      </c>
      <c r="CZ154" s="4" t="s">
        <v>42</v>
      </c>
      <c r="DA154" t="s">
        <v>42</v>
      </c>
      <c r="DB154" t="s">
        <v>42</v>
      </c>
      <c r="DC154" t="s">
        <v>42</v>
      </c>
      <c r="DD154" t="s">
        <v>42</v>
      </c>
      <c r="DE154" t="s">
        <v>42</v>
      </c>
      <c r="DF154" t="s">
        <v>42</v>
      </c>
      <c r="DG154" t="s">
        <v>42</v>
      </c>
      <c r="DH154" s="4" t="s">
        <v>42</v>
      </c>
      <c r="DI154" t="s">
        <v>42</v>
      </c>
      <c r="DJ154" s="4" t="s">
        <v>42</v>
      </c>
      <c r="DK154" t="s">
        <v>42</v>
      </c>
      <c r="DL154" s="4">
        <f>HYPERLINK("http://exon.niaid.nih.gov/transcriptome/C_felis/S1/links/cluster/cf-5-36-asb30-50-Id-CLU80.txt", 80)</f>
        <v>80</v>
      </c>
      <c r="DM154">
        <f>HYPERLINK("http://exon.niaid.nih.gov/transcriptome/C_felis/S1/links/cluster/cf-5-36-asb30-50-Id-CLTL80.txt", 2)</f>
        <v>2</v>
      </c>
      <c r="DN154" s="4">
        <f>HYPERLINK("http://exon.niaid.nih.gov/transcriptome/C_felis/S1/links/cluster/cf-5-36-asb35-50-Id-CLU72.txt", 72)</f>
        <v>72</v>
      </c>
      <c r="DO154">
        <f>HYPERLINK("http://exon.niaid.nih.gov/transcriptome/C_felis/S1/links/cluster/cf-5-36-asb35-50-Id-CLTL72.txt", 2)</f>
        <v>2</v>
      </c>
      <c r="DP154" s="4">
        <f>HYPERLINK("http://exon.niaid.nih.gov/transcriptome/C_felis/S1/links/cluster/cf-5-36-asb40-50-Id-CLU66.txt", 66)</f>
        <v>66</v>
      </c>
      <c r="DQ154">
        <f>HYPERLINK("http://exon.niaid.nih.gov/transcriptome/C_felis/S1/links/cluster/cf-5-36-asb40-50-Id-CLTL66.txt", 2)</f>
        <v>2</v>
      </c>
      <c r="DR154" s="4">
        <f>HYPERLINK("http://exon.niaid.nih.gov/transcriptome/C_felis/S1/links/cluster/cf-5-36-asb45-50-Id-CLU53.txt", 53)</f>
        <v>53</v>
      </c>
      <c r="DS154">
        <f>HYPERLINK("http://exon.niaid.nih.gov/transcriptome/C_felis/S1/links/cluster/cf-5-36-asb45-50-Id-CLTL53.txt", 2)</f>
        <v>2</v>
      </c>
      <c r="DT154" s="4">
        <f>HYPERLINK("http://exon.niaid.nih.gov/transcriptome/C_felis/S1/links/cluster/cf-5-36-asb50-50-Id-CLU46.txt", 46)</f>
        <v>46</v>
      </c>
      <c r="DU154">
        <f>HYPERLINK("http://exon.niaid.nih.gov/transcriptome/C_felis/S1/links/cluster/cf-5-36-asb50-50-Id-CLTL46.txt", 2)</f>
        <v>2</v>
      </c>
      <c r="DV154" s="4">
        <f>HYPERLINK("http://exon.niaid.nih.gov/transcriptome/C_felis/S1/links/cluster/cf-5-36-asb55-50-Id-CLU42.txt", 42)</f>
        <v>42</v>
      </c>
      <c r="DW154">
        <f>HYPERLINK("http://exon.niaid.nih.gov/transcriptome/C_felis/S1/links/cluster/cf-5-36-asb55-50-Id-CLTL42.txt", 2)</f>
        <v>2</v>
      </c>
      <c r="DX154" s="4">
        <f>HYPERLINK("http://exon.niaid.nih.gov/transcriptome/C_felis/S1/links/cluster/cf-5-36-asb60-50-Id-CLU38.txt", 38)</f>
        <v>38</v>
      </c>
      <c r="DY154">
        <f>HYPERLINK("http://exon.niaid.nih.gov/transcriptome/C_felis/S1/links/cluster/cf-5-36-asb60-50-Id-CLTL38.txt", 2)</f>
        <v>2</v>
      </c>
      <c r="DZ154" s="4">
        <v>434</v>
      </c>
      <c r="EA154">
        <v>1</v>
      </c>
      <c r="EB154" s="4">
        <v>439</v>
      </c>
      <c r="EC154">
        <v>1</v>
      </c>
      <c r="ED154" s="4">
        <v>443</v>
      </c>
      <c r="EE154">
        <v>1</v>
      </c>
      <c r="EF154" s="4">
        <v>448</v>
      </c>
      <c r="EG154">
        <v>1</v>
      </c>
      <c r="EH154" s="4">
        <v>453</v>
      </c>
      <c r="EI154">
        <v>1</v>
      </c>
      <c r="EJ154" s="4">
        <v>459</v>
      </c>
      <c r="EK154">
        <v>1</v>
      </c>
    </row>
    <row r="155" spans="1:141" x14ac:dyDescent="0.2">
      <c r="A155" t="str">
        <f>HYPERLINK("http://exon.niaid.nih.gov/transcriptome/C_felis/S1/links/cf/cf-contig_744.txt","cf-contig_744")</f>
        <v>cf-contig_744</v>
      </c>
      <c r="B155">
        <v>1</v>
      </c>
      <c r="C155" s="10" t="s">
        <v>4774</v>
      </c>
      <c r="D155">
        <v>1</v>
      </c>
      <c r="E155" t="str">
        <f>HYPERLINK("http://exon.niaid.nih.gov/transcriptome/C_felis/S1/links/cf/cf-5-36-asb-744.txt","Contig-744")</f>
        <v>Contig-744</v>
      </c>
      <c r="F155" t="str">
        <f>HYPERLINK("http://exon.niaid.nih.gov/transcriptome/C_felis/S1/links/cf/cf-5-36-744-CLU.txt","Contig744")</f>
        <v>Contig744</v>
      </c>
      <c r="G155" t="str">
        <f>HYPERLINK("http://exon.niaid.nih.gov/transcriptome/C_felis/S1/links/cf/cf-5-36-744-qual.txt","64.2")</f>
        <v>64.2</v>
      </c>
      <c r="H155" t="s">
        <v>11</v>
      </c>
      <c r="I155">
        <v>66.2</v>
      </c>
      <c r="J155">
        <v>321</v>
      </c>
      <c r="K155" t="s">
        <v>12</v>
      </c>
      <c r="L155">
        <v>1</v>
      </c>
      <c r="M155" t="s">
        <v>757</v>
      </c>
      <c r="N155">
        <v>321</v>
      </c>
      <c r="O155">
        <v>340</v>
      </c>
      <c r="P155">
        <v>249</v>
      </c>
      <c r="Q155" t="s">
        <v>1563</v>
      </c>
      <c r="R155">
        <v>1</v>
      </c>
      <c r="S155" s="7" t="str">
        <f>HYPERLINK("http://exon.niaid.nih.gov/transcriptome/C_felis/S1/links/Sigp/CF-CONTIG_744-SigP.txt","Cyt")</f>
        <v>Cyt</v>
      </c>
      <c r="U155">
        <v>1</v>
      </c>
      <c r="V155" s="4">
        <f>HYPERLINK("http://exon.niaid.nih.gov/transcriptome/C_felis/S1/links/cluster/cf-5-36-asb30-50-Id-CLU80.txt", 80)</f>
        <v>80</v>
      </c>
      <c r="W155">
        <f>HYPERLINK("http://exon.niaid.nih.gov/transcriptome/C_felis/S1/links/cluster/cf-5-36-asb30-50-Id-CLTL80.txt", 2)</f>
        <v>2</v>
      </c>
      <c r="X155" s="4">
        <f>HYPERLINK("http://exon.niaid.nih.gov/transcriptome/C_felis/S1/links/cluster/cf-5-36-asb35-50-Id-CLU72.txt", 72)</f>
        <v>72</v>
      </c>
      <c r="Y155">
        <f>HYPERLINK("http://exon.niaid.nih.gov/transcriptome/C_felis/S1/links/cluster/cf-5-36-asb35-50-Id-CLTL72.txt", 2)</f>
        <v>2</v>
      </c>
      <c r="Z155" s="4">
        <f>HYPERLINK("http://exon.niaid.nih.gov/transcriptome/C_felis/S1/links/cluster/cf-5-36-asb40-50-Id-CLU66.txt", 66)</f>
        <v>66</v>
      </c>
      <c r="AA155">
        <f>HYPERLINK("http://exon.niaid.nih.gov/transcriptome/C_felis/S1/links/cluster/cf-5-36-asb40-50-Id-CLTL66.txt", 2)</f>
        <v>2</v>
      </c>
      <c r="AB155" s="4" t="str">
        <f>HYPERLINK("http://exon.niaid.nih.gov/transcriptome/C_felis/S1/links/XC-ASB/cf-contig_744-XC-ASB.txt","XC-contig_179")</f>
        <v>XC-contig_179</v>
      </c>
      <c r="AC155">
        <v>0.85</v>
      </c>
      <c r="AD155" s="10" t="s">
        <v>4774</v>
      </c>
      <c r="AE155" t="s">
        <v>4755</v>
      </c>
      <c r="AF155" t="str">
        <f>HYPERLINK("http://exon.niaid.nih.gov/transcriptome/C_felis/S1/links/KOG/cf-contig_744-KOG.txt","KOG")</f>
        <v>KOG</v>
      </c>
      <c r="AG155" s="5">
        <v>2.0000000000000001E-32</v>
      </c>
      <c r="AH155">
        <v>50.3</v>
      </c>
      <c r="AI155" s="4" t="str">
        <f>HYPERLINK("http://exon.niaid.nih.gov/transcriptome/C_felis/S1/links/NR/cf-contig_744-NR.txt","AGAP006799-PA")</f>
        <v>AGAP006799-PA</v>
      </c>
      <c r="AJ155" t="str">
        <f>HYPERLINK("http://www.ncbi.nlm.nih.gov/sutils/blink.cgi?pid=158286822","1E-032")</f>
        <v>1E-032</v>
      </c>
      <c r="AK155" t="str">
        <f>HYPERLINK("http://www.ncbi.nlm.nih.gov/protein/158286822","gi|158286822")</f>
        <v>gi|158286822</v>
      </c>
      <c r="AL155">
        <v>143</v>
      </c>
      <c r="AM155">
        <v>79</v>
      </c>
      <c r="AN155">
        <v>165</v>
      </c>
      <c r="AO155">
        <v>81</v>
      </c>
      <c r="AP155">
        <v>48</v>
      </c>
      <c r="AQ155">
        <v>15</v>
      </c>
      <c r="AR155">
        <v>0</v>
      </c>
      <c r="AS155">
        <v>86</v>
      </c>
      <c r="AT155">
        <v>28</v>
      </c>
      <c r="AU155">
        <v>1</v>
      </c>
      <c r="AV155">
        <v>1</v>
      </c>
      <c r="AW155" t="s">
        <v>12</v>
      </c>
      <c r="AY155" t="s">
        <v>1676</v>
      </c>
      <c r="AZ155" t="s">
        <v>2374</v>
      </c>
      <c r="BA155" s="4" t="str">
        <f>HYPERLINK("http://exon.niaid.nih.gov/transcriptome/C_felis/S1/links/SWISSP/cf-contig_744-SWISSP.txt","Adrenodoxin-like protein, mitochondrial")</f>
        <v>Adrenodoxin-like protein, mitochondrial</v>
      </c>
      <c r="BB155" t="str">
        <f>HYPERLINK("http://www.uniprot.org/uniprot/Q08C57","1E-031")</f>
        <v>1E-031</v>
      </c>
      <c r="BC155" t="s">
        <v>4357</v>
      </c>
      <c r="BD155">
        <v>134</v>
      </c>
      <c r="BE155">
        <v>79</v>
      </c>
      <c r="BF155">
        <v>195</v>
      </c>
      <c r="BG155">
        <v>76</v>
      </c>
      <c r="BH155">
        <v>41</v>
      </c>
      <c r="BI155">
        <v>19</v>
      </c>
      <c r="BJ155">
        <v>0</v>
      </c>
      <c r="BK155">
        <v>116</v>
      </c>
      <c r="BL155">
        <v>28</v>
      </c>
      <c r="BM155">
        <v>1</v>
      </c>
      <c r="BN155">
        <v>1</v>
      </c>
      <c r="BO155" t="s">
        <v>12</v>
      </c>
      <c r="BQ155" t="s">
        <v>1676</v>
      </c>
      <c r="BR155" t="s">
        <v>2736</v>
      </c>
      <c r="BS155" s="4" t="str">
        <f>HYPERLINK("http://exon.niaid.nih.gov/transcriptome/C_felis/S1/links/CDD/cf-contig_744-CDD.txt","PLN02593")</f>
        <v>PLN02593</v>
      </c>
      <c r="BT155" t="str">
        <f>HYPERLINK("http://www.ncbi.nlm.nih.gov/Structure/cdd/cddsrv.cgi?uid=PLN02593&amp;version=v4.0","1E-031")</f>
        <v>1E-031</v>
      </c>
      <c r="BU155" t="s">
        <v>4358</v>
      </c>
      <c r="BV155" s="4" t="s">
        <v>4359</v>
      </c>
      <c r="BW155">
        <f>HYPERLINK("http://exon.niaid.nih.gov/transcriptome/C_felis/S1/links/GO/cf-contig_744-GO.txt",1E-31)</f>
        <v>1.0000000000000001E-31</v>
      </c>
      <c r="BX155" t="str">
        <f>HYPERLINK("http://amigo.geneontology.org/cgi-bin/amigo/term_details?term=GO:0051536","GO:0051536")</f>
        <v>GO:0051536</v>
      </c>
      <c r="BY155" t="s">
        <v>3337</v>
      </c>
      <c r="BZ155" t="s">
        <v>3338</v>
      </c>
      <c r="CA155" t="s">
        <v>3339</v>
      </c>
      <c r="CB155" t="s">
        <v>42</v>
      </c>
      <c r="CD155" s="5">
        <v>1.0000000000000001E-31</v>
      </c>
      <c r="CE155" t="str">
        <f>HYPERLINK("http://amigo.geneontology.org/cgi-bin/amigo/term_details?term=GO:0005759","GO:0005759")</f>
        <v>GO:0005759</v>
      </c>
      <c r="CF155" t="s">
        <v>3340</v>
      </c>
      <c r="CG155" t="s">
        <v>3341</v>
      </c>
      <c r="CH155" t="s">
        <v>3342</v>
      </c>
      <c r="CI155" t="s">
        <v>42</v>
      </c>
      <c r="CK155" s="5">
        <v>1.0000000000000001E-31</v>
      </c>
      <c r="CL155" t="str">
        <f>HYPERLINK("http://amigo.geneontology.org/cgi-bin/amigo/term_details?term=GO:0022900","GO:0022900")</f>
        <v>GO:0022900</v>
      </c>
      <c r="CM155" t="s">
        <v>3343</v>
      </c>
      <c r="CN155" t="s">
        <v>3344</v>
      </c>
      <c r="CO155" t="s">
        <v>42</v>
      </c>
      <c r="CP155" t="s">
        <v>42</v>
      </c>
      <c r="CR155" s="5">
        <v>1.0000000000000001E-31</v>
      </c>
      <c r="CS155" s="4" t="str">
        <f>HYPERLINK("http://exon.niaid.nih.gov/transcriptome/C_felis/S1/links/KOG/cf-contig_744-KOG.txt","Ferredoxin")</f>
        <v>Ferredoxin</v>
      </c>
      <c r="CT155" t="str">
        <f>HYPERLINK("http://www.ncbi.nlm.nih.gov/COG/grace/shokog.cgi?KOG3309","2E-032")</f>
        <v>2E-032</v>
      </c>
      <c r="CU155" t="s">
        <v>1793</v>
      </c>
      <c r="CV155" s="4" t="str">
        <f>HYPERLINK("http://exon.niaid.nih.gov/transcriptome/C_felis/S1/links/PFAM/cf-contig_744-PFAM.txt","Fer2")</f>
        <v>Fer2</v>
      </c>
      <c r="CW155" t="str">
        <f>HYPERLINK("http://pfam.sanger.ac.uk/family?acc=PF00111","0.007")</f>
        <v>0.007</v>
      </c>
      <c r="CX155" s="4" t="str">
        <f>HYPERLINK("http://exon.niaid.nih.gov/transcriptome/C_felis/S1/links/SMART/cf-contig_744-SMART.txt","TLDc")</f>
        <v>TLDc</v>
      </c>
      <c r="CY155" t="str">
        <f>HYPERLINK("http://smart.embl-heidelberg.de/smart/do_annotation.pl?DOMAIN=TLDc&amp;BLAST=DUMMY","0.23")</f>
        <v>0.23</v>
      </c>
      <c r="CZ155" s="4" t="s">
        <v>42</v>
      </c>
      <c r="DA155" t="s">
        <v>42</v>
      </c>
      <c r="DB155" t="s">
        <v>42</v>
      </c>
      <c r="DC155" t="s">
        <v>42</v>
      </c>
      <c r="DD155" t="s">
        <v>42</v>
      </c>
      <c r="DE155" t="s">
        <v>42</v>
      </c>
      <c r="DF155" t="s">
        <v>42</v>
      </c>
      <c r="DG155" t="s">
        <v>42</v>
      </c>
      <c r="DH155" s="4" t="s">
        <v>42</v>
      </c>
      <c r="DI155" t="s">
        <v>42</v>
      </c>
      <c r="DJ155" s="4" t="s">
        <v>42</v>
      </c>
      <c r="DK155" t="s">
        <v>42</v>
      </c>
      <c r="DL155" s="4">
        <f>HYPERLINK("http://exon.niaid.nih.gov/transcriptome/C_felis/S1/links/cluster/cf-5-36-asb30-50-Id-CLU80.txt", 80)</f>
        <v>80</v>
      </c>
      <c r="DM155">
        <f>HYPERLINK("http://exon.niaid.nih.gov/transcriptome/C_felis/S1/links/cluster/cf-5-36-asb30-50-Id-CLTL80.txt", 2)</f>
        <v>2</v>
      </c>
      <c r="DN155" s="4">
        <f>HYPERLINK("http://exon.niaid.nih.gov/transcriptome/C_felis/S1/links/cluster/cf-5-36-asb35-50-Id-CLU72.txt", 72)</f>
        <v>72</v>
      </c>
      <c r="DO155">
        <f>HYPERLINK("http://exon.niaid.nih.gov/transcriptome/C_felis/S1/links/cluster/cf-5-36-asb35-50-Id-CLTL72.txt", 2)</f>
        <v>2</v>
      </c>
      <c r="DP155" s="4">
        <f>HYPERLINK("http://exon.niaid.nih.gov/transcriptome/C_felis/S1/links/cluster/cf-5-36-asb40-50-Id-CLU66.txt", 66)</f>
        <v>66</v>
      </c>
      <c r="DQ155">
        <f>HYPERLINK("http://exon.niaid.nih.gov/transcriptome/C_felis/S1/links/cluster/cf-5-36-asb40-50-Id-CLTL66.txt", 2)</f>
        <v>2</v>
      </c>
      <c r="DR155" s="4">
        <f>HYPERLINK("http://exon.niaid.nih.gov/transcriptome/C_felis/S1/links/cluster/cf-5-36-asb45-50-Id-CLU53.txt", 53)</f>
        <v>53</v>
      </c>
      <c r="DS155">
        <f>HYPERLINK("http://exon.niaid.nih.gov/transcriptome/C_felis/S1/links/cluster/cf-5-36-asb45-50-Id-CLTL53.txt", 2)</f>
        <v>2</v>
      </c>
      <c r="DT155" s="4">
        <f>HYPERLINK("http://exon.niaid.nih.gov/transcriptome/C_felis/S1/links/cluster/cf-5-36-asb50-50-Id-CLU46.txt", 46)</f>
        <v>46</v>
      </c>
      <c r="DU155">
        <f>HYPERLINK("http://exon.niaid.nih.gov/transcriptome/C_felis/S1/links/cluster/cf-5-36-asb50-50-Id-CLTL46.txt", 2)</f>
        <v>2</v>
      </c>
      <c r="DV155" s="4">
        <f>HYPERLINK("http://exon.niaid.nih.gov/transcriptome/C_felis/S1/links/cluster/cf-5-36-asb55-50-Id-CLU42.txt", 42)</f>
        <v>42</v>
      </c>
      <c r="DW155">
        <f>HYPERLINK("http://exon.niaid.nih.gov/transcriptome/C_felis/S1/links/cluster/cf-5-36-asb55-50-Id-CLTL42.txt", 2)</f>
        <v>2</v>
      </c>
      <c r="DX155" s="4">
        <f>HYPERLINK("http://exon.niaid.nih.gov/transcriptome/C_felis/S1/links/cluster/cf-5-36-asb60-50-Id-CLU38.txt", 38)</f>
        <v>38</v>
      </c>
      <c r="DY155">
        <f>HYPERLINK("http://exon.niaid.nih.gov/transcriptome/C_felis/S1/links/cluster/cf-5-36-asb60-50-Id-CLTL38.txt", 2)</f>
        <v>2</v>
      </c>
      <c r="DZ155" s="4">
        <v>707</v>
      </c>
      <c r="EA155">
        <v>1</v>
      </c>
      <c r="EB155" s="4">
        <v>713</v>
      </c>
      <c r="EC155">
        <v>1</v>
      </c>
      <c r="ED155" s="4">
        <v>718</v>
      </c>
      <c r="EE155">
        <v>1</v>
      </c>
      <c r="EF155" s="4">
        <v>724</v>
      </c>
      <c r="EG155">
        <v>1</v>
      </c>
      <c r="EH155" s="4">
        <v>735</v>
      </c>
      <c r="EI155">
        <v>1</v>
      </c>
      <c r="EJ155" s="4">
        <v>744</v>
      </c>
      <c r="EK155">
        <v>1</v>
      </c>
    </row>
    <row r="156" spans="1:141" x14ac:dyDescent="0.2">
      <c r="A156" t="str">
        <f>HYPERLINK("http://exon.niaid.nih.gov/transcriptome/C_felis/S1/links/cf/cf-contig_754.txt","cf-contig_754")</f>
        <v>cf-contig_754</v>
      </c>
      <c r="B156">
        <v>1</v>
      </c>
      <c r="C156" s="10" t="s">
        <v>4867</v>
      </c>
      <c r="D156">
        <v>1</v>
      </c>
      <c r="E156" t="str">
        <f>HYPERLINK("http://exon.niaid.nih.gov/transcriptome/C_felis/S1/links/cf/cf-5-36-asb-754.txt","Contig-754")</f>
        <v>Contig-754</v>
      </c>
      <c r="F156" t="str">
        <f>HYPERLINK("http://exon.niaid.nih.gov/transcriptome/C_felis/S1/links/cf/cf-5-36-754-CLU.txt","Contig754")</f>
        <v>Contig754</v>
      </c>
      <c r="G156" t="str">
        <f>HYPERLINK("http://exon.niaid.nih.gov/transcriptome/C_felis/S1/links/cf/cf-5-36-754-qual.txt","60.4")</f>
        <v>60.4</v>
      </c>
      <c r="H156" t="s">
        <v>11</v>
      </c>
      <c r="I156">
        <v>68.2</v>
      </c>
      <c r="J156" t="s">
        <v>42</v>
      </c>
      <c r="K156" t="s">
        <v>12</v>
      </c>
      <c r="L156">
        <v>1</v>
      </c>
      <c r="M156" t="s">
        <v>767</v>
      </c>
      <c r="N156" t="s">
        <v>42</v>
      </c>
      <c r="O156">
        <v>380</v>
      </c>
      <c r="P156">
        <v>258</v>
      </c>
      <c r="Q156" t="s">
        <v>1573</v>
      </c>
      <c r="R156">
        <v>2</v>
      </c>
      <c r="S156" s="7" t="str">
        <f>HYPERLINK("http://exon.niaid.nih.gov/transcriptome/C_felis/S1/links/Sigp/CF-CONTIG_754-SigP.txt","Cyt")</f>
        <v>Cyt</v>
      </c>
      <c r="U156">
        <v>1</v>
      </c>
      <c r="V156" s="4">
        <v>606</v>
      </c>
      <c r="W156">
        <v>1</v>
      </c>
      <c r="X156" s="4">
        <v>626</v>
      </c>
      <c r="Y156">
        <v>1</v>
      </c>
      <c r="Z156" s="4">
        <v>640</v>
      </c>
      <c r="AA156">
        <v>1</v>
      </c>
      <c r="AB156" s="4" t="str">
        <f>HYPERLINK("http://exon.niaid.nih.gov/transcriptome/C_felis/S1/links/XC-ASB/cf-contig_754-XC-ASB.txt","XC-contig_129")</f>
        <v>XC-contig_129</v>
      </c>
      <c r="AC156">
        <v>0.2</v>
      </c>
      <c r="AD156" s="10" t="s">
        <v>4867</v>
      </c>
      <c r="AE156" t="s">
        <v>4755</v>
      </c>
      <c r="AF156" t="str">
        <f>HYPERLINK("http://exon.niaid.nih.gov/transcriptome/C_felis/S1/links/KOG/cf-contig_754-KOG.txt","KOG")</f>
        <v>KOG</v>
      </c>
      <c r="AG156" s="5">
        <v>8.9999999999999993E-30</v>
      </c>
      <c r="AH156">
        <v>25</v>
      </c>
      <c r="AI156" s="4" t="str">
        <f>HYPERLINK("http://exon.niaid.nih.gov/transcriptome/C_felis/S1/links/NR/cf-contig_754-NR.txt","malate dehydrogenase, putative")</f>
        <v>malate dehydrogenase, putative</v>
      </c>
      <c r="AJ156" t="str">
        <f>HYPERLINK("http://www.ncbi.nlm.nih.gov/sutils/blink.cgi?pid=242008014","2E-028")</f>
        <v>2E-028</v>
      </c>
      <c r="AK156" t="str">
        <f>HYPERLINK("http://www.ncbi.nlm.nih.gov/protein/242008014","gi|242008014")</f>
        <v>gi|242008014</v>
      </c>
      <c r="AL156">
        <v>129</v>
      </c>
      <c r="AM156">
        <v>82</v>
      </c>
      <c r="AN156">
        <v>343</v>
      </c>
      <c r="AO156">
        <v>73</v>
      </c>
      <c r="AP156">
        <v>24</v>
      </c>
      <c r="AQ156">
        <v>22</v>
      </c>
      <c r="AR156">
        <v>0</v>
      </c>
      <c r="AS156">
        <v>260</v>
      </c>
      <c r="AT156">
        <v>8</v>
      </c>
      <c r="AU156">
        <v>1</v>
      </c>
      <c r="AV156">
        <v>2</v>
      </c>
      <c r="AW156" t="s">
        <v>12</v>
      </c>
      <c r="AY156" t="s">
        <v>1676</v>
      </c>
      <c r="AZ156" t="s">
        <v>1751</v>
      </c>
      <c r="BA156" s="4" t="str">
        <f>HYPERLINK("http://exon.niaid.nih.gov/transcriptome/C_felis/S1/links/SWISSP/cf-contig_754-SWISSP.txt","Malate dehydrogenase, cytoplasmic")</f>
        <v>Malate dehydrogenase, cytoplasmic</v>
      </c>
      <c r="BB156" t="str">
        <f>HYPERLINK("http://www.uniprot.org/uniprot/Q6DIY9","3E-021")</f>
        <v>3E-021</v>
      </c>
      <c r="BC156" t="s">
        <v>4400</v>
      </c>
      <c r="BD156">
        <v>100</v>
      </c>
      <c r="BE156">
        <v>80</v>
      </c>
      <c r="BF156">
        <v>334</v>
      </c>
      <c r="BG156">
        <v>58</v>
      </c>
      <c r="BH156">
        <v>24</v>
      </c>
      <c r="BI156">
        <v>34</v>
      </c>
      <c r="BJ156">
        <v>1</v>
      </c>
      <c r="BK156">
        <v>252</v>
      </c>
      <c r="BL156">
        <v>17</v>
      </c>
      <c r="BM156">
        <v>1</v>
      </c>
      <c r="BN156">
        <v>2</v>
      </c>
      <c r="BO156" t="s">
        <v>12</v>
      </c>
      <c r="BQ156" t="s">
        <v>1676</v>
      </c>
      <c r="BR156" t="s">
        <v>1826</v>
      </c>
      <c r="BS156" s="4" t="str">
        <f>HYPERLINK("http://exon.niaid.nih.gov/transcriptome/C_felis/S1/links/CDD/cf-contig_754-CDD.txt","MDH_cytoplasmic")</f>
        <v>MDH_cytoplasmic</v>
      </c>
      <c r="BT156" t="str">
        <f>HYPERLINK("http://www.ncbi.nlm.nih.gov/Structure/cdd/cddsrv.cgi?uid=cd01336&amp;version=v4.0","6E-036")</f>
        <v>6E-036</v>
      </c>
      <c r="BU156" t="s">
        <v>4401</v>
      </c>
      <c r="BV156" s="4" t="s">
        <v>4402</v>
      </c>
      <c r="BW156">
        <f>HYPERLINK("http://exon.niaid.nih.gov/transcriptome/C_felis/S1/links/GO/cf-contig_754-GO.txt",4E-21)</f>
        <v>3.9999999999999996E-21</v>
      </c>
      <c r="BX156" t="str">
        <f>HYPERLINK("http://amigo.geneontology.org/cgi-bin/amigo/term_details?term=GO:0016491","GO:0016491")</f>
        <v>GO:0016491</v>
      </c>
      <c r="BY156" t="s">
        <v>3893</v>
      </c>
      <c r="BZ156" t="s">
        <v>3894</v>
      </c>
      <c r="CA156" t="s">
        <v>3895</v>
      </c>
      <c r="CB156" t="str">
        <f>HYPERLINK("http://www.genome.jp/dbget-bin/www_bfind_sub?mode=bfind&amp;max_hit=1000&amp;dbkey=kegg&amp;keywords=EC:1","EC:1")</f>
        <v>EC:1</v>
      </c>
      <c r="CD156" s="5">
        <v>3.9999999999999996E-21</v>
      </c>
      <c r="CE156" t="str">
        <f>HYPERLINK("http://amigo.geneontology.org/cgi-bin/amigo/term_details?term=GO:0005625","GO:0005625")</f>
        <v>GO:0005625</v>
      </c>
      <c r="CF156" t="s">
        <v>2723</v>
      </c>
      <c r="CG156" t="s">
        <v>2724</v>
      </c>
      <c r="CH156" t="s">
        <v>2725</v>
      </c>
      <c r="CI156" t="s">
        <v>42</v>
      </c>
      <c r="CK156" s="5">
        <v>3.9999999999999996E-21</v>
      </c>
      <c r="CL156" t="str">
        <f>HYPERLINK("http://amigo.geneontology.org/cgi-bin/amigo/term_details?term=GO:0006099","GO:0006099")</f>
        <v>GO:0006099</v>
      </c>
      <c r="CM156" t="s">
        <v>4403</v>
      </c>
      <c r="CN156" t="s">
        <v>4404</v>
      </c>
      <c r="CO156" t="s">
        <v>4405</v>
      </c>
      <c r="CP156" t="s">
        <v>42</v>
      </c>
      <c r="CR156" s="5">
        <v>3.9999999999999996E-21</v>
      </c>
      <c r="CS156" s="4" t="str">
        <f>HYPERLINK("http://exon.niaid.nih.gov/transcriptome/C_felis/S1/links/KOG/cf-contig_754-KOG.txt","Malate dehydrogenase")</f>
        <v>Malate dehydrogenase</v>
      </c>
      <c r="CT156" t="str">
        <f>HYPERLINK("http://www.ncbi.nlm.nih.gov/COG/grace/shokog.cgi?KOG1496","9E-030")</f>
        <v>9E-030</v>
      </c>
      <c r="CU156" t="s">
        <v>1793</v>
      </c>
      <c r="CV156" s="4" t="str">
        <f>HYPERLINK("http://exon.niaid.nih.gov/transcriptome/C_felis/S1/links/PFAM/cf-contig_754-PFAM.txt","Ldh_1_C")</f>
        <v>Ldh_1_C</v>
      </c>
      <c r="CW156" t="str">
        <f>HYPERLINK("http://pfam.sanger.ac.uk/family?acc=PF02866","5E-015")</f>
        <v>5E-015</v>
      </c>
      <c r="CX156" s="4" t="str">
        <f>HYPERLINK("http://exon.niaid.nih.gov/transcriptome/C_felis/S1/links/SMART/cf-contig_754-SMART.txt","NRF")</f>
        <v>NRF</v>
      </c>
      <c r="CY156" t="str">
        <f>HYPERLINK("http://smart.embl-heidelberg.de/smart/do_annotation.pl?DOMAIN=NRF&amp;BLAST=DUMMY","0.022")</f>
        <v>0.022</v>
      </c>
      <c r="CZ156" s="4" t="s">
        <v>42</v>
      </c>
      <c r="DA156" t="s">
        <v>42</v>
      </c>
      <c r="DB156" t="s">
        <v>42</v>
      </c>
      <c r="DC156" t="s">
        <v>42</v>
      </c>
      <c r="DD156" t="s">
        <v>42</v>
      </c>
      <c r="DE156" t="s">
        <v>42</v>
      </c>
      <c r="DF156" t="s">
        <v>42</v>
      </c>
      <c r="DG156" t="s">
        <v>42</v>
      </c>
      <c r="DH156" s="4" t="s">
        <v>42</v>
      </c>
      <c r="DI156" t="s">
        <v>42</v>
      </c>
      <c r="DJ156" s="4" t="s">
        <v>42</v>
      </c>
      <c r="DK156" t="s">
        <v>42</v>
      </c>
      <c r="DL156" s="4">
        <v>606</v>
      </c>
      <c r="DM156">
        <v>1</v>
      </c>
      <c r="DN156" s="4">
        <v>626</v>
      </c>
      <c r="DO156">
        <v>1</v>
      </c>
      <c r="DP156" s="4">
        <v>640</v>
      </c>
      <c r="DQ156">
        <v>1</v>
      </c>
      <c r="DR156" s="4">
        <v>662</v>
      </c>
      <c r="DS156">
        <v>1</v>
      </c>
      <c r="DT156" s="4">
        <v>677</v>
      </c>
      <c r="DU156">
        <v>1</v>
      </c>
      <c r="DV156" s="4">
        <v>692</v>
      </c>
      <c r="DW156">
        <v>1</v>
      </c>
      <c r="DX156" s="4">
        <v>705</v>
      </c>
      <c r="DY156">
        <v>1</v>
      </c>
      <c r="DZ156" s="4">
        <v>716</v>
      </c>
      <c r="EA156">
        <v>1</v>
      </c>
      <c r="EB156" s="4">
        <v>722</v>
      </c>
      <c r="EC156">
        <v>1</v>
      </c>
      <c r="ED156" s="4">
        <v>727</v>
      </c>
      <c r="EE156">
        <v>1</v>
      </c>
      <c r="EF156" s="4">
        <v>733</v>
      </c>
      <c r="EG156">
        <v>1</v>
      </c>
      <c r="EH156" s="4">
        <v>745</v>
      </c>
      <c r="EI156">
        <v>1</v>
      </c>
      <c r="EJ156" s="4">
        <v>754</v>
      </c>
      <c r="EK156">
        <v>1</v>
      </c>
    </row>
    <row r="157" spans="1:141" x14ac:dyDescent="0.2">
      <c r="A157" t="str">
        <f>HYPERLINK("http://exon.niaid.nih.gov/transcriptome/C_felis/S1/links/cf/cf-contig_563.txt","cf-contig_563")</f>
        <v>cf-contig_563</v>
      </c>
      <c r="B157">
        <v>1</v>
      </c>
      <c r="C157" s="10" t="s">
        <v>4803</v>
      </c>
      <c r="D157">
        <v>1</v>
      </c>
      <c r="E157" t="str">
        <f>HYPERLINK("http://exon.niaid.nih.gov/transcriptome/C_felis/S1/links/cf/cf-5-36-asb-563.txt","Contig-563")</f>
        <v>Contig-563</v>
      </c>
      <c r="F157" t="str">
        <f>HYPERLINK("http://exon.niaid.nih.gov/transcriptome/C_felis/S1/links/cf/cf-5-36-563-CLU.txt","Contig563")</f>
        <v>Contig563</v>
      </c>
      <c r="G157" t="str">
        <f>HYPERLINK("http://exon.niaid.nih.gov/transcriptome/C_felis/S1/links/cf/cf-5-36-563-qual.txt","62.")</f>
        <v>62.</v>
      </c>
      <c r="H157" t="s">
        <v>11</v>
      </c>
      <c r="I157">
        <v>64.3</v>
      </c>
      <c r="J157">
        <v>261</v>
      </c>
      <c r="K157" t="s">
        <v>12</v>
      </c>
      <c r="L157">
        <v>1</v>
      </c>
      <c r="M157" t="s">
        <v>576</v>
      </c>
      <c r="N157">
        <v>261</v>
      </c>
      <c r="O157">
        <v>280</v>
      </c>
      <c r="P157">
        <v>171</v>
      </c>
      <c r="Q157" t="s">
        <v>1382</v>
      </c>
      <c r="R157">
        <v>1</v>
      </c>
      <c r="S157" s="7" t="s">
        <v>4585</v>
      </c>
      <c r="U157">
        <v>1</v>
      </c>
      <c r="V157" s="4">
        <v>459</v>
      </c>
      <c r="W157">
        <v>1</v>
      </c>
      <c r="X157" s="4">
        <v>469</v>
      </c>
      <c r="Y157">
        <v>1</v>
      </c>
      <c r="Z157" s="4">
        <v>476</v>
      </c>
      <c r="AA157">
        <v>1</v>
      </c>
      <c r="AB157" s="4" t="str">
        <f>HYPERLINK("http://exon.niaid.nih.gov/transcriptome/C_felis/S1/links/XC-ASB/cf-contig_563-XC-ASB.txt","XC-contig_151")</f>
        <v>XC-contig_151</v>
      </c>
      <c r="AC157">
        <v>0.48</v>
      </c>
      <c r="AD157" s="10" t="s">
        <v>4803</v>
      </c>
      <c r="AE157" t="s">
        <v>4755</v>
      </c>
      <c r="AF157" t="str">
        <f>HYPERLINK("http://exon.niaid.nih.gov/transcriptome/C_felis/S1/links/KOG/cf-contig_563-KOG.txt","KOG")</f>
        <v>KOG</v>
      </c>
      <c r="AG157">
        <v>7.9999999999999998E-12</v>
      </c>
      <c r="AH157">
        <v>88</v>
      </c>
      <c r="AI157" s="4" t="str">
        <f>HYPERLINK("http://exon.niaid.nih.gov/transcriptome/C_felis/S1/links/NR/cf-contig_563-NR.txt","hypothetical protein EAG_09867")</f>
        <v>hypothetical protein EAG_09867</v>
      </c>
      <c r="AJ157" t="str">
        <f>HYPERLINK("http://www.ncbi.nlm.nih.gov/sutils/blink.cgi?pid=307184649","1E-011")</f>
        <v>1E-011</v>
      </c>
      <c r="AK157" t="str">
        <f>HYPERLINK("http://www.ncbi.nlm.nih.gov/protein/307184649","gi|307184649")</f>
        <v>gi|307184649</v>
      </c>
      <c r="AL157">
        <v>73.599999999999994</v>
      </c>
      <c r="AM157">
        <v>46</v>
      </c>
      <c r="AN157">
        <v>105</v>
      </c>
      <c r="AO157">
        <v>76</v>
      </c>
      <c r="AP157">
        <v>45</v>
      </c>
      <c r="AQ157">
        <v>11</v>
      </c>
      <c r="AR157">
        <v>0</v>
      </c>
      <c r="AS157">
        <v>7</v>
      </c>
      <c r="AT157">
        <v>16</v>
      </c>
      <c r="AU157">
        <v>1</v>
      </c>
      <c r="AV157">
        <v>1</v>
      </c>
      <c r="AW157" t="s">
        <v>12</v>
      </c>
      <c r="AY157" t="s">
        <v>1676</v>
      </c>
      <c r="AZ157" t="s">
        <v>2133</v>
      </c>
      <c r="BA157" s="4" t="str">
        <f>HYPERLINK("http://exon.niaid.nih.gov/transcriptome/C_felis/S1/links/SWISSP/cf-contig_563-SWISSP.txt","ATP synthase subunit epsilon, mitochondrial")</f>
        <v>ATP synthase subunit epsilon, mitochondrial</v>
      </c>
      <c r="BB157" t="str">
        <f>HYPERLINK("http://www.uniprot.org/uniprot/Q06450","1E-004")</f>
        <v>1E-004</v>
      </c>
      <c r="BC157" t="s">
        <v>3711</v>
      </c>
      <c r="BD157">
        <v>45.4</v>
      </c>
      <c r="BE157">
        <v>54</v>
      </c>
      <c r="BF157">
        <v>70</v>
      </c>
      <c r="BG157">
        <v>43</v>
      </c>
      <c r="BH157">
        <v>79</v>
      </c>
      <c r="BI157">
        <v>31</v>
      </c>
      <c r="BJ157">
        <v>4</v>
      </c>
      <c r="BK157">
        <v>13</v>
      </c>
      <c r="BL157">
        <v>16</v>
      </c>
      <c r="BM157">
        <v>1</v>
      </c>
      <c r="BN157">
        <v>1</v>
      </c>
      <c r="BO157" t="s">
        <v>12</v>
      </c>
      <c r="BQ157" t="s">
        <v>1676</v>
      </c>
      <c r="BR157" t="s">
        <v>3712</v>
      </c>
      <c r="BS157" s="4" t="str">
        <f>HYPERLINK("http://exon.niaid.nih.gov/transcriptome/C_felis/S1/links/CDD/cf-contig_563-CDD.txt","ATP-synt_Eps")</f>
        <v>ATP-synt_Eps</v>
      </c>
      <c r="BT157" t="str">
        <f>HYPERLINK("http://www.ncbi.nlm.nih.gov/Structure/cdd/cddsrv.cgi?uid=pfam04627&amp;version=v4.0","3E-013")</f>
        <v>3E-013</v>
      </c>
      <c r="BU157" t="s">
        <v>3713</v>
      </c>
      <c r="BV157" s="4" t="s">
        <v>3714</v>
      </c>
      <c r="BW157">
        <f>HYPERLINK("http://exon.niaid.nih.gov/transcriptome/C_felis/S1/links/GO/cf-contig_563-GO.txt",0.000000003)</f>
        <v>3E-9</v>
      </c>
      <c r="BX157" t="str">
        <f>HYPERLINK("http://amigo.geneontology.org/cgi-bin/amigo/term_details?term=GO:0008553","GO:0008553")</f>
        <v>GO:0008553</v>
      </c>
      <c r="BY157" t="s">
        <v>2753</v>
      </c>
      <c r="BZ157" t="s">
        <v>2754</v>
      </c>
      <c r="CA157" t="s">
        <v>2755</v>
      </c>
      <c r="CB157" t="str">
        <f>HYPERLINK("http://www.genome.jp/dbget-bin/www_bfind_sub?mode=bfind&amp;max_hit=1000&amp;dbkey=kegg&amp;keywords=EC:3.6.3.6","EC:3.6.3.6")</f>
        <v>EC:3.6.3.6</v>
      </c>
      <c r="CD157">
        <v>3E-9</v>
      </c>
      <c r="CE157" t="str">
        <f>HYPERLINK("http://amigo.geneontology.org/cgi-bin/amigo/term_details?term=GO:0000275","GO:0000275")</f>
        <v>GO:0000275</v>
      </c>
      <c r="CF157" t="s">
        <v>3574</v>
      </c>
      <c r="CG157" t="s">
        <v>3575</v>
      </c>
      <c r="CH157" t="s">
        <v>3576</v>
      </c>
      <c r="CI157" t="s">
        <v>42</v>
      </c>
      <c r="CK157">
        <v>3E-9</v>
      </c>
      <c r="CL157" t="str">
        <f>HYPERLINK("http://amigo.geneontology.org/cgi-bin/amigo/term_details?term=GO:0015992","GO:0015992")</f>
        <v>GO:0015992</v>
      </c>
      <c r="CM157" t="s">
        <v>2758</v>
      </c>
      <c r="CN157" t="s">
        <v>2759</v>
      </c>
      <c r="CO157" t="s">
        <v>2760</v>
      </c>
      <c r="CP157" t="s">
        <v>42</v>
      </c>
      <c r="CR157">
        <v>3E-9</v>
      </c>
      <c r="CS157" s="4" t="str">
        <f>HYPERLINK("http://exon.niaid.nih.gov/transcriptome/C_felis/S1/links/KOG/cf-contig_563-KOG.txt","Mitochondrial F1F0-ATP synthase, subunit epsilon/ATP15")</f>
        <v>Mitochondrial F1F0-ATP synthase, subunit epsilon/ATP15</v>
      </c>
      <c r="CT157" t="str">
        <f>HYPERLINK("http://www.ncbi.nlm.nih.gov/COG/grace/shokog.cgi?KOG3495","8E-012")</f>
        <v>8E-012</v>
      </c>
      <c r="CU157" t="s">
        <v>1793</v>
      </c>
      <c r="CV157" s="4" t="str">
        <f>HYPERLINK("http://exon.niaid.nih.gov/transcriptome/C_felis/S1/links/PFAM/cf-contig_563-PFAM.txt","ATP-synt_Eps")</f>
        <v>ATP-synt_Eps</v>
      </c>
      <c r="CW157" t="str">
        <f>HYPERLINK("http://pfam.sanger.ac.uk/family?acc=PF04627","6E-014")</f>
        <v>6E-014</v>
      </c>
      <c r="CX157" s="4" t="str">
        <f>HYPERLINK("http://exon.niaid.nih.gov/transcriptome/C_felis/S1/links/SMART/cf-contig_563-SMART.txt","CoA_trans")</f>
        <v>CoA_trans</v>
      </c>
      <c r="CY157" t="str">
        <f>HYPERLINK("http://smart.embl-heidelberg.de/smart/do_annotation.pl?DOMAIN=CoA_trans&amp;BLAST=DUMMY","0.063")</f>
        <v>0.063</v>
      </c>
      <c r="CZ157" s="4" t="s">
        <v>42</v>
      </c>
      <c r="DA157" t="s">
        <v>42</v>
      </c>
      <c r="DB157" t="s">
        <v>42</v>
      </c>
      <c r="DC157" t="s">
        <v>42</v>
      </c>
      <c r="DD157" t="s">
        <v>42</v>
      </c>
      <c r="DE157" t="s">
        <v>42</v>
      </c>
      <c r="DF157" t="s">
        <v>42</v>
      </c>
      <c r="DG157" t="s">
        <v>42</v>
      </c>
      <c r="DH157" s="4" t="s">
        <v>42</v>
      </c>
      <c r="DI157" t="s">
        <v>42</v>
      </c>
      <c r="DJ157" s="4" t="s">
        <v>42</v>
      </c>
      <c r="DK157" t="s">
        <v>42</v>
      </c>
      <c r="DL157" s="4">
        <v>459</v>
      </c>
      <c r="DM157">
        <v>1</v>
      </c>
      <c r="DN157" s="4">
        <v>469</v>
      </c>
      <c r="DO157">
        <v>1</v>
      </c>
      <c r="DP157" s="4">
        <v>476</v>
      </c>
      <c r="DQ157">
        <v>1</v>
      </c>
      <c r="DR157" s="4">
        <v>493</v>
      </c>
      <c r="DS157">
        <v>1</v>
      </c>
      <c r="DT157" s="4">
        <v>505</v>
      </c>
      <c r="DU157">
        <v>1</v>
      </c>
      <c r="DV157" s="4">
        <v>519</v>
      </c>
      <c r="DW157">
        <v>1</v>
      </c>
      <c r="DX157" s="4">
        <v>527</v>
      </c>
      <c r="DY157">
        <v>1</v>
      </c>
      <c r="DZ157" s="4">
        <v>535</v>
      </c>
      <c r="EA157">
        <v>1</v>
      </c>
      <c r="EB157" s="4">
        <v>540</v>
      </c>
      <c r="EC157">
        <v>1</v>
      </c>
      <c r="ED157" s="4">
        <v>544</v>
      </c>
      <c r="EE157">
        <v>1</v>
      </c>
      <c r="EF157" s="4">
        <v>549</v>
      </c>
      <c r="EG157">
        <v>1</v>
      </c>
      <c r="EH157" s="4">
        <v>556</v>
      </c>
      <c r="EI157">
        <v>1</v>
      </c>
      <c r="EJ157" s="4">
        <v>563</v>
      </c>
      <c r="EK157">
        <v>1</v>
      </c>
    </row>
    <row r="158" spans="1:141" x14ac:dyDescent="0.2">
      <c r="A158" t="str">
        <f>HYPERLINK("http://exon.niaid.nih.gov/transcriptome/C_felis/S1/links/cf/cf-contig_666.txt","cf-contig_666")</f>
        <v>cf-contig_666</v>
      </c>
      <c r="B158">
        <v>1</v>
      </c>
      <c r="C158" s="10" t="s">
        <v>4840</v>
      </c>
      <c r="D158">
        <v>1</v>
      </c>
      <c r="E158" t="str">
        <f>HYPERLINK("http://exon.niaid.nih.gov/transcriptome/C_felis/S1/links/cf/cf-5-36-asb-666.txt","Contig-666")</f>
        <v>Contig-666</v>
      </c>
      <c r="F158" t="str">
        <f>HYPERLINK("http://exon.niaid.nih.gov/transcriptome/C_felis/S1/links/cf/cf-5-36-666-CLU.txt","Contig666")</f>
        <v>Contig666</v>
      </c>
      <c r="G158" t="str">
        <f>HYPERLINK("http://exon.niaid.nih.gov/transcriptome/C_felis/S1/links/cf/cf-5-36-666-qual.txt","62.8")</f>
        <v>62.8</v>
      </c>
      <c r="H158" t="s">
        <v>11</v>
      </c>
      <c r="I158">
        <v>72.7</v>
      </c>
      <c r="J158">
        <v>208</v>
      </c>
      <c r="K158" t="s">
        <v>12</v>
      </c>
      <c r="L158">
        <v>1</v>
      </c>
      <c r="M158" t="s">
        <v>679</v>
      </c>
      <c r="N158">
        <v>208</v>
      </c>
      <c r="O158">
        <v>227</v>
      </c>
      <c r="P158">
        <v>96</v>
      </c>
      <c r="Q158" t="s">
        <v>1485</v>
      </c>
      <c r="R158">
        <v>2</v>
      </c>
      <c r="S158" s="7" t="s">
        <v>4585</v>
      </c>
      <c r="U158">
        <v>1</v>
      </c>
      <c r="V158" s="4">
        <v>545</v>
      </c>
      <c r="W158">
        <v>1</v>
      </c>
      <c r="X158" s="4">
        <v>557</v>
      </c>
      <c r="Y158">
        <v>1</v>
      </c>
      <c r="Z158" s="4">
        <v>569</v>
      </c>
      <c r="AA158">
        <v>1</v>
      </c>
      <c r="AB158" s="4" t="str">
        <f>HYPERLINK("http://exon.niaid.nih.gov/transcriptome/C_felis/S1/links/XC-ASB/cf-contig_666-XC-ASB.txt","XC-contig_209")</f>
        <v>XC-contig_209</v>
      </c>
      <c r="AC158">
        <v>7.0999999999999994E-2</v>
      </c>
      <c r="AD158" s="10" t="s">
        <v>4840</v>
      </c>
      <c r="AE158" t="s">
        <v>4755</v>
      </c>
      <c r="AF158" t="str">
        <f>HYPERLINK("http://exon.niaid.nih.gov/transcriptome/C_felis/S1/links/KOG/cf-contig_666-KOG.txt","KOG")</f>
        <v>KOG</v>
      </c>
      <c r="AG158">
        <v>2.9999999999999999E-7</v>
      </c>
      <c r="AH158">
        <v>14.7</v>
      </c>
      <c r="AI158" s="4" t="str">
        <f>HYPERLINK("http://exon.niaid.nih.gov/transcriptome/C_felis/S1/links/NR/cf-contig_666-NR.txt","similar to H+ transporting ATP synthase O subunit")</f>
        <v>similar to H+ transporting ATP synthase O subunit</v>
      </c>
      <c r="AJ158" t="str">
        <f>HYPERLINK("http://www.ncbi.nlm.nih.gov/sutils/blink.cgi?pid=91077486","5E-007")</f>
        <v>5E-007</v>
      </c>
      <c r="AK158" t="str">
        <f>HYPERLINK("http://www.ncbi.nlm.nih.gov/protein/91077486","gi|91077486")</f>
        <v>gi|91077486</v>
      </c>
      <c r="AL158">
        <v>58.2</v>
      </c>
      <c r="AM158">
        <v>30</v>
      </c>
      <c r="AN158">
        <v>209</v>
      </c>
      <c r="AO158">
        <v>83</v>
      </c>
      <c r="AP158">
        <v>15</v>
      </c>
      <c r="AQ158">
        <v>5</v>
      </c>
      <c r="AR158">
        <v>0</v>
      </c>
      <c r="AS158">
        <v>179</v>
      </c>
      <c r="AT158">
        <v>5</v>
      </c>
      <c r="AU158">
        <v>1</v>
      </c>
      <c r="AV158">
        <v>2</v>
      </c>
      <c r="AW158" t="s">
        <v>12</v>
      </c>
      <c r="AY158" t="s">
        <v>1676</v>
      </c>
      <c r="AZ158" t="s">
        <v>1878</v>
      </c>
      <c r="BA158" s="4" t="str">
        <f>HYPERLINK("http://exon.niaid.nih.gov/transcriptome/C_felis/S1/links/SWISSP/cf-contig_666-SWISSP.txt","ATP synthase subunit O, mitochondrial")</f>
        <v>ATP synthase subunit O, mitochondrial</v>
      </c>
      <c r="BB158" t="str">
        <f>HYPERLINK("http://www.uniprot.org/uniprot/Q24439","2E-006")</f>
        <v>2E-006</v>
      </c>
      <c r="BC158" t="s">
        <v>4093</v>
      </c>
      <c r="BD158">
        <v>51.2</v>
      </c>
      <c r="BE158">
        <v>28</v>
      </c>
      <c r="BF158">
        <v>209</v>
      </c>
      <c r="BG158">
        <v>72</v>
      </c>
      <c r="BH158">
        <v>14</v>
      </c>
      <c r="BI158">
        <v>8</v>
      </c>
      <c r="BJ158">
        <v>0</v>
      </c>
      <c r="BK158">
        <v>179</v>
      </c>
      <c r="BL158">
        <v>5</v>
      </c>
      <c r="BM158">
        <v>1</v>
      </c>
      <c r="BN158">
        <v>2</v>
      </c>
      <c r="BO158" t="s">
        <v>12</v>
      </c>
      <c r="BQ158" t="s">
        <v>1676</v>
      </c>
      <c r="BR158" t="s">
        <v>1804</v>
      </c>
      <c r="BS158" s="4" t="str">
        <f>HYPERLINK("http://exon.niaid.nih.gov/transcriptome/C_felis/S1/links/CDD/cf-contig_666-CDD.txt","OSCP")</f>
        <v>OSCP</v>
      </c>
      <c r="BT158" t="str">
        <f>HYPERLINK("http://www.ncbi.nlm.nih.gov/Structure/cdd/cddsrv.cgi?uid=pfam00213&amp;version=v4.0","0.004")</f>
        <v>0.004</v>
      </c>
      <c r="BU158" t="s">
        <v>4105</v>
      </c>
      <c r="BV158" s="4" t="s">
        <v>4095</v>
      </c>
      <c r="BW158">
        <f>HYPERLINK("http://exon.niaid.nih.gov/transcriptome/C_felis/S1/links/GO/cf-contig_666-GO.txt",0.000001)</f>
        <v>9.9999999999999995E-7</v>
      </c>
      <c r="BX158" t="str">
        <f>HYPERLINK("http://amigo.geneontology.org/cgi-bin/amigo/term_details?term=GO:0008553","GO:0008553")</f>
        <v>GO:0008553</v>
      </c>
      <c r="BY158" t="s">
        <v>2753</v>
      </c>
      <c r="BZ158" t="s">
        <v>2754</v>
      </c>
      <c r="CA158" t="s">
        <v>2755</v>
      </c>
      <c r="CB158" t="str">
        <f>HYPERLINK("http://www.genome.jp/dbget-bin/www_bfind_sub?mode=bfind&amp;max_hit=1000&amp;dbkey=kegg&amp;keywords=EC:3.6.3.6","EC:3.6.3.6")</f>
        <v>EC:3.6.3.6</v>
      </c>
      <c r="CD158">
        <v>9.9999999999999995E-7</v>
      </c>
      <c r="CE158" t="str">
        <f>HYPERLINK("http://amigo.geneontology.org/cgi-bin/amigo/term_details?term=GO:0005756","GO:0005756")</f>
        <v>GO:0005756</v>
      </c>
      <c r="CF158" t="s">
        <v>4096</v>
      </c>
      <c r="CG158" t="s">
        <v>4097</v>
      </c>
      <c r="CH158" t="s">
        <v>42</v>
      </c>
      <c r="CI158" t="s">
        <v>42</v>
      </c>
      <c r="CK158">
        <v>9.9999999999999995E-7</v>
      </c>
      <c r="CL158" t="str">
        <f>HYPERLINK("http://amigo.geneontology.org/cgi-bin/amigo/term_details?term=GO:0015992","GO:0015992")</f>
        <v>GO:0015992</v>
      </c>
      <c r="CM158" t="s">
        <v>2758</v>
      </c>
      <c r="CN158" t="s">
        <v>2759</v>
      </c>
      <c r="CO158" t="s">
        <v>2760</v>
      </c>
      <c r="CP158" t="s">
        <v>42</v>
      </c>
      <c r="CR158">
        <v>9.9999999999999995E-7</v>
      </c>
      <c r="CS158" s="4" t="str">
        <f>HYPERLINK("http://exon.niaid.nih.gov/transcriptome/C_felis/S1/links/KOG/cf-contig_666-KOG.txt","Mitochondrial F1F0-ATP synthase, subunit OSCP/ATP5")</f>
        <v>Mitochondrial F1F0-ATP synthase, subunit OSCP/ATP5</v>
      </c>
      <c r="CT158" t="str">
        <f>HYPERLINK("http://www.ncbi.nlm.nih.gov/COG/grace/shokog.cgi?KOG1662","3E-007")</f>
        <v>3E-007</v>
      </c>
      <c r="CU158" t="s">
        <v>1793</v>
      </c>
      <c r="CV158" s="4" t="str">
        <f>HYPERLINK("http://exon.niaid.nih.gov/transcriptome/C_felis/S1/links/PFAM/cf-contig_666-PFAM.txt","OSCP")</f>
        <v>OSCP</v>
      </c>
      <c r="CW158" t="str">
        <f>HYPERLINK("http://pfam.sanger.ac.uk/family?acc=PF00213","8E-004")</f>
        <v>8E-004</v>
      </c>
      <c r="CX158" s="4" t="str">
        <f>HYPERLINK("http://exon.niaid.nih.gov/transcriptome/C_felis/S1/links/SMART/cf-contig_666-SMART.txt","POLXc")</f>
        <v>POLXc</v>
      </c>
      <c r="CY158" t="str">
        <f>HYPERLINK("http://smart.embl-heidelberg.de/smart/do_annotation.pl?DOMAIN=POLXc&amp;BLAST=DUMMY","0.47")</f>
        <v>0.47</v>
      </c>
      <c r="CZ158" s="4" t="s">
        <v>42</v>
      </c>
      <c r="DA158" t="s">
        <v>42</v>
      </c>
      <c r="DB158" t="s">
        <v>42</v>
      </c>
      <c r="DC158" t="s">
        <v>42</v>
      </c>
      <c r="DD158" t="s">
        <v>42</v>
      </c>
      <c r="DE158" t="s">
        <v>42</v>
      </c>
      <c r="DF158" t="s">
        <v>42</v>
      </c>
      <c r="DG158" t="s">
        <v>42</v>
      </c>
      <c r="DH158" s="4" t="s">
        <v>42</v>
      </c>
      <c r="DI158" t="s">
        <v>42</v>
      </c>
      <c r="DJ158" s="4" t="s">
        <v>42</v>
      </c>
      <c r="DK158" t="s">
        <v>42</v>
      </c>
      <c r="DL158" s="4">
        <v>545</v>
      </c>
      <c r="DM158">
        <v>1</v>
      </c>
      <c r="DN158" s="4">
        <v>557</v>
      </c>
      <c r="DO158">
        <v>1</v>
      </c>
      <c r="DP158" s="4">
        <v>569</v>
      </c>
      <c r="DQ158">
        <v>1</v>
      </c>
      <c r="DR158" s="4">
        <v>589</v>
      </c>
      <c r="DS158">
        <v>1</v>
      </c>
      <c r="DT158" s="4">
        <v>602</v>
      </c>
      <c r="DU158">
        <v>1</v>
      </c>
      <c r="DV158" s="4">
        <v>616</v>
      </c>
      <c r="DW158">
        <v>1</v>
      </c>
      <c r="DX158" s="4">
        <v>625</v>
      </c>
      <c r="DY158">
        <v>1</v>
      </c>
      <c r="DZ158" s="4">
        <v>635</v>
      </c>
      <c r="EA158">
        <v>1</v>
      </c>
      <c r="EB158" s="4">
        <v>640</v>
      </c>
      <c r="EC158">
        <v>1</v>
      </c>
      <c r="ED158" s="4">
        <v>644</v>
      </c>
      <c r="EE158">
        <v>1</v>
      </c>
      <c r="EF158" s="4">
        <v>650</v>
      </c>
      <c r="EG158">
        <v>1</v>
      </c>
      <c r="EH158" s="4">
        <v>658</v>
      </c>
      <c r="EI158">
        <v>1</v>
      </c>
      <c r="EJ158" s="4">
        <v>666</v>
      </c>
      <c r="EK158">
        <v>1</v>
      </c>
    </row>
    <row r="159" spans="1:141" x14ac:dyDescent="0.2">
      <c r="A159" t="str">
        <f>HYPERLINK("http://exon.niaid.nih.gov/transcriptome/C_felis/S1/links/cf/cf-contig_445.txt","cf-contig_445")</f>
        <v>cf-contig_445</v>
      </c>
      <c r="B159">
        <v>1</v>
      </c>
      <c r="C159" s="10" t="s">
        <v>4768</v>
      </c>
      <c r="D159">
        <v>1</v>
      </c>
      <c r="E159" t="str">
        <f>HYPERLINK("http://exon.niaid.nih.gov/transcriptome/C_felis/S1/links/cf/cf-5-36-asb-445.txt","Contig-445")</f>
        <v>Contig-445</v>
      </c>
      <c r="F159" t="str">
        <f>HYPERLINK("http://exon.niaid.nih.gov/transcriptome/C_felis/S1/links/cf/cf-5-36-445-CLU.txt","Contig445")</f>
        <v>Contig445</v>
      </c>
      <c r="G159" t="str">
        <f>HYPERLINK("http://exon.niaid.nih.gov/transcriptome/C_felis/S1/links/cf/cf-5-36-445-qual.txt","46.9")</f>
        <v>46.9</v>
      </c>
      <c r="H159" t="s">
        <v>11</v>
      </c>
      <c r="I159">
        <v>80.3</v>
      </c>
      <c r="J159">
        <v>296</v>
      </c>
      <c r="K159" t="s">
        <v>12</v>
      </c>
      <c r="L159">
        <v>1</v>
      </c>
      <c r="M159" t="s">
        <v>458</v>
      </c>
      <c r="N159">
        <v>296</v>
      </c>
      <c r="O159">
        <v>315</v>
      </c>
      <c r="P159">
        <v>150</v>
      </c>
      <c r="Q159" t="s">
        <v>1264</v>
      </c>
      <c r="R159">
        <v>2</v>
      </c>
      <c r="S159" s="7" t="s">
        <v>4585</v>
      </c>
      <c r="U159">
        <v>1</v>
      </c>
      <c r="V159" s="4">
        <f>HYPERLINK("http://exon.niaid.nih.gov/transcriptome/C_felis/S1/links/cluster/cf-5-36-asb30-50-Id-CLU78.txt", 78)</f>
        <v>78</v>
      </c>
      <c r="W159">
        <f>HYPERLINK("http://exon.niaid.nih.gov/transcriptome/C_felis/S1/links/cluster/cf-5-36-asb30-50-Id-CLTL78.txt", 2)</f>
        <v>2</v>
      </c>
      <c r="X159" s="4">
        <f>HYPERLINK("http://exon.niaid.nih.gov/transcriptome/C_felis/S1/links/cluster/cf-5-36-asb35-50-Id-CLU70.txt", 70)</f>
        <v>70</v>
      </c>
      <c r="Y159">
        <f>HYPERLINK("http://exon.niaid.nih.gov/transcriptome/C_felis/S1/links/cluster/cf-5-36-asb35-50-Id-CLTL70.txt", 2)</f>
        <v>2</v>
      </c>
      <c r="Z159" s="4">
        <f>HYPERLINK("http://exon.niaid.nih.gov/transcriptome/C_felis/S1/links/cluster/cf-5-36-asb40-50-Id-CLU64.txt", 64)</f>
        <v>64</v>
      </c>
      <c r="AA159">
        <f>HYPERLINK("http://exon.niaid.nih.gov/transcriptome/C_felis/S1/links/cluster/cf-5-36-asb40-50-Id-CLTL64.txt", 2)</f>
        <v>2</v>
      </c>
      <c r="AB159" s="4" t="str">
        <f>HYPERLINK("http://exon.niaid.nih.gov/transcriptome/C_felis/S1/links/XC-ASB/cf-contig_445-XC-ASB.txt","XC-contig_241")</f>
        <v>XC-contig_241</v>
      </c>
      <c r="AC159">
        <v>2E-3</v>
      </c>
      <c r="AD159" s="10" t="s">
        <v>4768</v>
      </c>
      <c r="AE159" t="s">
        <v>4755</v>
      </c>
      <c r="AF159" t="str">
        <f>HYPERLINK("http://exon.niaid.nih.gov/transcriptome/C_felis/S1/links/KOG/cf-contig_445-KOG.txt","KOG")</f>
        <v>KOG</v>
      </c>
      <c r="AG159" s="5">
        <v>7.0000000000000004E-25</v>
      </c>
      <c r="AH159">
        <v>30.1</v>
      </c>
      <c r="AI159" s="4" t="str">
        <f>HYPERLINK("http://exon.niaid.nih.gov/transcriptome/C_felis/S1/links/NR/cf-contig_445-NR.txt","NADH dehydrogenase subunit 1")</f>
        <v>NADH dehydrogenase subunit 1</v>
      </c>
      <c r="AJ159" t="str">
        <f>HYPERLINK("http://www.ncbi.nlm.nih.gov/sutils/blink.cgi?pid=304651517","7E-029")</f>
        <v>7E-029</v>
      </c>
      <c r="AK159" t="str">
        <f>HYPERLINK("http://www.ncbi.nlm.nih.gov/protein/304651517","gi|304651517")</f>
        <v>gi|304651517</v>
      </c>
      <c r="AL159">
        <v>130</v>
      </c>
      <c r="AM159">
        <v>87</v>
      </c>
      <c r="AN159">
        <v>313</v>
      </c>
      <c r="AO159">
        <v>68</v>
      </c>
      <c r="AP159">
        <v>28</v>
      </c>
      <c r="AQ159">
        <v>28</v>
      </c>
      <c r="AR159">
        <v>0</v>
      </c>
      <c r="AS159">
        <v>223</v>
      </c>
      <c r="AT159">
        <v>11</v>
      </c>
      <c r="AU159">
        <v>1</v>
      </c>
      <c r="AV159">
        <v>2</v>
      </c>
      <c r="AW159" t="s">
        <v>12</v>
      </c>
      <c r="AX159">
        <v>2.2989999999999999</v>
      </c>
      <c r="AY159" t="s">
        <v>1676</v>
      </c>
      <c r="AZ159" t="s">
        <v>3266</v>
      </c>
      <c r="BA159" s="4" t="str">
        <f>HYPERLINK("http://exon.niaid.nih.gov/transcriptome/C_felis/S1/links/SWISSP/cf-contig_445-SWISSP.txt","NADH-ubiquinone oxidoreductase chain 1")</f>
        <v>NADH-ubiquinone oxidoreductase chain 1</v>
      </c>
      <c r="BB159" t="str">
        <f>HYPERLINK("http://www.uniprot.org/uniprot/P34846","3E-027")</f>
        <v>3E-027</v>
      </c>
      <c r="BC159" t="s">
        <v>3267</v>
      </c>
      <c r="BD159">
        <v>120</v>
      </c>
      <c r="BE159">
        <v>87</v>
      </c>
      <c r="BF159">
        <v>314</v>
      </c>
      <c r="BG159">
        <v>65</v>
      </c>
      <c r="BH159">
        <v>28</v>
      </c>
      <c r="BI159">
        <v>30</v>
      </c>
      <c r="BJ159">
        <v>0</v>
      </c>
      <c r="BK159">
        <v>223</v>
      </c>
      <c r="BL159">
        <v>11</v>
      </c>
      <c r="BM159">
        <v>1</v>
      </c>
      <c r="BN159">
        <v>2</v>
      </c>
      <c r="BO159" t="s">
        <v>12</v>
      </c>
      <c r="BP159">
        <v>2.2989999999999999</v>
      </c>
      <c r="BQ159" t="s">
        <v>1676</v>
      </c>
      <c r="BR159" t="s">
        <v>2117</v>
      </c>
      <c r="BS159" s="4" t="str">
        <f>HYPERLINK("http://exon.niaid.nih.gov/transcriptome/C_felis/S1/links/CDD/cf-contig_445-CDD.txt","ND1")</f>
        <v>ND1</v>
      </c>
      <c r="BT159" t="str">
        <f>HYPERLINK("http://www.ncbi.nlm.nih.gov/Structure/cdd/cddsrv.cgi?uid=MTH00193&amp;version=v4.0","4E-041")</f>
        <v>4E-041</v>
      </c>
      <c r="BU159" t="s">
        <v>3268</v>
      </c>
      <c r="BV159" s="4" t="s">
        <v>3269</v>
      </c>
      <c r="BW159">
        <f>HYPERLINK("http://exon.niaid.nih.gov/transcriptome/C_felis/S1/links/GO/cf-contig_445-GO.txt",1E-23)</f>
        <v>9.9999999999999996E-24</v>
      </c>
      <c r="BX159" t="str">
        <f>HYPERLINK("http://amigo.geneontology.org/cgi-bin/amigo/term_details?term=GO:0008137","GO:0008137")</f>
        <v>GO:0008137</v>
      </c>
      <c r="BY159" t="s">
        <v>3134</v>
      </c>
      <c r="BZ159" t="s">
        <v>3135</v>
      </c>
      <c r="CA159" t="s">
        <v>3136</v>
      </c>
      <c r="CB159" t="str">
        <f>HYPERLINK("http://www.genome.jp/dbget-bin/www_bfind_sub?mode=bfind&amp;max_hit=1000&amp;dbkey=kegg&amp;keywords=EC:1.6.5.3","EC:1.6.5.3")</f>
        <v>EC:1.6.5.3</v>
      </c>
      <c r="CD159" s="5">
        <v>9.9999999999999996E-24</v>
      </c>
      <c r="CE159" t="str">
        <f>HYPERLINK("http://amigo.geneontology.org/cgi-bin/amigo/term_details?term=GO:0005747","GO:0005747")</f>
        <v>GO:0005747</v>
      </c>
      <c r="CF159" t="s">
        <v>3137</v>
      </c>
      <c r="CG159" t="s">
        <v>3138</v>
      </c>
      <c r="CH159" t="s">
        <v>42</v>
      </c>
      <c r="CI159" t="s">
        <v>42</v>
      </c>
      <c r="CK159" s="5">
        <v>9.9999999999999996E-24</v>
      </c>
      <c r="CL159" t="str">
        <f>HYPERLINK("http://amigo.geneontology.org/cgi-bin/amigo/term_details?term=GO:0055114","GO:0055114")</f>
        <v>GO:0055114</v>
      </c>
      <c r="CM159" t="s">
        <v>3270</v>
      </c>
      <c r="CN159" t="s">
        <v>3271</v>
      </c>
      <c r="CO159" t="s">
        <v>3272</v>
      </c>
      <c r="CP159" t="s">
        <v>42</v>
      </c>
      <c r="CR159" s="5">
        <v>9.9999999999999996E-24</v>
      </c>
      <c r="CS159" s="4" t="str">
        <f>HYPERLINK("http://exon.niaid.nih.gov/transcriptome/C_felis/S1/links/KOG/cf-contig_445-KOG.txt","NADH dehydrogenase subunit 1")</f>
        <v>NADH dehydrogenase subunit 1</v>
      </c>
      <c r="CT159" t="str">
        <f>HYPERLINK("http://www.ncbi.nlm.nih.gov/COG/grace/shokog.cgi?KOG4770","7E-025")</f>
        <v>7E-025</v>
      </c>
      <c r="CU159" t="s">
        <v>1793</v>
      </c>
      <c r="CV159" s="4" t="str">
        <f>HYPERLINK("http://exon.niaid.nih.gov/transcriptome/C_felis/S1/links/PFAM/cf-contig_445-PFAM.txt","NADHdh")</f>
        <v>NADHdh</v>
      </c>
      <c r="CW159" t="str">
        <f>HYPERLINK("http://pfam.sanger.ac.uk/family?acc=PF00146","1E-028")</f>
        <v>1E-028</v>
      </c>
      <c r="CX159" s="4" t="str">
        <f>HYPERLINK("http://exon.niaid.nih.gov/transcriptome/C_felis/S1/links/SMART/cf-contig_445-SMART.txt","AgrB")</f>
        <v>AgrB</v>
      </c>
      <c r="CY159" t="str">
        <f>HYPERLINK("http://smart.embl-heidelberg.de/smart/do_annotation.pl?DOMAIN=AgrB&amp;BLAST=DUMMY","0.007")</f>
        <v>0.007</v>
      </c>
      <c r="CZ159" s="4" t="s">
        <v>42</v>
      </c>
      <c r="DA159" t="s">
        <v>42</v>
      </c>
      <c r="DB159" t="s">
        <v>42</v>
      </c>
      <c r="DC159" t="s">
        <v>42</v>
      </c>
      <c r="DD159" t="s">
        <v>42</v>
      </c>
      <c r="DE159" t="s">
        <v>42</v>
      </c>
      <c r="DF159" t="s">
        <v>42</v>
      </c>
      <c r="DG159" t="s">
        <v>42</v>
      </c>
      <c r="DH159" s="4" t="str">
        <f>HYPERLINK("http://exon.niaid.nih.gov/transcriptome/C_felis/S1/links/MIT-PLA/cf-contig_445-MIT-PLA.txt","Anopheles funestus mitochondrion, complete genome")</f>
        <v>Anopheles funestus mitochondrion, complete genome</v>
      </c>
      <c r="DI159" t="str">
        <f>HYPERLINK("http://www.ncbi.nlm.nih.gov/entrez/viewer.fcgi?db=nucleotide&amp;val=89258001","9E-017")</f>
        <v>9E-017</v>
      </c>
      <c r="DJ159" s="4" t="s">
        <v>42</v>
      </c>
      <c r="DK159" t="s">
        <v>42</v>
      </c>
      <c r="DL159" s="4">
        <f>HYPERLINK("http://exon.niaid.nih.gov/transcriptome/C_felis/S1/links/cluster/cf-5-36-asb30-50-Id-CLU78.txt", 78)</f>
        <v>78</v>
      </c>
      <c r="DM159">
        <f>HYPERLINK("http://exon.niaid.nih.gov/transcriptome/C_felis/S1/links/cluster/cf-5-36-asb30-50-Id-CLTL78.txt", 2)</f>
        <v>2</v>
      </c>
      <c r="DN159" s="4">
        <f>HYPERLINK("http://exon.niaid.nih.gov/transcriptome/C_felis/S1/links/cluster/cf-5-36-asb35-50-Id-CLU70.txt", 70)</f>
        <v>70</v>
      </c>
      <c r="DO159">
        <f>HYPERLINK("http://exon.niaid.nih.gov/transcriptome/C_felis/S1/links/cluster/cf-5-36-asb35-50-Id-CLTL70.txt", 2)</f>
        <v>2</v>
      </c>
      <c r="DP159" s="4">
        <f>HYPERLINK("http://exon.niaid.nih.gov/transcriptome/C_felis/S1/links/cluster/cf-5-36-asb40-50-Id-CLU64.txt", 64)</f>
        <v>64</v>
      </c>
      <c r="DQ159">
        <f>HYPERLINK("http://exon.niaid.nih.gov/transcriptome/C_felis/S1/links/cluster/cf-5-36-asb40-50-Id-CLTL64.txt", 2)</f>
        <v>2</v>
      </c>
      <c r="DR159" s="4">
        <f>HYPERLINK("http://exon.niaid.nih.gov/transcriptome/C_felis/S1/links/cluster/cf-5-36-asb45-50-Id-CLU52.txt", 52)</f>
        <v>52</v>
      </c>
      <c r="DS159">
        <f>HYPERLINK("http://exon.niaid.nih.gov/transcriptome/C_felis/S1/links/cluster/cf-5-36-asb45-50-Id-CLTL52.txt", 2)</f>
        <v>2</v>
      </c>
      <c r="DT159" s="4">
        <f>HYPERLINK("http://exon.niaid.nih.gov/transcriptome/C_felis/S1/links/cluster/cf-5-36-asb50-50-Id-CLU45.txt", 45)</f>
        <v>45</v>
      </c>
      <c r="DU159">
        <f>HYPERLINK("http://exon.niaid.nih.gov/transcriptome/C_felis/S1/links/cluster/cf-5-36-asb50-50-Id-CLTL45.txt", 2)</f>
        <v>2</v>
      </c>
      <c r="DV159" s="4">
        <f>HYPERLINK("http://exon.niaid.nih.gov/transcriptome/C_felis/S1/links/cluster/cf-5-36-asb55-50-Id-CLU41.txt", 41)</f>
        <v>41</v>
      </c>
      <c r="DW159">
        <f>HYPERLINK("http://exon.niaid.nih.gov/transcriptome/C_felis/S1/links/cluster/cf-5-36-asb55-50-Id-CLTL41.txt", 2)</f>
        <v>2</v>
      </c>
      <c r="DX159" s="4">
        <f>HYPERLINK("http://exon.niaid.nih.gov/transcriptome/C_felis/S1/links/cluster/cf-5-36-asb60-50-Id-CLU37.txt", 37)</f>
        <v>37</v>
      </c>
      <c r="DY159">
        <f>HYPERLINK("http://exon.niaid.nih.gov/transcriptome/C_felis/S1/links/cluster/cf-5-36-asb60-50-Id-CLTL37.txt", 2)</f>
        <v>2</v>
      </c>
      <c r="DZ159" s="4">
        <f>HYPERLINK("http://exon.niaid.nih.gov/transcriptome/C_felis/S1/links/cluster/cf-5-36-asb65-50-Id-CLU31.txt", 31)</f>
        <v>31</v>
      </c>
      <c r="EA159">
        <f>HYPERLINK("http://exon.niaid.nih.gov/transcriptome/C_felis/S1/links/cluster/cf-5-36-asb65-50-Id-CLTL31.txt", 2)</f>
        <v>2</v>
      </c>
      <c r="EB159" s="4">
        <f>HYPERLINK("http://exon.niaid.nih.gov/transcriptome/C_felis/S1/links/cluster/cf-5-36-asb70-50-Id-CLU26.txt", 26)</f>
        <v>26</v>
      </c>
      <c r="EC159">
        <f>HYPERLINK("http://exon.niaid.nih.gov/transcriptome/C_felis/S1/links/cluster/cf-5-36-asb70-50-Id-CLTL26.txt", 2)</f>
        <v>2</v>
      </c>
      <c r="ED159" s="4">
        <f>HYPERLINK("http://exon.niaid.nih.gov/transcriptome/C_felis/S1/links/cluster/cf-5-36-asb75-50-Id-CLU22.txt", 22)</f>
        <v>22</v>
      </c>
      <c r="EE159">
        <f>HYPERLINK("http://exon.niaid.nih.gov/transcriptome/C_felis/S1/links/cluster/cf-5-36-asb75-50-Id-CLTL22.txt", 2)</f>
        <v>2</v>
      </c>
      <c r="EF159" s="4">
        <f>HYPERLINK("http://exon.niaid.nih.gov/transcriptome/C_felis/S1/links/cluster/cf-5-36-asb80-50-Id-CLU15.txt", 15)</f>
        <v>15</v>
      </c>
      <c r="EG159">
        <f>HYPERLINK("http://exon.niaid.nih.gov/transcriptome/C_felis/S1/links/cluster/cf-5-36-asb80-50-Id-CLTL15.txt", 2)</f>
        <v>2</v>
      </c>
      <c r="EH159" s="4">
        <v>439</v>
      </c>
      <c r="EI159">
        <v>1</v>
      </c>
      <c r="EJ159" s="4">
        <v>445</v>
      </c>
      <c r="EK159">
        <v>1</v>
      </c>
    </row>
    <row r="160" spans="1:141" x14ac:dyDescent="0.2">
      <c r="A160" t="str">
        <f>HYPERLINK("http://exon.niaid.nih.gov/transcriptome/C_felis/S1/links/cf/cf-contig_696.txt","cf-contig_696")</f>
        <v>cf-contig_696</v>
      </c>
      <c r="B160">
        <v>1</v>
      </c>
      <c r="C160" s="10" t="s">
        <v>4768</v>
      </c>
      <c r="D160">
        <v>1</v>
      </c>
      <c r="E160" t="str">
        <f>HYPERLINK("http://exon.niaid.nih.gov/transcriptome/C_felis/S1/links/cf/cf-5-36-asb-696.txt","Contig-696")</f>
        <v>Contig-696</v>
      </c>
      <c r="F160" t="str">
        <f>HYPERLINK("http://exon.niaid.nih.gov/transcriptome/C_felis/S1/links/cf/cf-5-36-696-CLU.txt","Contig696")</f>
        <v>Contig696</v>
      </c>
      <c r="G160" t="str">
        <f>HYPERLINK("http://exon.niaid.nih.gov/transcriptome/C_felis/S1/links/cf/cf-5-36-696-qual.txt","60.2")</f>
        <v>60.2</v>
      </c>
      <c r="H160" t="s">
        <v>11</v>
      </c>
      <c r="I160">
        <v>78.5</v>
      </c>
      <c r="J160">
        <v>283</v>
      </c>
      <c r="K160" t="s">
        <v>12</v>
      </c>
      <c r="L160">
        <v>1</v>
      </c>
      <c r="M160" t="s">
        <v>709</v>
      </c>
      <c r="N160">
        <v>283</v>
      </c>
      <c r="O160">
        <v>302</v>
      </c>
      <c r="P160">
        <v>153</v>
      </c>
      <c r="Q160" t="s">
        <v>1515</v>
      </c>
      <c r="R160">
        <v>2</v>
      </c>
      <c r="S160" s="7" t="s">
        <v>4585</v>
      </c>
      <c r="U160">
        <v>1</v>
      </c>
      <c r="V160" s="4">
        <f>HYPERLINK("http://exon.niaid.nih.gov/transcriptome/C_felis/S1/links/cluster/cf-5-36-asb30-50-Id-CLU78.txt", 78)</f>
        <v>78</v>
      </c>
      <c r="W160">
        <f>HYPERLINK("http://exon.niaid.nih.gov/transcriptome/C_felis/S1/links/cluster/cf-5-36-asb30-50-Id-CLTL78.txt", 2)</f>
        <v>2</v>
      </c>
      <c r="X160" s="4">
        <f>HYPERLINK("http://exon.niaid.nih.gov/transcriptome/C_felis/S1/links/cluster/cf-5-36-asb35-50-Id-CLU70.txt", 70)</f>
        <v>70</v>
      </c>
      <c r="Y160">
        <f>HYPERLINK("http://exon.niaid.nih.gov/transcriptome/C_felis/S1/links/cluster/cf-5-36-asb35-50-Id-CLTL70.txt", 2)</f>
        <v>2</v>
      </c>
      <c r="Z160" s="4">
        <f>HYPERLINK("http://exon.niaid.nih.gov/transcriptome/C_felis/S1/links/cluster/cf-5-36-asb40-50-Id-CLU64.txt", 64)</f>
        <v>64</v>
      </c>
      <c r="AA160">
        <f>HYPERLINK("http://exon.niaid.nih.gov/transcriptome/C_felis/S1/links/cluster/cf-5-36-asb40-50-Id-CLTL64.txt", 2)</f>
        <v>2</v>
      </c>
      <c r="AB160" s="4" t="str">
        <f>HYPERLINK("http://exon.niaid.nih.gov/transcriptome/C_felis/S1/links/XC-ASB/cf-contig_696-XC-ASB.txt","XC-contig_173")</f>
        <v>XC-contig_173</v>
      </c>
      <c r="AC160">
        <v>0.03</v>
      </c>
      <c r="AD160" s="10" t="s">
        <v>4768</v>
      </c>
      <c r="AE160" t="s">
        <v>4755</v>
      </c>
      <c r="AF160" t="str">
        <f>HYPERLINK("http://exon.niaid.nih.gov/transcriptome/C_felis/S1/links/KOG/cf-contig_696-KOG.txt","KOG")</f>
        <v>KOG</v>
      </c>
      <c r="AG160" s="5">
        <v>1E-25</v>
      </c>
      <c r="AH160">
        <v>30.1</v>
      </c>
      <c r="AI160" s="4" t="str">
        <f>HYPERLINK("http://exon.niaid.nih.gov/transcriptome/C_felis/S1/links/NR/cf-contig_696-NR.txt","NADH dehydrogenase subunit 1")</f>
        <v>NADH dehydrogenase subunit 1</v>
      </c>
      <c r="AJ160" t="str">
        <f>HYPERLINK("http://www.ncbi.nlm.nih.gov/sutils/blink.cgi?pid=208433772","6E-029")</f>
        <v>6E-029</v>
      </c>
      <c r="AK160" t="str">
        <f>HYPERLINK("http://www.ncbi.nlm.nih.gov/protein/208433772","gi|208433772")</f>
        <v>gi|208433772</v>
      </c>
      <c r="AL160">
        <v>130</v>
      </c>
      <c r="AM160">
        <v>86</v>
      </c>
      <c r="AN160">
        <v>316</v>
      </c>
      <c r="AO160">
        <v>67</v>
      </c>
      <c r="AP160">
        <v>28</v>
      </c>
      <c r="AQ160">
        <v>28</v>
      </c>
      <c r="AR160">
        <v>0</v>
      </c>
      <c r="AS160">
        <v>225</v>
      </c>
      <c r="AT160">
        <v>14</v>
      </c>
      <c r="AU160">
        <v>1</v>
      </c>
      <c r="AV160">
        <v>2</v>
      </c>
      <c r="AW160" t="s">
        <v>12</v>
      </c>
      <c r="AX160">
        <v>2.3260000000000001</v>
      </c>
      <c r="AY160" t="s">
        <v>1676</v>
      </c>
      <c r="AZ160" t="s">
        <v>4193</v>
      </c>
      <c r="BA160" s="4" t="str">
        <f>HYPERLINK("http://exon.niaid.nih.gov/transcriptome/C_felis/S1/links/SWISSP/cf-contig_696-SWISSP.txt","NADH-ubiquinone oxidoreductase chain 1")</f>
        <v>NADH-ubiquinone oxidoreductase chain 1</v>
      </c>
      <c r="BB160" t="str">
        <f>HYPERLINK("http://www.uniprot.org/uniprot/P33502","5E-027")</f>
        <v>5E-027</v>
      </c>
      <c r="BC160" t="s">
        <v>4194</v>
      </c>
      <c r="BD160">
        <v>119</v>
      </c>
      <c r="BE160">
        <v>87</v>
      </c>
      <c r="BF160">
        <v>314</v>
      </c>
      <c r="BG160">
        <v>64</v>
      </c>
      <c r="BH160">
        <v>28</v>
      </c>
      <c r="BI160">
        <v>31</v>
      </c>
      <c r="BJ160">
        <v>0</v>
      </c>
      <c r="BK160">
        <v>223</v>
      </c>
      <c r="BL160">
        <v>14</v>
      </c>
      <c r="BM160">
        <v>1</v>
      </c>
      <c r="BN160">
        <v>2</v>
      </c>
      <c r="BO160" t="s">
        <v>12</v>
      </c>
      <c r="BP160">
        <v>2.2989999999999999</v>
      </c>
      <c r="BQ160" t="s">
        <v>1676</v>
      </c>
      <c r="BR160" t="s">
        <v>3639</v>
      </c>
      <c r="BS160" s="4" t="str">
        <f>HYPERLINK("http://exon.niaid.nih.gov/transcriptome/C_felis/S1/links/CDD/cf-contig_696-CDD.txt","ND1")</f>
        <v>ND1</v>
      </c>
      <c r="BT160" t="str">
        <f>HYPERLINK("http://www.ncbi.nlm.nih.gov/Structure/cdd/cddsrv.cgi?uid=MTH00193&amp;version=v4.0","9E-043")</f>
        <v>9E-043</v>
      </c>
      <c r="BU160" t="s">
        <v>4195</v>
      </c>
      <c r="BV160" s="4" t="s">
        <v>3269</v>
      </c>
      <c r="BW160">
        <f>HYPERLINK("http://exon.niaid.nih.gov/transcriptome/C_felis/S1/links/GO/cf-contig_696-GO.txt",1E-24)</f>
        <v>9.9999999999999992E-25</v>
      </c>
      <c r="BX160" t="str">
        <f>HYPERLINK("http://amigo.geneontology.org/cgi-bin/amigo/term_details?term=GO:0008137","GO:0008137")</f>
        <v>GO:0008137</v>
      </c>
      <c r="BY160" t="s">
        <v>3134</v>
      </c>
      <c r="BZ160" t="s">
        <v>3135</v>
      </c>
      <c r="CA160" t="s">
        <v>3136</v>
      </c>
      <c r="CB160" t="str">
        <f>HYPERLINK("http://www.genome.jp/dbget-bin/www_bfind_sub?mode=bfind&amp;max_hit=1000&amp;dbkey=kegg&amp;keywords=EC:1.6.5.3","EC:1.6.5.3")</f>
        <v>EC:1.6.5.3</v>
      </c>
      <c r="CD160" s="5">
        <v>9.9999999999999992E-25</v>
      </c>
      <c r="CE160" t="str">
        <f>HYPERLINK("http://amigo.geneontology.org/cgi-bin/amigo/term_details?term=GO:0005747","GO:0005747")</f>
        <v>GO:0005747</v>
      </c>
      <c r="CF160" t="s">
        <v>3137</v>
      </c>
      <c r="CG160" t="s">
        <v>3138</v>
      </c>
      <c r="CH160" t="s">
        <v>42</v>
      </c>
      <c r="CI160" t="s">
        <v>42</v>
      </c>
      <c r="CK160" s="5">
        <v>9.9999999999999992E-25</v>
      </c>
      <c r="CL160" t="str">
        <f>HYPERLINK("http://amigo.geneontology.org/cgi-bin/amigo/term_details?term=GO:0055114","GO:0055114")</f>
        <v>GO:0055114</v>
      </c>
      <c r="CM160" t="s">
        <v>3270</v>
      </c>
      <c r="CN160" t="s">
        <v>3271</v>
      </c>
      <c r="CO160" t="s">
        <v>3272</v>
      </c>
      <c r="CP160" t="s">
        <v>42</v>
      </c>
      <c r="CR160" s="5">
        <v>9.9999999999999992E-25</v>
      </c>
      <c r="CS160" s="4" t="str">
        <f>HYPERLINK("http://exon.niaid.nih.gov/transcriptome/C_felis/S1/links/KOG/cf-contig_696-KOG.txt","NADH dehydrogenase subunit 1")</f>
        <v>NADH dehydrogenase subunit 1</v>
      </c>
      <c r="CT160" t="str">
        <f>HYPERLINK("http://www.ncbi.nlm.nih.gov/COG/grace/shokog.cgi?KOG4770","1E-025")</f>
        <v>1E-025</v>
      </c>
      <c r="CU160" t="s">
        <v>1793</v>
      </c>
      <c r="CV160" s="4" t="str">
        <f>HYPERLINK("http://exon.niaid.nih.gov/transcriptome/C_felis/S1/links/PFAM/cf-contig_696-PFAM.txt","NADHdh")</f>
        <v>NADHdh</v>
      </c>
      <c r="CW160" t="str">
        <f>HYPERLINK("http://pfam.sanger.ac.uk/family?acc=PF00146","3E-030")</f>
        <v>3E-030</v>
      </c>
      <c r="CX160" s="4" t="str">
        <f>HYPERLINK("http://exon.niaid.nih.gov/transcriptome/C_felis/S1/links/SMART/cf-contig_696-SMART.txt","PSN")</f>
        <v>PSN</v>
      </c>
      <c r="CY160" t="str">
        <f>HYPERLINK("http://smart.embl-heidelberg.de/smart/do_annotation.pl?DOMAIN=PSN&amp;BLAST=DUMMY","0.008")</f>
        <v>0.008</v>
      </c>
      <c r="CZ160" s="4" t="s">
        <v>42</v>
      </c>
      <c r="DA160" t="s">
        <v>42</v>
      </c>
      <c r="DB160" t="s">
        <v>42</v>
      </c>
      <c r="DC160" t="s">
        <v>42</v>
      </c>
      <c r="DD160" t="s">
        <v>42</v>
      </c>
      <c r="DE160" t="s">
        <v>42</v>
      </c>
      <c r="DF160" t="s">
        <v>42</v>
      </c>
      <c r="DG160" t="s">
        <v>42</v>
      </c>
      <c r="DH160" s="4" t="str">
        <f>HYPERLINK("http://exon.niaid.nih.gov/transcriptome/C_felis/S1/links/MIT-PLA/cf-contig_696-MIT-PLA.txt","Anopheles funestus mitochondrion, complete genome")</f>
        <v>Anopheles funestus mitochondrion, complete genome</v>
      </c>
      <c r="DI160" t="str">
        <f>HYPERLINK("http://www.ncbi.nlm.nih.gov/entrez/viewer.fcgi?db=nucleotide&amp;val=89258001","4E-019")</f>
        <v>4E-019</v>
      </c>
      <c r="DJ160" s="4" t="s">
        <v>42</v>
      </c>
      <c r="DK160" t="s">
        <v>42</v>
      </c>
      <c r="DL160" s="4">
        <f>HYPERLINK("http://exon.niaid.nih.gov/transcriptome/C_felis/S1/links/cluster/cf-5-36-asb30-50-Id-CLU78.txt", 78)</f>
        <v>78</v>
      </c>
      <c r="DM160">
        <f>HYPERLINK("http://exon.niaid.nih.gov/transcriptome/C_felis/S1/links/cluster/cf-5-36-asb30-50-Id-CLTL78.txt", 2)</f>
        <v>2</v>
      </c>
      <c r="DN160" s="4">
        <f>HYPERLINK("http://exon.niaid.nih.gov/transcriptome/C_felis/S1/links/cluster/cf-5-36-asb35-50-Id-CLU70.txt", 70)</f>
        <v>70</v>
      </c>
      <c r="DO160">
        <f>HYPERLINK("http://exon.niaid.nih.gov/transcriptome/C_felis/S1/links/cluster/cf-5-36-asb35-50-Id-CLTL70.txt", 2)</f>
        <v>2</v>
      </c>
      <c r="DP160" s="4">
        <f>HYPERLINK("http://exon.niaid.nih.gov/transcriptome/C_felis/S1/links/cluster/cf-5-36-asb40-50-Id-CLU64.txt", 64)</f>
        <v>64</v>
      </c>
      <c r="DQ160">
        <f>HYPERLINK("http://exon.niaid.nih.gov/transcriptome/C_felis/S1/links/cluster/cf-5-36-asb40-50-Id-CLTL64.txt", 2)</f>
        <v>2</v>
      </c>
      <c r="DR160" s="4">
        <f>HYPERLINK("http://exon.niaid.nih.gov/transcriptome/C_felis/S1/links/cluster/cf-5-36-asb45-50-Id-CLU52.txt", 52)</f>
        <v>52</v>
      </c>
      <c r="DS160">
        <f>HYPERLINK("http://exon.niaid.nih.gov/transcriptome/C_felis/S1/links/cluster/cf-5-36-asb45-50-Id-CLTL52.txt", 2)</f>
        <v>2</v>
      </c>
      <c r="DT160" s="4">
        <f>HYPERLINK("http://exon.niaid.nih.gov/transcriptome/C_felis/S1/links/cluster/cf-5-36-asb50-50-Id-CLU45.txt", 45)</f>
        <v>45</v>
      </c>
      <c r="DU160">
        <f>HYPERLINK("http://exon.niaid.nih.gov/transcriptome/C_felis/S1/links/cluster/cf-5-36-asb50-50-Id-CLTL45.txt", 2)</f>
        <v>2</v>
      </c>
      <c r="DV160" s="4">
        <f>HYPERLINK("http://exon.niaid.nih.gov/transcriptome/C_felis/S1/links/cluster/cf-5-36-asb55-50-Id-CLU41.txt", 41)</f>
        <v>41</v>
      </c>
      <c r="DW160">
        <f>HYPERLINK("http://exon.niaid.nih.gov/transcriptome/C_felis/S1/links/cluster/cf-5-36-asb55-50-Id-CLTL41.txt", 2)</f>
        <v>2</v>
      </c>
      <c r="DX160" s="4">
        <f>HYPERLINK("http://exon.niaid.nih.gov/transcriptome/C_felis/S1/links/cluster/cf-5-36-asb60-50-Id-CLU37.txt", 37)</f>
        <v>37</v>
      </c>
      <c r="DY160">
        <f>HYPERLINK("http://exon.niaid.nih.gov/transcriptome/C_felis/S1/links/cluster/cf-5-36-asb60-50-Id-CLTL37.txt", 2)</f>
        <v>2</v>
      </c>
      <c r="DZ160" s="4">
        <f>HYPERLINK("http://exon.niaid.nih.gov/transcriptome/C_felis/S1/links/cluster/cf-5-36-asb65-50-Id-CLU31.txt", 31)</f>
        <v>31</v>
      </c>
      <c r="EA160">
        <f>HYPERLINK("http://exon.niaid.nih.gov/transcriptome/C_felis/S1/links/cluster/cf-5-36-asb65-50-Id-CLTL31.txt", 2)</f>
        <v>2</v>
      </c>
      <c r="EB160" s="4">
        <f>HYPERLINK("http://exon.niaid.nih.gov/transcriptome/C_felis/S1/links/cluster/cf-5-36-asb70-50-Id-CLU26.txt", 26)</f>
        <v>26</v>
      </c>
      <c r="EC160">
        <f>HYPERLINK("http://exon.niaid.nih.gov/transcriptome/C_felis/S1/links/cluster/cf-5-36-asb70-50-Id-CLTL26.txt", 2)</f>
        <v>2</v>
      </c>
      <c r="ED160" s="4">
        <f>HYPERLINK("http://exon.niaid.nih.gov/transcriptome/C_felis/S1/links/cluster/cf-5-36-asb75-50-Id-CLU22.txt", 22)</f>
        <v>22</v>
      </c>
      <c r="EE160">
        <f>HYPERLINK("http://exon.niaid.nih.gov/transcriptome/C_felis/S1/links/cluster/cf-5-36-asb75-50-Id-CLTL22.txt", 2)</f>
        <v>2</v>
      </c>
      <c r="EF160" s="4">
        <f>HYPERLINK("http://exon.niaid.nih.gov/transcriptome/C_felis/S1/links/cluster/cf-5-36-asb80-50-Id-CLU15.txt", 15)</f>
        <v>15</v>
      </c>
      <c r="EG160">
        <f>HYPERLINK("http://exon.niaid.nih.gov/transcriptome/C_felis/S1/links/cluster/cf-5-36-asb80-50-Id-CLTL15.txt", 2)</f>
        <v>2</v>
      </c>
      <c r="EH160" s="4">
        <v>687</v>
      </c>
      <c r="EI160">
        <v>1</v>
      </c>
      <c r="EJ160" s="4">
        <v>696</v>
      </c>
      <c r="EK160">
        <v>1</v>
      </c>
    </row>
    <row r="161" spans="1:141" x14ac:dyDescent="0.2">
      <c r="A161" t="str">
        <f>HYPERLINK("http://exon.niaid.nih.gov/transcriptome/C_felis/S1/links/cf/cf-contig_412.txt","cf-contig_412")</f>
        <v>cf-contig_412</v>
      </c>
      <c r="B161">
        <v>1</v>
      </c>
      <c r="C161" s="10" t="s">
        <v>4759</v>
      </c>
      <c r="D161">
        <v>1</v>
      </c>
      <c r="E161" t="str">
        <f>HYPERLINK("http://exon.niaid.nih.gov/transcriptome/C_felis/S1/links/cf/cf-5-36-asb-412.txt","Contig-412")</f>
        <v>Contig-412</v>
      </c>
      <c r="F161" t="str">
        <f>HYPERLINK("http://exon.niaid.nih.gov/transcriptome/C_felis/S1/links/cf/cf-5-36-412-CLU.txt","Contig412")</f>
        <v>Contig412</v>
      </c>
      <c r="G161" t="str">
        <f>HYPERLINK("http://exon.niaid.nih.gov/transcriptome/C_felis/S1/links/cf/cf-5-36-412-qual.txt","58.7")</f>
        <v>58.7</v>
      </c>
      <c r="H161" t="s">
        <v>11</v>
      </c>
      <c r="I161">
        <v>86.6</v>
      </c>
      <c r="J161">
        <v>526</v>
      </c>
      <c r="K161" t="s">
        <v>12</v>
      </c>
      <c r="L161">
        <v>1</v>
      </c>
      <c r="M161" t="s">
        <v>425</v>
      </c>
      <c r="N161">
        <v>526</v>
      </c>
      <c r="O161">
        <v>545</v>
      </c>
      <c r="P161">
        <v>180</v>
      </c>
      <c r="Q161" t="s">
        <v>1232</v>
      </c>
      <c r="R161">
        <v>3</v>
      </c>
      <c r="S161" s="7" t="s">
        <v>4585</v>
      </c>
      <c r="U161">
        <v>1</v>
      </c>
      <c r="V161" s="4">
        <v>336</v>
      </c>
      <c r="W161">
        <v>1</v>
      </c>
      <c r="X161" s="4">
        <v>344</v>
      </c>
      <c r="Y161">
        <v>1</v>
      </c>
      <c r="Z161" s="4">
        <v>347</v>
      </c>
      <c r="AA161">
        <v>1</v>
      </c>
      <c r="AB161" s="4" t="str">
        <f>HYPERLINK("http://exon.niaid.nih.gov/transcriptome/C_felis/S1/links/XC-ASB/cf-contig_412-XC-ASB.txt","XC-contig_122")</f>
        <v>XC-contig_122</v>
      </c>
      <c r="AC161">
        <v>5.0000000000000001E-3</v>
      </c>
      <c r="AD161" s="10" t="s">
        <v>4759</v>
      </c>
      <c r="AE161" t="s">
        <v>4755</v>
      </c>
      <c r="AF161" t="str">
        <f>HYPERLINK("http://exon.niaid.nih.gov/transcriptome/C_felis/S1/links/GO/cf-contig_412-GO.txt","GO")</f>
        <v>GO</v>
      </c>
      <c r="AG161">
        <v>7.0000000000000001E-12</v>
      </c>
      <c r="AH161">
        <v>30.2</v>
      </c>
      <c r="AI161" s="4" t="str">
        <f>HYPERLINK("http://exon.niaid.nih.gov/transcriptome/C_felis/S1/links/NR/cf-contig_412-NR.txt","NADH dehydrogenase subunit 2 (mitochondrion)")</f>
        <v>NADH dehydrogenase subunit 2 (mitochondrion)</v>
      </c>
      <c r="AJ161" t="str">
        <f>HYPERLINK("http://www.ncbi.nlm.nih.gov/sutils/blink.cgi?pid=351000171","5E-025")</f>
        <v>5E-025</v>
      </c>
      <c r="AK161" t="str">
        <f>HYPERLINK("http://www.ncbi.nlm.nih.gov/protein/351000171","gi|351000171")</f>
        <v>gi|351000171</v>
      </c>
      <c r="AL161">
        <v>118</v>
      </c>
      <c r="AM161">
        <v>273</v>
      </c>
      <c r="AN161">
        <v>337</v>
      </c>
      <c r="AO161">
        <v>41</v>
      </c>
      <c r="AP161">
        <v>81</v>
      </c>
      <c r="AQ161">
        <v>90</v>
      </c>
      <c r="AR161">
        <v>2</v>
      </c>
      <c r="AS161">
        <v>62</v>
      </c>
      <c r="AT161">
        <v>5</v>
      </c>
      <c r="AU161">
        <v>3</v>
      </c>
      <c r="AV161">
        <v>3</v>
      </c>
      <c r="AW161" t="s">
        <v>1689</v>
      </c>
      <c r="AX161">
        <v>1.4650000000000001</v>
      </c>
      <c r="AY161" t="s">
        <v>1676</v>
      </c>
      <c r="AZ161" t="s">
        <v>3129</v>
      </c>
      <c r="BA161" s="4" t="str">
        <f>HYPERLINK("http://exon.niaid.nih.gov/transcriptome/C_felis/S1/links/SWISSP/cf-contig_412-SWISSP.txt","NADH-ubiquinone oxidoreductase chain 2 (Fragment)")</f>
        <v>NADH-ubiquinone oxidoreductase chain 2 (Fragment)</v>
      </c>
      <c r="BB161" t="str">
        <f>HYPERLINK("http://www.uniprot.org/uniprot/Q33636","2E-023")</f>
        <v>2E-023</v>
      </c>
      <c r="BC161" t="s">
        <v>3130</v>
      </c>
      <c r="BD161">
        <v>108</v>
      </c>
      <c r="BE161">
        <v>155</v>
      </c>
      <c r="BF161">
        <v>170</v>
      </c>
      <c r="BG161">
        <v>37</v>
      </c>
      <c r="BH161">
        <v>92</v>
      </c>
      <c r="BI161">
        <v>97</v>
      </c>
      <c r="BJ161">
        <v>5</v>
      </c>
      <c r="BK161">
        <v>2</v>
      </c>
      <c r="BL161">
        <v>42</v>
      </c>
      <c r="BM161">
        <v>1</v>
      </c>
      <c r="BN161">
        <v>3</v>
      </c>
      <c r="BO161" t="s">
        <v>12</v>
      </c>
      <c r="BP161">
        <v>2.581</v>
      </c>
      <c r="BQ161" t="s">
        <v>1676</v>
      </c>
      <c r="BR161" t="s">
        <v>3131</v>
      </c>
      <c r="BS161" s="4" t="str">
        <f>HYPERLINK("http://exon.niaid.nih.gov/transcriptome/C_felis/S1/links/CDD/cf-contig_412-CDD.txt","ND2")</f>
        <v>ND2</v>
      </c>
      <c r="BT161" t="str">
        <f>HYPERLINK("http://www.ncbi.nlm.nih.gov/Structure/cdd/cddsrv.cgi?uid=MTH00160&amp;version=v4.0","3E-045")</f>
        <v>3E-045</v>
      </c>
      <c r="BU161" t="s">
        <v>3132</v>
      </c>
      <c r="BV161" s="4" t="s">
        <v>3133</v>
      </c>
      <c r="BW161">
        <f>HYPERLINK("http://exon.niaid.nih.gov/transcriptome/C_felis/S1/links/GO/cf-contig_412-GO.txt",1E-22)</f>
        <v>1E-22</v>
      </c>
      <c r="BX161" t="str">
        <f>HYPERLINK("http://amigo.geneontology.org/cgi-bin/amigo/term_details?term=GO:0008137","GO:0008137")</f>
        <v>GO:0008137</v>
      </c>
      <c r="BY161" t="s">
        <v>3134</v>
      </c>
      <c r="BZ161" t="s">
        <v>3135</v>
      </c>
      <c r="CA161" t="s">
        <v>3136</v>
      </c>
      <c r="CB161" t="str">
        <f>HYPERLINK("http://www.genome.jp/dbget-bin/www_bfind_sub?mode=bfind&amp;max_hit=1000&amp;dbkey=kegg&amp;keywords=EC:1.6.5.3","EC:1.6.5.3")</f>
        <v>EC:1.6.5.3</v>
      </c>
      <c r="CD161" s="5">
        <v>1E-22</v>
      </c>
      <c r="CE161" t="str">
        <f>HYPERLINK("http://amigo.geneontology.org/cgi-bin/amigo/term_details?term=GO:0005747","GO:0005747")</f>
        <v>GO:0005747</v>
      </c>
      <c r="CF161" t="s">
        <v>3137</v>
      </c>
      <c r="CG161" t="s">
        <v>3138</v>
      </c>
      <c r="CH161" t="s">
        <v>42</v>
      </c>
      <c r="CI161" t="s">
        <v>42</v>
      </c>
      <c r="CK161" s="5">
        <v>1E-22</v>
      </c>
      <c r="CL161" t="str">
        <f>HYPERLINK("http://amigo.geneontology.org/cgi-bin/amigo/term_details?term=GO:0006120","GO:0006120")</f>
        <v>GO:0006120</v>
      </c>
      <c r="CM161" t="s">
        <v>3139</v>
      </c>
      <c r="CN161" t="s">
        <v>3140</v>
      </c>
      <c r="CO161" t="s">
        <v>3141</v>
      </c>
      <c r="CP161" t="s">
        <v>42</v>
      </c>
      <c r="CR161" s="5">
        <v>1E-22</v>
      </c>
      <c r="CS161" s="4" t="str">
        <f>HYPERLINK("http://exon.niaid.nih.gov/transcriptome/C_felis/S1/links/KOG/cf-contig_412-KOG.txt","NADH dehydrogenase subunits 2, 5, and related proteins")</f>
        <v>NADH dehydrogenase subunits 2, 5, and related proteins</v>
      </c>
      <c r="CT161" t="str">
        <f>HYPERLINK("http://www.ncbi.nlm.nih.gov/COG/grace/shokog.cgi?KOG4668","9E-011")</f>
        <v>9E-011</v>
      </c>
      <c r="CU161" t="s">
        <v>1793</v>
      </c>
      <c r="CV161" s="4" t="str">
        <f>HYPERLINK("http://exon.niaid.nih.gov/transcriptome/C_felis/S1/links/PFAM/cf-contig_412-PFAM.txt","Oxidored_q1")</f>
        <v>Oxidored_q1</v>
      </c>
      <c r="CW161" t="str">
        <f>HYPERLINK("http://pfam.sanger.ac.uk/family?acc=PF00361","4E-010")</f>
        <v>4E-010</v>
      </c>
      <c r="CX161" s="4" t="str">
        <f>HYPERLINK("http://exon.niaid.nih.gov/transcriptome/C_felis/S1/links/SMART/cf-contig_412-SMART.txt","AgrB")</f>
        <v>AgrB</v>
      </c>
      <c r="CY161" t="str">
        <f>HYPERLINK("http://smart.embl-heidelberg.de/smart/do_annotation.pl?DOMAIN=AgrB&amp;BLAST=DUMMY","4E-005")</f>
        <v>4E-005</v>
      </c>
      <c r="CZ161" s="4" t="s">
        <v>42</v>
      </c>
      <c r="DA161" t="s">
        <v>42</v>
      </c>
      <c r="DB161" t="s">
        <v>42</v>
      </c>
      <c r="DC161" t="s">
        <v>42</v>
      </c>
      <c r="DD161" t="s">
        <v>42</v>
      </c>
      <c r="DE161" t="s">
        <v>42</v>
      </c>
      <c r="DF161" t="s">
        <v>42</v>
      </c>
      <c r="DG161" t="s">
        <v>42</v>
      </c>
      <c r="DH161" s="4" t="s">
        <v>42</v>
      </c>
      <c r="DI161" t="s">
        <v>42</v>
      </c>
      <c r="DJ161" s="4" t="s">
        <v>42</v>
      </c>
      <c r="DK161" t="s">
        <v>42</v>
      </c>
      <c r="DL161" s="4">
        <v>336</v>
      </c>
      <c r="DM161">
        <v>1</v>
      </c>
      <c r="DN161" s="4">
        <v>344</v>
      </c>
      <c r="DO161">
        <v>1</v>
      </c>
      <c r="DP161" s="4">
        <v>347</v>
      </c>
      <c r="DQ161">
        <v>1</v>
      </c>
      <c r="DR161" s="4">
        <v>358</v>
      </c>
      <c r="DS161">
        <v>1</v>
      </c>
      <c r="DT161" s="4">
        <v>368</v>
      </c>
      <c r="DU161">
        <v>1</v>
      </c>
      <c r="DV161" s="4">
        <v>381</v>
      </c>
      <c r="DW161">
        <v>1</v>
      </c>
      <c r="DX161" s="4">
        <v>384</v>
      </c>
      <c r="DY161">
        <v>1</v>
      </c>
      <c r="DZ161" s="4">
        <v>389</v>
      </c>
      <c r="EA161">
        <v>1</v>
      </c>
      <c r="EB161" s="4">
        <v>394</v>
      </c>
      <c r="EC161">
        <v>1</v>
      </c>
      <c r="ED161" s="4">
        <v>398</v>
      </c>
      <c r="EE161">
        <v>1</v>
      </c>
      <c r="EF161" s="4">
        <v>403</v>
      </c>
      <c r="EG161">
        <v>1</v>
      </c>
      <c r="EH161" s="4">
        <v>406</v>
      </c>
      <c r="EI161">
        <v>1</v>
      </c>
      <c r="EJ161" s="4">
        <v>412</v>
      </c>
      <c r="EK161">
        <v>1</v>
      </c>
    </row>
    <row r="162" spans="1:141" x14ac:dyDescent="0.2">
      <c r="A162" t="str">
        <f>HYPERLINK("http://exon.niaid.nih.gov/transcriptome/C_felis/S1/links/cf/cf-contig_586.txt","cf-contig_586")</f>
        <v>cf-contig_586</v>
      </c>
      <c r="B162">
        <v>1</v>
      </c>
      <c r="C162" s="10" t="s">
        <v>4812</v>
      </c>
      <c r="D162">
        <v>1</v>
      </c>
      <c r="E162" t="str">
        <f>HYPERLINK("http://exon.niaid.nih.gov/transcriptome/C_felis/S1/links/cf/cf-5-36-asb-586.txt","Contig-586")</f>
        <v>Contig-586</v>
      </c>
      <c r="F162" t="str">
        <f>HYPERLINK("http://exon.niaid.nih.gov/transcriptome/C_felis/S1/links/cf/cf-5-36-586-CLU.txt","Contig586")</f>
        <v>Contig586</v>
      </c>
      <c r="G162" t="str">
        <f>HYPERLINK("http://exon.niaid.nih.gov/transcriptome/C_felis/S1/links/cf/cf-5-36-586-qual.txt","63.3")</f>
        <v>63.3</v>
      </c>
      <c r="H162" t="s">
        <v>11</v>
      </c>
      <c r="I162">
        <v>61.8</v>
      </c>
      <c r="J162">
        <v>324</v>
      </c>
      <c r="K162" t="s">
        <v>12</v>
      </c>
      <c r="L162">
        <v>1</v>
      </c>
      <c r="M162" t="s">
        <v>599</v>
      </c>
      <c r="N162">
        <v>324</v>
      </c>
      <c r="O162">
        <v>343</v>
      </c>
      <c r="P162">
        <v>234</v>
      </c>
      <c r="Q162" t="s">
        <v>1405</v>
      </c>
      <c r="R162">
        <v>1</v>
      </c>
      <c r="S162" s="7" t="s">
        <v>4585</v>
      </c>
      <c r="U162">
        <v>1</v>
      </c>
      <c r="V162" s="4">
        <v>477</v>
      </c>
      <c r="W162">
        <v>1</v>
      </c>
      <c r="X162" s="4">
        <v>488</v>
      </c>
      <c r="Y162">
        <v>1</v>
      </c>
      <c r="Z162" s="4">
        <v>497</v>
      </c>
      <c r="AA162">
        <v>1</v>
      </c>
      <c r="AB162" s="4" t="str">
        <f>HYPERLINK("http://exon.niaid.nih.gov/transcriptome/C_felis/S1/links/XC-ASB/cf-contig_586-XC-ASB.txt","XC-contig_65")</f>
        <v>XC-contig_65</v>
      </c>
      <c r="AC162">
        <v>0.18</v>
      </c>
      <c r="AD162" s="10" t="s">
        <v>4812</v>
      </c>
      <c r="AE162" t="s">
        <v>4755</v>
      </c>
      <c r="AF162" t="str">
        <f>HYPERLINK("http://exon.niaid.nih.gov/transcriptome/C_felis/S1/links/PFAM/cf-contig_586-PFAM.txt","PFAM")</f>
        <v>PFAM</v>
      </c>
      <c r="AG162" s="5">
        <v>3E-24</v>
      </c>
      <c r="AH162">
        <v>100</v>
      </c>
      <c r="AI162" s="4" t="str">
        <f>HYPERLINK("http://exon.niaid.nih.gov/transcriptome/C_felis/S1/links/NR/cf-contig_586-NR.txt","similar to AGAP002245-PA")</f>
        <v>similar to AGAP002245-PA</v>
      </c>
      <c r="AJ162" t="str">
        <f>HYPERLINK("http://www.ncbi.nlm.nih.gov/sutils/blink.cgi?pid=91085447","2E-023")</f>
        <v>2E-023</v>
      </c>
      <c r="AK162" t="str">
        <f>HYPERLINK("http://www.ncbi.nlm.nih.gov/protein/91085447","gi|91085447")</f>
        <v>gi|91085447</v>
      </c>
      <c r="AL162">
        <v>112</v>
      </c>
      <c r="AM162">
        <v>69</v>
      </c>
      <c r="AN162">
        <v>88</v>
      </c>
      <c r="AO162">
        <v>72</v>
      </c>
      <c r="AP162">
        <v>80</v>
      </c>
      <c r="AQ162">
        <v>19</v>
      </c>
      <c r="AR162">
        <v>0</v>
      </c>
      <c r="AS162">
        <v>19</v>
      </c>
      <c r="AT162">
        <v>25</v>
      </c>
      <c r="AU162">
        <v>1</v>
      </c>
      <c r="AV162">
        <v>1</v>
      </c>
      <c r="AW162" t="s">
        <v>12</v>
      </c>
      <c r="AY162" t="s">
        <v>1676</v>
      </c>
      <c r="AZ162" t="s">
        <v>1878</v>
      </c>
      <c r="BA162" s="4" t="str">
        <f>HYPERLINK("http://exon.niaid.nih.gov/transcriptome/C_felis/S1/links/SWISSP/cf-contig_586-SWISSP.txt","Cytochrome b-c1 complex subunit 6, mitochondrial")</f>
        <v>Cytochrome b-c1 complex subunit 6, mitochondrial</v>
      </c>
      <c r="BB162" t="str">
        <f>HYPERLINK("http://www.uniprot.org/uniprot/P07919","7E-015")</f>
        <v>7E-015</v>
      </c>
      <c r="BC162" t="s">
        <v>3812</v>
      </c>
      <c r="BD162">
        <v>79.3</v>
      </c>
      <c r="BE162">
        <v>73</v>
      </c>
      <c r="BF162">
        <v>91</v>
      </c>
      <c r="BG162">
        <v>48</v>
      </c>
      <c r="BH162">
        <v>81</v>
      </c>
      <c r="BI162">
        <v>38</v>
      </c>
      <c r="BJ162">
        <v>0</v>
      </c>
      <c r="BK162">
        <v>18</v>
      </c>
      <c r="BL162">
        <v>13</v>
      </c>
      <c r="BM162">
        <v>1</v>
      </c>
      <c r="BN162">
        <v>1</v>
      </c>
      <c r="BO162" t="s">
        <v>12</v>
      </c>
      <c r="BQ162" t="s">
        <v>1676</v>
      </c>
      <c r="BR162" t="s">
        <v>1690</v>
      </c>
      <c r="BS162" s="4" t="str">
        <f>HYPERLINK("http://exon.niaid.nih.gov/transcriptome/C_felis/S1/links/CDD/cf-contig_586-CDD.txt","UCR_hinge")</f>
        <v>UCR_hinge</v>
      </c>
      <c r="BT162" t="str">
        <f>HYPERLINK("http://www.ncbi.nlm.nih.gov/Structure/cdd/cddsrv.cgi?uid=pfam02320&amp;version=v4.0","1E-023")</f>
        <v>1E-023</v>
      </c>
      <c r="BU162" t="s">
        <v>3813</v>
      </c>
      <c r="BV162" s="4" t="s">
        <v>3814</v>
      </c>
      <c r="BW162">
        <f>HYPERLINK("http://exon.niaid.nih.gov/transcriptome/C_felis/S1/links/GO/cf-contig_586-GO.txt",2E-21)</f>
        <v>1.9999999999999998E-21</v>
      </c>
      <c r="BX162" t="str">
        <f>HYPERLINK("http://amigo.geneontology.org/cgi-bin/amigo/term_details?term=GO:0008121","GO:0008121")</f>
        <v>GO:0008121</v>
      </c>
      <c r="BY162" t="s">
        <v>3642</v>
      </c>
      <c r="BZ162" t="s">
        <v>3643</v>
      </c>
      <c r="CA162" t="s">
        <v>3644</v>
      </c>
      <c r="CB162" t="str">
        <f>HYPERLINK("http://www.genome.jp/dbget-bin/www_bfind_sub?mode=bfind&amp;max_hit=1000&amp;dbkey=kegg&amp;keywords=EC:1.10.2.2","EC:1.10.2.2")</f>
        <v>EC:1.10.2.2</v>
      </c>
      <c r="CD162" s="5">
        <v>1.9999999999999998E-21</v>
      </c>
      <c r="CE162" t="str">
        <f>HYPERLINK("http://amigo.geneontology.org/cgi-bin/amigo/term_details?term=GO:0005750","GO:0005750")</f>
        <v>GO:0005750</v>
      </c>
      <c r="CF162" t="s">
        <v>3601</v>
      </c>
      <c r="CG162" t="s">
        <v>3602</v>
      </c>
      <c r="CH162" t="s">
        <v>3603</v>
      </c>
      <c r="CI162" t="s">
        <v>42</v>
      </c>
      <c r="CK162" s="5">
        <v>1.9999999999999998E-21</v>
      </c>
      <c r="CL162" t="str">
        <f>HYPERLINK("http://amigo.geneontology.org/cgi-bin/amigo/term_details?term=GO:0006122","GO:0006122")</f>
        <v>GO:0006122</v>
      </c>
      <c r="CM162" t="s">
        <v>3815</v>
      </c>
      <c r="CN162" t="s">
        <v>3816</v>
      </c>
      <c r="CO162" t="s">
        <v>3817</v>
      </c>
      <c r="CP162" t="s">
        <v>42</v>
      </c>
      <c r="CR162" s="5">
        <v>1.9999999999999998E-21</v>
      </c>
      <c r="CS162" s="4" t="str">
        <f>HYPERLINK("http://exon.niaid.nih.gov/transcriptome/C_felis/S1/links/KOG/cf-contig_586-KOG.txt","Ubiquinol-cytochrome c reductase hinge protein")</f>
        <v>Ubiquinol-cytochrome c reductase hinge protein</v>
      </c>
      <c r="CT162" t="str">
        <f>HYPERLINK("http://www.ncbi.nlm.nih.gov/COG/grace/shokog.cgi?KOG4763","8E-019")</f>
        <v>8E-019</v>
      </c>
      <c r="CU162" t="s">
        <v>1793</v>
      </c>
      <c r="CV162" s="4" t="str">
        <f>HYPERLINK("http://exon.niaid.nih.gov/transcriptome/C_felis/S1/links/PFAM/cf-contig_586-PFAM.txt","UCR_hinge")</f>
        <v>UCR_hinge</v>
      </c>
      <c r="CW162" t="str">
        <f>HYPERLINK("http://pfam.sanger.ac.uk/family?acc=PF02320","3E-024")</f>
        <v>3E-024</v>
      </c>
      <c r="CX162" s="4" t="str">
        <f>HYPERLINK("http://exon.niaid.nih.gov/transcriptome/C_felis/S1/links/SMART/cf-contig_586-SMART.txt","AgrB")</f>
        <v>AgrB</v>
      </c>
      <c r="CY162" t="str">
        <f>HYPERLINK("http://smart.embl-heidelberg.de/smart/do_annotation.pl?DOMAIN=AgrB&amp;BLAST=DUMMY","8E-004")</f>
        <v>8E-004</v>
      </c>
      <c r="CZ162" s="4" t="s">
        <v>42</v>
      </c>
      <c r="DA162" t="s">
        <v>42</v>
      </c>
      <c r="DB162" t="s">
        <v>42</v>
      </c>
      <c r="DC162" t="s">
        <v>42</v>
      </c>
      <c r="DD162" t="s">
        <v>42</v>
      </c>
      <c r="DE162" t="s">
        <v>42</v>
      </c>
      <c r="DF162" t="s">
        <v>42</v>
      </c>
      <c r="DG162" t="s">
        <v>42</v>
      </c>
      <c r="DH162" s="4" t="s">
        <v>42</v>
      </c>
      <c r="DI162" t="s">
        <v>42</v>
      </c>
      <c r="DJ162" s="4" t="s">
        <v>42</v>
      </c>
      <c r="DK162" t="s">
        <v>42</v>
      </c>
      <c r="DL162" s="4">
        <v>477</v>
      </c>
      <c r="DM162">
        <v>1</v>
      </c>
      <c r="DN162" s="4">
        <v>488</v>
      </c>
      <c r="DO162">
        <v>1</v>
      </c>
      <c r="DP162" s="4">
        <v>497</v>
      </c>
      <c r="DQ162">
        <v>1</v>
      </c>
      <c r="DR162" s="4">
        <v>516</v>
      </c>
      <c r="DS162">
        <v>1</v>
      </c>
      <c r="DT162" s="4">
        <v>528</v>
      </c>
      <c r="DU162">
        <v>1</v>
      </c>
      <c r="DV162" s="4">
        <v>542</v>
      </c>
      <c r="DW162">
        <v>1</v>
      </c>
      <c r="DX162" s="4">
        <v>550</v>
      </c>
      <c r="DY162">
        <v>1</v>
      </c>
      <c r="DZ162" s="4">
        <v>558</v>
      </c>
      <c r="EA162">
        <v>1</v>
      </c>
      <c r="EB162" s="4">
        <v>563</v>
      </c>
      <c r="EC162">
        <v>1</v>
      </c>
      <c r="ED162" s="4">
        <v>567</v>
      </c>
      <c r="EE162">
        <v>1</v>
      </c>
      <c r="EF162" s="4">
        <v>572</v>
      </c>
      <c r="EG162">
        <v>1</v>
      </c>
      <c r="EH162" s="4">
        <v>579</v>
      </c>
      <c r="EI162">
        <v>1</v>
      </c>
      <c r="EJ162" s="4">
        <v>586</v>
      </c>
      <c r="EK162">
        <v>1</v>
      </c>
    </row>
    <row r="163" spans="1:141" x14ac:dyDescent="0.2">
      <c r="A163" t="str">
        <f>HYPERLINK("http://exon.niaid.nih.gov/transcriptome/C_felis/S1/links/cf/cf-contig_538.txt","cf-contig_538")</f>
        <v>cf-contig_538</v>
      </c>
      <c r="B163">
        <v>1</v>
      </c>
      <c r="C163" s="10" t="s">
        <v>4797</v>
      </c>
      <c r="D163">
        <v>1</v>
      </c>
      <c r="E163" t="str">
        <f>HYPERLINK("http://exon.niaid.nih.gov/transcriptome/C_felis/S1/links/cf/cf-5-36-asb-538.txt","Contig-538")</f>
        <v>Contig-538</v>
      </c>
      <c r="F163" t="str">
        <f>HYPERLINK("http://exon.niaid.nih.gov/transcriptome/C_felis/S1/links/cf/cf-5-36-538-CLU.txt","Contig538")</f>
        <v>Contig538</v>
      </c>
      <c r="G163" t="str">
        <f>HYPERLINK("http://exon.niaid.nih.gov/transcriptome/C_felis/S1/links/cf/cf-5-36-538-qual.txt","57.1")</f>
        <v>57.1</v>
      </c>
      <c r="H163" t="s">
        <v>11</v>
      </c>
      <c r="I163">
        <v>80.599999999999994</v>
      </c>
      <c r="J163">
        <v>115</v>
      </c>
      <c r="K163" t="s">
        <v>12</v>
      </c>
      <c r="L163">
        <v>1</v>
      </c>
      <c r="M163" t="s">
        <v>551</v>
      </c>
      <c r="N163">
        <v>115</v>
      </c>
      <c r="O163">
        <v>134</v>
      </c>
      <c r="P163">
        <v>93</v>
      </c>
      <c r="Q163" t="s">
        <v>1357</v>
      </c>
      <c r="R163">
        <v>3</v>
      </c>
      <c r="S163" s="7" t="s">
        <v>4585</v>
      </c>
      <c r="U163">
        <v>1</v>
      </c>
      <c r="V163" s="4">
        <v>440</v>
      </c>
      <c r="W163">
        <v>1</v>
      </c>
      <c r="X163" s="4">
        <v>450</v>
      </c>
      <c r="Y163">
        <v>1</v>
      </c>
      <c r="Z163" s="4">
        <v>456</v>
      </c>
      <c r="AA163">
        <v>1</v>
      </c>
      <c r="AB163" s="4" t="str">
        <f>HYPERLINK("http://exon.niaid.nih.gov/transcriptome/C_felis/S1/links/XC-ASB/cf-contig_538-XC-ASB.txt","XC-contig_233")</f>
        <v>XC-contig_233</v>
      </c>
      <c r="AC163">
        <v>0.2</v>
      </c>
      <c r="AD163" s="10" t="s">
        <v>4797</v>
      </c>
      <c r="AE163" t="s">
        <v>4755</v>
      </c>
      <c r="AF163" t="str">
        <f>HYPERLINK("http://exon.niaid.nih.gov/transcriptome/C_felis/S1/links/MIT-PLA/cf-contig_538-MIT-PLA.txt","MIT-PLA")</f>
        <v>MIT-PLA</v>
      </c>
      <c r="AG163">
        <v>3E-11</v>
      </c>
      <c r="AH163">
        <v>0.2</v>
      </c>
      <c r="AI163" s="4" t="str">
        <f>HYPERLINK("http://exon.niaid.nih.gov/transcriptome/C_felis/S1/links/NR/cf-contig_538-NR.txt","cytochrome b")</f>
        <v>cytochrome b</v>
      </c>
      <c r="AJ163" t="str">
        <f>HYPERLINK("http://www.ncbi.nlm.nih.gov/sutils/blink.cgi?pid=159524441","1E-006")</f>
        <v>1E-006</v>
      </c>
      <c r="AK163" t="str">
        <f>HYPERLINK("http://www.ncbi.nlm.nih.gov/protein/159524441","gi|159524441")</f>
        <v>gi|159524441</v>
      </c>
      <c r="AL163">
        <v>57</v>
      </c>
      <c r="AM163">
        <v>33</v>
      </c>
      <c r="AN163">
        <v>378</v>
      </c>
      <c r="AO163">
        <v>70</v>
      </c>
      <c r="AP163">
        <v>9</v>
      </c>
      <c r="AQ163">
        <v>10</v>
      </c>
      <c r="AR163">
        <v>0</v>
      </c>
      <c r="AS163">
        <v>344</v>
      </c>
      <c r="AT163">
        <v>9</v>
      </c>
      <c r="AU163">
        <v>1</v>
      </c>
      <c r="AV163">
        <v>3</v>
      </c>
      <c r="AW163" t="s">
        <v>12</v>
      </c>
      <c r="AX163">
        <v>3.03</v>
      </c>
      <c r="AY163" t="s">
        <v>1676</v>
      </c>
      <c r="AZ163" t="s">
        <v>3637</v>
      </c>
      <c r="BA163" s="4" t="str">
        <f>HYPERLINK("http://exon.niaid.nih.gov/transcriptome/C_felis/S1/links/SWISSP/cf-contig_538-SWISSP.txt","Cytochrome b")</f>
        <v>Cytochrome b</v>
      </c>
      <c r="BB163" t="str">
        <f>HYPERLINK("http://www.uniprot.org/uniprot/P33501","2E-006")</f>
        <v>2E-006</v>
      </c>
      <c r="BC163" t="s">
        <v>3638</v>
      </c>
      <c r="BD163">
        <v>51.2</v>
      </c>
      <c r="BE163">
        <v>33</v>
      </c>
      <c r="BF163">
        <v>378</v>
      </c>
      <c r="BG163">
        <v>64</v>
      </c>
      <c r="BH163">
        <v>9</v>
      </c>
      <c r="BI163">
        <v>12</v>
      </c>
      <c r="BJ163">
        <v>0</v>
      </c>
      <c r="BK163">
        <v>344</v>
      </c>
      <c r="BL163">
        <v>9</v>
      </c>
      <c r="BM163">
        <v>1</v>
      </c>
      <c r="BN163">
        <v>3</v>
      </c>
      <c r="BO163" t="s">
        <v>12</v>
      </c>
      <c r="BP163">
        <v>3.03</v>
      </c>
      <c r="BQ163" t="s">
        <v>1676</v>
      </c>
      <c r="BR163" t="s">
        <v>3639</v>
      </c>
      <c r="BS163" s="4" t="str">
        <f>HYPERLINK("http://exon.niaid.nih.gov/transcriptome/C_felis/S1/links/CDD/cf-contig_538-CDD.txt","CYTB")</f>
        <v>CYTB</v>
      </c>
      <c r="BT163" t="str">
        <f>HYPERLINK("http://www.ncbi.nlm.nih.gov/Structure/cdd/cddsrv.cgi?uid=MTH00156&amp;version=v4.0","2E-010")</f>
        <v>2E-010</v>
      </c>
      <c r="BU163" t="s">
        <v>3640</v>
      </c>
      <c r="BV163" s="4" t="s">
        <v>3641</v>
      </c>
      <c r="BW163">
        <f>HYPERLINK("http://exon.niaid.nih.gov/transcriptome/C_felis/S1/links/GO/cf-contig_538-GO.txt",0.000009)</f>
        <v>9.0000000000000002E-6</v>
      </c>
      <c r="BX163" t="str">
        <f>HYPERLINK("http://amigo.geneontology.org/cgi-bin/amigo/term_details?term=GO:0008121","GO:0008121")</f>
        <v>GO:0008121</v>
      </c>
      <c r="BY163" t="s">
        <v>3642</v>
      </c>
      <c r="BZ163" t="s">
        <v>3643</v>
      </c>
      <c r="CA163" t="s">
        <v>3644</v>
      </c>
      <c r="CB163" t="str">
        <f>HYPERLINK("http://www.genome.jp/dbget-bin/www_bfind_sub?mode=bfind&amp;max_hit=1000&amp;dbkey=kegg&amp;keywords=EC:1.10.2.2","EC:1.10.2.2")</f>
        <v>EC:1.10.2.2</v>
      </c>
      <c r="CD163">
        <v>9.0000000000000002E-6</v>
      </c>
      <c r="CE163" t="str">
        <f>HYPERLINK("http://amigo.geneontology.org/cgi-bin/amigo/term_details?term=GO:0005750","GO:0005750")</f>
        <v>GO:0005750</v>
      </c>
      <c r="CF163" t="s">
        <v>3601</v>
      </c>
      <c r="CG163" t="s">
        <v>3602</v>
      </c>
      <c r="CH163" t="s">
        <v>3603</v>
      </c>
      <c r="CI163" t="s">
        <v>42</v>
      </c>
      <c r="CK163">
        <v>9.0000000000000002E-6</v>
      </c>
      <c r="CL163" t="str">
        <f>HYPERLINK("http://amigo.geneontology.org/cgi-bin/amigo/term_details?term=GO:0022904","GO:0022904")</f>
        <v>GO:0022904</v>
      </c>
      <c r="CM163" t="s">
        <v>3645</v>
      </c>
      <c r="CN163" t="s">
        <v>3646</v>
      </c>
      <c r="CO163" t="s">
        <v>3647</v>
      </c>
      <c r="CP163" t="s">
        <v>42</v>
      </c>
      <c r="CR163">
        <v>9.0000000000000002E-6</v>
      </c>
      <c r="CS163" s="4" t="str">
        <f>HYPERLINK("http://exon.niaid.nih.gov/transcriptome/C_felis/S1/links/KOG/cf-contig_538-KOG.txt","Endosomal membrane proteins, EMP70")</f>
        <v>Endosomal membrane proteins, EMP70</v>
      </c>
      <c r="CT163" t="str">
        <f>HYPERLINK("http://www.ncbi.nlm.nih.gov/COG/grace/shokog.cgi?KOG1278","2.6")</f>
        <v>2.6</v>
      </c>
      <c r="CU163" t="s">
        <v>1686</v>
      </c>
      <c r="CV163" s="4" t="str">
        <f>HYPERLINK("http://exon.niaid.nih.gov/transcriptome/C_felis/S1/links/PFAM/cf-contig_538-PFAM.txt","Cytochrom_B_C")</f>
        <v>Cytochrom_B_C</v>
      </c>
      <c r="CW163" t="str">
        <f>HYPERLINK("http://pfam.sanger.ac.uk/family?acc=PF00032","6E-004")</f>
        <v>6E-004</v>
      </c>
      <c r="CX163" s="4" t="str">
        <f>HYPERLINK("http://exon.niaid.nih.gov/transcriptome/C_felis/S1/links/SMART/cf-contig_538-SMART.txt","S_TKc")</f>
        <v>S_TKc</v>
      </c>
      <c r="CY163" t="str">
        <f>HYPERLINK("http://smart.embl-heidelberg.de/smart/do_annotation.pl?DOMAIN=S_TKc&amp;BLAST=DUMMY","0.37")</f>
        <v>0.37</v>
      </c>
      <c r="CZ163" s="4" t="s">
        <v>42</v>
      </c>
      <c r="DA163" t="s">
        <v>42</v>
      </c>
      <c r="DB163" t="s">
        <v>42</v>
      </c>
      <c r="DC163" t="s">
        <v>42</v>
      </c>
      <c r="DD163" t="s">
        <v>42</v>
      </c>
      <c r="DE163" t="s">
        <v>42</v>
      </c>
      <c r="DF163" t="s">
        <v>42</v>
      </c>
      <c r="DG163" t="s">
        <v>42</v>
      </c>
      <c r="DH163" s="4" t="str">
        <f>HYPERLINK("http://exon.niaid.nih.gov/transcriptome/C_felis/S1/links/MIT-PLA/cf-contig_538-MIT-PLA.txt","Adoxophyes honmai mitochondrion, complete genome")</f>
        <v>Adoxophyes honmai mitochondrion, complete genome</v>
      </c>
      <c r="DI163" t="str">
        <f>HYPERLINK("http://www.ncbi.nlm.nih.gov/entrez/viewer.fcgi?db=nucleotide&amp;val=108793378","3E-011")</f>
        <v>3E-011</v>
      </c>
      <c r="DJ163" s="4" t="s">
        <v>42</v>
      </c>
      <c r="DK163" t="s">
        <v>42</v>
      </c>
      <c r="DL163" s="4">
        <v>440</v>
      </c>
      <c r="DM163">
        <v>1</v>
      </c>
      <c r="DN163" s="4">
        <v>450</v>
      </c>
      <c r="DO163">
        <v>1</v>
      </c>
      <c r="DP163" s="4">
        <v>456</v>
      </c>
      <c r="DQ163">
        <v>1</v>
      </c>
      <c r="DR163" s="4">
        <v>471</v>
      </c>
      <c r="DS163">
        <v>1</v>
      </c>
      <c r="DT163" s="4">
        <v>483</v>
      </c>
      <c r="DU163">
        <v>1</v>
      </c>
      <c r="DV163" s="4">
        <v>497</v>
      </c>
      <c r="DW163">
        <v>1</v>
      </c>
      <c r="DX163" s="4">
        <v>503</v>
      </c>
      <c r="DY163">
        <v>1</v>
      </c>
      <c r="DZ163" s="4">
        <v>511</v>
      </c>
      <c r="EA163">
        <v>1</v>
      </c>
      <c r="EB163" s="4">
        <v>516</v>
      </c>
      <c r="EC163">
        <v>1</v>
      </c>
      <c r="ED163" s="4">
        <v>520</v>
      </c>
      <c r="EE163">
        <v>1</v>
      </c>
      <c r="EF163" s="4">
        <v>525</v>
      </c>
      <c r="EG163">
        <v>1</v>
      </c>
      <c r="EH163" s="4">
        <v>531</v>
      </c>
      <c r="EI163">
        <v>1</v>
      </c>
      <c r="EJ163" s="4">
        <v>538</v>
      </c>
      <c r="EK163">
        <v>1</v>
      </c>
    </row>
    <row r="164" spans="1:141" s="6" customFormat="1" x14ac:dyDescent="0.2">
      <c r="A164" s="12" t="s">
        <v>4886</v>
      </c>
      <c r="C164" s="11"/>
      <c r="AB164" s="6" t="s">
        <v>42</v>
      </c>
      <c r="AD164" s="11"/>
      <c r="AE164" s="11"/>
      <c r="AF164" s="11"/>
      <c r="AG164" s="11"/>
      <c r="AH164" s="11"/>
    </row>
    <row r="165" spans="1:141" x14ac:dyDescent="0.2">
      <c r="A165" t="str">
        <f>HYPERLINK("http://exon.niaid.nih.gov/transcriptome/C_felis/S1/links/cf/cf-contig_341.txt","cf-contig_341")</f>
        <v>cf-contig_341</v>
      </c>
      <c r="B165">
        <v>1</v>
      </c>
      <c r="C165" s="10" t="s">
        <v>4735</v>
      </c>
      <c r="D165">
        <v>1</v>
      </c>
      <c r="E165" t="str">
        <f>HYPERLINK("http://exon.niaid.nih.gov/transcriptome/C_felis/S1/links/cf/cf-5-36-asb-341.txt","Contig-341")</f>
        <v>Contig-341</v>
      </c>
      <c r="F165" t="str">
        <f>HYPERLINK("http://exon.niaid.nih.gov/transcriptome/C_felis/S1/links/cf/cf-5-36-341-CLU.txt","Contig341")</f>
        <v>Contig341</v>
      </c>
      <c r="G165" t="str">
        <f>HYPERLINK("http://exon.niaid.nih.gov/transcriptome/C_felis/S1/links/cf/cf-5-36-341-qual.txt","43.8")</f>
        <v>43.8</v>
      </c>
      <c r="H165">
        <v>0.6</v>
      </c>
      <c r="I165">
        <v>61.5</v>
      </c>
      <c r="J165">
        <v>308</v>
      </c>
      <c r="K165" t="s">
        <v>12</v>
      </c>
      <c r="L165">
        <v>1</v>
      </c>
      <c r="M165" t="s">
        <v>354</v>
      </c>
      <c r="N165">
        <v>308</v>
      </c>
      <c r="O165">
        <v>327</v>
      </c>
      <c r="P165">
        <v>273</v>
      </c>
      <c r="Q165" t="s">
        <v>1161</v>
      </c>
      <c r="R165">
        <v>3</v>
      </c>
      <c r="S165" s="7" t="str">
        <f>HYPERLINK("http://exon.niaid.nih.gov/transcriptome/C_felis/S1/links/Sigp/CF-CONTIG_341-SigP.txt","Cyt")</f>
        <v>Cyt</v>
      </c>
      <c r="U165">
        <v>1</v>
      </c>
      <c r="V165" s="4">
        <v>274</v>
      </c>
      <c r="W165">
        <v>1</v>
      </c>
      <c r="X165" s="4">
        <v>280</v>
      </c>
      <c r="Y165">
        <v>1</v>
      </c>
      <c r="Z165" s="4">
        <v>279</v>
      </c>
      <c r="AA165">
        <v>1</v>
      </c>
      <c r="AB165" s="4" t="str">
        <f>HYPERLINK("http://exon.niaid.nih.gov/transcriptome/C_felis/S1/links/XC-ASB/cf-contig_341-XC-ASB.txt","XC-contig_5")</f>
        <v>XC-contig_5</v>
      </c>
      <c r="AC165">
        <v>0.17</v>
      </c>
      <c r="AD165" s="10" t="s">
        <v>4735</v>
      </c>
      <c r="AE165" t="s">
        <v>4736</v>
      </c>
      <c r="AF165" t="str">
        <f>HYPERLINK("http://exon.niaid.nih.gov/transcriptome/C_felis/S1/links/KOG/cf-contig_341-KOG.txt","KOG")</f>
        <v>KOG</v>
      </c>
      <c r="AG165">
        <v>2.0000000000000001E-13</v>
      </c>
      <c r="AH165">
        <v>15.3</v>
      </c>
      <c r="AI165" s="4" t="str">
        <f>HYPERLINK("http://exon.niaid.nih.gov/transcriptome/C_felis/S1/links/NR/cf-contig_341-NR.txt","ubiquinone biosynthesis monooxygenase COQ6-like")</f>
        <v>ubiquinone biosynthesis monooxygenase COQ6-like</v>
      </c>
      <c r="AJ165" t="str">
        <f>HYPERLINK("http://www.ncbi.nlm.nih.gov/sutils/blink.cgi?pid=66509969","2E-012")</f>
        <v>2E-012</v>
      </c>
      <c r="AK165" t="str">
        <f>HYPERLINK("http://www.ncbi.nlm.nih.gov/protein/66509969","gi|66509969")</f>
        <v>gi|66509969</v>
      </c>
      <c r="AL165">
        <v>76.3</v>
      </c>
      <c r="AM165">
        <v>73</v>
      </c>
      <c r="AN165">
        <v>474</v>
      </c>
      <c r="AO165">
        <v>52</v>
      </c>
      <c r="AP165">
        <v>16</v>
      </c>
      <c r="AQ165">
        <v>36</v>
      </c>
      <c r="AR165">
        <v>0</v>
      </c>
      <c r="AS165">
        <v>398</v>
      </c>
      <c r="AT165">
        <v>19</v>
      </c>
      <c r="AU165">
        <v>1</v>
      </c>
      <c r="AV165">
        <v>1</v>
      </c>
      <c r="AW165" t="s">
        <v>12</v>
      </c>
      <c r="AY165" t="s">
        <v>1676</v>
      </c>
      <c r="AZ165" t="s">
        <v>2135</v>
      </c>
      <c r="BA165" s="4" t="str">
        <f>HYPERLINK("http://exon.niaid.nih.gov/transcriptome/C_felis/S1/links/SWISSP/cf-contig_341-SWISSP.txt","Ubiquinone biosynthesis monooxygenase COQ6")</f>
        <v>Ubiquinone biosynthesis monooxygenase COQ6</v>
      </c>
      <c r="BB165" t="str">
        <f>HYPERLINK("http://www.uniprot.org/uniprot/Q8R1S0","2E-008")</f>
        <v>2E-008</v>
      </c>
      <c r="BC165" t="s">
        <v>2881</v>
      </c>
      <c r="BD165">
        <v>58.2</v>
      </c>
      <c r="BE165">
        <v>72</v>
      </c>
      <c r="BF165">
        <v>469</v>
      </c>
      <c r="BG165">
        <v>46</v>
      </c>
      <c r="BH165">
        <v>16</v>
      </c>
      <c r="BI165">
        <v>39</v>
      </c>
      <c r="BJ165">
        <v>2</v>
      </c>
      <c r="BK165">
        <v>396</v>
      </c>
      <c r="BL165">
        <v>25</v>
      </c>
      <c r="BM165">
        <v>1</v>
      </c>
      <c r="BN165">
        <v>1</v>
      </c>
      <c r="BO165" t="s">
        <v>12</v>
      </c>
      <c r="BQ165" t="s">
        <v>1676</v>
      </c>
      <c r="BR165" t="s">
        <v>1705</v>
      </c>
      <c r="BS165" s="4" t="str">
        <f>HYPERLINK("http://exon.niaid.nih.gov/transcriptome/C_felis/S1/links/CDD/cf-contig_341-CDD.txt","Ubi-OHases")</f>
        <v>Ubi-OHases</v>
      </c>
      <c r="BT165" t="str">
        <f>HYPERLINK("http://www.ncbi.nlm.nih.gov/Structure/cdd/cddsrv.cgi?uid=TIGR01988&amp;version=v4.0","2E-014")</f>
        <v>2E-014</v>
      </c>
      <c r="BU165" t="s">
        <v>2882</v>
      </c>
      <c r="BV165" s="4" t="s">
        <v>2883</v>
      </c>
      <c r="BW165">
        <f>HYPERLINK("http://exon.niaid.nih.gov/transcriptome/C_felis/S1/links/GO/cf-contig_341-GO.txt",0.000000007)</f>
        <v>6.9999999999999998E-9</v>
      </c>
      <c r="BX165" t="str">
        <f>HYPERLINK("http://amigo.geneontology.org/cgi-bin/amigo/term_details?term=GO:0016709","GO:0016709")</f>
        <v>GO:0016709</v>
      </c>
      <c r="BY165" t="s">
        <v>2884</v>
      </c>
      <c r="BZ165" t="s">
        <v>2885</v>
      </c>
      <c r="CA165" t="s">
        <v>42</v>
      </c>
      <c r="CB165" t="str">
        <f>HYPERLINK("http://www.genome.jp/dbget-bin/www_bfind_sub?mode=bfind&amp;max_hit=1000&amp;dbkey=kegg&amp;keywords=EC:1.14.13","EC:1.14.13")</f>
        <v>EC:1.14.13</v>
      </c>
      <c r="CD165">
        <v>6.9999999999999998E-9</v>
      </c>
      <c r="CE165" t="str">
        <f>HYPERLINK("http://amigo.geneontology.org/cgi-bin/amigo/term_details?term=GO:0005739","GO:0005739")</f>
        <v>GO:0005739</v>
      </c>
      <c r="CF165" t="s">
        <v>2551</v>
      </c>
      <c r="CG165" t="s">
        <v>2552</v>
      </c>
      <c r="CH165" t="s">
        <v>2553</v>
      </c>
      <c r="CI165" t="s">
        <v>42</v>
      </c>
      <c r="CK165">
        <v>6.9999999999999998E-9</v>
      </c>
      <c r="CL165" t="str">
        <f>HYPERLINK("http://amigo.geneontology.org/cgi-bin/amigo/term_details?term=GO:0006744","GO:0006744")</f>
        <v>GO:0006744</v>
      </c>
      <c r="CM165" t="s">
        <v>2886</v>
      </c>
      <c r="CN165" t="s">
        <v>2887</v>
      </c>
      <c r="CO165" t="s">
        <v>2888</v>
      </c>
      <c r="CP165" t="s">
        <v>42</v>
      </c>
      <c r="CR165">
        <v>6.9999999999999998E-9</v>
      </c>
      <c r="CS165" s="4" t="str">
        <f>HYPERLINK("http://exon.niaid.nih.gov/transcriptome/C_felis/S1/links/KOG/cf-contig_341-KOG.txt","Monooxygenase involved in coenzyme Q (ubiquinone) biosynthesis")</f>
        <v>Monooxygenase involved in coenzyme Q (ubiquinone) biosynthesis</v>
      </c>
      <c r="CT165" t="str">
        <f>HYPERLINK("http://www.ncbi.nlm.nih.gov/COG/grace/shokog.cgi?KOG3855","2E-013")</f>
        <v>2E-013</v>
      </c>
      <c r="CU165" t="s">
        <v>2889</v>
      </c>
      <c r="CV165" s="4" t="str">
        <f>HYPERLINK("http://exon.niaid.nih.gov/transcriptome/C_felis/S1/links/PFAM/cf-contig_341-PFAM.txt","zf-TAZ")</f>
        <v>zf-TAZ</v>
      </c>
      <c r="CW165" t="str">
        <f>HYPERLINK("http://pfam.sanger.ac.uk/family?acc=PF02135","0.004")</f>
        <v>0.004</v>
      </c>
      <c r="CX165" s="4" t="str">
        <f>HYPERLINK("http://exon.niaid.nih.gov/transcriptome/C_felis/S1/links/SMART/cf-contig_341-SMART.txt","ZnF_TAZ")</f>
        <v>ZnF_TAZ</v>
      </c>
      <c r="CY165" t="str">
        <f>HYPERLINK("http://smart.embl-heidelberg.de/smart/do_annotation.pl?DOMAIN=ZnF_TAZ&amp;BLAST=DUMMY","0.021")</f>
        <v>0.021</v>
      </c>
      <c r="CZ165" s="4" t="s">
        <v>42</v>
      </c>
      <c r="DA165" t="s">
        <v>42</v>
      </c>
      <c r="DB165" t="s">
        <v>42</v>
      </c>
      <c r="DC165" t="s">
        <v>42</v>
      </c>
      <c r="DD165" t="s">
        <v>42</v>
      </c>
      <c r="DE165" t="s">
        <v>42</v>
      </c>
      <c r="DF165" t="s">
        <v>42</v>
      </c>
      <c r="DG165" t="s">
        <v>42</v>
      </c>
      <c r="DH165" s="4" t="s">
        <v>42</v>
      </c>
      <c r="DI165" t="s">
        <v>42</v>
      </c>
      <c r="DJ165" s="4" t="s">
        <v>42</v>
      </c>
      <c r="DK165" t="s">
        <v>42</v>
      </c>
      <c r="DL165" s="4">
        <v>274</v>
      </c>
      <c r="DM165">
        <v>1</v>
      </c>
      <c r="DN165" s="4">
        <v>280</v>
      </c>
      <c r="DO165">
        <v>1</v>
      </c>
      <c r="DP165" s="4">
        <v>279</v>
      </c>
      <c r="DQ165">
        <v>1</v>
      </c>
      <c r="DR165" s="4">
        <v>289</v>
      </c>
      <c r="DS165">
        <v>1</v>
      </c>
      <c r="DT165" s="4">
        <v>299</v>
      </c>
      <c r="DU165">
        <v>1</v>
      </c>
      <c r="DV165" s="4">
        <v>312</v>
      </c>
      <c r="DW165">
        <v>1</v>
      </c>
      <c r="DX165" s="4">
        <v>315</v>
      </c>
      <c r="DY165">
        <v>1</v>
      </c>
      <c r="DZ165" s="4">
        <v>320</v>
      </c>
      <c r="EA165">
        <v>1</v>
      </c>
      <c r="EB165" s="4">
        <v>325</v>
      </c>
      <c r="EC165">
        <v>1</v>
      </c>
      <c r="ED165" s="4">
        <v>329</v>
      </c>
      <c r="EE165">
        <v>1</v>
      </c>
      <c r="EF165" s="4">
        <v>334</v>
      </c>
      <c r="EG165">
        <v>1</v>
      </c>
      <c r="EH165" s="4">
        <v>336</v>
      </c>
      <c r="EI165">
        <v>1</v>
      </c>
      <c r="EJ165" s="4">
        <v>341</v>
      </c>
      <c r="EK165">
        <v>1</v>
      </c>
    </row>
    <row r="166" spans="1:141" s="6" customFormat="1" x14ac:dyDescent="0.2">
      <c r="A166" s="12" t="s">
        <v>4887</v>
      </c>
      <c r="C166" s="11"/>
      <c r="AB166" s="6" t="s">
        <v>42</v>
      </c>
      <c r="AD166" s="11"/>
      <c r="AE166" s="11"/>
      <c r="AF166" s="11"/>
      <c r="AG166" s="11"/>
      <c r="AH166" s="11"/>
    </row>
    <row r="167" spans="1:141" x14ac:dyDescent="0.2">
      <c r="A167" t="str">
        <f>HYPERLINK("http://exon.niaid.nih.gov/transcriptome/C_felis/S1/links/cf/cf-contig_597.txt","cf-contig_597")</f>
        <v>cf-contig_597</v>
      </c>
      <c r="B167">
        <v>1</v>
      </c>
      <c r="C167" s="10" t="s">
        <v>4819</v>
      </c>
      <c r="D167">
        <v>1</v>
      </c>
      <c r="E167" t="str">
        <f>HYPERLINK("http://exon.niaid.nih.gov/transcriptome/C_felis/S1/links/cf/cf-5-36-asb-597.txt","Contig-597")</f>
        <v>Contig-597</v>
      </c>
      <c r="F167" t="str">
        <f>HYPERLINK("http://exon.niaid.nih.gov/transcriptome/C_felis/S1/links/cf/cf-5-36-597-CLU.txt","Contig597")</f>
        <v>Contig597</v>
      </c>
      <c r="G167" t="str">
        <f>HYPERLINK("http://exon.niaid.nih.gov/transcriptome/C_felis/S1/links/cf/cf-5-36-597-qual.txt","64.")</f>
        <v>64.</v>
      </c>
      <c r="H167" t="s">
        <v>11</v>
      </c>
      <c r="I167">
        <v>67.599999999999994</v>
      </c>
      <c r="J167">
        <v>355</v>
      </c>
      <c r="K167" t="s">
        <v>12</v>
      </c>
      <c r="L167">
        <v>1</v>
      </c>
      <c r="M167" t="s">
        <v>610</v>
      </c>
      <c r="N167">
        <v>355</v>
      </c>
      <c r="O167">
        <v>374</v>
      </c>
      <c r="P167">
        <v>216</v>
      </c>
      <c r="Q167" t="s">
        <v>1416</v>
      </c>
      <c r="R167">
        <v>2</v>
      </c>
      <c r="S167" s="7" t="str">
        <f>HYPERLINK("http://exon.niaid.nih.gov/transcriptome/C_felis/S1/links/Sigp/CF-CONTIG_597-SigP.txt","Cyt")</f>
        <v>Cyt</v>
      </c>
      <c r="U167">
        <v>1</v>
      </c>
      <c r="V167" s="4">
        <f>HYPERLINK("http://exon.niaid.nih.gov/transcriptome/C_felis/S1/links/cluster/cf-5-36-asb30-50-Id-CLU88.txt", 88)</f>
        <v>88</v>
      </c>
      <c r="W167">
        <f>HYPERLINK("http://exon.niaid.nih.gov/transcriptome/C_felis/S1/links/cluster/cf-5-36-asb30-50-Id-CLTL88.txt", 2)</f>
        <v>2</v>
      </c>
      <c r="X167" s="4">
        <v>497</v>
      </c>
      <c r="Y167">
        <v>1</v>
      </c>
      <c r="Z167" s="4">
        <v>506</v>
      </c>
      <c r="AA167">
        <v>1</v>
      </c>
      <c r="AB167" s="4" t="str">
        <f>HYPERLINK("http://exon.niaid.nih.gov/transcriptome/C_felis/S1/links/XC-ASB/cf-contig_597-XC-ASB.txt","XC-contig_8")</f>
        <v>XC-contig_8</v>
      </c>
      <c r="AC167">
        <v>0.14000000000000001</v>
      </c>
      <c r="AD167" s="10" t="s">
        <v>4819</v>
      </c>
      <c r="AE167" t="s">
        <v>4641</v>
      </c>
      <c r="AF167" t="str">
        <f>HYPERLINK("http://exon.niaid.nih.gov/transcriptome/C_felis/S1/links/KOG/cf-contig_597-KOG.txt","KOG")</f>
        <v>KOG</v>
      </c>
      <c r="AG167" s="5">
        <v>4.9999999999999999E-17</v>
      </c>
      <c r="AH167">
        <v>53.9</v>
      </c>
      <c r="AI167" s="4" t="str">
        <f>HYPERLINK("http://exon.niaid.nih.gov/transcriptome/C_felis/S1/links/NR/cf-contig_597-NR.txt","hydroxysteroid dehydrogenase-like protein 2-like")</f>
        <v>hydroxysteroid dehydrogenase-like protein 2-like</v>
      </c>
      <c r="AJ167" t="str">
        <f>HYPERLINK("http://www.ncbi.nlm.nih.gov/sutils/blink.cgi?pid=156548625","4E-016")</f>
        <v>4E-016</v>
      </c>
      <c r="AK167" t="str">
        <f>HYPERLINK("http://www.ncbi.nlm.nih.gov/protein/156548625","gi|156548625")</f>
        <v>gi|156548625</v>
      </c>
      <c r="AL167">
        <v>88.2</v>
      </c>
      <c r="AM167">
        <v>61</v>
      </c>
      <c r="AN167">
        <v>409</v>
      </c>
      <c r="AO167">
        <v>71</v>
      </c>
      <c r="AP167">
        <v>15</v>
      </c>
      <c r="AQ167">
        <v>18</v>
      </c>
      <c r="AR167">
        <v>0</v>
      </c>
      <c r="AS167">
        <v>348</v>
      </c>
      <c r="AT167">
        <v>3</v>
      </c>
      <c r="AU167">
        <v>1</v>
      </c>
      <c r="AV167">
        <v>3</v>
      </c>
      <c r="AW167" t="s">
        <v>12</v>
      </c>
      <c r="AY167" t="s">
        <v>1676</v>
      </c>
      <c r="AZ167" t="s">
        <v>1897</v>
      </c>
      <c r="BA167" s="4" t="str">
        <f>HYPERLINK("http://exon.niaid.nih.gov/transcriptome/C_felis/S1/links/SWISSP/cf-contig_597-SWISSP.txt","Hydroxysteroid dehydrogenase-like protein 2")</f>
        <v>Hydroxysteroid dehydrogenase-like protein 2</v>
      </c>
      <c r="BB167" t="str">
        <f>HYPERLINK("http://www.uniprot.org/uniprot/Q6P5L8","6E-014")</f>
        <v>6E-014</v>
      </c>
      <c r="BC167" t="s">
        <v>3856</v>
      </c>
      <c r="BD167">
        <v>76.3</v>
      </c>
      <c r="BE167">
        <v>61</v>
      </c>
      <c r="BF167">
        <v>415</v>
      </c>
      <c r="BG167">
        <v>58</v>
      </c>
      <c r="BH167">
        <v>15</v>
      </c>
      <c r="BI167">
        <v>26</v>
      </c>
      <c r="BJ167">
        <v>0</v>
      </c>
      <c r="BK167">
        <v>354</v>
      </c>
      <c r="BL167">
        <v>3</v>
      </c>
      <c r="BM167">
        <v>1</v>
      </c>
      <c r="BN167">
        <v>3</v>
      </c>
      <c r="BO167" t="s">
        <v>12</v>
      </c>
      <c r="BQ167" t="s">
        <v>1676</v>
      </c>
      <c r="BR167" t="s">
        <v>2736</v>
      </c>
      <c r="BS167" s="4" t="str">
        <f>HYPERLINK("http://exon.niaid.nih.gov/transcriptome/C_felis/S1/links/CDD/cf-contig_597-CDD.txt","SCP2")</f>
        <v>SCP2</v>
      </c>
      <c r="BT167" t="str">
        <f>HYPERLINK("http://www.ncbi.nlm.nih.gov/Structure/cdd/cddsrv.cgi?uid=pfam02036&amp;version=v4.0","1E-013")</f>
        <v>1E-013</v>
      </c>
      <c r="BU167" t="s">
        <v>3857</v>
      </c>
      <c r="BV167" s="4" t="s">
        <v>3858</v>
      </c>
      <c r="BW167">
        <f>HYPERLINK("http://exon.niaid.nih.gov/transcriptome/C_felis/S1/links/GO/cf-contig_597-GO.txt",0.00000000000001)</f>
        <v>1E-14</v>
      </c>
      <c r="BX167" t="str">
        <f>HYPERLINK("http://amigo.geneontology.org/cgi-bin/amigo/term_details?term=GO:0016616","GO:0016616")</f>
        <v>GO:0016616</v>
      </c>
      <c r="BY167" t="s">
        <v>3859</v>
      </c>
      <c r="BZ167" t="s">
        <v>3860</v>
      </c>
      <c r="CA167" t="s">
        <v>42</v>
      </c>
      <c r="CB167" t="str">
        <f>HYPERLINK("http://www.genome.jp/dbget-bin/www_bfind_sub?mode=bfind&amp;max_hit=1000&amp;dbkey=kegg&amp;keywords=EC:1.1.1","EC:1.1.1")</f>
        <v>EC:1.1.1</v>
      </c>
      <c r="CD167">
        <v>1E-14</v>
      </c>
      <c r="CE167" t="str">
        <f>HYPERLINK("http://amigo.geneontology.org/cgi-bin/amigo/term_details?term=GO:0005811","GO:0005811")</f>
        <v>GO:0005811</v>
      </c>
      <c r="CF167" t="s">
        <v>3449</v>
      </c>
      <c r="CG167" t="s">
        <v>3450</v>
      </c>
      <c r="CH167" t="s">
        <v>3451</v>
      </c>
      <c r="CI167" t="s">
        <v>42</v>
      </c>
      <c r="CK167">
        <v>1E-14</v>
      </c>
      <c r="CL167" t="str">
        <f>HYPERLINK("http://amigo.geneontology.org/cgi-bin/amigo/term_details?term=GO:0008152","GO:0008152")</f>
        <v>GO:0008152</v>
      </c>
      <c r="CM167" t="s">
        <v>3861</v>
      </c>
      <c r="CN167" t="s">
        <v>3862</v>
      </c>
      <c r="CO167" t="s">
        <v>3863</v>
      </c>
      <c r="CP167" t="s">
        <v>42</v>
      </c>
      <c r="CR167">
        <v>1E-14</v>
      </c>
      <c r="CS167" s="4" t="str">
        <f>HYPERLINK("http://exon.niaid.nih.gov/transcriptome/C_felis/S1/links/KOG/cf-contig_597-KOG.txt","2-enoyl-CoA hydratase/3-hydroxyacyl-CoA dehydrogenase/Peroxisomal 3-ketoacyl-CoA-thiolase, sterol-binding domain and related enzymes")</f>
        <v>2-enoyl-CoA hydratase/3-hydroxyacyl-CoA dehydrogenase/Peroxisomal 3-ketoacyl-CoA-thiolase, sterol-binding domain and related enzymes</v>
      </c>
      <c r="CT167" t="str">
        <f>HYPERLINK("http://www.ncbi.nlm.nih.gov/COG/grace/shokog.cgi?KOG4170","5E-017")</f>
        <v>5E-017</v>
      </c>
      <c r="CU167" t="s">
        <v>1761</v>
      </c>
      <c r="CV167" s="4" t="str">
        <f>HYPERLINK("http://exon.niaid.nih.gov/transcriptome/C_felis/S1/links/PFAM/cf-contig_597-PFAM.txt","SCP2")</f>
        <v>SCP2</v>
      </c>
      <c r="CW167" t="str">
        <f>HYPERLINK("http://pfam.sanger.ac.uk/family?acc=PF02036","2E-014")</f>
        <v>2E-014</v>
      </c>
      <c r="CX167" s="4" t="str">
        <f>HYPERLINK("http://exon.niaid.nih.gov/transcriptome/C_felis/S1/links/SMART/cf-contig_597-SMART.txt","ETF")</f>
        <v>ETF</v>
      </c>
      <c r="CY167" t="str">
        <f>HYPERLINK("http://smart.embl-heidelberg.de/smart/do_annotation.pl?DOMAIN=ETF&amp;BLAST=DUMMY","0.061")</f>
        <v>0.061</v>
      </c>
      <c r="CZ167" s="4" t="s">
        <v>42</v>
      </c>
      <c r="DA167" t="s">
        <v>42</v>
      </c>
      <c r="DB167" t="s">
        <v>42</v>
      </c>
      <c r="DC167" t="s">
        <v>42</v>
      </c>
      <c r="DD167" t="s">
        <v>42</v>
      </c>
      <c r="DE167" t="s">
        <v>42</v>
      </c>
      <c r="DF167" t="s">
        <v>42</v>
      </c>
      <c r="DG167" t="s">
        <v>42</v>
      </c>
      <c r="DH167" s="4" t="s">
        <v>42</v>
      </c>
      <c r="DI167" t="s">
        <v>42</v>
      </c>
      <c r="DJ167" s="4" t="s">
        <v>42</v>
      </c>
      <c r="DK167" t="s">
        <v>42</v>
      </c>
      <c r="DL167" s="4">
        <f>HYPERLINK("http://exon.niaid.nih.gov/transcriptome/C_felis/S1/links/cluster/cf-5-36-asb30-50-Id-CLU88.txt", 88)</f>
        <v>88</v>
      </c>
      <c r="DM167">
        <f>HYPERLINK("http://exon.niaid.nih.gov/transcriptome/C_felis/S1/links/cluster/cf-5-36-asb30-50-Id-CLTL88.txt", 2)</f>
        <v>2</v>
      </c>
      <c r="DN167" s="4">
        <v>497</v>
      </c>
      <c r="DO167">
        <v>1</v>
      </c>
      <c r="DP167" s="4">
        <v>506</v>
      </c>
      <c r="DQ167">
        <v>1</v>
      </c>
      <c r="DR167" s="4">
        <v>525</v>
      </c>
      <c r="DS167">
        <v>1</v>
      </c>
      <c r="DT167" s="4">
        <v>537</v>
      </c>
      <c r="DU167">
        <v>1</v>
      </c>
      <c r="DV167" s="4">
        <v>551</v>
      </c>
      <c r="DW167">
        <v>1</v>
      </c>
      <c r="DX167" s="4">
        <v>560</v>
      </c>
      <c r="DY167">
        <v>1</v>
      </c>
      <c r="DZ167" s="4">
        <v>568</v>
      </c>
      <c r="EA167">
        <v>1</v>
      </c>
      <c r="EB167" s="4">
        <v>573</v>
      </c>
      <c r="EC167">
        <v>1</v>
      </c>
      <c r="ED167" s="4">
        <v>577</v>
      </c>
      <c r="EE167">
        <v>1</v>
      </c>
      <c r="EF167" s="4">
        <v>583</v>
      </c>
      <c r="EG167">
        <v>1</v>
      </c>
      <c r="EH167" s="4">
        <v>590</v>
      </c>
      <c r="EI167">
        <v>1</v>
      </c>
      <c r="EJ167" s="4">
        <v>597</v>
      </c>
      <c r="EK167">
        <v>1</v>
      </c>
    </row>
    <row r="168" spans="1:141" x14ac:dyDescent="0.2">
      <c r="A168" t="str">
        <f>HYPERLINK("http://exon.niaid.nih.gov/transcriptome/C_felis/S1/links/cf/cf-contig_743.txt","cf-contig_743")</f>
        <v>cf-contig_743</v>
      </c>
      <c r="B168">
        <v>1</v>
      </c>
      <c r="C168" s="10" t="s">
        <v>4861</v>
      </c>
      <c r="D168">
        <v>1</v>
      </c>
      <c r="E168" t="str">
        <f>HYPERLINK("http://exon.niaid.nih.gov/transcriptome/C_felis/S1/links/cf/cf-5-36-asb-743.txt","Contig-743")</f>
        <v>Contig-743</v>
      </c>
      <c r="F168" t="str">
        <f>HYPERLINK("http://exon.niaid.nih.gov/transcriptome/C_felis/S1/links/cf/cf-5-36-743-CLU.txt","Contig743")</f>
        <v>Contig743</v>
      </c>
      <c r="G168" t="str">
        <f>HYPERLINK("http://exon.niaid.nih.gov/transcriptome/C_felis/S1/links/cf/cf-5-36-743-qual.txt","63.4")</f>
        <v>63.4</v>
      </c>
      <c r="H168" t="s">
        <v>11</v>
      </c>
      <c r="I168">
        <v>63.1</v>
      </c>
      <c r="J168">
        <v>558</v>
      </c>
      <c r="K168" t="s">
        <v>12</v>
      </c>
      <c r="L168">
        <v>1</v>
      </c>
      <c r="M168" t="s">
        <v>756</v>
      </c>
      <c r="N168">
        <v>558</v>
      </c>
      <c r="O168">
        <v>577</v>
      </c>
      <c r="P168">
        <v>393</v>
      </c>
      <c r="Q168" t="s">
        <v>1562</v>
      </c>
      <c r="R168">
        <v>3</v>
      </c>
      <c r="S168" s="7" t="str">
        <f>HYPERLINK("http://exon.niaid.nih.gov/transcriptome/C_felis/S1/links/Sigp/CF-CONTIG_743-SigP.txt","Cyt")</f>
        <v>Cyt</v>
      </c>
      <c r="U168">
        <v>1</v>
      </c>
      <c r="V168" s="4">
        <f>HYPERLINK("http://exon.niaid.nih.gov/transcriptome/C_felis/S1/links/cluster/cf-5-36-asb30-50-Id-CLU88.txt", 88)</f>
        <v>88</v>
      </c>
      <c r="W168">
        <f>HYPERLINK("http://exon.niaid.nih.gov/transcriptome/C_felis/S1/links/cluster/cf-5-36-asb30-50-Id-CLTL88.txt", 2)</f>
        <v>2</v>
      </c>
      <c r="X168" s="4">
        <v>618</v>
      </c>
      <c r="Y168">
        <v>1</v>
      </c>
      <c r="Z168" s="4">
        <v>632</v>
      </c>
      <c r="AA168">
        <v>1</v>
      </c>
      <c r="AB168" s="4" t="str">
        <f>HYPERLINK("http://exon.niaid.nih.gov/transcriptome/C_felis/S1/links/XC-ASB/cf-contig_743-XC-ASB.txt","XC-contig_8")</f>
        <v>XC-contig_8</v>
      </c>
      <c r="AC168">
        <v>6.7000000000000004E-2</v>
      </c>
      <c r="AD168" s="10" t="s">
        <v>4861</v>
      </c>
      <c r="AE168" t="s">
        <v>4641</v>
      </c>
      <c r="AF168" t="str">
        <f>HYPERLINK("http://exon.niaid.nih.gov/transcriptome/C_felis/S1/links/NR/cf-contig_743-NR.txt","NR")</f>
        <v>NR</v>
      </c>
      <c r="AG168" s="5">
        <v>6.9999999999999997E-33</v>
      </c>
      <c r="AH168">
        <v>31</v>
      </c>
      <c r="AI168" s="4" t="str">
        <f>HYPERLINK("http://exon.niaid.nih.gov/transcriptome/C_felis/S1/links/NR/cf-contig_743-NR.txt","hydroxysteroid dehydrogenase-like protein 2-like")</f>
        <v>hydroxysteroid dehydrogenase-like protein 2-like</v>
      </c>
      <c r="AJ168" t="str">
        <f>HYPERLINK("http://www.ncbi.nlm.nih.gov/sutils/blink.cgi?pid=156548625","7E-033")</f>
        <v>7E-033</v>
      </c>
      <c r="AK168" t="str">
        <f>HYPERLINK("http://www.ncbi.nlm.nih.gov/protein/156548625","gi|156548625")</f>
        <v>gi|156548625</v>
      </c>
      <c r="AL168">
        <v>144</v>
      </c>
      <c r="AM168">
        <v>124</v>
      </c>
      <c r="AN168">
        <v>409</v>
      </c>
      <c r="AO168">
        <v>59</v>
      </c>
      <c r="AP168">
        <v>31</v>
      </c>
      <c r="AQ168">
        <v>52</v>
      </c>
      <c r="AR168">
        <v>0</v>
      </c>
      <c r="AS168">
        <v>285</v>
      </c>
      <c r="AT168">
        <v>15</v>
      </c>
      <c r="AU168">
        <v>1</v>
      </c>
      <c r="AV168">
        <v>3</v>
      </c>
      <c r="AW168" t="s">
        <v>12</v>
      </c>
      <c r="AY168" t="s">
        <v>1676</v>
      </c>
      <c r="AZ168" t="s">
        <v>1897</v>
      </c>
      <c r="BA168" s="4" t="str">
        <f>HYPERLINK("http://exon.niaid.nih.gov/transcriptome/C_felis/S1/links/SWISSP/cf-contig_743-SWISSP.txt","Hydroxysteroid dehydrogenase-like protein 2")</f>
        <v>Hydroxysteroid dehydrogenase-like protein 2</v>
      </c>
      <c r="BB168" t="str">
        <f>HYPERLINK("http://www.uniprot.org/uniprot/A4FUZ6","4E-026")</f>
        <v>4E-026</v>
      </c>
      <c r="BC168" t="s">
        <v>4355</v>
      </c>
      <c r="BD168">
        <v>117</v>
      </c>
      <c r="BE168">
        <v>111</v>
      </c>
      <c r="BF168">
        <v>418</v>
      </c>
      <c r="BG168">
        <v>48</v>
      </c>
      <c r="BH168">
        <v>27</v>
      </c>
      <c r="BI168">
        <v>58</v>
      </c>
      <c r="BJ168">
        <v>0</v>
      </c>
      <c r="BK168">
        <v>307</v>
      </c>
      <c r="BL168">
        <v>57</v>
      </c>
      <c r="BM168">
        <v>1</v>
      </c>
      <c r="BN168">
        <v>3</v>
      </c>
      <c r="BO168" t="s">
        <v>12</v>
      </c>
      <c r="BQ168" t="s">
        <v>1676</v>
      </c>
      <c r="BR168" t="s">
        <v>1679</v>
      </c>
      <c r="BS168" s="4" t="str">
        <f>HYPERLINK("http://exon.niaid.nih.gov/transcriptome/C_felis/S1/links/CDD/cf-contig_743-CDD.txt","SCP2")</f>
        <v>SCP2</v>
      </c>
      <c r="BT168" t="str">
        <f>HYPERLINK("http://www.ncbi.nlm.nih.gov/Structure/cdd/cddsrv.cgi?uid=pfam02036&amp;version=v4.0","7E-019")</f>
        <v>7E-019</v>
      </c>
      <c r="BU168" t="s">
        <v>4356</v>
      </c>
      <c r="BV168" s="4" t="s">
        <v>3858</v>
      </c>
      <c r="BW168">
        <f>HYPERLINK("http://exon.niaid.nih.gov/transcriptome/C_felis/S1/links/GO/cf-contig_743-GO.txt",2E-29)</f>
        <v>1.9999999999999999E-29</v>
      </c>
      <c r="BX168" t="str">
        <f>HYPERLINK("http://amigo.geneontology.org/cgi-bin/amigo/term_details?term=GO:0016616","GO:0016616")</f>
        <v>GO:0016616</v>
      </c>
      <c r="BY168" t="s">
        <v>3859</v>
      </c>
      <c r="BZ168" t="s">
        <v>3860</v>
      </c>
      <c r="CA168" t="s">
        <v>42</v>
      </c>
      <c r="CB168" t="str">
        <f>HYPERLINK("http://www.genome.jp/dbget-bin/www_bfind_sub?mode=bfind&amp;max_hit=1000&amp;dbkey=kegg&amp;keywords=EC:1.1.1","EC:1.1.1")</f>
        <v>EC:1.1.1</v>
      </c>
      <c r="CD168" s="5">
        <v>1.9999999999999999E-29</v>
      </c>
      <c r="CE168" t="str">
        <f>HYPERLINK("http://amigo.geneontology.org/cgi-bin/amigo/term_details?term=GO:0005811","GO:0005811")</f>
        <v>GO:0005811</v>
      </c>
      <c r="CF168" t="s">
        <v>3449</v>
      </c>
      <c r="CG168" t="s">
        <v>3450</v>
      </c>
      <c r="CH168" t="s">
        <v>3451</v>
      </c>
      <c r="CI168" t="s">
        <v>42</v>
      </c>
      <c r="CK168" s="5">
        <v>1.9999999999999999E-29</v>
      </c>
      <c r="CL168" t="str">
        <f>HYPERLINK("http://amigo.geneontology.org/cgi-bin/amigo/term_details?term=GO:0008152","GO:0008152")</f>
        <v>GO:0008152</v>
      </c>
      <c r="CM168" t="s">
        <v>3861</v>
      </c>
      <c r="CN168" t="s">
        <v>3862</v>
      </c>
      <c r="CO168" t="s">
        <v>3863</v>
      </c>
      <c r="CP168" t="s">
        <v>42</v>
      </c>
      <c r="CR168" s="5">
        <v>1.9999999999999999E-29</v>
      </c>
      <c r="CS168" s="4" t="str">
        <f>HYPERLINK("http://exon.niaid.nih.gov/transcriptome/C_felis/S1/links/KOG/cf-contig_743-KOG.txt","2-enoyl-CoA hydratase/3-hydroxyacyl-CoA dehydrogenase/Peroxisomal 3-ketoacyl-CoA-thiolase, sterol-binding domain and related enzymes")</f>
        <v>2-enoyl-CoA hydratase/3-hydroxyacyl-CoA dehydrogenase/Peroxisomal 3-ketoacyl-CoA-thiolase, sterol-binding domain and related enzymes</v>
      </c>
      <c r="CT168" t="str">
        <f>HYPERLINK("http://www.ncbi.nlm.nih.gov/COG/grace/shokog.cgi?KOG4170","3E-027")</f>
        <v>3E-027</v>
      </c>
      <c r="CU168" t="s">
        <v>1761</v>
      </c>
      <c r="CV168" s="4" t="str">
        <f>HYPERLINK("http://exon.niaid.nih.gov/transcriptome/C_felis/S1/links/PFAM/cf-contig_743-PFAM.txt","SCP2")</f>
        <v>SCP2</v>
      </c>
      <c r="CW168" t="str">
        <f>HYPERLINK("http://pfam.sanger.ac.uk/family?acc=PF02036","2E-019")</f>
        <v>2E-019</v>
      </c>
      <c r="CX168" s="4" t="str">
        <f>HYPERLINK("http://exon.niaid.nih.gov/transcriptome/C_felis/S1/links/SMART/cf-contig_743-SMART.txt","COLFI")</f>
        <v>COLFI</v>
      </c>
      <c r="CY168" t="str">
        <f>HYPERLINK("http://smart.embl-heidelberg.de/smart/do_annotation.pl?DOMAIN=COLFI&amp;BLAST=DUMMY","0.17")</f>
        <v>0.17</v>
      </c>
      <c r="CZ168" s="4" t="s">
        <v>42</v>
      </c>
      <c r="DA168" t="s">
        <v>42</v>
      </c>
      <c r="DB168" t="s">
        <v>42</v>
      </c>
      <c r="DC168" t="s">
        <v>42</v>
      </c>
      <c r="DD168" t="s">
        <v>42</v>
      </c>
      <c r="DE168" t="s">
        <v>42</v>
      </c>
      <c r="DF168" t="s">
        <v>42</v>
      </c>
      <c r="DG168" t="s">
        <v>42</v>
      </c>
      <c r="DH168" s="4" t="s">
        <v>42</v>
      </c>
      <c r="DI168" t="s">
        <v>42</v>
      </c>
      <c r="DJ168" s="4" t="s">
        <v>42</v>
      </c>
      <c r="DK168" t="s">
        <v>42</v>
      </c>
      <c r="DL168" s="4">
        <f>HYPERLINK("http://exon.niaid.nih.gov/transcriptome/C_felis/S1/links/cluster/cf-5-36-asb30-50-Id-CLU88.txt", 88)</f>
        <v>88</v>
      </c>
      <c r="DM168">
        <f>HYPERLINK("http://exon.niaid.nih.gov/transcriptome/C_felis/S1/links/cluster/cf-5-36-asb30-50-Id-CLTL88.txt", 2)</f>
        <v>2</v>
      </c>
      <c r="DN168" s="4">
        <v>618</v>
      </c>
      <c r="DO168">
        <v>1</v>
      </c>
      <c r="DP168" s="4">
        <v>632</v>
      </c>
      <c r="DQ168">
        <v>1</v>
      </c>
      <c r="DR168" s="4">
        <v>654</v>
      </c>
      <c r="DS168">
        <v>1</v>
      </c>
      <c r="DT168" s="4">
        <v>669</v>
      </c>
      <c r="DU168">
        <v>1</v>
      </c>
      <c r="DV168" s="4">
        <v>684</v>
      </c>
      <c r="DW168">
        <v>1</v>
      </c>
      <c r="DX168" s="4">
        <v>696</v>
      </c>
      <c r="DY168">
        <v>1</v>
      </c>
      <c r="DZ168" s="4">
        <v>706</v>
      </c>
      <c r="EA168">
        <v>1</v>
      </c>
      <c r="EB168" s="4">
        <v>712</v>
      </c>
      <c r="EC168">
        <v>1</v>
      </c>
      <c r="ED168" s="4">
        <v>717</v>
      </c>
      <c r="EE168">
        <v>1</v>
      </c>
      <c r="EF168" s="4">
        <v>723</v>
      </c>
      <c r="EG168">
        <v>1</v>
      </c>
      <c r="EH168" s="4">
        <v>734</v>
      </c>
      <c r="EI168">
        <v>1</v>
      </c>
      <c r="EJ168" s="4">
        <v>743</v>
      </c>
      <c r="EK168">
        <v>1</v>
      </c>
    </row>
    <row r="169" spans="1:141" x14ac:dyDescent="0.2">
      <c r="A169" t="str">
        <f>HYPERLINK("http://exon.niaid.nih.gov/transcriptome/C_felis/S1/links/cf/cf-contig_727.txt","cf-contig_727")</f>
        <v>cf-contig_727</v>
      </c>
      <c r="B169">
        <v>1</v>
      </c>
      <c r="C169" s="10" t="s">
        <v>4857</v>
      </c>
      <c r="D169">
        <v>1</v>
      </c>
      <c r="E169" t="str">
        <f>HYPERLINK("http://exon.niaid.nih.gov/transcriptome/C_felis/S1/links/cf/cf-5-36-asb-727.txt","Contig-727")</f>
        <v>Contig-727</v>
      </c>
      <c r="F169" t="str">
        <f>HYPERLINK("http://exon.niaid.nih.gov/transcriptome/C_felis/S1/links/cf/cf-5-36-727-CLU.txt","Contig727")</f>
        <v>Contig727</v>
      </c>
      <c r="G169" t="str">
        <f>HYPERLINK("http://exon.niaid.nih.gov/transcriptome/C_felis/S1/links/cf/cf-5-36-727-qual.txt","58.4")</f>
        <v>58.4</v>
      </c>
      <c r="H169" t="s">
        <v>11</v>
      </c>
      <c r="I169">
        <v>63.9</v>
      </c>
      <c r="J169">
        <v>737</v>
      </c>
      <c r="K169" t="s">
        <v>12</v>
      </c>
      <c r="L169">
        <v>1</v>
      </c>
      <c r="M169" t="s">
        <v>740</v>
      </c>
      <c r="N169">
        <v>737</v>
      </c>
      <c r="O169">
        <v>756</v>
      </c>
      <c r="P169">
        <v>522</v>
      </c>
      <c r="Q169" t="s">
        <v>1546</v>
      </c>
      <c r="R169">
        <v>3</v>
      </c>
      <c r="S169" s="7" t="str">
        <f>HYPERLINK("http://exon.niaid.nih.gov/transcriptome/C_felis/S1/links/Sigp/CF-CONTIG_727-SigP.txt","SIG")</f>
        <v>SIG</v>
      </c>
      <c r="T169" t="s">
        <v>4591</v>
      </c>
      <c r="U169">
        <v>1</v>
      </c>
      <c r="V169" s="4">
        <v>590</v>
      </c>
      <c r="W169">
        <v>1</v>
      </c>
      <c r="X169" s="4">
        <v>606</v>
      </c>
      <c r="Y169">
        <v>1</v>
      </c>
      <c r="Z169" s="4">
        <v>619</v>
      </c>
      <c r="AA169">
        <v>1</v>
      </c>
      <c r="AB169" s="4" t="str">
        <f>HYPERLINK("http://exon.niaid.nih.gov/transcriptome/C_felis/S1/links/XC-ASB/cf-contig_16-XC-ASB.txt","XC-contig_49")</f>
        <v>XC-contig_49</v>
      </c>
      <c r="AC169">
        <v>1.0000000000000001E-5</v>
      </c>
      <c r="AD169" s="10" t="s">
        <v>4857</v>
      </c>
      <c r="AE169" t="s">
        <v>4858</v>
      </c>
      <c r="AF169" t="str">
        <f>HYPERLINK("http://exon.niaid.nih.gov/transcriptome/C_felis/S1/links/KOG/cf-contig_727-KOG.txt","KOG")</f>
        <v>KOG</v>
      </c>
      <c r="AG169" s="5">
        <v>3E-32</v>
      </c>
      <c r="AH169">
        <v>44.8</v>
      </c>
      <c r="AI169" s="4" t="str">
        <f>HYPERLINK("http://exon.niaid.nih.gov/transcriptome/C_felis/S1/links/NR/cf-contig_727-NR.txt","stearoyl-coa desaturase")</f>
        <v>stearoyl-coa desaturase</v>
      </c>
      <c r="AJ169" t="str">
        <f>HYPERLINK("http://www.ncbi.nlm.nih.gov/sutils/blink.cgi?pid=157137510","4E-053")</f>
        <v>4E-053</v>
      </c>
      <c r="AK169" t="str">
        <f>HYPERLINK("http://www.ncbi.nlm.nih.gov/protein/157137510","gi|157137510")</f>
        <v>gi|157137510</v>
      </c>
      <c r="AL169">
        <v>212</v>
      </c>
      <c r="AM169">
        <v>164</v>
      </c>
      <c r="AN169">
        <v>363</v>
      </c>
      <c r="AO169">
        <v>57</v>
      </c>
      <c r="AP169">
        <v>45</v>
      </c>
      <c r="AQ169">
        <v>71</v>
      </c>
      <c r="AR169">
        <v>0</v>
      </c>
      <c r="AS169">
        <v>193</v>
      </c>
      <c r="AT169">
        <v>9</v>
      </c>
      <c r="AU169">
        <v>1</v>
      </c>
      <c r="AV169">
        <v>3</v>
      </c>
      <c r="AW169" t="s">
        <v>12</v>
      </c>
      <c r="AY169" t="s">
        <v>1676</v>
      </c>
      <c r="AZ169" t="s">
        <v>2267</v>
      </c>
      <c r="BA169" s="4" t="str">
        <f>HYPERLINK("http://exon.niaid.nih.gov/transcriptome/C_felis/S1/links/SWISSP/cf-contig_727-SWISSP.txt","Acyl-CoA desaturase 1")</f>
        <v>Acyl-CoA desaturase 1</v>
      </c>
      <c r="BB169" t="str">
        <f>HYPERLINK("http://www.uniprot.org/uniprot/P13516","5E-017")</f>
        <v>5E-017</v>
      </c>
      <c r="BC169" t="s">
        <v>4300</v>
      </c>
      <c r="BD169">
        <v>88.2</v>
      </c>
      <c r="BE169">
        <v>141</v>
      </c>
      <c r="BF169">
        <v>355</v>
      </c>
      <c r="BG169">
        <v>34</v>
      </c>
      <c r="BH169">
        <v>40</v>
      </c>
      <c r="BI169">
        <v>94</v>
      </c>
      <c r="BJ169">
        <v>3</v>
      </c>
      <c r="BK169">
        <v>208</v>
      </c>
      <c r="BL169">
        <v>9</v>
      </c>
      <c r="BM169">
        <v>1</v>
      </c>
      <c r="BN169">
        <v>3</v>
      </c>
      <c r="BO169" t="s">
        <v>12</v>
      </c>
      <c r="BQ169" t="s">
        <v>1676</v>
      </c>
      <c r="BR169" t="s">
        <v>1705</v>
      </c>
      <c r="BS169" s="4" t="str">
        <f>HYPERLINK("http://exon.niaid.nih.gov/transcriptome/C_felis/S1/links/CDD/cf-contig_727-CDD.txt","Delta9-FADS-lik")</f>
        <v>Delta9-FADS-lik</v>
      </c>
      <c r="BT169" t="str">
        <f>HYPERLINK("http://www.ncbi.nlm.nih.gov/Structure/cdd/cddsrv.cgi?uid=cd03505&amp;version=v4.0","5E-015")</f>
        <v>5E-015</v>
      </c>
      <c r="BU169" t="s">
        <v>4301</v>
      </c>
      <c r="BV169" s="4" t="s">
        <v>4302</v>
      </c>
      <c r="BW169">
        <f>HYPERLINK("http://exon.niaid.nih.gov/transcriptome/C_felis/S1/links/GO/cf-contig_727-GO.txt",1E-39)</f>
        <v>9.9999999999999993E-40</v>
      </c>
      <c r="BX169" t="str">
        <f>HYPERLINK("http://amigo.geneontology.org/cgi-bin/amigo/term_details?term=GO:0004768","GO:0004768")</f>
        <v>GO:0004768</v>
      </c>
      <c r="BY169" t="s">
        <v>4303</v>
      </c>
      <c r="BZ169" t="s">
        <v>4304</v>
      </c>
      <c r="CA169" t="s">
        <v>4305</v>
      </c>
      <c r="CB169" t="str">
        <f>HYPERLINK("http://www.genome.jp/dbget-bin/www_bfind_sub?mode=bfind&amp;max_hit=1000&amp;dbkey=kegg&amp;keywords=EC:1.14.19.1","EC:1.14.19.1")</f>
        <v>EC:1.14.19.1</v>
      </c>
      <c r="CD169" s="5">
        <v>4.0000000000000002E-22</v>
      </c>
      <c r="CE169" t="str">
        <f>HYPERLINK("http://amigo.geneontology.org/cgi-bin/amigo/term_details?term=GO:0005811","GO:0005811")</f>
        <v>GO:0005811</v>
      </c>
      <c r="CF169" t="s">
        <v>3449</v>
      </c>
      <c r="CG169" t="s">
        <v>3450</v>
      </c>
      <c r="CH169" t="s">
        <v>3451</v>
      </c>
      <c r="CI169" t="s">
        <v>42</v>
      </c>
      <c r="CK169" s="5">
        <v>4.0000000000000002E-22</v>
      </c>
      <c r="CL169" t="str">
        <f>HYPERLINK("http://amigo.geneontology.org/cgi-bin/amigo/term_details?term=GO:0006633","GO:0006633")</f>
        <v>GO:0006633</v>
      </c>
      <c r="CM169" t="s">
        <v>4306</v>
      </c>
      <c r="CN169" t="s">
        <v>4307</v>
      </c>
      <c r="CO169" t="s">
        <v>4308</v>
      </c>
      <c r="CP169" t="s">
        <v>42</v>
      </c>
      <c r="CR169" s="5">
        <v>4.0000000000000002E-22</v>
      </c>
      <c r="CS169" s="4" t="str">
        <f>HYPERLINK("http://exon.niaid.nih.gov/transcriptome/C_felis/S1/links/KOG/cf-contig_727-KOG.txt","Fatty acid desaturase")</f>
        <v>Fatty acid desaturase</v>
      </c>
      <c r="CT169" t="str">
        <f>HYPERLINK("http://www.ncbi.nlm.nih.gov/COG/grace/shokog.cgi?KOG1600","3E-032")</f>
        <v>3E-032</v>
      </c>
      <c r="CU169" t="s">
        <v>1761</v>
      </c>
      <c r="CV169" s="4" t="str">
        <f>HYPERLINK("http://exon.niaid.nih.gov/transcriptome/C_felis/S1/links/PFAM/cf-contig_727-PFAM.txt","Glyco_transf_29")</f>
        <v>Glyco_transf_29</v>
      </c>
      <c r="CW169" t="str">
        <f>HYPERLINK("http://pfam.sanger.ac.uk/family?acc=PF00777","0.054")</f>
        <v>0.054</v>
      </c>
      <c r="CX169" s="4" t="str">
        <f>HYPERLINK("http://exon.niaid.nih.gov/transcriptome/C_felis/S1/links/SMART/cf-contig_727-SMART.txt","PSN")</f>
        <v>PSN</v>
      </c>
      <c r="CY169" t="str">
        <f>HYPERLINK("http://smart.embl-heidelberg.de/smart/do_annotation.pl?DOMAIN=PSN&amp;BLAST=DUMMY","0.054")</f>
        <v>0.054</v>
      </c>
      <c r="CZ169" s="4" t="s">
        <v>42</v>
      </c>
      <c r="DA169" t="s">
        <v>42</v>
      </c>
      <c r="DB169" t="s">
        <v>42</v>
      </c>
      <c r="DC169" t="s">
        <v>42</v>
      </c>
      <c r="DD169" t="s">
        <v>42</v>
      </c>
      <c r="DE169" t="s">
        <v>42</v>
      </c>
      <c r="DF169" t="s">
        <v>42</v>
      </c>
      <c r="DG169" t="s">
        <v>42</v>
      </c>
      <c r="DH169" s="4" t="s">
        <v>42</v>
      </c>
      <c r="DI169" t="s">
        <v>42</v>
      </c>
      <c r="DJ169" s="4" t="s">
        <v>42</v>
      </c>
      <c r="DK169" t="s">
        <v>42</v>
      </c>
      <c r="DL169" s="4">
        <v>590</v>
      </c>
      <c r="DM169">
        <v>1</v>
      </c>
      <c r="DN169" s="4">
        <v>606</v>
      </c>
      <c r="DO169">
        <v>1</v>
      </c>
      <c r="DP169" s="4">
        <v>619</v>
      </c>
      <c r="DQ169">
        <v>1</v>
      </c>
      <c r="DR169" s="4">
        <v>640</v>
      </c>
      <c r="DS169">
        <v>1</v>
      </c>
      <c r="DT169" s="4">
        <v>655</v>
      </c>
      <c r="DU169">
        <v>1</v>
      </c>
      <c r="DV169" s="4">
        <v>670</v>
      </c>
      <c r="DW169">
        <v>1</v>
      </c>
      <c r="DX169" s="4">
        <v>681</v>
      </c>
      <c r="DY169">
        <v>1</v>
      </c>
      <c r="DZ169" s="4">
        <v>691</v>
      </c>
      <c r="EA169">
        <v>1</v>
      </c>
      <c r="EB169" s="4">
        <v>697</v>
      </c>
      <c r="EC169">
        <v>1</v>
      </c>
      <c r="ED169" s="4">
        <v>702</v>
      </c>
      <c r="EE169">
        <v>1</v>
      </c>
      <c r="EF169" s="4">
        <v>708</v>
      </c>
      <c r="EG169">
        <v>1</v>
      </c>
      <c r="EH169" s="4">
        <v>718</v>
      </c>
      <c r="EI169">
        <v>1</v>
      </c>
      <c r="EJ169" s="4">
        <v>727</v>
      </c>
      <c r="EK169">
        <v>1</v>
      </c>
    </row>
    <row r="170" spans="1:141" s="6" customFormat="1" x14ac:dyDescent="0.2">
      <c r="A170" s="12" t="s">
        <v>4888</v>
      </c>
      <c r="C170" s="11"/>
      <c r="AB170" s="6" t="s">
        <v>42</v>
      </c>
      <c r="AD170" s="11"/>
      <c r="AE170" s="11"/>
      <c r="AF170" s="11"/>
      <c r="AG170" s="11"/>
      <c r="AH170" s="11"/>
    </row>
    <row r="171" spans="1:141" x14ac:dyDescent="0.2">
      <c r="A171" t="str">
        <f>HYPERLINK("http://exon.niaid.nih.gov/transcriptome/C_felis/S1/links/cf/cf-contig_413.txt","cf-contig_413")</f>
        <v>cf-contig_413</v>
      </c>
      <c r="B171">
        <v>1</v>
      </c>
      <c r="C171" s="10" t="s">
        <v>4760</v>
      </c>
      <c r="D171">
        <v>1</v>
      </c>
      <c r="E171" t="str">
        <f>HYPERLINK("http://exon.niaid.nih.gov/transcriptome/C_felis/S1/links/cf/cf-5-36-asb-413.txt","Contig-413")</f>
        <v>Contig-413</v>
      </c>
      <c r="F171" t="str">
        <f>HYPERLINK("http://exon.niaid.nih.gov/transcriptome/C_felis/S1/links/cf/cf-5-36-413-CLU.txt","Contig413")</f>
        <v>Contig413</v>
      </c>
      <c r="G171" t="str">
        <f>HYPERLINK("http://exon.niaid.nih.gov/transcriptome/C_felis/S1/links/cf/cf-5-36-413-qual.txt","66.")</f>
        <v>66.</v>
      </c>
      <c r="H171" t="s">
        <v>11</v>
      </c>
      <c r="I171">
        <v>63.7</v>
      </c>
      <c r="J171">
        <v>491</v>
      </c>
      <c r="K171" t="s">
        <v>12</v>
      </c>
      <c r="L171">
        <v>1</v>
      </c>
      <c r="M171" t="s">
        <v>426</v>
      </c>
      <c r="N171">
        <v>491</v>
      </c>
      <c r="O171">
        <v>510</v>
      </c>
      <c r="P171">
        <v>429</v>
      </c>
      <c r="Q171" t="s">
        <v>1233</v>
      </c>
      <c r="R171">
        <v>3</v>
      </c>
      <c r="S171" s="7" t="str">
        <f>HYPERLINK("http://exon.niaid.nih.gov/transcriptome/C_felis/S1/links/Sigp/CF-CONTIG_413-SigP.txt","Cyt")</f>
        <v>Cyt</v>
      </c>
      <c r="U171">
        <v>1</v>
      </c>
      <c r="V171" s="4">
        <v>337</v>
      </c>
      <c r="W171">
        <v>1</v>
      </c>
      <c r="X171" s="4">
        <v>345</v>
      </c>
      <c r="Y171">
        <v>1</v>
      </c>
      <c r="Z171" s="4">
        <v>348</v>
      </c>
      <c r="AA171">
        <v>1</v>
      </c>
      <c r="AB171" s="4" t="str">
        <f>HYPERLINK("http://exon.niaid.nih.gov/transcriptome/C_felis/S1/links/XC-ASB/cf-contig_413-XC-ASB.txt","XC-contig_106")</f>
        <v>XC-contig_106</v>
      </c>
      <c r="AC171">
        <v>0.08</v>
      </c>
      <c r="AD171" s="10" t="s">
        <v>4760</v>
      </c>
      <c r="AE171" t="s">
        <v>4614</v>
      </c>
      <c r="AF171" t="str">
        <f>HYPERLINK("http://exon.niaid.nih.gov/transcriptome/C_felis/S1/links/NR/cf-contig_413-NR.txt","NR")</f>
        <v>NR</v>
      </c>
      <c r="AG171" s="5">
        <v>5.9999999999999998E-48</v>
      </c>
      <c r="AH171">
        <v>68.2</v>
      </c>
      <c r="AI171" s="4" t="str">
        <f>HYPERLINK("http://exon.niaid.nih.gov/transcriptome/C_felis/S1/links/NR/cf-contig_413-NR.txt","exosome complex component CSL4-like")</f>
        <v>exosome complex component CSL4-like</v>
      </c>
      <c r="AJ171" t="str">
        <f>HYPERLINK("http://www.ncbi.nlm.nih.gov/sutils/blink.cgi?pid=156538385","1E-049")</f>
        <v>1E-049</v>
      </c>
      <c r="AK171" t="str">
        <f>HYPERLINK("http://www.ncbi.nlm.nih.gov/protein/156538385","gi|156538385")</f>
        <v>gi|156538385</v>
      </c>
      <c r="AL171">
        <v>199</v>
      </c>
      <c r="AM171">
        <v>132</v>
      </c>
      <c r="AN171">
        <v>198</v>
      </c>
      <c r="AO171">
        <v>73</v>
      </c>
      <c r="AP171">
        <v>67</v>
      </c>
      <c r="AQ171">
        <v>35</v>
      </c>
      <c r="AR171">
        <v>0</v>
      </c>
      <c r="AS171">
        <v>63</v>
      </c>
      <c r="AT171">
        <v>15</v>
      </c>
      <c r="AU171">
        <v>1</v>
      </c>
      <c r="AV171">
        <v>3</v>
      </c>
      <c r="AW171" t="s">
        <v>12</v>
      </c>
      <c r="AY171" t="s">
        <v>1676</v>
      </c>
      <c r="AZ171" t="s">
        <v>1897</v>
      </c>
      <c r="BA171" s="4" t="str">
        <f>HYPERLINK("http://exon.niaid.nih.gov/transcriptome/C_felis/S1/links/SWISSP/cf-contig_413-SWISSP.txt","Exosome complex component CSL4")</f>
        <v>Exosome complex component CSL4</v>
      </c>
      <c r="BB171" t="str">
        <f>HYPERLINK("http://www.uniprot.org/uniprot/Q9DAA6","8E-035")</f>
        <v>8E-035</v>
      </c>
      <c r="BC171" t="s">
        <v>3142</v>
      </c>
      <c r="BD171">
        <v>146</v>
      </c>
      <c r="BE171">
        <v>132</v>
      </c>
      <c r="BF171">
        <v>195</v>
      </c>
      <c r="BG171">
        <v>54</v>
      </c>
      <c r="BH171">
        <v>68</v>
      </c>
      <c r="BI171">
        <v>61</v>
      </c>
      <c r="BJ171">
        <v>1</v>
      </c>
      <c r="BK171">
        <v>61</v>
      </c>
      <c r="BL171">
        <v>12</v>
      </c>
      <c r="BM171">
        <v>1</v>
      </c>
      <c r="BN171">
        <v>3</v>
      </c>
      <c r="BO171" t="s">
        <v>12</v>
      </c>
      <c r="BQ171" t="s">
        <v>1676</v>
      </c>
      <c r="BR171" t="s">
        <v>1705</v>
      </c>
      <c r="BS171" s="4" t="str">
        <f>HYPERLINK("http://exon.niaid.nih.gov/transcriptome/C_felis/S1/links/CDD/cf-contig_413-CDD.txt","S1_CSL4")</f>
        <v>S1_CSL4</v>
      </c>
      <c r="BT171" t="str">
        <f>HYPERLINK("http://www.ncbi.nlm.nih.gov/Structure/cdd/cddsrv.cgi?uid=cd05791&amp;version=v4.0","4E-032")</f>
        <v>4E-032</v>
      </c>
      <c r="BU171" t="s">
        <v>3143</v>
      </c>
      <c r="BV171" s="4" t="s">
        <v>3144</v>
      </c>
      <c r="BW171">
        <f>HYPERLINK("http://exon.niaid.nih.gov/transcriptome/C_felis/S1/links/GO/cf-contig_413-GO.txt",8E-38)</f>
        <v>7.9999999999999997E-38</v>
      </c>
      <c r="BX171" t="str">
        <f>HYPERLINK("http://amigo.geneontology.org/cgi-bin/amigo/term_details?term=GO:0000175","GO:0000175")</f>
        <v>GO:0000175</v>
      </c>
      <c r="BY171" t="s">
        <v>3145</v>
      </c>
      <c r="BZ171" t="s">
        <v>3146</v>
      </c>
      <c r="CA171" t="s">
        <v>3147</v>
      </c>
      <c r="CB171" t="str">
        <f>HYPERLINK("http://www.genome.jp/dbget-bin/www_bfind_sub?mode=bfind&amp;max_hit=1000&amp;dbkey=kegg&amp;keywords=EC:3.1.13.-","EC:3.1.13.-")</f>
        <v>EC:3.1.13.-</v>
      </c>
      <c r="CD171" s="5">
        <v>7.9999999999999997E-38</v>
      </c>
      <c r="CE171" t="str">
        <f>HYPERLINK("http://amigo.geneontology.org/cgi-bin/amigo/term_details?term=GO:0000176","GO:0000176")</f>
        <v>GO:0000176</v>
      </c>
      <c r="CF171" t="s">
        <v>3148</v>
      </c>
      <c r="CG171" t="s">
        <v>3149</v>
      </c>
      <c r="CH171" t="s">
        <v>3150</v>
      </c>
      <c r="CI171" t="s">
        <v>42</v>
      </c>
      <c r="CK171" s="5">
        <v>7.9999999999999997E-38</v>
      </c>
      <c r="CL171" t="str">
        <f>HYPERLINK("http://amigo.geneontology.org/cgi-bin/amigo/term_details?term=GO:0006397","GO:0006397")</f>
        <v>GO:0006397</v>
      </c>
      <c r="CM171" t="s">
        <v>2928</v>
      </c>
      <c r="CN171" t="s">
        <v>2929</v>
      </c>
      <c r="CO171" t="s">
        <v>2930</v>
      </c>
      <c r="CP171" t="s">
        <v>42</v>
      </c>
      <c r="CR171" s="5">
        <v>7.9999999999999997E-38</v>
      </c>
      <c r="CS171" s="4" t="str">
        <f>HYPERLINK("http://exon.niaid.nih.gov/transcriptome/C_felis/S1/links/KOG/cf-contig_413-KOG.txt","Exosomal 3'-5' exoribonuclease complex, subunit ski4 (Csl4)")</f>
        <v>Exosomal 3'-5' exoribonuclease complex, subunit ski4 (Csl4)</v>
      </c>
      <c r="CT171" t="str">
        <f>HYPERLINK("http://www.ncbi.nlm.nih.gov/COG/grace/shokog.cgi?KOG3409","4E-044")</f>
        <v>4E-044</v>
      </c>
      <c r="CU171" t="s">
        <v>1707</v>
      </c>
      <c r="CV171" s="4" t="str">
        <f>HYPERLINK("http://exon.niaid.nih.gov/transcriptome/C_felis/S1/links/PFAM/cf-contig_413-PFAM.txt","EXOSC1")</f>
        <v>EXOSC1</v>
      </c>
      <c r="CW171" t="str">
        <f>HYPERLINK("http://pfam.sanger.ac.uk/family?acc=PF10447","9E-029")</f>
        <v>9E-029</v>
      </c>
      <c r="CX171" s="4" t="str">
        <f>HYPERLINK("http://exon.niaid.nih.gov/transcriptome/C_felis/S1/links/SMART/cf-contig_413-SMART.txt","S1")</f>
        <v>S1</v>
      </c>
      <c r="CY171" t="str">
        <f>HYPERLINK("http://smart.embl-heidelberg.de/smart/do_annotation.pl?DOMAIN=S1&amp;BLAST=DUMMY","0.023")</f>
        <v>0.023</v>
      </c>
      <c r="CZ171" s="4" t="s">
        <v>42</v>
      </c>
      <c r="DA171" t="s">
        <v>42</v>
      </c>
      <c r="DB171" t="s">
        <v>42</v>
      </c>
      <c r="DC171" t="s">
        <v>42</v>
      </c>
      <c r="DD171" t="s">
        <v>42</v>
      </c>
      <c r="DE171" t="s">
        <v>42</v>
      </c>
      <c r="DF171" t="s">
        <v>42</v>
      </c>
      <c r="DG171" t="s">
        <v>42</v>
      </c>
      <c r="DH171" s="4" t="s">
        <v>42</v>
      </c>
      <c r="DI171" t="s">
        <v>42</v>
      </c>
      <c r="DJ171" s="4" t="s">
        <v>42</v>
      </c>
      <c r="DK171" t="s">
        <v>42</v>
      </c>
      <c r="DL171" s="4">
        <v>337</v>
      </c>
      <c r="DM171">
        <v>1</v>
      </c>
      <c r="DN171" s="4">
        <v>345</v>
      </c>
      <c r="DO171">
        <v>1</v>
      </c>
      <c r="DP171" s="4">
        <v>348</v>
      </c>
      <c r="DQ171">
        <v>1</v>
      </c>
      <c r="DR171" s="4">
        <v>359</v>
      </c>
      <c r="DS171">
        <v>1</v>
      </c>
      <c r="DT171" s="4">
        <v>369</v>
      </c>
      <c r="DU171">
        <v>1</v>
      </c>
      <c r="DV171" s="4">
        <v>382</v>
      </c>
      <c r="DW171">
        <v>1</v>
      </c>
      <c r="DX171" s="4">
        <v>385</v>
      </c>
      <c r="DY171">
        <v>1</v>
      </c>
      <c r="DZ171" s="4">
        <v>390</v>
      </c>
      <c r="EA171">
        <v>1</v>
      </c>
      <c r="EB171" s="4">
        <v>395</v>
      </c>
      <c r="EC171">
        <v>1</v>
      </c>
      <c r="ED171" s="4">
        <v>399</v>
      </c>
      <c r="EE171">
        <v>1</v>
      </c>
      <c r="EF171" s="4">
        <v>404</v>
      </c>
      <c r="EG171">
        <v>1</v>
      </c>
      <c r="EH171" s="4">
        <v>407</v>
      </c>
      <c r="EI171">
        <v>1</v>
      </c>
      <c r="EJ171" s="4">
        <v>413</v>
      </c>
      <c r="EK171">
        <v>1</v>
      </c>
    </row>
    <row r="172" spans="1:141" s="6" customFormat="1" x14ac:dyDescent="0.2">
      <c r="A172" s="12" t="s">
        <v>4890</v>
      </c>
      <c r="C172" s="11"/>
      <c r="AB172" s="6" t="s">
        <v>42</v>
      </c>
      <c r="AD172" s="11"/>
      <c r="AE172" s="11"/>
      <c r="AF172" s="11"/>
      <c r="AG172" s="11"/>
      <c r="AH172" s="11"/>
    </row>
    <row r="173" spans="1:141" x14ac:dyDescent="0.2">
      <c r="A173" t="str">
        <f>HYPERLINK("http://exon.niaid.nih.gov/transcriptome/C_felis/S1/links/cf/cf-contig_787.txt","cf-contig_787")</f>
        <v>cf-contig_787</v>
      </c>
      <c r="B173">
        <v>1</v>
      </c>
      <c r="C173" s="10" t="s">
        <v>4876</v>
      </c>
      <c r="D173">
        <v>1</v>
      </c>
      <c r="E173" t="str">
        <f>HYPERLINK("http://exon.niaid.nih.gov/transcriptome/C_felis/S1/links/cf/cf-5-36-asb-787.txt","Contig-787")</f>
        <v>Contig-787</v>
      </c>
      <c r="F173" t="str">
        <f>HYPERLINK("http://exon.niaid.nih.gov/transcriptome/C_felis/S1/links/cf/cf-5-36-787-CLU.txt","Contig787")</f>
        <v>Contig787</v>
      </c>
      <c r="G173" t="str">
        <f>HYPERLINK("http://exon.niaid.nih.gov/transcriptome/C_felis/S1/links/cf/cf-5-36-787-qual.txt","63.8")</f>
        <v>63.8</v>
      </c>
      <c r="H173" t="s">
        <v>11</v>
      </c>
      <c r="I173">
        <v>65.099999999999994</v>
      </c>
      <c r="J173">
        <v>193</v>
      </c>
      <c r="K173" t="s">
        <v>12</v>
      </c>
      <c r="L173">
        <v>1</v>
      </c>
      <c r="M173" t="s">
        <v>800</v>
      </c>
      <c r="N173">
        <v>193</v>
      </c>
      <c r="O173">
        <v>212</v>
      </c>
      <c r="P173">
        <v>156</v>
      </c>
      <c r="Q173" t="s">
        <v>1606</v>
      </c>
      <c r="R173">
        <v>2</v>
      </c>
      <c r="S173" s="7" t="s">
        <v>4585</v>
      </c>
      <c r="U173">
        <v>1</v>
      </c>
      <c r="V173" s="4">
        <v>632</v>
      </c>
      <c r="W173">
        <v>1</v>
      </c>
      <c r="X173" s="4">
        <v>653</v>
      </c>
      <c r="Y173">
        <v>1</v>
      </c>
      <c r="Z173" s="4">
        <v>669</v>
      </c>
      <c r="AA173">
        <v>1</v>
      </c>
      <c r="AB173" s="4" t="str">
        <f>HYPERLINK("http://exon.niaid.nih.gov/transcriptome/C_felis/S1/links/XC-ASB/cf-contig_787-XC-ASB.txt","XC-contig_87")</f>
        <v>XC-contig_87</v>
      </c>
      <c r="AC173">
        <v>2.2000000000000002</v>
      </c>
      <c r="AD173" s="10" t="s">
        <v>4876</v>
      </c>
      <c r="AE173" t="s">
        <v>4832</v>
      </c>
      <c r="AF173" t="str">
        <f>HYPERLINK("http://exon.niaid.nih.gov/transcriptome/C_felis/S1/links/NR/cf-contig_787-NR.txt","NR")</f>
        <v>NR</v>
      </c>
      <c r="AG173" s="5">
        <v>6.9999999999999993E-24</v>
      </c>
      <c r="AH173">
        <v>5</v>
      </c>
      <c r="AI173" s="4" t="str">
        <f>HYPERLINK("http://exon.niaid.nih.gov/transcriptome/C_felis/S1/links/NR/cf-contig_787-NR.txt","DNA polymerase delta catalytic subunit")</f>
        <v>DNA polymerase delta catalytic subunit</v>
      </c>
      <c r="AJ173" t="str">
        <f>HYPERLINK("http://www.ncbi.nlm.nih.gov/sutils/blink.cgi?pid=324120768","7E-024")</f>
        <v>7E-024</v>
      </c>
      <c r="AK173" t="str">
        <f>HYPERLINK("http://www.ncbi.nlm.nih.gov/protein/324120768","gi|324120768")</f>
        <v>gi|324120768</v>
      </c>
      <c r="AL173">
        <v>114</v>
      </c>
      <c r="AM173">
        <v>50</v>
      </c>
      <c r="AN173">
        <v>1002</v>
      </c>
      <c r="AO173">
        <v>98</v>
      </c>
      <c r="AP173">
        <v>5</v>
      </c>
      <c r="AQ173">
        <v>1</v>
      </c>
      <c r="AR173">
        <v>0</v>
      </c>
      <c r="AS173">
        <v>952</v>
      </c>
      <c r="AT173">
        <v>5</v>
      </c>
      <c r="AU173">
        <v>1</v>
      </c>
      <c r="AV173">
        <v>2</v>
      </c>
      <c r="AW173" t="s">
        <v>12</v>
      </c>
      <c r="AY173" t="s">
        <v>1676</v>
      </c>
      <c r="AZ173" t="s">
        <v>1728</v>
      </c>
      <c r="BA173" s="4" t="str">
        <f>HYPERLINK("http://exon.niaid.nih.gov/transcriptome/C_felis/S1/links/SWISSP/cf-contig_787-SWISSP.txt","DNA polymerase delta catalytic subunit")</f>
        <v>DNA polymerase delta catalytic subunit</v>
      </c>
      <c r="BB173" t="str">
        <f>HYPERLINK("http://www.uniprot.org/uniprot/P54358","1E-018")</f>
        <v>1E-018</v>
      </c>
      <c r="BC173" t="s">
        <v>4516</v>
      </c>
      <c r="BD173">
        <v>91.7</v>
      </c>
      <c r="BE173">
        <v>50</v>
      </c>
      <c r="BF173">
        <v>1092</v>
      </c>
      <c r="BG173">
        <v>74</v>
      </c>
      <c r="BH173">
        <v>5</v>
      </c>
      <c r="BI173">
        <v>13</v>
      </c>
      <c r="BJ173">
        <v>0</v>
      </c>
      <c r="BK173">
        <v>1042</v>
      </c>
      <c r="BL173">
        <v>5</v>
      </c>
      <c r="BM173">
        <v>1</v>
      </c>
      <c r="BN173">
        <v>2</v>
      </c>
      <c r="BO173" t="s">
        <v>12</v>
      </c>
      <c r="BQ173" t="s">
        <v>1676</v>
      </c>
      <c r="BR173" t="s">
        <v>1804</v>
      </c>
      <c r="BS173" s="4" t="str">
        <f>HYPERLINK("http://exon.niaid.nih.gov/transcriptome/C_felis/S1/links/CDD/cf-contig_787-CDD.txt","PTZ00166")</f>
        <v>PTZ00166</v>
      </c>
      <c r="BT173" t="str">
        <f>HYPERLINK("http://www.ncbi.nlm.nih.gov/Structure/cdd/cddsrv.cgi?uid=PTZ00166&amp;version=v4.0","4E-022")</f>
        <v>4E-022</v>
      </c>
      <c r="BU173" t="s">
        <v>4517</v>
      </c>
      <c r="BV173" s="4" t="s">
        <v>4518</v>
      </c>
      <c r="BW173">
        <f>HYPERLINK("http://exon.niaid.nih.gov/transcriptome/C_felis/S1/links/GO/cf-contig_787-GO.txt",0.00000000000000007)</f>
        <v>7.0000000000000003E-17</v>
      </c>
      <c r="BX173" t="str">
        <f>HYPERLINK("http://amigo.geneontology.org/cgi-bin/amigo/term_details?term=GO:0000166","GO:0000166")</f>
        <v>GO:0000166</v>
      </c>
      <c r="BY173" t="s">
        <v>2415</v>
      </c>
      <c r="BZ173" t="s">
        <v>2416</v>
      </c>
      <c r="CA173" t="s">
        <v>42</v>
      </c>
      <c r="CB173" t="s">
        <v>42</v>
      </c>
      <c r="CD173" s="5">
        <v>7.0000000000000003E-17</v>
      </c>
      <c r="CE173" t="str">
        <f>HYPERLINK("http://amigo.geneontology.org/cgi-bin/amigo/term_details?term=GO:0043625","GO:0043625")</f>
        <v>GO:0043625</v>
      </c>
      <c r="CF173" t="s">
        <v>4519</v>
      </c>
      <c r="CG173" t="s">
        <v>4520</v>
      </c>
      <c r="CH173" t="s">
        <v>4521</v>
      </c>
      <c r="CI173" t="s">
        <v>42</v>
      </c>
      <c r="CK173" s="5">
        <v>7.0000000000000003E-17</v>
      </c>
      <c r="CL173" t="str">
        <f>HYPERLINK("http://amigo.geneontology.org/cgi-bin/amigo/term_details?term=GO:0006260","GO:0006260")</f>
        <v>GO:0006260</v>
      </c>
      <c r="CM173" t="s">
        <v>4522</v>
      </c>
      <c r="CN173" t="s">
        <v>4523</v>
      </c>
      <c r="CO173" t="s">
        <v>42</v>
      </c>
      <c r="CP173" t="s">
        <v>42</v>
      </c>
      <c r="CR173" s="5">
        <v>7.0000000000000003E-17</v>
      </c>
      <c r="CS173" s="4" t="str">
        <f>HYPERLINK("http://exon.niaid.nih.gov/transcriptome/C_felis/S1/links/KOG/cf-contig_787-KOG.txt","DNA polymerase delta, catalytic subunit")</f>
        <v>DNA polymerase delta, catalytic subunit</v>
      </c>
      <c r="CT173" t="str">
        <f>HYPERLINK("http://www.ncbi.nlm.nih.gov/COG/grace/shokog.cgi?KOG0969","2E-021")</f>
        <v>2E-021</v>
      </c>
      <c r="CU173" t="s">
        <v>2520</v>
      </c>
      <c r="CV173" s="4" t="str">
        <f>HYPERLINK("http://exon.niaid.nih.gov/transcriptome/C_felis/S1/links/PFAM/cf-contig_787-PFAM.txt","Clusterin")</f>
        <v>Clusterin</v>
      </c>
      <c r="CW173" t="str">
        <f>HYPERLINK("http://pfam.sanger.ac.uk/family?acc=PF01093","0.031")</f>
        <v>0.031</v>
      </c>
      <c r="CX173" s="4" t="str">
        <f>HYPERLINK("http://exon.niaid.nih.gov/transcriptome/C_felis/S1/links/SMART/cf-contig_787-SMART.txt","CLa")</f>
        <v>CLa</v>
      </c>
      <c r="CY173" t="str">
        <f>HYPERLINK("http://smart.embl-heidelberg.de/smart/do_annotation.pl?DOMAIN=CLa&amp;BLAST=DUMMY","0.072")</f>
        <v>0.072</v>
      </c>
      <c r="CZ173" s="4" t="s">
        <v>42</v>
      </c>
      <c r="DA173" t="s">
        <v>42</v>
      </c>
      <c r="DB173" t="s">
        <v>42</v>
      </c>
      <c r="DC173" t="s">
        <v>42</v>
      </c>
      <c r="DD173" t="s">
        <v>42</v>
      </c>
      <c r="DE173" t="s">
        <v>42</v>
      </c>
      <c r="DF173" t="s">
        <v>42</v>
      </c>
      <c r="DG173" t="s">
        <v>42</v>
      </c>
      <c r="DH173" s="4" t="s">
        <v>42</v>
      </c>
      <c r="DI173" t="s">
        <v>42</v>
      </c>
      <c r="DJ173" s="4" t="s">
        <v>42</v>
      </c>
      <c r="DK173" t="s">
        <v>42</v>
      </c>
      <c r="DL173" s="4">
        <v>632</v>
      </c>
      <c r="DM173">
        <v>1</v>
      </c>
      <c r="DN173" s="4">
        <v>653</v>
      </c>
      <c r="DO173">
        <v>1</v>
      </c>
      <c r="DP173" s="4">
        <v>669</v>
      </c>
      <c r="DQ173">
        <v>1</v>
      </c>
      <c r="DR173" s="4">
        <v>691</v>
      </c>
      <c r="DS173">
        <v>1</v>
      </c>
      <c r="DT173" s="4">
        <v>707</v>
      </c>
      <c r="DU173">
        <v>1</v>
      </c>
      <c r="DV173" s="4">
        <v>722</v>
      </c>
      <c r="DW173">
        <v>1</v>
      </c>
      <c r="DX173" s="4">
        <v>736</v>
      </c>
      <c r="DY173">
        <v>1</v>
      </c>
      <c r="DZ173" s="4">
        <v>747</v>
      </c>
      <c r="EA173">
        <v>1</v>
      </c>
      <c r="EB173" s="4">
        <v>754</v>
      </c>
      <c r="EC173">
        <v>1</v>
      </c>
      <c r="ED173" s="4">
        <v>759</v>
      </c>
      <c r="EE173">
        <v>1</v>
      </c>
      <c r="EF173" s="4">
        <v>766</v>
      </c>
      <c r="EG173">
        <v>1</v>
      </c>
      <c r="EH173" s="4">
        <v>778</v>
      </c>
      <c r="EI173">
        <v>1</v>
      </c>
      <c r="EJ173" s="4">
        <v>787</v>
      </c>
      <c r="EK173">
        <v>1</v>
      </c>
    </row>
    <row r="174" spans="1:141" x14ac:dyDescent="0.2">
      <c r="A174" t="str">
        <f>HYPERLINK("http://exon.niaid.nih.gov/transcriptome/C_felis/S1/links/cf/cf-contig_637.txt","cf-contig_637")</f>
        <v>cf-contig_637</v>
      </c>
      <c r="B174">
        <v>1</v>
      </c>
      <c r="C174" s="10" t="s">
        <v>4831</v>
      </c>
      <c r="D174">
        <v>1</v>
      </c>
      <c r="E174" t="str">
        <f>HYPERLINK("http://exon.niaid.nih.gov/transcriptome/C_felis/S1/links/cf/cf-5-36-asb-637.txt","Contig-637")</f>
        <v>Contig-637</v>
      </c>
      <c r="F174" t="str">
        <f>HYPERLINK("http://exon.niaid.nih.gov/transcriptome/C_felis/S1/links/cf/cf-5-36-637-CLU.txt","Contig637")</f>
        <v>Contig637</v>
      </c>
      <c r="G174" t="str">
        <f>HYPERLINK("http://exon.niaid.nih.gov/transcriptome/C_felis/S1/links/cf/cf-5-36-637-qual.txt","50.")</f>
        <v>50.</v>
      </c>
      <c r="H174" t="s">
        <v>11</v>
      </c>
      <c r="I174">
        <v>63.6</v>
      </c>
      <c r="J174">
        <v>431</v>
      </c>
      <c r="K174" t="s">
        <v>12</v>
      </c>
      <c r="L174">
        <v>1</v>
      </c>
      <c r="M174" t="s">
        <v>650</v>
      </c>
      <c r="N174">
        <v>431</v>
      </c>
      <c r="O174">
        <v>450</v>
      </c>
      <c r="P174">
        <v>282</v>
      </c>
      <c r="Q174" t="s">
        <v>1456</v>
      </c>
      <c r="R174">
        <v>3</v>
      </c>
      <c r="S174" s="7" t="str">
        <f>HYPERLINK("http://exon.niaid.nih.gov/transcriptome/C_felis/S1/links/Sigp/CF-CONTIG_637-SigP.txt","Cyt")</f>
        <v>Cyt</v>
      </c>
      <c r="U174">
        <v>1</v>
      </c>
      <c r="V174" s="4">
        <v>521</v>
      </c>
      <c r="W174">
        <v>1</v>
      </c>
      <c r="X174" s="4">
        <v>533</v>
      </c>
      <c r="Y174">
        <v>1</v>
      </c>
      <c r="Z174" s="4">
        <v>543</v>
      </c>
      <c r="AA174">
        <v>1</v>
      </c>
      <c r="AB174" s="4" t="str">
        <f>HYPERLINK("http://exon.niaid.nih.gov/transcriptome/C_felis/S1/links/XC-ASB/cf-contig_637-XC-ASB.txt","XC-contig_127")</f>
        <v>XC-contig_127</v>
      </c>
      <c r="AC174">
        <v>0.46</v>
      </c>
      <c r="AD174" s="10" t="s">
        <v>4831</v>
      </c>
      <c r="AE174" t="s">
        <v>4832</v>
      </c>
      <c r="AF174" t="str">
        <f>HYPERLINK("http://exon.niaid.nih.gov/transcriptome/C_felis/S1/links/KOG/cf-contig_637-KOG.txt","KOG")</f>
        <v>KOG</v>
      </c>
      <c r="AG174" s="5">
        <v>7.0000000000000001E-20</v>
      </c>
      <c r="AH174">
        <v>7.5</v>
      </c>
      <c r="AI174" s="4" t="str">
        <f>HYPERLINK("http://exon.niaid.nih.gov/transcriptome/C_felis/S1/links/NR/cf-contig_637-NR.txt","similar to helicase")</f>
        <v>similar to helicase</v>
      </c>
      <c r="AJ174" t="str">
        <f>HYPERLINK("http://www.ncbi.nlm.nih.gov/sutils/blink.cgi?pid=91089209","2E-021")</f>
        <v>2E-021</v>
      </c>
      <c r="AK174" t="str">
        <f>HYPERLINK("http://www.ncbi.nlm.nih.gov/protein/91089209","gi|91089209")</f>
        <v>gi|91089209</v>
      </c>
      <c r="AL174">
        <v>105</v>
      </c>
      <c r="AM174">
        <v>80</v>
      </c>
      <c r="AN174">
        <v>871</v>
      </c>
      <c r="AO174">
        <v>62</v>
      </c>
      <c r="AP174">
        <v>9</v>
      </c>
      <c r="AQ174">
        <v>31</v>
      </c>
      <c r="AR174">
        <v>0</v>
      </c>
      <c r="AS174">
        <v>791</v>
      </c>
      <c r="AT174">
        <v>33</v>
      </c>
      <c r="AU174">
        <v>1</v>
      </c>
      <c r="AV174">
        <v>3</v>
      </c>
      <c r="AW174" t="s">
        <v>12</v>
      </c>
      <c r="AY174" t="s">
        <v>1676</v>
      </c>
      <c r="AZ174" t="s">
        <v>1878</v>
      </c>
      <c r="BA174" s="4" t="str">
        <f>HYPERLINK("http://exon.niaid.nih.gov/transcriptome/C_felis/S1/links/SWISSP/cf-contig_637-SWISSP.txt","SWI/SNF-related matrix-associated actin-dependent regulator of chromatin")</f>
        <v>SWI/SNF-related matrix-associated actin-dependent regulator of chromatin</v>
      </c>
      <c r="BB174" t="str">
        <f>HYPERLINK("http://www.uniprot.org/uniprot/Q9H4L7","6E-010")</f>
        <v>6E-010</v>
      </c>
      <c r="BC174" t="s">
        <v>4023</v>
      </c>
      <c r="BD174">
        <v>63.2</v>
      </c>
      <c r="BE174">
        <v>66</v>
      </c>
      <c r="BF174">
        <v>1026</v>
      </c>
      <c r="BG174">
        <v>44</v>
      </c>
      <c r="BH174">
        <v>7</v>
      </c>
      <c r="BI174">
        <v>37</v>
      </c>
      <c r="BJ174">
        <v>1</v>
      </c>
      <c r="BK174">
        <v>960</v>
      </c>
      <c r="BL174">
        <v>33</v>
      </c>
      <c r="BM174">
        <v>1</v>
      </c>
      <c r="BN174">
        <v>3</v>
      </c>
      <c r="BO174" t="s">
        <v>12</v>
      </c>
      <c r="BQ174" t="s">
        <v>1676</v>
      </c>
      <c r="BR174" t="s">
        <v>1690</v>
      </c>
      <c r="BS174" s="4" t="str">
        <f>HYPERLINK("http://exon.niaid.nih.gov/transcriptome/C_felis/S1/links/CDD/cf-contig_637-CDD.txt","HepA")</f>
        <v>HepA</v>
      </c>
      <c r="BT174" t="str">
        <f>HYPERLINK("http://www.ncbi.nlm.nih.gov/Structure/cdd/cddsrv.cgi?uid=COG0553&amp;version=v4.0","3E-008")</f>
        <v>3E-008</v>
      </c>
      <c r="BU174" t="s">
        <v>4024</v>
      </c>
      <c r="BV174" s="4" t="s">
        <v>4025</v>
      </c>
      <c r="BW174">
        <f>HYPERLINK("http://exon.niaid.nih.gov/transcriptome/C_felis/S1/links/GO/cf-contig_637-GO.txt",0.0000000000000000005)</f>
        <v>5.0000000000000004E-19</v>
      </c>
      <c r="BX174" t="str">
        <f>HYPERLINK("http://amigo.geneontology.org/cgi-bin/amigo/term_details?term=GO:0000166","GO:0000166")</f>
        <v>GO:0000166</v>
      </c>
      <c r="BY174" t="s">
        <v>2415</v>
      </c>
      <c r="BZ174" t="s">
        <v>2416</v>
      </c>
      <c r="CA174" t="s">
        <v>42</v>
      </c>
      <c r="CB174" t="s">
        <v>42</v>
      </c>
      <c r="CD174">
        <v>5.0000000000000003E-10</v>
      </c>
      <c r="CE174" t="str">
        <f>HYPERLINK("http://amigo.geneontology.org/cgi-bin/amigo/term_details?term=GO:0005634","GO:0005634")</f>
        <v>GO:0005634</v>
      </c>
      <c r="CF174" t="s">
        <v>2064</v>
      </c>
      <c r="CG174" t="s">
        <v>2065</v>
      </c>
      <c r="CH174" t="s">
        <v>2066</v>
      </c>
      <c r="CI174" t="s">
        <v>42</v>
      </c>
      <c r="CK174">
        <v>5.0000000000000003E-10</v>
      </c>
      <c r="CL174" t="str">
        <f>HYPERLINK("http://amigo.geneontology.org/cgi-bin/amigo/term_details?term=GO:0000018","GO:0000018")</f>
        <v>GO:0000018</v>
      </c>
      <c r="CM174" t="s">
        <v>4026</v>
      </c>
      <c r="CN174" t="s">
        <v>4027</v>
      </c>
      <c r="CO174" t="s">
        <v>42</v>
      </c>
      <c r="CP174" t="s">
        <v>42</v>
      </c>
      <c r="CR174">
        <v>5.0000000000000003E-10</v>
      </c>
      <c r="CS174" s="4" t="str">
        <f>HYPERLINK("http://exon.niaid.nih.gov/transcriptome/C_felis/S1/links/KOG/cf-contig_637-KOG.txt","SNF2 family DNA-dependent ATPase")</f>
        <v>SNF2 family DNA-dependent ATPase</v>
      </c>
      <c r="CT174" t="str">
        <f>HYPERLINK("http://www.ncbi.nlm.nih.gov/COG/grace/shokog.cgi?KOG0389","7E-020")</f>
        <v>7E-020</v>
      </c>
      <c r="CU174" t="s">
        <v>2096</v>
      </c>
      <c r="CV174" s="4" t="str">
        <f>HYPERLINK("http://exon.niaid.nih.gov/transcriptome/C_felis/S1/links/PFAM/cf-contig_637-PFAM.txt","DUF366")</f>
        <v>DUF366</v>
      </c>
      <c r="CW174" t="str">
        <f>HYPERLINK("http://pfam.sanger.ac.uk/family?acc=PF04017","0.16")</f>
        <v>0.16</v>
      </c>
      <c r="CX174" s="4" t="str">
        <f>HYPERLINK("http://exon.niaid.nih.gov/transcriptome/C_felis/S1/links/SMART/cf-contig_637-SMART.txt","B5")</f>
        <v>B5</v>
      </c>
      <c r="CY174" t="str">
        <f>HYPERLINK("http://smart.embl-heidelberg.de/smart/do_annotation.pl?DOMAIN=B5&amp;BLAST=DUMMY","0.16")</f>
        <v>0.16</v>
      </c>
      <c r="CZ174" s="4" t="s">
        <v>42</v>
      </c>
      <c r="DA174" t="s">
        <v>42</v>
      </c>
      <c r="DB174" t="s">
        <v>42</v>
      </c>
      <c r="DC174" t="s">
        <v>42</v>
      </c>
      <c r="DD174" t="s">
        <v>42</v>
      </c>
      <c r="DE174" t="s">
        <v>42</v>
      </c>
      <c r="DF174" t="s">
        <v>42</v>
      </c>
      <c r="DG174" t="s">
        <v>42</v>
      </c>
      <c r="DH174" s="4" t="s">
        <v>42</v>
      </c>
      <c r="DI174" t="s">
        <v>42</v>
      </c>
      <c r="DJ174" s="4" t="s">
        <v>42</v>
      </c>
      <c r="DK174" t="s">
        <v>42</v>
      </c>
      <c r="DL174" s="4">
        <v>521</v>
      </c>
      <c r="DM174">
        <v>1</v>
      </c>
      <c r="DN174" s="4">
        <v>533</v>
      </c>
      <c r="DO174">
        <v>1</v>
      </c>
      <c r="DP174" s="4">
        <v>543</v>
      </c>
      <c r="DQ174">
        <v>1</v>
      </c>
      <c r="DR174" s="4">
        <v>563</v>
      </c>
      <c r="DS174">
        <v>1</v>
      </c>
      <c r="DT174" s="4">
        <v>576</v>
      </c>
      <c r="DU174">
        <v>1</v>
      </c>
      <c r="DV174" s="4">
        <v>590</v>
      </c>
      <c r="DW174">
        <v>1</v>
      </c>
      <c r="DX174" s="4">
        <v>599</v>
      </c>
      <c r="DY174">
        <v>1</v>
      </c>
      <c r="DZ174" s="4">
        <v>607</v>
      </c>
      <c r="EA174">
        <v>1</v>
      </c>
      <c r="EB174" s="4">
        <v>612</v>
      </c>
      <c r="EC174">
        <v>1</v>
      </c>
      <c r="ED174" s="4">
        <v>616</v>
      </c>
      <c r="EE174">
        <v>1</v>
      </c>
      <c r="EF174" s="4">
        <v>622</v>
      </c>
      <c r="EG174">
        <v>1</v>
      </c>
      <c r="EH174" s="4">
        <v>630</v>
      </c>
      <c r="EI174">
        <v>1</v>
      </c>
      <c r="EJ174" s="4">
        <v>637</v>
      </c>
      <c r="EK174">
        <v>1</v>
      </c>
    </row>
    <row r="175" spans="1:141" s="6" customFormat="1" x14ac:dyDescent="0.2">
      <c r="A175" s="12" t="s">
        <v>4891</v>
      </c>
      <c r="C175" s="11"/>
      <c r="AB175" s="6" t="s">
        <v>42</v>
      </c>
      <c r="AD175" s="11"/>
      <c r="AE175" s="11"/>
      <c r="AF175" s="11"/>
      <c r="AG175" s="11"/>
      <c r="AH175" s="11"/>
    </row>
    <row r="176" spans="1:141" x14ac:dyDescent="0.2">
      <c r="A176" t="str">
        <f>HYPERLINK("http://exon.niaid.nih.gov/transcriptome/C_felis/S1/links/cf/cf-contig_718.txt","cf-contig_718")</f>
        <v>cf-contig_718</v>
      </c>
      <c r="B176">
        <v>1</v>
      </c>
      <c r="C176" s="10" t="s">
        <v>4853</v>
      </c>
      <c r="D176">
        <v>1</v>
      </c>
      <c r="E176" t="str">
        <f>HYPERLINK("http://exon.niaid.nih.gov/transcriptome/C_felis/S1/links/cf/cf-5-36-asb-718.txt","Contig-718")</f>
        <v>Contig-718</v>
      </c>
      <c r="F176" t="str">
        <f>HYPERLINK("http://exon.niaid.nih.gov/transcriptome/C_felis/S1/links/cf/cf-5-36-718-CLU.txt","Contig718")</f>
        <v>Contig718</v>
      </c>
      <c r="G176" t="str">
        <f>HYPERLINK("http://exon.niaid.nih.gov/transcriptome/C_felis/S1/links/cf/cf-5-36-718-qual.txt","63.4")</f>
        <v>63.4</v>
      </c>
      <c r="H176" t="s">
        <v>11</v>
      </c>
      <c r="I176">
        <v>68.900000000000006</v>
      </c>
      <c r="J176">
        <v>360</v>
      </c>
      <c r="K176" t="s">
        <v>12</v>
      </c>
      <c r="L176">
        <v>1</v>
      </c>
      <c r="M176" t="s">
        <v>731</v>
      </c>
      <c r="N176">
        <v>380</v>
      </c>
      <c r="O176">
        <v>399</v>
      </c>
      <c r="P176">
        <v>246</v>
      </c>
      <c r="Q176" t="s">
        <v>1537</v>
      </c>
      <c r="R176">
        <v>1</v>
      </c>
      <c r="S176" s="7" t="str">
        <f>HYPERLINK("http://exon.niaid.nih.gov/transcriptome/C_felis/S1/links/Sigp/CF-CONTIG_718-SigP.txt","SIG")</f>
        <v>SIG</v>
      </c>
      <c r="T176" t="s">
        <v>4583</v>
      </c>
      <c r="U176">
        <v>1</v>
      </c>
      <c r="V176" s="4">
        <v>582</v>
      </c>
      <c r="W176">
        <v>1</v>
      </c>
      <c r="X176" s="4">
        <v>598</v>
      </c>
      <c r="Y176">
        <v>1</v>
      </c>
      <c r="Z176" s="4">
        <v>611</v>
      </c>
      <c r="AA176">
        <v>1</v>
      </c>
      <c r="AB176" s="4" t="str">
        <f>HYPERLINK("http://exon.niaid.nih.gov/transcriptome/C_felis/S1/links/XC-ASB/cf-contig_718-XC-ASB.txt","XC-contig_158")</f>
        <v>XC-contig_158</v>
      </c>
      <c r="AC176">
        <v>8.2000000000000003E-2</v>
      </c>
      <c r="AD176" s="10" t="s">
        <v>4853</v>
      </c>
      <c r="AE176" t="s">
        <v>4743</v>
      </c>
      <c r="AF176" t="str">
        <f>HYPERLINK("http://exon.niaid.nih.gov/transcriptome/C_felis/S1/links/GO/cf-contig_718-GO.txt","GO")</f>
        <v>GO</v>
      </c>
      <c r="AG176" s="5">
        <v>1E-25</v>
      </c>
      <c r="AH176">
        <v>7.3</v>
      </c>
      <c r="AI176" s="4" t="str">
        <f>HYPERLINK("http://exon.niaid.nih.gov/transcriptome/C_felis/S1/links/NR/cf-contig_718-NR.txt","similar to coatomer subunit beta")</f>
        <v>similar to coatomer subunit beta</v>
      </c>
      <c r="AJ176" t="str">
        <f>HYPERLINK("http://www.ncbi.nlm.nih.gov/sutils/blink.cgi?pid=189234428","1E-029")</f>
        <v>1E-029</v>
      </c>
      <c r="AK176" t="str">
        <f>HYPERLINK("http://www.ncbi.nlm.nih.gov/protein/189234428","gi|189234428")</f>
        <v>gi|189234428</v>
      </c>
      <c r="AL176">
        <v>133</v>
      </c>
      <c r="AM176">
        <v>75</v>
      </c>
      <c r="AN176">
        <v>957</v>
      </c>
      <c r="AO176">
        <v>88</v>
      </c>
      <c r="AP176">
        <v>8</v>
      </c>
      <c r="AQ176">
        <v>9</v>
      </c>
      <c r="AR176">
        <v>0</v>
      </c>
      <c r="AS176">
        <v>882</v>
      </c>
      <c r="AT176">
        <v>16</v>
      </c>
      <c r="AU176">
        <v>1</v>
      </c>
      <c r="AV176">
        <v>1</v>
      </c>
      <c r="AW176" t="s">
        <v>12</v>
      </c>
      <c r="AY176" t="s">
        <v>1676</v>
      </c>
      <c r="AZ176" t="s">
        <v>1878</v>
      </c>
      <c r="BA176" s="4" t="str">
        <f>HYPERLINK("http://exon.niaid.nih.gov/transcriptome/C_felis/S1/links/SWISSP/cf-contig_718-SWISSP.txt","Coatomer subunit beta")</f>
        <v>Coatomer subunit beta</v>
      </c>
      <c r="BB176" t="str">
        <f>HYPERLINK("http://www.uniprot.org/uniprot/Q29G21","1E-025")</f>
        <v>1E-025</v>
      </c>
      <c r="BC176" t="s">
        <v>4267</v>
      </c>
      <c r="BD176">
        <v>114</v>
      </c>
      <c r="BE176">
        <v>70</v>
      </c>
      <c r="BF176">
        <v>965</v>
      </c>
      <c r="BG176">
        <v>78</v>
      </c>
      <c r="BH176">
        <v>7</v>
      </c>
      <c r="BI176">
        <v>15</v>
      </c>
      <c r="BJ176">
        <v>0</v>
      </c>
      <c r="BK176">
        <v>893</v>
      </c>
      <c r="BL176">
        <v>16</v>
      </c>
      <c r="BM176">
        <v>1</v>
      </c>
      <c r="BN176">
        <v>1</v>
      </c>
      <c r="BO176" t="s">
        <v>12</v>
      </c>
      <c r="BQ176" t="s">
        <v>1676</v>
      </c>
      <c r="BR176" t="s">
        <v>2809</v>
      </c>
      <c r="BS176" s="4" t="str">
        <f>HYPERLINK("http://exon.niaid.nih.gov/transcriptome/C_felis/S1/links/CDD/cf-contig_718-CDD.txt","Coatamer_beta_C")</f>
        <v>Coatamer_beta_C</v>
      </c>
      <c r="BT176" t="str">
        <f>HYPERLINK("http://www.ncbi.nlm.nih.gov/Structure/cdd/cddsrv.cgi?uid=pfam07718&amp;version=v4.0","8E-022")</f>
        <v>8E-022</v>
      </c>
      <c r="BU176" t="s">
        <v>4268</v>
      </c>
      <c r="BV176" s="4" t="s">
        <v>4269</v>
      </c>
      <c r="BW176">
        <f>HYPERLINK("http://exon.niaid.nih.gov/transcriptome/C_felis/S1/links/GO/cf-contig_718-GO.txt",1E-25)</f>
        <v>1E-25</v>
      </c>
      <c r="BX176" t="str">
        <f>HYPERLINK("http://amigo.geneontology.org/cgi-bin/amigo/term_details?term=GO:0005488","GO:0005488")</f>
        <v>GO:0005488</v>
      </c>
      <c r="BY176" t="s">
        <v>3236</v>
      </c>
      <c r="BZ176" t="s">
        <v>3237</v>
      </c>
      <c r="CA176" t="s">
        <v>3238</v>
      </c>
      <c r="CB176" t="s">
        <v>42</v>
      </c>
      <c r="CD176" s="5">
        <v>1E-25</v>
      </c>
      <c r="CE176" t="str">
        <f>HYPERLINK("http://amigo.geneontology.org/cgi-bin/amigo/term_details?term=GO:0005794","GO:0005794")</f>
        <v>GO:0005794</v>
      </c>
      <c r="CF176" t="s">
        <v>2952</v>
      </c>
      <c r="CG176" t="s">
        <v>2953</v>
      </c>
      <c r="CH176" t="s">
        <v>2954</v>
      </c>
      <c r="CI176" t="s">
        <v>42</v>
      </c>
      <c r="CK176" s="5">
        <v>1E-25</v>
      </c>
      <c r="CL176" t="str">
        <f>HYPERLINK("http://amigo.geneontology.org/cgi-bin/amigo/term_details?term=GO:0006890","GO:0006890")</f>
        <v>GO:0006890</v>
      </c>
      <c r="CM176" t="s">
        <v>3242</v>
      </c>
      <c r="CN176" t="s">
        <v>3243</v>
      </c>
      <c r="CO176" t="s">
        <v>3244</v>
      </c>
      <c r="CP176" t="s">
        <v>42</v>
      </c>
      <c r="CR176" s="5">
        <v>1E-25</v>
      </c>
      <c r="CS176" s="4" t="str">
        <f>HYPERLINK("http://exon.niaid.nih.gov/transcriptome/C_felis/S1/links/KOG/cf-contig_718-KOG.txt","Vesicle coat complex COPI, beta subunit")</f>
        <v>Vesicle coat complex COPI, beta subunit</v>
      </c>
      <c r="CT176" t="str">
        <f>HYPERLINK("http://www.ncbi.nlm.nih.gov/COG/grace/shokog.cgi?KOG1058","2E-025")</f>
        <v>2E-025</v>
      </c>
      <c r="CU176" t="s">
        <v>1686</v>
      </c>
      <c r="CV176" s="4" t="str">
        <f>HYPERLINK("http://exon.niaid.nih.gov/transcriptome/C_felis/S1/links/PFAM/cf-contig_718-PFAM.txt","Coatamer_beta_C")</f>
        <v>Coatamer_beta_C</v>
      </c>
      <c r="CW176" t="str">
        <f>HYPERLINK("http://pfam.sanger.ac.uk/family?acc=PF07718","2E-022")</f>
        <v>2E-022</v>
      </c>
      <c r="CX176" s="4" t="str">
        <f>HYPERLINK("http://exon.niaid.nih.gov/transcriptome/C_felis/S1/links/SMART/cf-contig_718-SMART.txt","S4")</f>
        <v>S4</v>
      </c>
      <c r="CY176" t="str">
        <f>HYPERLINK("http://smart.embl-heidelberg.de/smart/do_annotation.pl?DOMAIN=S4&amp;BLAST=DUMMY","0.42")</f>
        <v>0.42</v>
      </c>
      <c r="CZ176" s="4" t="s">
        <v>42</v>
      </c>
      <c r="DA176" t="s">
        <v>42</v>
      </c>
      <c r="DB176" t="s">
        <v>42</v>
      </c>
      <c r="DC176" t="s">
        <v>42</v>
      </c>
      <c r="DD176" t="s">
        <v>42</v>
      </c>
      <c r="DE176" t="s">
        <v>42</v>
      </c>
      <c r="DF176" t="s">
        <v>42</v>
      </c>
      <c r="DG176" t="s">
        <v>42</v>
      </c>
      <c r="DH176" s="4" t="s">
        <v>42</v>
      </c>
      <c r="DI176" t="s">
        <v>42</v>
      </c>
      <c r="DJ176" s="4" t="s">
        <v>42</v>
      </c>
      <c r="DK176" t="s">
        <v>42</v>
      </c>
      <c r="DL176" s="4">
        <v>582</v>
      </c>
      <c r="DM176">
        <v>1</v>
      </c>
      <c r="DN176" s="4">
        <v>598</v>
      </c>
      <c r="DO176">
        <v>1</v>
      </c>
      <c r="DP176" s="4">
        <v>611</v>
      </c>
      <c r="DQ176">
        <v>1</v>
      </c>
      <c r="DR176" s="4">
        <v>632</v>
      </c>
      <c r="DS176">
        <v>1</v>
      </c>
      <c r="DT176" s="4">
        <v>647</v>
      </c>
      <c r="DU176">
        <v>1</v>
      </c>
      <c r="DV176" s="4">
        <v>662</v>
      </c>
      <c r="DW176">
        <v>1</v>
      </c>
      <c r="DX176" s="4">
        <v>673</v>
      </c>
      <c r="DY176">
        <v>1</v>
      </c>
      <c r="DZ176" s="4">
        <v>683</v>
      </c>
      <c r="EA176">
        <v>1</v>
      </c>
      <c r="EB176" s="4">
        <v>689</v>
      </c>
      <c r="EC176">
        <v>1</v>
      </c>
      <c r="ED176" s="4">
        <v>693</v>
      </c>
      <c r="EE176">
        <v>1</v>
      </c>
      <c r="EF176" s="4">
        <v>699</v>
      </c>
      <c r="EG176">
        <v>1</v>
      </c>
      <c r="EH176" s="4">
        <v>709</v>
      </c>
      <c r="EI176">
        <v>1</v>
      </c>
      <c r="EJ176" s="4">
        <v>718</v>
      </c>
      <c r="EK176">
        <v>1</v>
      </c>
    </row>
    <row r="177" spans="1:141" x14ac:dyDescent="0.2">
      <c r="A177" t="str">
        <f>HYPERLINK("http://exon.niaid.nih.gov/transcriptome/C_felis/S1/links/cf/cf-contig_460.txt","cf-contig_460")</f>
        <v>cf-contig_460</v>
      </c>
      <c r="B177">
        <v>1</v>
      </c>
      <c r="C177" s="10" t="s">
        <v>4775</v>
      </c>
      <c r="D177">
        <v>1</v>
      </c>
      <c r="E177" t="str">
        <f>HYPERLINK("http://exon.niaid.nih.gov/transcriptome/C_felis/S1/links/cf/cf-5-36-asb-460.txt","Contig-460")</f>
        <v>Contig-460</v>
      </c>
      <c r="F177" t="str">
        <f>HYPERLINK("http://exon.niaid.nih.gov/transcriptome/C_felis/S1/links/cf/cf-5-36-460-CLU.txt","Contig460")</f>
        <v>Contig460</v>
      </c>
      <c r="G177" t="str">
        <f>HYPERLINK("http://exon.niaid.nih.gov/transcriptome/C_felis/S1/links/cf/cf-5-36-460-qual.txt","64.6")</f>
        <v>64.6</v>
      </c>
      <c r="H177" t="s">
        <v>11</v>
      </c>
      <c r="I177">
        <v>73.5</v>
      </c>
      <c r="J177">
        <v>339</v>
      </c>
      <c r="K177" t="s">
        <v>12</v>
      </c>
      <c r="L177">
        <v>1</v>
      </c>
      <c r="M177" t="s">
        <v>473</v>
      </c>
      <c r="N177">
        <v>339</v>
      </c>
      <c r="O177">
        <v>358</v>
      </c>
      <c r="P177">
        <v>192</v>
      </c>
      <c r="Q177" t="s">
        <v>1279</v>
      </c>
      <c r="R177">
        <v>2</v>
      </c>
      <c r="S177" s="7" t="s">
        <v>4585</v>
      </c>
      <c r="U177">
        <v>1</v>
      </c>
      <c r="V177" s="4">
        <v>373</v>
      </c>
      <c r="W177">
        <v>1</v>
      </c>
      <c r="X177" s="4">
        <v>382</v>
      </c>
      <c r="Y177">
        <v>1</v>
      </c>
      <c r="Z177" s="4">
        <v>387</v>
      </c>
      <c r="AA177">
        <v>1</v>
      </c>
      <c r="AB177" s="4" t="str">
        <f>HYPERLINK("http://exon.niaid.nih.gov/transcriptome/C_felis/S1/links/XC-ASB/cf-contig_460-XC-ASB.txt","XC-contig_115")</f>
        <v>XC-contig_115</v>
      </c>
      <c r="AC177">
        <v>9.9000000000000005E-2</v>
      </c>
      <c r="AD177" s="10" t="s">
        <v>4775</v>
      </c>
      <c r="AE177" t="s">
        <v>4743</v>
      </c>
      <c r="AF177" t="str">
        <f>HYPERLINK("http://exon.niaid.nih.gov/transcriptome/C_felis/S1/links/KOG/cf-contig_460-KOG.txt","KOG")</f>
        <v>KOG</v>
      </c>
      <c r="AG177" s="5">
        <v>9.9999999999999998E-17</v>
      </c>
      <c r="AH177">
        <v>19.5</v>
      </c>
      <c r="AI177" s="4" t="str">
        <f>HYPERLINK("http://exon.niaid.nih.gov/transcriptome/C_felis/S1/links/NR/cf-contig_460-NR.txt","Transmembrane emp24 domain-containing protein bai; Flags: Precursor")</f>
        <v>Transmembrane emp24 domain-containing protein bai; Flags: Precursor</v>
      </c>
      <c r="AJ177" t="str">
        <f>HYPERLINK("http://www.ncbi.nlm.nih.gov/sutils/blink.cgi?pid=296439817","9E-016")</f>
        <v>9E-016</v>
      </c>
      <c r="AK177" t="str">
        <f>HYPERLINK("http://www.ncbi.nlm.nih.gov/protein/296439817","gi|296439817")</f>
        <v>gi|296439817</v>
      </c>
      <c r="AL177">
        <v>87</v>
      </c>
      <c r="AM177">
        <v>41</v>
      </c>
      <c r="AN177">
        <v>206</v>
      </c>
      <c r="AO177">
        <v>97</v>
      </c>
      <c r="AP177">
        <v>20</v>
      </c>
      <c r="AQ177">
        <v>1</v>
      </c>
      <c r="AR177">
        <v>0</v>
      </c>
      <c r="AS177">
        <v>165</v>
      </c>
      <c r="AT177">
        <v>12</v>
      </c>
      <c r="AU177">
        <v>1</v>
      </c>
      <c r="AV177">
        <v>3</v>
      </c>
      <c r="AW177" t="s">
        <v>12</v>
      </c>
      <c r="AY177" t="s">
        <v>1676</v>
      </c>
      <c r="AZ177" t="s">
        <v>42</v>
      </c>
      <c r="BA177" s="4" t="str">
        <f>HYPERLINK("http://exon.niaid.nih.gov/transcriptome/C_felis/S1/links/SWISSP/cf-contig_460-SWISSP.txt","Transmembrane emp24 domain-containing protein bai")</f>
        <v>Transmembrane emp24 domain-containing protein bai</v>
      </c>
      <c r="BB177" t="str">
        <f>HYPERLINK("http://www.uniprot.org/uniprot/B4PUZ3","3E-017")</f>
        <v>3E-017</v>
      </c>
      <c r="BC177" t="s">
        <v>3345</v>
      </c>
      <c r="BD177">
        <v>87</v>
      </c>
      <c r="BE177">
        <v>41</v>
      </c>
      <c r="BF177">
        <v>206</v>
      </c>
      <c r="BG177">
        <v>97</v>
      </c>
      <c r="BH177">
        <v>20</v>
      </c>
      <c r="BI177">
        <v>1</v>
      </c>
      <c r="BJ177">
        <v>0</v>
      </c>
      <c r="BK177">
        <v>165</v>
      </c>
      <c r="BL177">
        <v>12</v>
      </c>
      <c r="BM177">
        <v>1</v>
      </c>
      <c r="BN177">
        <v>3</v>
      </c>
      <c r="BO177" t="s">
        <v>12</v>
      </c>
      <c r="BQ177" t="s">
        <v>1676</v>
      </c>
      <c r="BR177" t="s">
        <v>1865</v>
      </c>
      <c r="BS177" s="4" t="str">
        <f>HYPERLINK("http://exon.niaid.nih.gov/transcriptome/C_felis/S1/links/CDD/cf-contig_460-CDD.txt","EMP24_GP25L")</f>
        <v>EMP24_GP25L</v>
      </c>
      <c r="BT177" t="str">
        <f>HYPERLINK("http://www.ncbi.nlm.nih.gov/Structure/cdd/cddsrv.cgi?uid=pfam01105&amp;version=v4.0","3E-012")</f>
        <v>3E-012</v>
      </c>
      <c r="BU177" t="s">
        <v>3346</v>
      </c>
      <c r="BV177" s="4" t="s">
        <v>3347</v>
      </c>
      <c r="BW177">
        <f>HYPERLINK("http://exon.niaid.nih.gov/transcriptome/C_felis/S1/links/GO/cf-contig_460-GO.txt",0.00000000000000002)</f>
        <v>2.0000000000000001E-17</v>
      </c>
      <c r="BX177" t="s">
        <v>42</v>
      </c>
      <c r="BY177" t="s">
        <v>42</v>
      </c>
      <c r="BZ177" t="s">
        <v>42</v>
      </c>
      <c r="CA177" t="s">
        <v>42</v>
      </c>
      <c r="CC177" t="s">
        <v>42</v>
      </c>
      <c r="CD177" t="s">
        <v>42</v>
      </c>
      <c r="CE177" t="str">
        <f>HYPERLINK("http://amigo.geneontology.org/cgi-bin/amigo/term_details?term=GO:0005795","GO:0005795")</f>
        <v>GO:0005795</v>
      </c>
      <c r="CF177" t="s">
        <v>3348</v>
      </c>
      <c r="CG177" t="s">
        <v>3349</v>
      </c>
      <c r="CH177" t="s">
        <v>3350</v>
      </c>
      <c r="CI177" t="s">
        <v>42</v>
      </c>
      <c r="CK177" s="5">
        <v>2.0000000000000001E-17</v>
      </c>
      <c r="CL177" t="str">
        <f>HYPERLINK("http://amigo.geneontology.org/cgi-bin/amigo/term_details?term=GO:0016192","GO:0016192")</f>
        <v>GO:0016192</v>
      </c>
      <c r="CM177" t="s">
        <v>3112</v>
      </c>
      <c r="CN177" t="s">
        <v>3113</v>
      </c>
      <c r="CO177" t="s">
        <v>3114</v>
      </c>
      <c r="CP177" t="s">
        <v>42</v>
      </c>
      <c r="CR177" s="5">
        <v>2.0000000000000001E-17</v>
      </c>
      <c r="CS177" s="4" t="str">
        <f>HYPERLINK("http://exon.niaid.nih.gov/transcriptome/C_felis/S1/links/KOG/cf-contig_460-KOG.txt","emp24/gp25L/p24 family of membrane trafficking proteins")</f>
        <v>emp24/gp25L/p24 family of membrane trafficking proteins</v>
      </c>
      <c r="CT177" t="str">
        <f>HYPERLINK("http://www.ncbi.nlm.nih.gov/COG/grace/shokog.cgi?KOG1691","1E-016")</f>
        <v>1E-016</v>
      </c>
      <c r="CU177" t="s">
        <v>1686</v>
      </c>
      <c r="CV177" s="4" t="str">
        <f>HYPERLINK("http://exon.niaid.nih.gov/transcriptome/C_felis/S1/links/PFAM/cf-contig_460-PFAM.txt","EMP24_GP25L")</f>
        <v>EMP24_GP25L</v>
      </c>
      <c r="CW177" t="str">
        <f>HYPERLINK("http://pfam.sanger.ac.uk/family?acc=PF01105","6E-013")</f>
        <v>6E-013</v>
      </c>
      <c r="CX177" s="4" t="str">
        <f>HYPERLINK("http://exon.niaid.nih.gov/transcriptome/C_felis/S1/links/SMART/cf-contig_460-SMART.txt","PSN")</f>
        <v>PSN</v>
      </c>
      <c r="CY177" t="str">
        <f>HYPERLINK("http://smart.embl-heidelberg.de/smart/do_annotation.pl?DOMAIN=PSN&amp;BLAST=DUMMY","0.15")</f>
        <v>0.15</v>
      </c>
      <c r="CZ177" s="4" t="s">
        <v>42</v>
      </c>
      <c r="DA177" t="s">
        <v>42</v>
      </c>
      <c r="DB177" t="s">
        <v>42</v>
      </c>
      <c r="DC177" t="s">
        <v>42</v>
      </c>
      <c r="DD177" t="s">
        <v>42</v>
      </c>
      <c r="DE177" t="s">
        <v>42</v>
      </c>
      <c r="DF177" t="s">
        <v>42</v>
      </c>
      <c r="DG177" t="s">
        <v>42</v>
      </c>
      <c r="DH177" s="4" t="s">
        <v>42</v>
      </c>
      <c r="DI177" t="s">
        <v>42</v>
      </c>
      <c r="DJ177" s="4" t="s">
        <v>42</v>
      </c>
      <c r="DK177" t="s">
        <v>42</v>
      </c>
      <c r="DL177" s="4">
        <v>373</v>
      </c>
      <c r="DM177">
        <v>1</v>
      </c>
      <c r="DN177" s="4">
        <v>382</v>
      </c>
      <c r="DO177">
        <v>1</v>
      </c>
      <c r="DP177" s="4">
        <v>387</v>
      </c>
      <c r="DQ177">
        <v>1</v>
      </c>
      <c r="DR177" s="4">
        <v>402</v>
      </c>
      <c r="DS177">
        <v>1</v>
      </c>
      <c r="DT177" s="4">
        <v>412</v>
      </c>
      <c r="DU177">
        <v>1</v>
      </c>
      <c r="DV177" s="4">
        <v>426</v>
      </c>
      <c r="DW177">
        <v>1</v>
      </c>
      <c r="DX177" s="4">
        <v>429</v>
      </c>
      <c r="DY177">
        <v>1</v>
      </c>
      <c r="DZ177" s="4">
        <v>435</v>
      </c>
      <c r="EA177">
        <v>1</v>
      </c>
      <c r="EB177" s="4">
        <v>440</v>
      </c>
      <c r="EC177">
        <v>1</v>
      </c>
      <c r="ED177" s="4">
        <v>444</v>
      </c>
      <c r="EE177">
        <v>1</v>
      </c>
      <c r="EF177" s="4">
        <v>449</v>
      </c>
      <c r="EG177">
        <v>1</v>
      </c>
      <c r="EH177" s="4">
        <v>454</v>
      </c>
      <c r="EI177">
        <v>1</v>
      </c>
      <c r="EJ177" s="4">
        <v>460</v>
      </c>
      <c r="EK177">
        <v>1</v>
      </c>
    </row>
    <row r="178" spans="1:141" x14ac:dyDescent="0.2">
      <c r="A178" t="str">
        <f>HYPERLINK("http://exon.niaid.nih.gov/transcriptome/C_felis/S1/links/cf/cf-contig_364.txt","cf-contig_364")</f>
        <v>cf-contig_364</v>
      </c>
      <c r="B178">
        <v>1</v>
      </c>
      <c r="C178" s="10" t="s">
        <v>4742</v>
      </c>
      <c r="D178">
        <v>1</v>
      </c>
      <c r="E178" t="str">
        <f>HYPERLINK("http://exon.niaid.nih.gov/transcriptome/C_felis/S1/links/cf/cf-5-36-asb-364.txt","Contig-364")</f>
        <v>Contig-364</v>
      </c>
      <c r="F178" t="str">
        <f>HYPERLINK("http://exon.niaid.nih.gov/transcriptome/C_felis/S1/links/cf/cf-5-36-364-CLU.txt","Contig364")</f>
        <v>Contig364</v>
      </c>
      <c r="G178" t="str">
        <f>HYPERLINK("http://exon.niaid.nih.gov/transcriptome/C_felis/S1/links/cf/cf-5-36-364-qual.txt","60.4")</f>
        <v>60.4</v>
      </c>
      <c r="H178" t="s">
        <v>11</v>
      </c>
      <c r="I178">
        <v>72.900000000000006</v>
      </c>
      <c r="J178">
        <v>843</v>
      </c>
      <c r="K178" t="s">
        <v>12</v>
      </c>
      <c r="L178">
        <v>1</v>
      </c>
      <c r="M178" t="s">
        <v>377</v>
      </c>
      <c r="N178">
        <v>843</v>
      </c>
      <c r="O178">
        <v>862</v>
      </c>
      <c r="P178">
        <v>213</v>
      </c>
      <c r="Q178" t="s">
        <v>1184</v>
      </c>
      <c r="R178">
        <v>2</v>
      </c>
      <c r="S178" s="7" t="str">
        <f>HYPERLINK("http://exon.niaid.nih.gov/transcriptome/C_felis/S1/links/Sigp/CF-CONTIG_364-SigP.txt","Cyt")</f>
        <v>Cyt</v>
      </c>
      <c r="U178">
        <v>1</v>
      </c>
      <c r="V178" s="4">
        <v>293</v>
      </c>
      <c r="W178">
        <v>1</v>
      </c>
      <c r="X178" s="4">
        <v>300</v>
      </c>
      <c r="Y178">
        <v>1</v>
      </c>
      <c r="Z178" s="4">
        <v>301</v>
      </c>
      <c r="AA178">
        <v>1</v>
      </c>
      <c r="AB178" s="4" t="str">
        <f>HYPERLINK("http://exon.niaid.nih.gov/transcriptome/C_felis/S1/links/XC-ASB/cf-contig_364-XC-ASB.txt","XC-contig_209")</f>
        <v>XC-contig_209</v>
      </c>
      <c r="AC178">
        <v>2E-3</v>
      </c>
      <c r="AD178" s="10" t="s">
        <v>4742</v>
      </c>
      <c r="AE178" t="s">
        <v>4743</v>
      </c>
      <c r="AF178" t="str">
        <f>HYPERLINK("http://exon.niaid.nih.gov/transcriptome/C_felis/S1/links/GO/cf-contig_364-GO.txt","GO")</f>
        <v>GO</v>
      </c>
      <c r="AG178" s="5">
        <v>7.9999999999999993E-21</v>
      </c>
      <c r="AH178">
        <v>3.8</v>
      </c>
      <c r="AI178" s="4" t="str">
        <f>HYPERLINK("http://exon.niaid.nih.gov/transcriptome/C_felis/S1/links/NR/cf-contig_364-NR.txt","similar to CG7578-PA")</f>
        <v>similar to CG7578-PA</v>
      </c>
      <c r="AJ178" t="str">
        <f>HYPERLINK("http://www.ncbi.nlm.nih.gov/sutils/blink.cgi?pid=183979311","8E-022")</f>
        <v>8E-022</v>
      </c>
      <c r="AK178" t="str">
        <f>HYPERLINK("http://www.ncbi.nlm.nih.gov/protein/183979311","gi|183979311")</f>
        <v>gi|183979311</v>
      </c>
      <c r="AL178">
        <v>108</v>
      </c>
      <c r="AM178">
        <v>63</v>
      </c>
      <c r="AN178">
        <v>330</v>
      </c>
      <c r="AO178">
        <v>82</v>
      </c>
      <c r="AP178">
        <v>19</v>
      </c>
      <c r="AQ178">
        <v>11</v>
      </c>
      <c r="AR178">
        <v>0</v>
      </c>
      <c r="AS178">
        <v>265</v>
      </c>
      <c r="AT178">
        <v>11</v>
      </c>
      <c r="AU178">
        <v>1</v>
      </c>
      <c r="AV178">
        <v>2</v>
      </c>
      <c r="AW178" t="s">
        <v>12</v>
      </c>
      <c r="AY178" t="s">
        <v>1676</v>
      </c>
      <c r="AZ178" t="s">
        <v>2946</v>
      </c>
      <c r="BA178" s="4" t="str">
        <f>HYPERLINK("http://exon.niaid.nih.gov/transcriptome/C_felis/S1/links/SWISSP/cf-contig_364-SWISSP.txt","Brefeldin A-inhibited guanine nucleotide-exchange protein 1")</f>
        <v>Brefeldin A-inhibited guanine nucleotide-exchange protein 1</v>
      </c>
      <c r="BB178" t="str">
        <f>HYPERLINK("http://www.uniprot.org/uniprot/Q9Y6D6","1E-014")</f>
        <v>1E-014</v>
      </c>
      <c r="BC178" t="s">
        <v>2947</v>
      </c>
      <c r="BD178">
        <v>80.900000000000006</v>
      </c>
      <c r="BE178">
        <v>62</v>
      </c>
      <c r="BF178">
        <v>1849</v>
      </c>
      <c r="BG178">
        <v>63</v>
      </c>
      <c r="BH178">
        <v>3</v>
      </c>
      <c r="BI178">
        <v>23</v>
      </c>
      <c r="BJ178">
        <v>0</v>
      </c>
      <c r="BK178">
        <v>1775</v>
      </c>
      <c r="BL178">
        <v>11</v>
      </c>
      <c r="BM178">
        <v>1</v>
      </c>
      <c r="BN178">
        <v>2</v>
      </c>
      <c r="BO178" t="s">
        <v>12</v>
      </c>
      <c r="BQ178" t="s">
        <v>1676</v>
      </c>
      <c r="BR178" t="s">
        <v>1690</v>
      </c>
      <c r="BS178" s="4" t="str">
        <f>HYPERLINK("http://exon.niaid.nih.gov/transcriptome/C_felis/S1/links/CDD/cf-contig_364-CDD.txt","7TM_GPCR_Srz")</f>
        <v>7TM_GPCR_Srz</v>
      </c>
      <c r="BT178" t="str">
        <f>HYPERLINK("http://www.ncbi.nlm.nih.gov/Structure/cdd/cddsrv.cgi?uid=pfam10325&amp;version=v4.0","0.031")</f>
        <v>0.031</v>
      </c>
      <c r="BU178" t="s">
        <v>2948</v>
      </c>
      <c r="BV178" s="4" t="s">
        <v>2949</v>
      </c>
      <c r="BW178">
        <f>HYPERLINK("http://exon.niaid.nih.gov/transcriptome/C_felis/S1/links/GO/cf-contig_364-GO.txt",8E-21)</f>
        <v>7.9999999999999993E-21</v>
      </c>
      <c r="BX178" t="str">
        <f>HYPERLINK("http://amigo.geneontology.org/cgi-bin/amigo/term_details?term=GO:0005086","GO:0005086")</f>
        <v>GO:0005086</v>
      </c>
      <c r="BY178" t="s">
        <v>2950</v>
      </c>
      <c r="BZ178" t="s">
        <v>2951</v>
      </c>
      <c r="CA178" t="s">
        <v>42</v>
      </c>
      <c r="CB178" t="s">
        <v>42</v>
      </c>
      <c r="CD178" s="5">
        <v>7.9999999999999993E-21</v>
      </c>
      <c r="CE178" t="str">
        <f>HYPERLINK("http://amigo.geneontology.org/cgi-bin/amigo/term_details?term=GO:0005794","GO:0005794")</f>
        <v>GO:0005794</v>
      </c>
      <c r="CF178" t="s">
        <v>2952</v>
      </c>
      <c r="CG178" t="s">
        <v>2953</v>
      </c>
      <c r="CH178" t="s">
        <v>2954</v>
      </c>
      <c r="CI178" t="s">
        <v>42</v>
      </c>
      <c r="CK178" s="5">
        <v>7.9999999999999993E-21</v>
      </c>
      <c r="CL178" t="str">
        <f>HYPERLINK("http://amigo.geneontology.org/cgi-bin/amigo/term_details?term=GO:0006891","GO:0006891")</f>
        <v>GO:0006891</v>
      </c>
      <c r="CM178" t="s">
        <v>2955</v>
      </c>
      <c r="CN178" t="s">
        <v>2956</v>
      </c>
      <c r="CO178" t="s">
        <v>2957</v>
      </c>
      <c r="CP178" t="s">
        <v>42</v>
      </c>
      <c r="CR178" s="5">
        <v>7.9999999999999993E-21</v>
      </c>
      <c r="CS178" s="4" t="str">
        <f>HYPERLINK("http://exon.niaid.nih.gov/transcriptome/C_felis/S1/links/KOG/cf-contig_364-KOG.txt","Guanine nucleotide exchange factor")</f>
        <v>Guanine nucleotide exchange factor</v>
      </c>
      <c r="CT178" t="str">
        <f>HYPERLINK("http://www.ncbi.nlm.nih.gov/COG/grace/shokog.cgi?KOG0929","2E-006")</f>
        <v>2E-006</v>
      </c>
      <c r="CU178" t="s">
        <v>1686</v>
      </c>
      <c r="CV178" s="4" t="str">
        <f>HYPERLINK("http://exon.niaid.nih.gov/transcriptome/C_felis/S1/links/PFAM/cf-contig_364-PFAM.txt","7TM_GPCR_Srz")</f>
        <v>7TM_GPCR_Srz</v>
      </c>
      <c r="CW178" t="str">
        <f>HYPERLINK("http://pfam.sanger.ac.uk/family?acc=PF10325","0.006")</f>
        <v>0.006</v>
      </c>
      <c r="CX178" s="4" t="str">
        <f>HYPERLINK("http://exon.niaid.nih.gov/transcriptome/C_felis/S1/links/SMART/cf-contig_364-SMART.txt","PSN")</f>
        <v>PSN</v>
      </c>
      <c r="CY178" t="str">
        <f>HYPERLINK("http://smart.embl-heidelberg.de/smart/do_annotation.pl?DOMAIN=PSN&amp;BLAST=DUMMY","0.019")</f>
        <v>0.019</v>
      </c>
      <c r="CZ178" s="4" t="s">
        <v>42</v>
      </c>
      <c r="DA178" t="s">
        <v>42</v>
      </c>
      <c r="DB178" t="s">
        <v>42</v>
      </c>
      <c r="DC178" t="s">
        <v>42</v>
      </c>
      <c r="DD178" t="s">
        <v>42</v>
      </c>
      <c r="DE178" t="s">
        <v>42</v>
      </c>
      <c r="DF178" t="s">
        <v>42</v>
      </c>
      <c r="DG178" t="s">
        <v>42</v>
      </c>
      <c r="DH178" s="4" t="s">
        <v>42</v>
      </c>
      <c r="DI178" t="s">
        <v>42</v>
      </c>
      <c r="DJ178" s="4" t="s">
        <v>42</v>
      </c>
      <c r="DK178" t="s">
        <v>42</v>
      </c>
      <c r="DL178" s="4">
        <v>293</v>
      </c>
      <c r="DM178">
        <v>1</v>
      </c>
      <c r="DN178" s="4">
        <v>300</v>
      </c>
      <c r="DO178">
        <v>1</v>
      </c>
      <c r="DP178" s="4">
        <v>301</v>
      </c>
      <c r="DQ178">
        <v>1</v>
      </c>
      <c r="DR178" s="4">
        <v>312</v>
      </c>
      <c r="DS178">
        <v>1</v>
      </c>
      <c r="DT178" s="4">
        <v>322</v>
      </c>
      <c r="DU178">
        <v>1</v>
      </c>
      <c r="DV178" s="4">
        <v>335</v>
      </c>
      <c r="DW178">
        <v>1</v>
      </c>
      <c r="DX178" s="4">
        <v>338</v>
      </c>
      <c r="DY178">
        <v>1</v>
      </c>
      <c r="DZ178" s="4">
        <v>343</v>
      </c>
      <c r="EA178">
        <v>1</v>
      </c>
      <c r="EB178" s="4">
        <v>348</v>
      </c>
      <c r="EC178">
        <v>1</v>
      </c>
      <c r="ED178" s="4">
        <v>352</v>
      </c>
      <c r="EE178">
        <v>1</v>
      </c>
      <c r="EF178" s="4">
        <v>357</v>
      </c>
      <c r="EG178">
        <v>1</v>
      </c>
      <c r="EH178" s="4">
        <v>359</v>
      </c>
      <c r="EI178">
        <v>1</v>
      </c>
      <c r="EJ178" s="4">
        <v>364</v>
      </c>
      <c r="EK178">
        <v>1</v>
      </c>
    </row>
    <row r="179" spans="1:141" x14ac:dyDescent="0.2">
      <c r="A179" t="str">
        <f>HYPERLINK("http://exon.niaid.nih.gov/transcriptome/C_felis/S1/links/cf/cf-contig_580.txt","cf-contig_580")</f>
        <v>cf-contig_580</v>
      </c>
      <c r="B179">
        <v>1</v>
      </c>
      <c r="C179" s="10" t="s">
        <v>4809</v>
      </c>
      <c r="D179">
        <v>1</v>
      </c>
      <c r="E179" t="str">
        <f>HYPERLINK("http://exon.niaid.nih.gov/transcriptome/C_felis/S1/links/cf/cf-5-36-asb-580.txt","Contig-580")</f>
        <v>Contig-580</v>
      </c>
      <c r="F179" t="str">
        <f>HYPERLINK("http://exon.niaid.nih.gov/transcriptome/C_felis/S1/links/cf/cf-5-36-580-CLU.txt","Contig580")</f>
        <v>Contig580</v>
      </c>
      <c r="G179" t="str">
        <f>HYPERLINK("http://exon.niaid.nih.gov/transcriptome/C_felis/S1/links/cf/cf-5-36-580-qual.txt","64.3")</f>
        <v>64.3</v>
      </c>
      <c r="H179" t="s">
        <v>11</v>
      </c>
      <c r="I179">
        <v>66.3</v>
      </c>
      <c r="J179">
        <v>370</v>
      </c>
      <c r="K179" t="s">
        <v>12</v>
      </c>
      <c r="L179">
        <v>1</v>
      </c>
      <c r="M179" t="s">
        <v>593</v>
      </c>
      <c r="N179">
        <v>370</v>
      </c>
      <c r="O179">
        <v>389</v>
      </c>
      <c r="P179">
        <v>303</v>
      </c>
      <c r="Q179" t="s">
        <v>1399</v>
      </c>
      <c r="R179">
        <v>2</v>
      </c>
      <c r="S179" s="7" t="str">
        <f>HYPERLINK("http://exon.niaid.nih.gov/transcriptome/C_felis/S1/links/Sigp/CF-CONTIG_580-SigP.txt","Cyt")</f>
        <v>Cyt</v>
      </c>
      <c r="U179">
        <v>1</v>
      </c>
      <c r="V179" s="4">
        <v>473</v>
      </c>
      <c r="W179">
        <v>1</v>
      </c>
      <c r="X179" s="4">
        <v>483</v>
      </c>
      <c r="Y179">
        <v>1</v>
      </c>
      <c r="Z179" s="4">
        <v>492</v>
      </c>
      <c r="AA179">
        <v>1</v>
      </c>
      <c r="AB179" s="4" t="str">
        <f>HYPERLINK("http://exon.niaid.nih.gov/transcriptome/C_felis/S1/links/XC-ASB/cf-contig_580-XC-ASB.txt","XC-contig_179")</f>
        <v>XC-contig_179</v>
      </c>
      <c r="AC179">
        <v>1.9</v>
      </c>
      <c r="AD179" s="10" t="s">
        <v>4809</v>
      </c>
      <c r="AE179" t="s">
        <v>4743</v>
      </c>
      <c r="AF179" t="str">
        <f>HYPERLINK("http://exon.niaid.nih.gov/transcriptome/C_felis/S1/links/PFAM/cf-contig_580-PFAM.txt","PFAM")</f>
        <v>PFAM</v>
      </c>
      <c r="AG179" s="5">
        <v>3.9999999999999997E-39</v>
      </c>
      <c r="AH179">
        <v>59.2</v>
      </c>
      <c r="AI179" s="4" t="str">
        <f>HYPERLINK("http://exon.niaid.nih.gov/transcriptome/C_felis/S1/links/NR/cf-contig_580-NR.txt","Translocon-associated protein subunit delta")</f>
        <v>Translocon-associated protein subunit delta</v>
      </c>
      <c r="AJ179" t="str">
        <f>HYPERLINK("http://www.ncbi.nlm.nih.gov/sutils/blink.cgi?pid=307199097","5E-027")</f>
        <v>5E-027</v>
      </c>
      <c r="AK179" t="str">
        <f>HYPERLINK("http://www.ncbi.nlm.nih.gov/protein/307199097","gi|307199097")</f>
        <v>gi|307199097</v>
      </c>
      <c r="AL179">
        <v>124</v>
      </c>
      <c r="AM179">
        <v>97</v>
      </c>
      <c r="AN179">
        <v>169</v>
      </c>
      <c r="AO179">
        <v>57</v>
      </c>
      <c r="AP179">
        <v>58</v>
      </c>
      <c r="AQ179">
        <v>42</v>
      </c>
      <c r="AR179">
        <v>1</v>
      </c>
      <c r="AS179">
        <v>71</v>
      </c>
      <c r="AT179">
        <v>11</v>
      </c>
      <c r="AU179">
        <v>1</v>
      </c>
      <c r="AV179">
        <v>2</v>
      </c>
      <c r="AW179" t="s">
        <v>12</v>
      </c>
      <c r="AY179" t="s">
        <v>1676</v>
      </c>
      <c r="AZ179" t="s">
        <v>1712</v>
      </c>
      <c r="BA179" s="4" t="str">
        <f>HYPERLINK("http://exon.niaid.nih.gov/transcriptome/C_felis/S1/links/SWISSP/cf-contig_580-SWISSP.txt","Translocon-associated protein subunit delta")</f>
        <v>Translocon-associated protein subunit delta</v>
      </c>
      <c r="BB179" t="str">
        <f>HYPERLINK("http://www.uniprot.org/uniprot/Q62186","7E-017")</f>
        <v>7E-017</v>
      </c>
      <c r="BC179" t="s">
        <v>3779</v>
      </c>
      <c r="BD179">
        <v>85.9</v>
      </c>
      <c r="BE179">
        <v>83</v>
      </c>
      <c r="BF179">
        <v>172</v>
      </c>
      <c r="BG179">
        <v>42</v>
      </c>
      <c r="BH179">
        <v>49</v>
      </c>
      <c r="BI179">
        <v>48</v>
      </c>
      <c r="BJ179">
        <v>0</v>
      </c>
      <c r="BK179">
        <v>84</v>
      </c>
      <c r="BL179">
        <v>38</v>
      </c>
      <c r="BM179">
        <v>1</v>
      </c>
      <c r="BN179">
        <v>2</v>
      </c>
      <c r="BO179" t="s">
        <v>12</v>
      </c>
      <c r="BQ179" t="s">
        <v>1676</v>
      </c>
      <c r="BR179" t="s">
        <v>1705</v>
      </c>
      <c r="BS179" s="4" t="str">
        <f>HYPERLINK("http://exon.niaid.nih.gov/transcriptome/C_felis/S1/links/CDD/cf-contig_580-CDD.txt","TRAP-delta")</f>
        <v>TRAP-delta</v>
      </c>
      <c r="BT179" t="str">
        <f>HYPERLINK("http://www.ncbi.nlm.nih.gov/Structure/cdd/cddsrv.cgi?uid=pfam05404&amp;version=v4.0","2E-038")</f>
        <v>2E-038</v>
      </c>
      <c r="BU179" t="s">
        <v>3780</v>
      </c>
      <c r="BV179" s="4" t="s">
        <v>3781</v>
      </c>
      <c r="BW179">
        <f>HYPERLINK("http://exon.niaid.nih.gov/transcriptome/C_felis/S1/links/GO/cf-contig_580-GO.txt",3E-24)</f>
        <v>3E-24</v>
      </c>
      <c r="BX179" t="str">
        <f>HYPERLINK("http://amigo.geneontology.org/cgi-bin/amigo/term_details?term=GO:0005048","GO:0005048")</f>
        <v>GO:0005048</v>
      </c>
      <c r="BY179" t="s">
        <v>3782</v>
      </c>
      <c r="BZ179" t="s">
        <v>3783</v>
      </c>
      <c r="CA179" t="s">
        <v>3784</v>
      </c>
      <c r="CB179" t="s">
        <v>42</v>
      </c>
      <c r="CD179" s="5">
        <v>3E-24</v>
      </c>
      <c r="CE179" t="str">
        <f>HYPERLINK("http://amigo.geneontology.org/cgi-bin/amigo/term_details?term=GO:0005784","GO:0005784")</f>
        <v>GO:0005784</v>
      </c>
      <c r="CF179" t="s">
        <v>3785</v>
      </c>
      <c r="CG179" t="s">
        <v>3786</v>
      </c>
      <c r="CH179" t="s">
        <v>3787</v>
      </c>
      <c r="CI179" t="s">
        <v>42</v>
      </c>
      <c r="CK179" s="5">
        <v>3E-24</v>
      </c>
      <c r="CL179" t="str">
        <f>HYPERLINK("http://amigo.geneontology.org/cgi-bin/amigo/term_details?term=GO:0006621","GO:0006621")</f>
        <v>GO:0006621</v>
      </c>
      <c r="CM179" t="s">
        <v>3788</v>
      </c>
      <c r="CN179" t="s">
        <v>3789</v>
      </c>
      <c r="CO179" t="s">
        <v>3790</v>
      </c>
      <c r="CP179" t="s">
        <v>42</v>
      </c>
      <c r="CR179" s="5">
        <v>3E-24</v>
      </c>
      <c r="CS179" s="4" t="str">
        <f>HYPERLINK("http://exon.niaid.nih.gov/transcriptome/C_felis/S1/links/KOG/cf-contig_580-KOG.txt","Translocon-associated complex TRAP, delta subunit")</f>
        <v>Translocon-associated complex TRAP, delta subunit</v>
      </c>
      <c r="CT179" t="str">
        <f>HYPERLINK("http://www.ncbi.nlm.nih.gov/COG/grace/shokog.cgi?KOG4088","3E-026")</f>
        <v>3E-026</v>
      </c>
      <c r="CU179" t="s">
        <v>1686</v>
      </c>
      <c r="CV179" s="4" t="str">
        <f>HYPERLINK("http://exon.niaid.nih.gov/transcriptome/C_felis/S1/links/PFAM/cf-contig_580-PFAM.txt","TRAP-delta")</f>
        <v>TRAP-delta</v>
      </c>
      <c r="CW179" t="str">
        <f>HYPERLINK("http://pfam.sanger.ac.uk/family?acc=PF05404","4E-039")</f>
        <v>4E-039</v>
      </c>
      <c r="CX179" s="4" t="str">
        <f>HYPERLINK("http://exon.niaid.nih.gov/transcriptome/C_felis/S1/links/SMART/cf-contig_580-SMART.txt","LITAF")</f>
        <v>LITAF</v>
      </c>
      <c r="CY179" t="str">
        <f>HYPERLINK("http://smart.embl-heidelberg.de/smart/do_annotation.pl?DOMAIN=LITAF&amp;BLAST=DUMMY","0.10")</f>
        <v>0.10</v>
      </c>
      <c r="CZ179" s="4" t="s">
        <v>42</v>
      </c>
      <c r="DA179" t="s">
        <v>42</v>
      </c>
      <c r="DB179" t="s">
        <v>42</v>
      </c>
      <c r="DC179" t="s">
        <v>42</v>
      </c>
      <c r="DD179" t="s">
        <v>42</v>
      </c>
      <c r="DE179" t="s">
        <v>42</v>
      </c>
      <c r="DF179" t="s">
        <v>42</v>
      </c>
      <c r="DG179" t="s">
        <v>42</v>
      </c>
      <c r="DH179" s="4" t="s">
        <v>42</v>
      </c>
      <c r="DI179" t="s">
        <v>42</v>
      </c>
      <c r="DJ179" s="4" t="s">
        <v>42</v>
      </c>
      <c r="DK179" t="s">
        <v>42</v>
      </c>
      <c r="DL179" s="4">
        <v>473</v>
      </c>
      <c r="DM179">
        <v>1</v>
      </c>
      <c r="DN179" s="4">
        <v>483</v>
      </c>
      <c r="DO179">
        <v>1</v>
      </c>
      <c r="DP179" s="4">
        <v>492</v>
      </c>
      <c r="DQ179">
        <v>1</v>
      </c>
      <c r="DR179" s="4">
        <v>510</v>
      </c>
      <c r="DS179">
        <v>1</v>
      </c>
      <c r="DT179" s="4">
        <v>522</v>
      </c>
      <c r="DU179">
        <v>1</v>
      </c>
      <c r="DV179" s="4">
        <v>536</v>
      </c>
      <c r="DW179">
        <v>1</v>
      </c>
      <c r="DX179" s="4">
        <v>544</v>
      </c>
      <c r="DY179">
        <v>1</v>
      </c>
      <c r="DZ179" s="4">
        <v>552</v>
      </c>
      <c r="EA179">
        <v>1</v>
      </c>
      <c r="EB179" s="4">
        <v>557</v>
      </c>
      <c r="EC179">
        <v>1</v>
      </c>
      <c r="ED179" s="4">
        <v>561</v>
      </c>
      <c r="EE179">
        <v>1</v>
      </c>
      <c r="EF179" s="4">
        <v>566</v>
      </c>
      <c r="EG179">
        <v>1</v>
      </c>
      <c r="EH179" s="4">
        <v>573</v>
      </c>
      <c r="EI179">
        <v>1</v>
      </c>
      <c r="EJ179" s="4">
        <v>580</v>
      </c>
      <c r="EK179">
        <v>1</v>
      </c>
    </row>
    <row r="180" spans="1:141" x14ac:dyDescent="0.2">
      <c r="A180" t="str">
        <f>HYPERLINK("http://exon.niaid.nih.gov/transcriptome/C_felis/S1/links/cf/cf-contig_701.txt","cf-contig_701")</f>
        <v>cf-contig_701</v>
      </c>
      <c r="B180">
        <v>1</v>
      </c>
      <c r="C180" s="10" t="s">
        <v>4850</v>
      </c>
      <c r="D180">
        <v>1</v>
      </c>
      <c r="E180" t="str">
        <f>HYPERLINK("http://exon.niaid.nih.gov/transcriptome/C_felis/S1/links/cf/cf-5-36-asb-701.txt","Contig-701")</f>
        <v>Contig-701</v>
      </c>
      <c r="F180" t="str">
        <f>HYPERLINK("http://exon.niaid.nih.gov/transcriptome/C_felis/S1/links/cf/cf-5-36-701-CLU.txt","Contig701")</f>
        <v>Contig701</v>
      </c>
      <c r="G180" t="str">
        <f>HYPERLINK("http://exon.niaid.nih.gov/transcriptome/C_felis/S1/links/cf/cf-5-36-701-qual.txt","64.5")</f>
        <v>64.5</v>
      </c>
      <c r="H180">
        <v>0.4</v>
      </c>
      <c r="I180">
        <v>72</v>
      </c>
      <c r="J180">
        <v>464</v>
      </c>
      <c r="K180" t="s">
        <v>12</v>
      </c>
      <c r="L180">
        <v>1</v>
      </c>
      <c r="M180" t="s">
        <v>714</v>
      </c>
      <c r="N180">
        <v>464</v>
      </c>
      <c r="O180">
        <v>483</v>
      </c>
      <c r="P180">
        <v>306</v>
      </c>
      <c r="Q180" t="s">
        <v>1520</v>
      </c>
      <c r="R180">
        <v>3</v>
      </c>
      <c r="S180" s="7" t="str">
        <f>HYPERLINK("http://exon.niaid.nih.gov/transcriptome/C_felis/S1/links/Sigp/CF-CONTIG_701-SigP.txt","Cyt")</f>
        <v>Cyt</v>
      </c>
      <c r="U180">
        <v>1</v>
      </c>
      <c r="V180" s="4">
        <v>571</v>
      </c>
      <c r="W180">
        <v>1</v>
      </c>
      <c r="X180" s="4">
        <v>586</v>
      </c>
      <c r="Y180">
        <v>1</v>
      </c>
      <c r="Z180" s="4">
        <v>598</v>
      </c>
      <c r="AA180">
        <v>1</v>
      </c>
      <c r="AB180" s="4" t="str">
        <f>HYPERLINK("http://exon.niaid.nih.gov/transcriptome/C_felis/S1/links/XC-ASB/cf-contig_701-XC-ASB.txt","XC-contig_251")</f>
        <v>XC-contig_251</v>
      </c>
      <c r="AC180">
        <v>0.27</v>
      </c>
      <c r="AD180" s="10" t="s">
        <v>4850</v>
      </c>
      <c r="AE180" t="s">
        <v>4743</v>
      </c>
      <c r="AF180" t="str">
        <f>HYPERLINK("http://exon.niaid.nih.gov/transcriptome/C_felis/S1/links/GO/cf-contig_701-GO.txt","GO")</f>
        <v>GO</v>
      </c>
      <c r="AG180" s="5">
        <v>2.9999999999999999E-21</v>
      </c>
      <c r="AH180">
        <v>12.1</v>
      </c>
      <c r="AI180" s="4" t="str">
        <f>HYPERLINK("http://exon.niaid.nih.gov/transcriptome/C_felis/S1/links/NR/cf-contig_701-NR.txt","hypothetical protein BRAFLDRAFT_92989")</f>
        <v>hypothetical protein BRAFLDRAFT_92989</v>
      </c>
      <c r="AJ180" t="str">
        <f>HYPERLINK("http://www.ncbi.nlm.nih.gov/sutils/blink.cgi?pid=260830635","4E-021")</f>
        <v>4E-021</v>
      </c>
      <c r="AK180" t="str">
        <f>HYPERLINK("http://www.ncbi.nlm.nih.gov/protein/260830635","gi|260830635")</f>
        <v>gi|260830635</v>
      </c>
      <c r="AL180">
        <v>104</v>
      </c>
      <c r="AM180">
        <v>97</v>
      </c>
      <c r="AN180">
        <v>824</v>
      </c>
      <c r="AO180">
        <v>53</v>
      </c>
      <c r="AP180">
        <v>12</v>
      </c>
      <c r="AQ180">
        <v>46</v>
      </c>
      <c r="AR180">
        <v>0</v>
      </c>
      <c r="AS180">
        <v>727</v>
      </c>
      <c r="AT180">
        <v>9</v>
      </c>
      <c r="AU180">
        <v>1</v>
      </c>
      <c r="AV180">
        <v>3</v>
      </c>
      <c r="AW180" t="s">
        <v>12</v>
      </c>
      <c r="AY180" t="s">
        <v>1676</v>
      </c>
      <c r="AZ180" t="s">
        <v>4209</v>
      </c>
      <c r="BA180" s="4" t="str">
        <f>HYPERLINK("http://exon.niaid.nih.gov/transcriptome/C_felis/S1/links/SWISSP/cf-contig_701-SWISSP.txt","Vacuolar protein sorting-associated protein 53 homolog")</f>
        <v>Vacuolar protein sorting-associated protein 53 homolog</v>
      </c>
      <c r="BB180" t="str">
        <f>HYPERLINK("http://www.uniprot.org/uniprot/Q5ZLD7","3E-021")</f>
        <v>3E-021</v>
      </c>
      <c r="BC180" t="s">
        <v>4210</v>
      </c>
      <c r="BD180">
        <v>100</v>
      </c>
      <c r="BE180">
        <v>100</v>
      </c>
      <c r="BF180">
        <v>831</v>
      </c>
      <c r="BG180">
        <v>50</v>
      </c>
      <c r="BH180">
        <v>12</v>
      </c>
      <c r="BI180">
        <v>50</v>
      </c>
      <c r="BJ180">
        <v>3</v>
      </c>
      <c r="BK180">
        <v>731</v>
      </c>
      <c r="BL180">
        <v>9</v>
      </c>
      <c r="BM180">
        <v>1</v>
      </c>
      <c r="BN180">
        <v>3</v>
      </c>
      <c r="BO180" t="s">
        <v>12</v>
      </c>
      <c r="BQ180" t="s">
        <v>1676</v>
      </c>
      <c r="BR180" t="s">
        <v>1809</v>
      </c>
      <c r="BS180" s="4" t="str">
        <f>HYPERLINK("http://exon.niaid.nih.gov/transcriptome/C_felis/S1/links/CDD/cf-contig_701-CDD.txt","upp")</f>
        <v>upp</v>
      </c>
      <c r="BT180" t="str">
        <f>HYPERLINK("http://www.ncbi.nlm.nih.gov/Structure/cdd/cddsrv.cgi?uid=TIGR01091&amp;version=v4.0","0.009")</f>
        <v>0.009</v>
      </c>
      <c r="BU180" t="s">
        <v>4211</v>
      </c>
      <c r="BV180" s="4" t="s">
        <v>4212</v>
      </c>
      <c r="BW180">
        <f>HYPERLINK("http://exon.niaid.nih.gov/transcriptome/C_felis/S1/links/GO/cf-contig_701-GO.txt",3E-21)</f>
        <v>2.9999999999999999E-21</v>
      </c>
      <c r="BX180" t="str">
        <f>HYPERLINK("http://amigo.geneontology.org/cgi-bin/amigo/term_details?term=GO:0003674","GO:0003674")</f>
        <v>GO:0003674</v>
      </c>
      <c r="BY180" t="s">
        <v>1851</v>
      </c>
      <c r="BZ180" t="s">
        <v>1852</v>
      </c>
      <c r="CA180" t="s">
        <v>1853</v>
      </c>
      <c r="CB180" t="s">
        <v>42</v>
      </c>
      <c r="CD180" s="5">
        <v>7.0000000000000003E-19</v>
      </c>
      <c r="CE180" t="str">
        <f>HYPERLINK("http://amigo.geneontology.org/cgi-bin/amigo/term_details?term=GO:0005575","GO:0005575")</f>
        <v>GO:0005575</v>
      </c>
      <c r="CF180" t="s">
        <v>1838</v>
      </c>
      <c r="CG180" t="s">
        <v>1839</v>
      </c>
      <c r="CH180" t="s">
        <v>1840</v>
      </c>
      <c r="CI180" t="s">
        <v>42</v>
      </c>
      <c r="CK180" s="5">
        <v>7.0000000000000003E-19</v>
      </c>
      <c r="CL180" t="str">
        <f>HYPERLINK("http://amigo.geneontology.org/cgi-bin/amigo/term_details?term=GO:0008150","GO:0008150")</f>
        <v>GO:0008150</v>
      </c>
      <c r="CM180" t="s">
        <v>1857</v>
      </c>
      <c r="CN180" t="s">
        <v>1858</v>
      </c>
      <c r="CO180" t="s">
        <v>1859</v>
      </c>
      <c r="CP180" t="s">
        <v>42</v>
      </c>
      <c r="CR180" s="5">
        <v>7.0000000000000003E-19</v>
      </c>
      <c r="CS180" s="4" t="str">
        <f>HYPERLINK("http://exon.niaid.nih.gov/transcriptome/C_felis/S1/links/KOG/cf-contig_701-KOG.txt","Late Golgi protein sorting complex, subunit Vps53")</f>
        <v>Late Golgi protein sorting complex, subunit Vps53</v>
      </c>
      <c r="CT180" t="str">
        <f>HYPERLINK("http://www.ncbi.nlm.nih.gov/COG/grace/shokog.cgi?KOG2180","6E-014")</f>
        <v>6E-014</v>
      </c>
      <c r="CU180" t="s">
        <v>1686</v>
      </c>
      <c r="CV180" s="4" t="str">
        <f>HYPERLINK("http://exon.niaid.nih.gov/transcriptome/C_felis/S1/links/PFAM/cf-contig_701-PFAM.txt","MreD")</f>
        <v>MreD</v>
      </c>
      <c r="CW180" t="str">
        <f>HYPERLINK("http://pfam.sanger.ac.uk/family?acc=PF04093","0.036")</f>
        <v>0.036</v>
      </c>
      <c r="CX180" s="4" t="str">
        <f>HYPERLINK("http://exon.niaid.nih.gov/transcriptome/C_felis/S1/links/SMART/cf-contig_701-SMART.txt","Inhibitor_I29")</f>
        <v>Inhibitor_I29</v>
      </c>
      <c r="CY180" t="str">
        <f>HYPERLINK("http://smart.embl-heidelberg.de/smart/do_annotation.pl?DOMAIN=Inhibitor_I29&amp;BLAST=DUMMY","0.059")</f>
        <v>0.059</v>
      </c>
      <c r="CZ180" s="4" t="s">
        <v>42</v>
      </c>
      <c r="DA180" t="s">
        <v>42</v>
      </c>
      <c r="DB180" t="s">
        <v>42</v>
      </c>
      <c r="DC180" t="s">
        <v>42</v>
      </c>
      <c r="DD180" t="s">
        <v>42</v>
      </c>
      <c r="DE180" t="s">
        <v>42</v>
      </c>
      <c r="DF180" t="s">
        <v>42</v>
      </c>
      <c r="DG180" t="s">
        <v>42</v>
      </c>
      <c r="DH180" s="4" t="s">
        <v>42</v>
      </c>
      <c r="DI180" t="s">
        <v>42</v>
      </c>
      <c r="DJ180" s="4" t="s">
        <v>42</v>
      </c>
      <c r="DK180" t="s">
        <v>42</v>
      </c>
      <c r="DL180" s="4">
        <v>571</v>
      </c>
      <c r="DM180">
        <v>1</v>
      </c>
      <c r="DN180" s="4">
        <v>586</v>
      </c>
      <c r="DO180">
        <v>1</v>
      </c>
      <c r="DP180" s="4">
        <v>598</v>
      </c>
      <c r="DQ180">
        <v>1</v>
      </c>
      <c r="DR180" s="4">
        <v>619</v>
      </c>
      <c r="DS180">
        <v>1</v>
      </c>
      <c r="DT180" s="4">
        <v>633</v>
      </c>
      <c r="DU180">
        <v>1</v>
      </c>
      <c r="DV180" s="4">
        <v>648</v>
      </c>
      <c r="DW180">
        <v>1</v>
      </c>
      <c r="DX180" s="4">
        <v>658</v>
      </c>
      <c r="DY180">
        <v>1</v>
      </c>
      <c r="DZ180" s="4">
        <v>668</v>
      </c>
      <c r="EA180">
        <v>1</v>
      </c>
      <c r="EB180" s="4">
        <v>673</v>
      </c>
      <c r="EC180">
        <v>1</v>
      </c>
      <c r="ED180" s="4">
        <v>677</v>
      </c>
      <c r="EE180">
        <v>1</v>
      </c>
      <c r="EF180" s="4">
        <v>683</v>
      </c>
      <c r="EG180">
        <v>1</v>
      </c>
      <c r="EH180" s="4">
        <v>692</v>
      </c>
      <c r="EI180">
        <v>1</v>
      </c>
      <c r="EJ180" s="4">
        <v>701</v>
      </c>
      <c r="EK180">
        <v>1</v>
      </c>
    </row>
    <row r="181" spans="1:141" x14ac:dyDescent="0.2">
      <c r="A181" t="str">
        <f>HYPERLINK("http://exon.niaid.nih.gov/transcriptome/C_felis/S1/links/cf/cf-contig_508.txt","cf-contig_508")</f>
        <v>cf-contig_508</v>
      </c>
      <c r="B181">
        <v>1</v>
      </c>
      <c r="C181" s="10" t="s">
        <v>4788</v>
      </c>
      <c r="D181">
        <v>1</v>
      </c>
      <c r="E181" t="str">
        <f>HYPERLINK("http://exon.niaid.nih.gov/transcriptome/C_felis/S1/links/cf/cf-5-36-asb-508.txt","Contig-508")</f>
        <v>Contig-508</v>
      </c>
      <c r="F181" t="str">
        <f>HYPERLINK("http://exon.niaid.nih.gov/transcriptome/C_felis/S1/links/cf/cf-5-36-508-CLU.txt","Contig508")</f>
        <v>Contig508</v>
      </c>
      <c r="G181" t="str">
        <f>HYPERLINK("http://exon.niaid.nih.gov/transcriptome/C_felis/S1/links/cf/cf-5-36-508-qual.txt","65.")</f>
        <v>65.</v>
      </c>
      <c r="H181" t="s">
        <v>11</v>
      </c>
      <c r="I181">
        <v>72.5</v>
      </c>
      <c r="J181">
        <v>501</v>
      </c>
      <c r="K181" t="s">
        <v>12</v>
      </c>
      <c r="L181">
        <v>1</v>
      </c>
      <c r="M181" t="s">
        <v>521</v>
      </c>
      <c r="N181">
        <v>501</v>
      </c>
      <c r="O181">
        <v>520</v>
      </c>
      <c r="P181">
        <v>288</v>
      </c>
      <c r="Q181" t="s">
        <v>1327</v>
      </c>
      <c r="R181">
        <v>3</v>
      </c>
      <c r="S181" s="7" t="str">
        <f>HYPERLINK("http://exon.niaid.nih.gov/transcriptome/C_felis/S1/links/Sigp/CF-CONTIG_508-SigP.txt","Cyt")</f>
        <v>Cyt</v>
      </c>
      <c r="U181">
        <v>1</v>
      </c>
      <c r="V181" s="4">
        <v>415</v>
      </c>
      <c r="W181">
        <v>1</v>
      </c>
      <c r="X181" s="4">
        <v>424</v>
      </c>
      <c r="Y181">
        <v>1</v>
      </c>
      <c r="Z181" s="4">
        <v>429</v>
      </c>
      <c r="AA181">
        <v>1</v>
      </c>
      <c r="AB181" s="4" t="str">
        <f>HYPERLINK("http://exon.niaid.nih.gov/transcriptome/C_felis/S1/links/XC-ASB/cf-contig_508-XC-ASB.txt","XC-contig_146")</f>
        <v>XC-contig_146</v>
      </c>
      <c r="AC181">
        <v>8.3000000000000004E-2</v>
      </c>
      <c r="AD181" s="10" t="s">
        <v>4788</v>
      </c>
      <c r="AE181" t="s">
        <v>4743</v>
      </c>
      <c r="AF181" t="str">
        <f>HYPERLINK("http://exon.niaid.nih.gov/transcriptome/C_felis/S1/links/KOG/cf-contig_508-KOG.txt","KOG")</f>
        <v>KOG</v>
      </c>
      <c r="AG181" s="5">
        <v>1.9999999999999999E-28</v>
      </c>
      <c r="AH181">
        <v>41.6</v>
      </c>
      <c r="AI181" s="4" t="str">
        <f>HYPERLINK("http://exon.niaid.nih.gov/transcriptome/C_felis/S1/links/NR/cf-contig_508-NR.txt","AGAP010608-PA")</f>
        <v>AGAP010608-PA</v>
      </c>
      <c r="AJ181" t="str">
        <f>HYPERLINK("http://www.ncbi.nlm.nih.gov/sutils/blink.cgi?pid=158293252","7E-038")</f>
        <v>7E-038</v>
      </c>
      <c r="AK181" t="str">
        <f>HYPERLINK("http://www.ncbi.nlm.nih.gov/protein/158293252","gi|158293252")</f>
        <v>gi|158293252</v>
      </c>
      <c r="AL181">
        <v>160</v>
      </c>
      <c r="AM181">
        <v>94</v>
      </c>
      <c r="AN181">
        <v>219</v>
      </c>
      <c r="AO181">
        <v>80</v>
      </c>
      <c r="AP181">
        <v>43</v>
      </c>
      <c r="AQ181">
        <v>19</v>
      </c>
      <c r="AR181">
        <v>0</v>
      </c>
      <c r="AS181">
        <v>123</v>
      </c>
      <c r="AT181">
        <v>3</v>
      </c>
      <c r="AU181">
        <v>1</v>
      </c>
      <c r="AV181">
        <v>3</v>
      </c>
      <c r="AW181" t="s">
        <v>12</v>
      </c>
      <c r="AY181" t="s">
        <v>1676</v>
      </c>
      <c r="AZ181" t="s">
        <v>2374</v>
      </c>
      <c r="BA181" s="4" t="str">
        <f>HYPERLINK("http://exon.niaid.nih.gov/transcriptome/C_felis/S1/links/SWISSP/cf-contig_508-SWISSP.txt","Clathrin light chain")</f>
        <v>Clathrin light chain</v>
      </c>
      <c r="BB181" t="str">
        <f>HYPERLINK("http://www.uniprot.org/uniprot/Q9VWA1","1E-024")</f>
        <v>1E-024</v>
      </c>
      <c r="BC181" t="s">
        <v>3523</v>
      </c>
      <c r="BD181">
        <v>112</v>
      </c>
      <c r="BE181">
        <v>92</v>
      </c>
      <c r="BF181">
        <v>219</v>
      </c>
      <c r="BG181">
        <v>60</v>
      </c>
      <c r="BH181">
        <v>42</v>
      </c>
      <c r="BI181">
        <v>37</v>
      </c>
      <c r="BJ181">
        <v>1</v>
      </c>
      <c r="BK181">
        <v>126</v>
      </c>
      <c r="BL181">
        <v>15</v>
      </c>
      <c r="BM181">
        <v>1</v>
      </c>
      <c r="BN181">
        <v>3</v>
      </c>
      <c r="BO181" t="s">
        <v>12</v>
      </c>
      <c r="BQ181" t="s">
        <v>1676</v>
      </c>
      <c r="BR181" t="s">
        <v>1804</v>
      </c>
      <c r="BS181" s="4" t="str">
        <f>HYPERLINK("http://exon.niaid.nih.gov/transcriptome/C_felis/S1/links/CDD/cf-contig_508-CDD.txt","Clathrin_lg_ch")</f>
        <v>Clathrin_lg_ch</v>
      </c>
      <c r="BT181" t="str">
        <f>HYPERLINK("http://www.ncbi.nlm.nih.gov/Structure/cdd/cddsrv.cgi?uid=pfam01086&amp;version=v4.0","4E-031")</f>
        <v>4E-031</v>
      </c>
      <c r="BU181" t="s">
        <v>3524</v>
      </c>
      <c r="BV181" s="4" t="s">
        <v>3525</v>
      </c>
      <c r="BW181">
        <f>HYPERLINK("http://exon.niaid.nih.gov/transcriptome/C_felis/S1/links/GO/cf-contig_508-GO.txt",2E-27)</f>
        <v>2.0000000000000001E-27</v>
      </c>
      <c r="BX181" t="str">
        <f>HYPERLINK("http://amigo.geneontology.org/cgi-bin/amigo/term_details?term=GO:0005198","GO:0005198")</f>
        <v>GO:0005198</v>
      </c>
      <c r="BY181" t="s">
        <v>3526</v>
      </c>
      <c r="BZ181" t="s">
        <v>3527</v>
      </c>
      <c r="CA181" t="s">
        <v>42</v>
      </c>
      <c r="CB181" t="s">
        <v>42</v>
      </c>
      <c r="CD181" s="5">
        <v>2.0000000000000001E-27</v>
      </c>
      <c r="CE181" t="str">
        <f>HYPERLINK("http://amigo.geneontology.org/cgi-bin/amigo/term_details?term=GO:0030130","GO:0030130")</f>
        <v>GO:0030130</v>
      </c>
      <c r="CF181" t="s">
        <v>3528</v>
      </c>
      <c r="CG181" t="s">
        <v>3529</v>
      </c>
      <c r="CH181" t="s">
        <v>3530</v>
      </c>
      <c r="CI181" t="s">
        <v>42</v>
      </c>
      <c r="CK181" s="5">
        <v>2.0000000000000001E-27</v>
      </c>
      <c r="CL181" t="str">
        <f>HYPERLINK("http://amigo.geneontology.org/cgi-bin/amigo/term_details?term=GO:0006886","GO:0006886")</f>
        <v>GO:0006886</v>
      </c>
      <c r="CM181" t="s">
        <v>3531</v>
      </c>
      <c r="CN181" t="s">
        <v>3532</v>
      </c>
      <c r="CO181" t="s">
        <v>42</v>
      </c>
      <c r="CP181" t="s">
        <v>42</v>
      </c>
      <c r="CR181" s="5">
        <v>2.0000000000000001E-27</v>
      </c>
      <c r="CS181" s="4" t="str">
        <f>HYPERLINK("http://exon.niaid.nih.gov/transcriptome/C_felis/S1/links/KOG/cf-contig_508-KOG.txt","Vesicle coat protein clathrin, light chain")</f>
        <v>Vesicle coat protein clathrin, light chain</v>
      </c>
      <c r="CT181" t="str">
        <f>HYPERLINK("http://www.ncbi.nlm.nih.gov/COG/grace/shokog.cgi?KOG4031","2E-028")</f>
        <v>2E-028</v>
      </c>
      <c r="CU181" t="s">
        <v>1686</v>
      </c>
      <c r="CV181" s="4" t="str">
        <f>HYPERLINK("http://exon.niaid.nih.gov/transcriptome/C_felis/S1/links/PFAM/cf-contig_508-PFAM.txt","Clathrin_lg_ch")</f>
        <v>Clathrin_lg_ch</v>
      </c>
      <c r="CW181" t="str">
        <f>HYPERLINK("http://pfam.sanger.ac.uk/family?acc=PF01086","9E-032")</f>
        <v>9E-032</v>
      </c>
      <c r="CX181" s="4" t="str">
        <f>HYPERLINK("http://exon.niaid.nih.gov/transcriptome/C_felis/S1/links/SMART/cf-contig_508-SMART.txt","AgrB")</f>
        <v>AgrB</v>
      </c>
      <c r="CY181" t="str">
        <f>HYPERLINK("http://smart.embl-heidelberg.de/smart/do_annotation.pl?DOMAIN=AgrB&amp;BLAST=DUMMY","2E-004")</f>
        <v>2E-004</v>
      </c>
      <c r="CZ181" s="4" t="s">
        <v>42</v>
      </c>
      <c r="DA181" t="s">
        <v>42</v>
      </c>
      <c r="DB181" t="s">
        <v>42</v>
      </c>
      <c r="DC181" t="s">
        <v>42</v>
      </c>
      <c r="DD181" t="s">
        <v>42</v>
      </c>
      <c r="DE181" t="s">
        <v>42</v>
      </c>
      <c r="DF181" t="s">
        <v>42</v>
      </c>
      <c r="DG181" t="s">
        <v>42</v>
      </c>
      <c r="DH181" s="4" t="s">
        <v>42</v>
      </c>
      <c r="DI181" t="s">
        <v>42</v>
      </c>
      <c r="DJ181" s="4" t="s">
        <v>42</v>
      </c>
      <c r="DK181" t="s">
        <v>42</v>
      </c>
      <c r="DL181" s="4">
        <v>415</v>
      </c>
      <c r="DM181">
        <v>1</v>
      </c>
      <c r="DN181" s="4">
        <v>424</v>
      </c>
      <c r="DO181">
        <v>1</v>
      </c>
      <c r="DP181" s="4">
        <v>429</v>
      </c>
      <c r="DQ181">
        <v>1</v>
      </c>
      <c r="DR181" s="4">
        <v>444</v>
      </c>
      <c r="DS181">
        <v>1</v>
      </c>
      <c r="DT181" s="4">
        <v>454</v>
      </c>
      <c r="DU181">
        <v>1</v>
      </c>
      <c r="DV181" s="4">
        <v>468</v>
      </c>
      <c r="DW181">
        <v>1</v>
      </c>
      <c r="DX181" s="4">
        <v>474</v>
      </c>
      <c r="DY181">
        <v>1</v>
      </c>
      <c r="DZ181" s="4">
        <v>482</v>
      </c>
      <c r="EA181">
        <v>1</v>
      </c>
      <c r="EB181" s="4">
        <v>487</v>
      </c>
      <c r="EC181">
        <v>1</v>
      </c>
      <c r="ED181" s="4">
        <v>491</v>
      </c>
      <c r="EE181">
        <v>1</v>
      </c>
      <c r="EF181" s="4">
        <v>496</v>
      </c>
      <c r="EG181">
        <v>1</v>
      </c>
      <c r="EH181" s="4">
        <v>502</v>
      </c>
      <c r="EI181">
        <v>1</v>
      </c>
      <c r="EJ181" s="4">
        <v>508</v>
      </c>
      <c r="EK181">
        <v>1</v>
      </c>
    </row>
    <row r="182" spans="1:141" x14ac:dyDescent="0.2">
      <c r="A182" t="str">
        <f>HYPERLINK("http://exon.niaid.nih.gov/transcriptome/C_felis/S1/links/cf/cf-contig_439.txt","cf-contig_439")</f>
        <v>cf-contig_439</v>
      </c>
      <c r="B182">
        <v>1</v>
      </c>
      <c r="C182" s="10" t="s">
        <v>4766</v>
      </c>
      <c r="D182">
        <v>1</v>
      </c>
      <c r="E182" t="str">
        <f>HYPERLINK("http://exon.niaid.nih.gov/transcriptome/C_felis/S1/links/cf/cf-5-36-asb-439.txt","Contig-439")</f>
        <v>Contig-439</v>
      </c>
      <c r="F182" t="str">
        <f>HYPERLINK("http://exon.niaid.nih.gov/transcriptome/C_felis/S1/links/cf/cf-5-36-439-CLU.txt","Contig439")</f>
        <v>Contig439</v>
      </c>
      <c r="G182" t="str">
        <f>HYPERLINK("http://exon.niaid.nih.gov/transcriptome/C_felis/S1/links/cf/cf-5-36-439-qual.txt","64.9")</f>
        <v>64.9</v>
      </c>
      <c r="H182" t="s">
        <v>11</v>
      </c>
      <c r="I182">
        <v>70.3</v>
      </c>
      <c r="J182">
        <v>483</v>
      </c>
      <c r="K182" t="s">
        <v>12</v>
      </c>
      <c r="L182">
        <v>1</v>
      </c>
      <c r="M182" t="s">
        <v>452</v>
      </c>
      <c r="N182">
        <v>483</v>
      </c>
      <c r="O182">
        <v>502</v>
      </c>
      <c r="P182">
        <v>306</v>
      </c>
      <c r="Q182" t="s">
        <v>1258</v>
      </c>
      <c r="R182">
        <v>1</v>
      </c>
      <c r="S182" s="7" t="str">
        <f>HYPERLINK("http://exon.niaid.nih.gov/transcriptome/C_felis/S1/links/Sigp/CF-CONTIG_439-SigP.txt","Cyt")</f>
        <v>Cyt</v>
      </c>
      <c r="U182">
        <v>1</v>
      </c>
      <c r="V182" s="4">
        <v>355</v>
      </c>
      <c r="W182">
        <v>1</v>
      </c>
      <c r="X182" s="4">
        <v>364</v>
      </c>
      <c r="Y182">
        <v>1</v>
      </c>
      <c r="Z182" s="4">
        <v>369</v>
      </c>
      <c r="AA182">
        <v>1</v>
      </c>
      <c r="AB182" s="4" t="str">
        <f>HYPERLINK("http://exon.niaid.nih.gov/transcriptome/C_felis/S1/links/XC-ASB/cf-contig_261-XC-ASB.txt","XC-contig_7")</f>
        <v>XC-contig_7</v>
      </c>
      <c r="AC182">
        <v>4.9999999999999999E-49</v>
      </c>
      <c r="AD182" s="10" t="s">
        <v>4766</v>
      </c>
      <c r="AE182" t="s">
        <v>4929</v>
      </c>
      <c r="AF182" t="str">
        <f>HYPERLINK("http://exon.niaid.nih.gov/transcriptome/C_felis/S1/links/GO/cf-contig_439-GO.txt","GO")</f>
        <v>GO</v>
      </c>
      <c r="AG182" s="5">
        <v>4.0000000000000003E-31</v>
      </c>
      <c r="AH182">
        <v>11.3</v>
      </c>
      <c r="AI182" s="4" t="str">
        <f>HYPERLINK("http://exon.niaid.nih.gov/transcriptome/C_felis/S1/links/NR/cf-contig_439-NR.txt","similar to RE62270p")</f>
        <v>similar to RE62270p</v>
      </c>
      <c r="AJ182" t="str">
        <f>HYPERLINK("http://www.ncbi.nlm.nih.gov/sutils/blink.cgi?pid=91090890","9E-032")</f>
        <v>9E-032</v>
      </c>
      <c r="AK182" t="str">
        <f>HYPERLINK("http://www.ncbi.nlm.nih.gov/protein/91090890","gi|91090890")</f>
        <v>gi|91090890</v>
      </c>
      <c r="AL182">
        <v>140</v>
      </c>
      <c r="AM182">
        <v>91</v>
      </c>
      <c r="AN182">
        <v>879</v>
      </c>
      <c r="AO182">
        <v>73</v>
      </c>
      <c r="AP182">
        <v>10</v>
      </c>
      <c r="AQ182">
        <v>24</v>
      </c>
      <c r="AR182">
        <v>0</v>
      </c>
      <c r="AS182">
        <v>788</v>
      </c>
      <c r="AT182">
        <v>31</v>
      </c>
      <c r="AU182">
        <v>1</v>
      </c>
      <c r="AV182">
        <v>1</v>
      </c>
      <c r="AW182" t="s">
        <v>12</v>
      </c>
      <c r="AY182" t="s">
        <v>1676</v>
      </c>
      <c r="AZ182" t="s">
        <v>1878</v>
      </c>
      <c r="BA182" s="4" t="str">
        <f>HYPERLINK("http://exon.niaid.nih.gov/transcriptome/C_felis/S1/links/SWISSP/cf-contig_439-SWISSP.txt","Coatomer subunit gamma")</f>
        <v>Coatomer subunit gamma</v>
      </c>
      <c r="BB182" t="str">
        <f>HYPERLINK("http://www.uniprot.org/uniprot/Q29AE5","1E-031")</f>
        <v>1E-031</v>
      </c>
      <c r="BC182" t="s">
        <v>3233</v>
      </c>
      <c r="BD182">
        <v>135</v>
      </c>
      <c r="BE182">
        <v>101</v>
      </c>
      <c r="BF182">
        <v>878</v>
      </c>
      <c r="BG182">
        <v>65</v>
      </c>
      <c r="BH182">
        <v>12</v>
      </c>
      <c r="BI182">
        <v>35</v>
      </c>
      <c r="BJ182">
        <v>0</v>
      </c>
      <c r="BK182">
        <v>777</v>
      </c>
      <c r="BL182">
        <v>1</v>
      </c>
      <c r="BM182">
        <v>1</v>
      </c>
      <c r="BN182">
        <v>1</v>
      </c>
      <c r="BO182" t="s">
        <v>12</v>
      </c>
      <c r="BQ182" t="s">
        <v>1676</v>
      </c>
      <c r="BR182" t="s">
        <v>2809</v>
      </c>
      <c r="BS182" s="4" t="str">
        <f>HYPERLINK("http://exon.niaid.nih.gov/transcriptome/C_felis/S1/links/CDD/cf-contig_439-CDD.txt","Gamma-COP")</f>
        <v>Gamma-COP</v>
      </c>
      <c r="BT182" t="str">
        <f>HYPERLINK("http://www.ncbi.nlm.nih.gov/Structure/cdd/cddsrv.cgi?uid=pfam08752&amp;version=v4.0","4E-028")</f>
        <v>4E-028</v>
      </c>
      <c r="BU182" t="s">
        <v>3234</v>
      </c>
      <c r="BV182" s="4" t="s">
        <v>3235</v>
      </c>
      <c r="BW182">
        <f>HYPERLINK("http://exon.niaid.nih.gov/transcriptome/C_felis/S1/links/GO/cf-contig_439-GO.txt",4E-31)</f>
        <v>4.0000000000000003E-31</v>
      </c>
      <c r="BX182" t="str">
        <f>HYPERLINK("http://amigo.geneontology.org/cgi-bin/amigo/term_details?term=GO:0005488","GO:0005488")</f>
        <v>GO:0005488</v>
      </c>
      <c r="BY182" t="s">
        <v>3236</v>
      </c>
      <c r="BZ182" t="s">
        <v>3237</v>
      </c>
      <c r="CA182" t="s">
        <v>3238</v>
      </c>
      <c r="CB182" t="s">
        <v>42</v>
      </c>
      <c r="CD182" s="5">
        <v>4.0000000000000003E-31</v>
      </c>
      <c r="CE182" t="str">
        <f>HYPERLINK("http://amigo.geneontology.org/cgi-bin/amigo/term_details?term=GO:0030126","GO:0030126")</f>
        <v>GO:0030126</v>
      </c>
      <c r="CF182" t="s">
        <v>3239</v>
      </c>
      <c r="CG182" t="s">
        <v>3240</v>
      </c>
      <c r="CH182" t="s">
        <v>3241</v>
      </c>
      <c r="CI182" t="s">
        <v>42</v>
      </c>
      <c r="CK182" s="5">
        <v>4.0000000000000003E-31</v>
      </c>
      <c r="CL182" t="str">
        <f>HYPERLINK("http://amigo.geneontology.org/cgi-bin/amigo/term_details?term=GO:0006890","GO:0006890")</f>
        <v>GO:0006890</v>
      </c>
      <c r="CM182" t="s">
        <v>3242</v>
      </c>
      <c r="CN182" t="s">
        <v>3243</v>
      </c>
      <c r="CO182" t="s">
        <v>3244</v>
      </c>
      <c r="CP182" t="s">
        <v>42</v>
      </c>
      <c r="CR182" s="5">
        <v>4.0000000000000003E-31</v>
      </c>
      <c r="CS182" s="4" t="str">
        <f>HYPERLINK("http://exon.niaid.nih.gov/transcriptome/C_felis/S1/links/KOG/cf-contig_439-KOG.txt","Vesicle coat complex COPI, gamma subunit")</f>
        <v>Vesicle coat complex COPI, gamma subunit</v>
      </c>
      <c r="CT182" t="str">
        <f>HYPERLINK("http://www.ncbi.nlm.nih.gov/COG/grace/shokog.cgi?KOG1078","7E-028")</f>
        <v>7E-028</v>
      </c>
      <c r="CU182" t="s">
        <v>1686</v>
      </c>
      <c r="CV182" s="4" t="str">
        <f>HYPERLINK("http://exon.niaid.nih.gov/transcriptome/C_felis/S1/links/PFAM/cf-contig_439-PFAM.txt","Gamma-COP")</f>
        <v>Gamma-COP</v>
      </c>
      <c r="CW182" t="str">
        <f>HYPERLINK("http://pfam.sanger.ac.uk/family?acc=PF08752","9E-029")</f>
        <v>9E-029</v>
      </c>
      <c r="CX182" s="4" t="str">
        <f>HYPERLINK("http://exon.niaid.nih.gov/transcriptome/C_felis/S1/links/SMART/cf-contig_439-SMART.txt","EF1_GNE")</f>
        <v>EF1_GNE</v>
      </c>
      <c r="CY182" t="str">
        <f>HYPERLINK("http://smart.embl-heidelberg.de/smart/do_annotation.pl?DOMAIN=EF1_GNE&amp;BLAST=DUMMY","0.17")</f>
        <v>0.17</v>
      </c>
      <c r="CZ182" s="4" t="s">
        <v>42</v>
      </c>
      <c r="DA182" t="s">
        <v>42</v>
      </c>
      <c r="DB182" t="s">
        <v>42</v>
      </c>
      <c r="DC182" t="s">
        <v>42</v>
      </c>
      <c r="DD182" t="s">
        <v>42</v>
      </c>
      <c r="DE182" t="s">
        <v>42</v>
      </c>
      <c r="DF182" t="s">
        <v>42</v>
      </c>
      <c r="DG182" t="s">
        <v>42</v>
      </c>
      <c r="DH182" s="4" t="s">
        <v>42</v>
      </c>
      <c r="DI182" t="s">
        <v>42</v>
      </c>
      <c r="DJ182" s="4" t="s">
        <v>42</v>
      </c>
      <c r="DK182" t="s">
        <v>42</v>
      </c>
      <c r="DL182" s="4">
        <v>355</v>
      </c>
      <c r="DM182">
        <v>1</v>
      </c>
      <c r="DN182" s="4">
        <v>364</v>
      </c>
      <c r="DO182">
        <v>1</v>
      </c>
      <c r="DP182" s="4">
        <v>369</v>
      </c>
      <c r="DQ182">
        <v>1</v>
      </c>
      <c r="DR182" s="4">
        <v>383</v>
      </c>
      <c r="DS182">
        <v>1</v>
      </c>
      <c r="DT182" s="4">
        <v>393</v>
      </c>
      <c r="DU182">
        <v>1</v>
      </c>
      <c r="DV182" s="4">
        <v>407</v>
      </c>
      <c r="DW182">
        <v>1</v>
      </c>
      <c r="DX182" s="4">
        <v>410</v>
      </c>
      <c r="DY182">
        <v>1</v>
      </c>
      <c r="DZ182" s="4">
        <v>415</v>
      </c>
      <c r="EA182">
        <v>1</v>
      </c>
      <c r="EB182" s="4">
        <v>420</v>
      </c>
      <c r="EC182">
        <v>1</v>
      </c>
      <c r="ED182" s="4">
        <v>424</v>
      </c>
      <c r="EE182">
        <v>1</v>
      </c>
      <c r="EF182" s="4">
        <v>429</v>
      </c>
      <c r="EG182">
        <v>1</v>
      </c>
      <c r="EH182" s="4">
        <v>433</v>
      </c>
      <c r="EI182">
        <v>1</v>
      </c>
      <c r="EJ182" s="4">
        <v>439</v>
      </c>
      <c r="EK182">
        <v>1</v>
      </c>
    </row>
    <row r="183" spans="1:141" s="6" customFormat="1" x14ac:dyDescent="0.2">
      <c r="A183" s="12" t="s">
        <v>4892</v>
      </c>
      <c r="C183" s="11"/>
      <c r="AB183" s="6" t="s">
        <v>42</v>
      </c>
      <c r="AD183" s="11"/>
      <c r="AE183" s="11"/>
      <c r="AF183" s="11"/>
      <c r="AG183" s="11"/>
      <c r="AH183" s="11"/>
    </row>
    <row r="184" spans="1:141" x14ac:dyDescent="0.2">
      <c r="A184" t="str">
        <f>HYPERLINK("http://exon.niaid.nih.gov/transcriptome/C_felis/S1/links/cf/cf-contig_601.txt","cf-contig_601")</f>
        <v>cf-contig_601</v>
      </c>
      <c r="B184">
        <v>1</v>
      </c>
      <c r="C184" s="10" t="s">
        <v>4821</v>
      </c>
      <c r="D184">
        <v>1</v>
      </c>
      <c r="E184" t="str">
        <f>HYPERLINK("http://exon.niaid.nih.gov/transcriptome/C_felis/S1/links/cf/cf-5-36-asb-601.txt","Contig-601")</f>
        <v>Contig-601</v>
      </c>
      <c r="F184" t="str">
        <f>HYPERLINK("http://exon.niaid.nih.gov/transcriptome/C_felis/S1/links/cf/cf-5-36-601-CLU.txt","Contig601")</f>
        <v>Contig601</v>
      </c>
      <c r="G184" t="str">
        <f>HYPERLINK("http://exon.niaid.nih.gov/transcriptome/C_felis/S1/links/cf/cf-5-36-601-qual.txt","54.")</f>
        <v>54.</v>
      </c>
      <c r="H184">
        <v>0.1</v>
      </c>
      <c r="I184">
        <v>64.8</v>
      </c>
      <c r="J184">
        <v>737</v>
      </c>
      <c r="K184" t="s">
        <v>12</v>
      </c>
      <c r="L184">
        <v>1</v>
      </c>
      <c r="M184" t="s">
        <v>614</v>
      </c>
      <c r="N184">
        <v>737</v>
      </c>
      <c r="O184">
        <v>756</v>
      </c>
      <c r="P184">
        <v>342</v>
      </c>
      <c r="Q184" t="s">
        <v>1420</v>
      </c>
      <c r="R184">
        <v>1</v>
      </c>
      <c r="S184" s="7" t="str">
        <f>HYPERLINK("http://exon.niaid.nih.gov/transcriptome/C_felis/S1/links/Sigp/CF-CONTIG_601-SigP.txt","Cyt")</f>
        <v>Cyt</v>
      </c>
      <c r="U184">
        <v>1</v>
      </c>
      <c r="V184" s="4">
        <v>488</v>
      </c>
      <c r="W184">
        <v>1</v>
      </c>
      <c r="X184" s="4">
        <v>500</v>
      </c>
      <c r="Y184">
        <v>1</v>
      </c>
      <c r="Z184" s="4">
        <v>510</v>
      </c>
      <c r="AA184">
        <v>1</v>
      </c>
      <c r="AB184" s="4" t="str">
        <f>HYPERLINK("http://exon.niaid.nih.gov/transcriptome/C_felis/S1/links/XC-ASB/cf-contig_601-XC-ASB.txt","XC-contig_156")</f>
        <v>XC-contig_156</v>
      </c>
      <c r="AC184">
        <v>0.33</v>
      </c>
      <c r="AD184" s="10" t="s">
        <v>4821</v>
      </c>
      <c r="AE184" t="s">
        <v>4663</v>
      </c>
      <c r="AF184" t="str">
        <f>HYPERLINK("http://exon.niaid.nih.gov/transcriptome/C_felis/S1/links/NR/cf-contig_601-NR.txt","NR")</f>
        <v>NR</v>
      </c>
      <c r="AG184" s="5">
        <v>4.9999999999999996E-41</v>
      </c>
      <c r="AH184">
        <v>100</v>
      </c>
      <c r="AI184" s="4" t="str">
        <f>HYPERLINK("http://exon.niaid.nih.gov/transcriptome/C_felis/S1/links/NR/cf-contig_601-NR.txt","10 kDa heat shock protein, mitochondrial-like")</f>
        <v>10 kDa heat shock protein, mitochondrial-like</v>
      </c>
      <c r="AJ184" t="str">
        <f>HYPERLINK("http://www.ncbi.nlm.nih.gov/sutils/blink.cgi?pid=350418457","5E-041")</f>
        <v>5E-041</v>
      </c>
      <c r="AK184" t="str">
        <f>HYPERLINK("http://www.ncbi.nlm.nih.gov/protein/350418457","gi|350418457")</f>
        <v>gi|350418457</v>
      </c>
      <c r="AL184">
        <v>172</v>
      </c>
      <c r="AM184">
        <v>103</v>
      </c>
      <c r="AN184">
        <v>104</v>
      </c>
      <c r="AO184">
        <v>77</v>
      </c>
      <c r="AP184">
        <v>100</v>
      </c>
      <c r="AQ184">
        <v>23</v>
      </c>
      <c r="AR184">
        <v>0</v>
      </c>
      <c r="AS184">
        <v>1</v>
      </c>
      <c r="AT184">
        <v>85</v>
      </c>
      <c r="AU184">
        <v>1</v>
      </c>
      <c r="AV184">
        <v>1</v>
      </c>
      <c r="AW184" t="s">
        <v>12</v>
      </c>
      <c r="AY184" t="s">
        <v>1676</v>
      </c>
      <c r="AZ184" t="s">
        <v>2234</v>
      </c>
      <c r="BA184" s="4" t="str">
        <f>HYPERLINK("http://exon.niaid.nih.gov/transcriptome/C_felis/S1/links/SWISSP/cf-contig_601-SWISSP.txt","10 kDa heat shock protein, mitochondrial")</f>
        <v>10 kDa heat shock protein, mitochondrial</v>
      </c>
      <c r="BB184" t="str">
        <f>HYPERLINK("http://www.uniprot.org/uniprot/Q5DC69","1E-025")</f>
        <v>1E-025</v>
      </c>
      <c r="BC184" t="s">
        <v>3878</v>
      </c>
      <c r="BD184">
        <v>117</v>
      </c>
      <c r="BE184">
        <v>94</v>
      </c>
      <c r="BF184">
        <v>102</v>
      </c>
      <c r="BG184">
        <v>61</v>
      </c>
      <c r="BH184">
        <v>93</v>
      </c>
      <c r="BI184">
        <v>37</v>
      </c>
      <c r="BJ184">
        <v>0</v>
      </c>
      <c r="BK184">
        <v>7</v>
      </c>
      <c r="BL184">
        <v>106</v>
      </c>
      <c r="BM184">
        <v>1</v>
      </c>
      <c r="BN184">
        <v>1</v>
      </c>
      <c r="BO184" t="s">
        <v>12</v>
      </c>
      <c r="BQ184" t="s">
        <v>1676</v>
      </c>
      <c r="BR184" t="s">
        <v>1759</v>
      </c>
      <c r="BS184" s="4" t="str">
        <f>HYPERLINK("http://exon.niaid.nih.gov/transcriptome/C_felis/S1/links/CDD/cf-contig_601-CDD.txt","Cpn10")</f>
        <v>Cpn10</v>
      </c>
      <c r="BT184" t="str">
        <f>HYPERLINK("http://www.ncbi.nlm.nih.gov/Structure/cdd/cddsrv.cgi?uid=smart00883&amp;version=v4.0","2E-034")</f>
        <v>2E-034</v>
      </c>
      <c r="BU184" t="s">
        <v>3879</v>
      </c>
      <c r="BV184" s="4" t="s">
        <v>3880</v>
      </c>
      <c r="BW184">
        <f>HYPERLINK("http://exon.niaid.nih.gov/transcriptome/C_felis/S1/links/GO/cf-contig_601-GO.txt",2E-31)</f>
        <v>2.0000000000000002E-31</v>
      </c>
      <c r="BX184" t="str">
        <f>HYPERLINK("http://amigo.geneontology.org/cgi-bin/amigo/term_details?term=GO:0051082","GO:0051082")</f>
        <v>GO:0051082</v>
      </c>
      <c r="BY184" t="s">
        <v>3881</v>
      </c>
      <c r="BZ184" t="s">
        <v>3882</v>
      </c>
      <c r="CA184" t="s">
        <v>3883</v>
      </c>
      <c r="CB184" t="s">
        <v>42</v>
      </c>
      <c r="CD184" s="5">
        <v>2.0000000000000002E-31</v>
      </c>
      <c r="CE184" t="str">
        <f>HYPERLINK("http://amigo.geneontology.org/cgi-bin/amigo/term_details?term=GO:0005739","GO:0005739")</f>
        <v>GO:0005739</v>
      </c>
      <c r="CF184" t="s">
        <v>2551</v>
      </c>
      <c r="CG184" t="s">
        <v>2552</v>
      </c>
      <c r="CH184" t="s">
        <v>2553</v>
      </c>
      <c r="CI184" t="s">
        <v>42</v>
      </c>
      <c r="CK184" s="5">
        <v>2.0000000000000002E-31</v>
      </c>
      <c r="CL184" t="str">
        <f>HYPERLINK("http://amigo.geneontology.org/cgi-bin/amigo/term_details?term=GO:0006458","GO:0006458")</f>
        <v>GO:0006458</v>
      </c>
      <c r="CM184" t="s">
        <v>3884</v>
      </c>
      <c r="CN184" t="s">
        <v>3885</v>
      </c>
      <c r="CO184" t="s">
        <v>3886</v>
      </c>
      <c r="CP184" t="s">
        <v>42</v>
      </c>
      <c r="CR184" s="5">
        <v>2.0000000000000002E-31</v>
      </c>
      <c r="CS184" s="4" t="str">
        <f>HYPERLINK("http://exon.niaid.nih.gov/transcriptome/C_felis/S1/links/KOG/cf-contig_601-KOG.txt","Mitochondrial chaperonin")</f>
        <v>Mitochondrial chaperonin</v>
      </c>
      <c r="CT184" t="str">
        <f>HYPERLINK("http://www.ncbi.nlm.nih.gov/COG/grace/shokog.cgi?KOG1641","6E-035")</f>
        <v>6E-035</v>
      </c>
      <c r="CU184" t="s">
        <v>2198</v>
      </c>
      <c r="CV184" s="4" t="str">
        <f>HYPERLINK("http://exon.niaid.nih.gov/transcriptome/C_felis/S1/links/PFAM/cf-contig_601-PFAM.txt","Cpn10")</f>
        <v>Cpn10</v>
      </c>
      <c r="CW184" t="str">
        <f>HYPERLINK("http://pfam.sanger.ac.uk/family?acc=PF00166","3E-030")</f>
        <v>3E-030</v>
      </c>
      <c r="CX184" s="4" t="str">
        <f>HYPERLINK("http://exon.niaid.nih.gov/transcriptome/C_felis/S1/links/SMART/cf-contig_601-SMART.txt","Cpn10")</f>
        <v>Cpn10</v>
      </c>
      <c r="CY184" t="str">
        <f>HYPERLINK("http://smart.embl-heidelberg.de/smart/do_annotation.pl?DOMAIN=Cpn10&amp;BLAST=DUMMY","2E-036")</f>
        <v>2E-036</v>
      </c>
      <c r="CZ184" s="4" t="s">
        <v>42</v>
      </c>
      <c r="DA184" t="s">
        <v>42</v>
      </c>
      <c r="DB184" t="s">
        <v>42</v>
      </c>
      <c r="DC184" t="s">
        <v>42</v>
      </c>
      <c r="DD184" t="s">
        <v>42</v>
      </c>
      <c r="DE184" t="s">
        <v>42</v>
      </c>
      <c r="DF184" t="s">
        <v>42</v>
      </c>
      <c r="DG184" t="s">
        <v>42</v>
      </c>
      <c r="DH184" s="4" t="s">
        <v>42</v>
      </c>
      <c r="DI184" t="s">
        <v>42</v>
      </c>
      <c r="DJ184" s="4" t="s">
        <v>42</v>
      </c>
      <c r="DK184" t="s">
        <v>42</v>
      </c>
      <c r="DL184" s="4">
        <v>488</v>
      </c>
      <c r="DM184">
        <v>1</v>
      </c>
      <c r="DN184" s="4">
        <v>500</v>
      </c>
      <c r="DO184">
        <v>1</v>
      </c>
      <c r="DP184" s="4">
        <v>510</v>
      </c>
      <c r="DQ184">
        <v>1</v>
      </c>
      <c r="DR184" s="4">
        <v>529</v>
      </c>
      <c r="DS184">
        <v>1</v>
      </c>
      <c r="DT184" s="4">
        <v>541</v>
      </c>
      <c r="DU184">
        <v>1</v>
      </c>
      <c r="DV184" s="4">
        <v>555</v>
      </c>
      <c r="DW184">
        <v>1</v>
      </c>
      <c r="DX184" s="4">
        <v>564</v>
      </c>
      <c r="DY184">
        <v>1</v>
      </c>
      <c r="DZ184" s="4">
        <v>572</v>
      </c>
      <c r="EA184">
        <v>1</v>
      </c>
      <c r="EB184" s="4">
        <v>577</v>
      </c>
      <c r="EC184">
        <v>1</v>
      </c>
      <c r="ED184" s="4">
        <v>581</v>
      </c>
      <c r="EE184">
        <v>1</v>
      </c>
      <c r="EF184" s="4">
        <v>587</v>
      </c>
      <c r="EG184">
        <v>1</v>
      </c>
      <c r="EH184" s="4">
        <v>594</v>
      </c>
      <c r="EI184">
        <v>1</v>
      </c>
      <c r="EJ184" s="4">
        <v>601</v>
      </c>
      <c r="EK184">
        <v>1</v>
      </c>
    </row>
    <row r="185" spans="1:141" x14ac:dyDescent="0.2">
      <c r="A185" t="str">
        <f>HYPERLINK("http://exon.niaid.nih.gov/transcriptome/C_felis/S1/links/cf/cf-contig_462.txt","cf-contig_462")</f>
        <v>cf-contig_462</v>
      </c>
      <c r="B185">
        <v>1</v>
      </c>
      <c r="C185" s="10" t="s">
        <v>4776</v>
      </c>
      <c r="D185">
        <v>1</v>
      </c>
      <c r="E185" t="str">
        <f>HYPERLINK("http://exon.niaid.nih.gov/transcriptome/C_felis/S1/links/cf/cf-5-36-asb-462.txt","Contig-462")</f>
        <v>Contig-462</v>
      </c>
      <c r="F185" t="str">
        <f>HYPERLINK("http://exon.niaid.nih.gov/transcriptome/C_felis/S1/links/cf/cf-5-36-462-CLU.txt","Contig462")</f>
        <v>Contig462</v>
      </c>
      <c r="G185" t="str">
        <f>HYPERLINK("http://exon.niaid.nih.gov/transcriptome/C_felis/S1/links/cf/cf-5-36-462-qual.txt","65.4")</f>
        <v>65.4</v>
      </c>
      <c r="H185" t="s">
        <v>11</v>
      </c>
      <c r="I185">
        <v>70.3</v>
      </c>
      <c r="J185">
        <v>361</v>
      </c>
      <c r="K185" t="s">
        <v>12</v>
      </c>
      <c r="L185">
        <v>1</v>
      </c>
      <c r="M185" t="s">
        <v>475</v>
      </c>
      <c r="N185">
        <v>361</v>
      </c>
      <c r="O185">
        <v>380</v>
      </c>
      <c r="P185">
        <v>261</v>
      </c>
      <c r="Q185" t="s">
        <v>1281</v>
      </c>
      <c r="R185">
        <v>1</v>
      </c>
      <c r="S185" s="7" t="s">
        <v>4585</v>
      </c>
      <c r="U185">
        <v>1</v>
      </c>
      <c r="V185" s="4">
        <v>375</v>
      </c>
      <c r="W185">
        <v>1</v>
      </c>
      <c r="X185" s="4">
        <v>384</v>
      </c>
      <c r="Y185">
        <v>1</v>
      </c>
      <c r="Z185" s="4">
        <v>389</v>
      </c>
      <c r="AA185">
        <v>1</v>
      </c>
      <c r="AB185" s="4" t="str">
        <f>HYPERLINK("http://exon.niaid.nih.gov/transcriptome/C_felis/S1/links/XC-ASB/cf-contig_462-XC-ASB.txt","XC-contig_72")</f>
        <v>XC-contig_72</v>
      </c>
      <c r="AC185">
        <v>0.14000000000000001</v>
      </c>
      <c r="AD185" s="10" t="s">
        <v>4776</v>
      </c>
      <c r="AE185" t="s">
        <v>4663</v>
      </c>
      <c r="AF185" t="str">
        <f>HYPERLINK("http://exon.niaid.nih.gov/transcriptome/C_felis/S1/links/KOG/cf-contig_462-KOG.txt","KOG")</f>
        <v>KOG</v>
      </c>
      <c r="AG185" s="5">
        <v>7.0000000000000003E-16</v>
      </c>
      <c r="AH185">
        <v>19.600000000000001</v>
      </c>
      <c r="AI185" s="4" t="str">
        <f>HYPERLINK("http://exon.niaid.nih.gov/transcriptome/C_felis/S1/links/NR/cf-contig_462-NR.txt","proteasome subunit alpha type-3")</f>
        <v>proteasome subunit alpha type-3</v>
      </c>
      <c r="AJ185" t="str">
        <f>HYPERLINK("http://www.ncbi.nlm.nih.gov/sutils/blink.cgi?pid=48096769","1E-014")</f>
        <v>1E-014</v>
      </c>
      <c r="AK185" t="str">
        <f>HYPERLINK("http://www.ncbi.nlm.nih.gov/protein/48096769","gi|48096769")</f>
        <v>gi|48096769</v>
      </c>
      <c r="AL185">
        <v>83.2</v>
      </c>
      <c r="AM185">
        <v>62</v>
      </c>
      <c r="AN185">
        <v>254</v>
      </c>
      <c r="AO185">
        <v>48</v>
      </c>
      <c r="AP185">
        <v>25</v>
      </c>
      <c r="AQ185">
        <v>50</v>
      </c>
      <c r="AR185">
        <v>0</v>
      </c>
      <c r="AS185">
        <v>191</v>
      </c>
      <c r="AT185">
        <v>10</v>
      </c>
      <c r="AU185">
        <v>1</v>
      </c>
      <c r="AV185">
        <v>1</v>
      </c>
      <c r="AW185" t="s">
        <v>12</v>
      </c>
      <c r="AX185">
        <v>1.613</v>
      </c>
      <c r="AY185" t="s">
        <v>1676</v>
      </c>
      <c r="AZ185" t="s">
        <v>2135</v>
      </c>
      <c r="BA185" s="4" t="str">
        <f>HYPERLINK("http://exon.niaid.nih.gov/transcriptome/C_felis/S1/links/SWISSP/cf-contig_462-SWISSP.txt","Proteasome subunit alpha type-3")</f>
        <v>Proteasome subunit alpha type-3</v>
      </c>
      <c r="BB185" t="str">
        <f>HYPERLINK("http://www.uniprot.org/uniprot/Q58DU5","7E-012")</f>
        <v>7E-012</v>
      </c>
      <c r="BC185" t="s">
        <v>3353</v>
      </c>
      <c r="BD185">
        <v>69.3</v>
      </c>
      <c r="BE185">
        <v>50</v>
      </c>
      <c r="BF185">
        <v>255</v>
      </c>
      <c r="BG185">
        <v>64</v>
      </c>
      <c r="BH185">
        <v>20</v>
      </c>
      <c r="BI185">
        <v>18</v>
      </c>
      <c r="BJ185">
        <v>0</v>
      </c>
      <c r="BK185">
        <v>192</v>
      </c>
      <c r="BL185">
        <v>10</v>
      </c>
      <c r="BM185">
        <v>1</v>
      </c>
      <c r="BN185">
        <v>1</v>
      </c>
      <c r="BO185" t="s">
        <v>12</v>
      </c>
      <c r="BQ185" t="s">
        <v>1676</v>
      </c>
      <c r="BR185" t="s">
        <v>1679</v>
      </c>
      <c r="BS185" s="4" t="str">
        <f>HYPERLINK("http://exon.niaid.nih.gov/transcriptome/C_felis/S1/links/CDD/cf-contig_462-CDD.txt","proteasome_alph")</f>
        <v>proteasome_alph</v>
      </c>
      <c r="BT185" t="str">
        <f>HYPERLINK("http://www.ncbi.nlm.nih.gov/Structure/cdd/cddsrv.cgi?uid=cd03751&amp;version=v4.0","7E-009")</f>
        <v>7E-009</v>
      </c>
      <c r="BU185" t="s">
        <v>3354</v>
      </c>
      <c r="BV185" s="4" t="s">
        <v>3355</v>
      </c>
      <c r="BW185">
        <f>HYPERLINK("http://exon.niaid.nih.gov/transcriptome/C_felis/S1/links/GO/cf-contig_462-GO.txt",0.000000000005)</f>
        <v>4.9999999999999997E-12</v>
      </c>
      <c r="BX185" t="str">
        <f>HYPERLINK("http://amigo.geneontology.org/cgi-bin/amigo/term_details?term=GO:0004298","GO:0004298")</f>
        <v>GO:0004298</v>
      </c>
      <c r="BY185" t="s">
        <v>2616</v>
      </c>
      <c r="BZ185" t="s">
        <v>2617</v>
      </c>
      <c r="CA185" t="s">
        <v>2618</v>
      </c>
      <c r="CB185" t="str">
        <f>HYPERLINK("http://www.genome.jp/dbget-bin/www_bfind_sub?mode=bfind&amp;max_hit=1000&amp;dbkey=kegg&amp;keywords=EC:3.4.25","EC:3.4.25")</f>
        <v>EC:3.4.25</v>
      </c>
      <c r="CD185">
        <v>4.9999999999999997E-12</v>
      </c>
      <c r="CE185" t="str">
        <f>HYPERLINK("http://amigo.geneontology.org/cgi-bin/amigo/term_details?term=GO:0005634","GO:0005634")</f>
        <v>GO:0005634</v>
      </c>
      <c r="CF185" t="s">
        <v>2064</v>
      </c>
      <c r="CG185" t="s">
        <v>2065</v>
      </c>
      <c r="CH185" t="s">
        <v>2066</v>
      </c>
      <c r="CI185" t="s">
        <v>42</v>
      </c>
      <c r="CK185">
        <v>4.9999999999999997E-12</v>
      </c>
      <c r="CL185" t="str">
        <f>HYPERLINK("http://amigo.geneontology.org/cgi-bin/amigo/term_details?term=GO:0006511","GO:0006511")</f>
        <v>GO:0006511</v>
      </c>
      <c r="CM185" t="s">
        <v>3356</v>
      </c>
      <c r="CN185" t="s">
        <v>3357</v>
      </c>
      <c r="CO185" t="s">
        <v>3358</v>
      </c>
      <c r="CP185" t="s">
        <v>42</v>
      </c>
      <c r="CR185">
        <v>4.9999999999999997E-12</v>
      </c>
      <c r="CS185" s="4" t="str">
        <f>HYPERLINK("http://exon.niaid.nih.gov/transcriptome/C_felis/S1/links/KOG/cf-contig_462-KOG.txt","20S proteasome, regulatory subunit alpha type PSMA3/PRE10")</f>
        <v>20S proteasome, regulatory subunit alpha type PSMA3/PRE10</v>
      </c>
      <c r="CT185" t="str">
        <f>HYPERLINK("http://www.ncbi.nlm.nih.gov/COG/grace/shokog.cgi?KOG0184","7E-016")</f>
        <v>7E-016</v>
      </c>
      <c r="CU185" t="s">
        <v>2198</v>
      </c>
      <c r="CV185" s="4" t="str">
        <f>HYPERLINK("http://exon.niaid.nih.gov/transcriptome/C_felis/S1/links/PFAM/cf-contig_462-PFAM.txt","7TM_GPCR_Srz")</f>
        <v>7TM_GPCR_Srz</v>
      </c>
      <c r="CW185" t="str">
        <f>HYPERLINK("http://pfam.sanger.ac.uk/family?acc=PF10325","1E-004")</f>
        <v>1E-004</v>
      </c>
      <c r="CX185" s="4" t="str">
        <f>HYPERLINK("http://exon.niaid.nih.gov/transcriptome/C_felis/S1/links/SMART/cf-contig_462-SMART.txt","CAMSAP_CKK")</f>
        <v>CAMSAP_CKK</v>
      </c>
      <c r="CY185" t="str">
        <f>HYPERLINK("http://smart.embl-heidelberg.de/smart/do_annotation.pl?DOMAIN=CAMSAP_CKK&amp;BLAST=DUMMY","0.099")</f>
        <v>0.099</v>
      </c>
      <c r="CZ185" s="4" t="s">
        <v>42</v>
      </c>
      <c r="DA185" t="s">
        <v>42</v>
      </c>
      <c r="DB185" t="s">
        <v>42</v>
      </c>
      <c r="DC185" t="s">
        <v>42</v>
      </c>
      <c r="DD185" t="s">
        <v>42</v>
      </c>
      <c r="DE185" t="s">
        <v>42</v>
      </c>
      <c r="DF185" t="s">
        <v>42</v>
      </c>
      <c r="DG185" t="s">
        <v>42</v>
      </c>
      <c r="DH185" s="4" t="s">
        <v>42</v>
      </c>
      <c r="DI185" t="s">
        <v>42</v>
      </c>
      <c r="DJ185" s="4" t="s">
        <v>42</v>
      </c>
      <c r="DK185" t="s">
        <v>42</v>
      </c>
      <c r="DL185" s="4">
        <v>375</v>
      </c>
      <c r="DM185">
        <v>1</v>
      </c>
      <c r="DN185" s="4">
        <v>384</v>
      </c>
      <c r="DO185">
        <v>1</v>
      </c>
      <c r="DP185" s="4">
        <v>389</v>
      </c>
      <c r="DQ185">
        <v>1</v>
      </c>
      <c r="DR185" s="4">
        <v>404</v>
      </c>
      <c r="DS185">
        <v>1</v>
      </c>
      <c r="DT185" s="4">
        <v>414</v>
      </c>
      <c r="DU185">
        <v>1</v>
      </c>
      <c r="DV185" s="4">
        <v>428</v>
      </c>
      <c r="DW185">
        <v>1</v>
      </c>
      <c r="DX185" s="4">
        <v>431</v>
      </c>
      <c r="DY185">
        <v>1</v>
      </c>
      <c r="DZ185" s="4">
        <v>437</v>
      </c>
      <c r="EA185">
        <v>1</v>
      </c>
      <c r="EB185" s="4">
        <v>442</v>
      </c>
      <c r="EC185">
        <v>1</v>
      </c>
      <c r="ED185" s="4">
        <v>446</v>
      </c>
      <c r="EE185">
        <v>1</v>
      </c>
      <c r="EF185" s="4">
        <v>451</v>
      </c>
      <c r="EG185">
        <v>1</v>
      </c>
      <c r="EH185" s="4">
        <v>456</v>
      </c>
      <c r="EI185">
        <v>1</v>
      </c>
      <c r="EJ185" s="4">
        <v>462</v>
      </c>
      <c r="EK185">
        <v>1</v>
      </c>
    </row>
    <row r="186" spans="1:141" x14ac:dyDescent="0.2">
      <c r="A186" t="str">
        <f>HYPERLINK("http://exon.niaid.nih.gov/transcriptome/C_felis/S1/links/cf/cf-contig_157.txt","cf-contig_157")</f>
        <v>cf-contig_157</v>
      </c>
      <c r="B186">
        <v>3</v>
      </c>
      <c r="C186" s="10" t="s">
        <v>4662</v>
      </c>
      <c r="D186">
        <v>3</v>
      </c>
      <c r="E186" t="str">
        <f>HYPERLINK("http://exon.niaid.nih.gov/transcriptome/C_felis/S1/links/cf/cf-5-36-asb-157.txt","Contig-157")</f>
        <v>Contig-157</v>
      </c>
      <c r="F186" t="str">
        <f>HYPERLINK("http://exon.niaid.nih.gov/transcriptome/C_felis/S1/links/cf/cf-5-36-157-CLU.txt","Contig157")</f>
        <v>Contig157</v>
      </c>
      <c r="G186" t="str">
        <f>HYPERLINK("http://exon.niaid.nih.gov/transcriptome/C_felis/S1/links/cf/cf-5-36-157-qual.txt","82.1")</f>
        <v>82.1</v>
      </c>
      <c r="H186" t="s">
        <v>11</v>
      </c>
      <c r="I186">
        <v>66.7</v>
      </c>
      <c r="J186">
        <v>681</v>
      </c>
      <c r="K186" t="s">
        <v>12</v>
      </c>
      <c r="L186">
        <v>3</v>
      </c>
      <c r="M186" t="s">
        <v>170</v>
      </c>
      <c r="N186">
        <v>597</v>
      </c>
      <c r="O186">
        <v>700</v>
      </c>
      <c r="P186">
        <v>390</v>
      </c>
      <c r="Q186" t="s">
        <v>977</v>
      </c>
      <c r="R186">
        <v>3</v>
      </c>
      <c r="S186" s="7" t="str">
        <f>HYPERLINK("http://exon.niaid.nih.gov/transcriptome/C_felis/S1/links/Sigp/CF-CONTIG_157-SigP.txt","Cyt")</f>
        <v>Cyt</v>
      </c>
      <c r="U186">
        <v>3</v>
      </c>
      <c r="V186" s="4">
        <f>HYPERLINK("http://exon.niaid.nih.gov/transcriptome/C_felis/S1/links/cluster/cf-5-36-asb30-50-Id-CLU21.txt", 21)</f>
        <v>21</v>
      </c>
      <c r="W186">
        <f>HYPERLINK("http://exon.niaid.nih.gov/transcriptome/C_felis/S1/links/cluster/cf-5-36-asb30-50-Id-CLTL21.txt", 3)</f>
        <v>3</v>
      </c>
      <c r="X186" s="4">
        <v>143</v>
      </c>
      <c r="Y186">
        <v>1</v>
      </c>
      <c r="Z186" s="4">
        <v>140</v>
      </c>
      <c r="AA186">
        <v>1</v>
      </c>
      <c r="AB186" s="4" t="str">
        <f>HYPERLINK("http://exon.niaid.nih.gov/transcriptome/C_felis/S1/links/XC-ASB/cf-contig_157-XC-ASB.txt","XC-contig_57")</f>
        <v>XC-contig_57</v>
      </c>
      <c r="AC186">
        <v>3.9999999999999998E-7</v>
      </c>
      <c r="AD186" s="10" t="s">
        <v>4662</v>
      </c>
      <c r="AE186" t="s">
        <v>4663</v>
      </c>
      <c r="AF186" t="str">
        <f>HYPERLINK("http://exon.niaid.nih.gov/transcriptome/C_felis/S1/links/KOG/cf-contig_157-KOG.txt","KOG")</f>
        <v>KOG</v>
      </c>
      <c r="AG186" s="5">
        <v>9.9999999999999993E-40</v>
      </c>
      <c r="AH186">
        <v>32</v>
      </c>
      <c r="AI186" s="4" t="str">
        <f>HYPERLINK("http://exon.niaid.nih.gov/transcriptome/C_felis/S1/links/NR/cf-contig_157-NR.txt","calreticulin-like")</f>
        <v>calreticulin-like</v>
      </c>
      <c r="AJ186" t="str">
        <f>HYPERLINK("http://www.ncbi.nlm.nih.gov/sutils/blink.cgi?pid=350402084","3E-043")</f>
        <v>3E-043</v>
      </c>
      <c r="AK186" t="str">
        <f>HYPERLINK("http://www.ncbi.nlm.nih.gov/protein/350402084","gi|350402084")</f>
        <v>gi|350402084</v>
      </c>
      <c r="AL186">
        <v>179</v>
      </c>
      <c r="AM186">
        <v>127</v>
      </c>
      <c r="AN186">
        <v>403</v>
      </c>
      <c r="AO186">
        <v>67</v>
      </c>
      <c r="AP186">
        <v>32</v>
      </c>
      <c r="AQ186">
        <v>42</v>
      </c>
      <c r="AR186">
        <v>2</v>
      </c>
      <c r="AS186">
        <v>276</v>
      </c>
      <c r="AT186">
        <v>12</v>
      </c>
      <c r="AU186">
        <v>1</v>
      </c>
      <c r="AV186">
        <v>3</v>
      </c>
      <c r="AW186" t="s">
        <v>12</v>
      </c>
      <c r="AY186" t="s">
        <v>1676</v>
      </c>
      <c r="AZ186" t="s">
        <v>2234</v>
      </c>
      <c r="BA186" s="4" t="str">
        <f>HYPERLINK("http://exon.niaid.nih.gov/transcriptome/C_felis/S1/links/SWISSP/cf-contig_157-SWISSP.txt","Calreticulin")</f>
        <v>Calreticulin</v>
      </c>
      <c r="BB186" t="str">
        <f>HYPERLINK("http://www.uniprot.org/uniprot/P29413","5E-041")</f>
        <v>5E-041</v>
      </c>
      <c r="BC186" t="s">
        <v>2271</v>
      </c>
      <c r="BD186">
        <v>167</v>
      </c>
      <c r="BE186">
        <v>129</v>
      </c>
      <c r="BF186">
        <v>406</v>
      </c>
      <c r="BG186">
        <v>61</v>
      </c>
      <c r="BH186">
        <v>32</v>
      </c>
      <c r="BI186">
        <v>50</v>
      </c>
      <c r="BJ186">
        <v>3</v>
      </c>
      <c r="BK186">
        <v>277</v>
      </c>
      <c r="BL186">
        <v>12</v>
      </c>
      <c r="BM186">
        <v>1</v>
      </c>
      <c r="BN186">
        <v>3</v>
      </c>
      <c r="BO186" t="s">
        <v>12</v>
      </c>
      <c r="BQ186" t="s">
        <v>1676</v>
      </c>
      <c r="BR186" t="s">
        <v>1804</v>
      </c>
      <c r="BS186" s="4" t="str">
        <f>HYPERLINK("http://exon.niaid.nih.gov/transcriptome/C_felis/S1/links/CDD/cf-contig_157-CDD.txt","Calreticulin")</f>
        <v>Calreticulin</v>
      </c>
      <c r="BT186" t="str">
        <f>HYPERLINK("http://www.ncbi.nlm.nih.gov/Structure/cdd/cddsrv.cgi?uid=pfam00262&amp;version=v4.0","5E-024")</f>
        <v>5E-024</v>
      </c>
      <c r="BU186" t="s">
        <v>2272</v>
      </c>
      <c r="BV186" s="4" t="s">
        <v>2273</v>
      </c>
      <c r="BW186">
        <f>HYPERLINK("http://exon.niaid.nih.gov/transcriptome/C_felis/S1/links/GO/cf-contig_157-GO.txt",4E-41)</f>
        <v>4E-41</v>
      </c>
      <c r="BX186" t="str">
        <f>HYPERLINK("http://amigo.geneontology.org/cgi-bin/amigo/term_details?term=GO:0005509","GO:0005509")</f>
        <v>GO:0005509</v>
      </c>
      <c r="BY186" t="s">
        <v>2274</v>
      </c>
      <c r="BZ186" t="s">
        <v>2275</v>
      </c>
      <c r="CA186" t="s">
        <v>2276</v>
      </c>
      <c r="CB186" t="s">
        <v>42</v>
      </c>
      <c r="CD186" s="5">
        <v>4E-41</v>
      </c>
      <c r="CE186" t="str">
        <f>HYPERLINK("http://amigo.geneontology.org/cgi-bin/amigo/term_details?term=GO:0005788","GO:0005788")</f>
        <v>GO:0005788</v>
      </c>
      <c r="CF186" t="s">
        <v>2277</v>
      </c>
      <c r="CG186" t="s">
        <v>2278</v>
      </c>
      <c r="CH186" t="s">
        <v>2279</v>
      </c>
      <c r="CI186" t="s">
        <v>42</v>
      </c>
      <c r="CK186" s="5">
        <v>4E-41</v>
      </c>
      <c r="CL186" t="str">
        <f>HYPERLINK("http://amigo.geneontology.org/cgi-bin/amigo/term_details?term=GO:0007417","GO:0007417")</f>
        <v>GO:0007417</v>
      </c>
      <c r="CM186" t="s">
        <v>2280</v>
      </c>
      <c r="CN186" t="s">
        <v>2281</v>
      </c>
      <c r="CO186" t="s">
        <v>2282</v>
      </c>
      <c r="CP186" t="s">
        <v>42</v>
      </c>
      <c r="CR186" s="5">
        <v>4E-41</v>
      </c>
      <c r="CS186" s="4" t="str">
        <f>HYPERLINK("http://exon.niaid.nih.gov/transcriptome/C_felis/S1/links/KOG/cf-contig_157-KOG.txt","Calreticulin")</f>
        <v>Calreticulin</v>
      </c>
      <c r="CT186" t="str">
        <f>HYPERLINK("http://www.ncbi.nlm.nih.gov/COG/grace/shokog.cgi?KOG0674","1E-039")</f>
        <v>1E-039</v>
      </c>
      <c r="CU186" t="s">
        <v>2198</v>
      </c>
      <c r="CV186" s="4" t="str">
        <f>HYPERLINK("http://exon.niaid.nih.gov/transcriptome/C_felis/S1/links/PFAM/cf-contig_157-PFAM.txt","Calreticulin")</f>
        <v>Calreticulin</v>
      </c>
      <c r="CW186" t="str">
        <f>HYPERLINK("http://pfam.sanger.ac.uk/family?acc=PF00262","9E-025")</f>
        <v>9E-025</v>
      </c>
      <c r="CX186" s="4" t="str">
        <f>HYPERLINK("http://exon.niaid.nih.gov/transcriptome/C_felis/S1/links/SMART/cf-contig_157-SMART.txt","VWD")</f>
        <v>VWD</v>
      </c>
      <c r="CY186" t="str">
        <f>HYPERLINK("http://smart.embl-heidelberg.de/smart/do_annotation.pl?DOMAIN=VWD&amp;BLAST=DUMMY","0.021")</f>
        <v>0.021</v>
      </c>
      <c r="CZ186" s="4" t="s">
        <v>42</v>
      </c>
      <c r="DA186" t="s">
        <v>42</v>
      </c>
      <c r="DB186" t="s">
        <v>42</v>
      </c>
      <c r="DC186" t="s">
        <v>42</v>
      </c>
      <c r="DD186" t="s">
        <v>42</v>
      </c>
      <c r="DE186" t="s">
        <v>42</v>
      </c>
      <c r="DF186" t="s">
        <v>42</v>
      </c>
      <c r="DG186" t="s">
        <v>42</v>
      </c>
      <c r="DH186" s="4" t="s">
        <v>42</v>
      </c>
      <c r="DI186" t="s">
        <v>42</v>
      </c>
      <c r="DJ186" s="4" t="s">
        <v>42</v>
      </c>
      <c r="DK186" t="s">
        <v>42</v>
      </c>
      <c r="DL186" s="4">
        <f>HYPERLINK("http://exon.niaid.nih.gov/transcriptome/C_felis/S1/links/cluster/cf-5-36-asb30-50-Id-CLU21.txt", 21)</f>
        <v>21</v>
      </c>
      <c r="DM186">
        <f>HYPERLINK("http://exon.niaid.nih.gov/transcriptome/C_felis/S1/links/cluster/cf-5-36-asb30-50-Id-CLTL21.txt", 3)</f>
        <v>3</v>
      </c>
      <c r="DN186" s="4">
        <v>143</v>
      </c>
      <c r="DO186">
        <v>1</v>
      </c>
      <c r="DP186" s="4">
        <v>140</v>
      </c>
      <c r="DQ186">
        <v>1</v>
      </c>
      <c r="DR186" s="4">
        <v>137</v>
      </c>
      <c r="DS186">
        <v>1</v>
      </c>
      <c r="DT186" s="4">
        <v>136</v>
      </c>
      <c r="DU186">
        <v>1</v>
      </c>
      <c r="DV186" s="4">
        <v>146</v>
      </c>
      <c r="DW186">
        <v>1</v>
      </c>
      <c r="DX186" s="4">
        <v>148</v>
      </c>
      <c r="DY186">
        <v>1</v>
      </c>
      <c r="DZ186" s="4">
        <v>148</v>
      </c>
      <c r="EA186">
        <v>1</v>
      </c>
      <c r="EB186" s="4">
        <v>153</v>
      </c>
      <c r="EC186">
        <v>1</v>
      </c>
      <c r="ED186" s="4">
        <v>154</v>
      </c>
      <c r="EE186">
        <v>1</v>
      </c>
      <c r="EF186" s="4">
        <v>155</v>
      </c>
      <c r="EG186">
        <v>1</v>
      </c>
      <c r="EH186" s="4">
        <v>154</v>
      </c>
      <c r="EI186">
        <v>1</v>
      </c>
      <c r="EJ186" s="4">
        <v>157</v>
      </c>
      <c r="EK186">
        <v>1</v>
      </c>
    </row>
    <row r="187" spans="1:141" x14ac:dyDescent="0.2">
      <c r="A187" t="str">
        <f>HYPERLINK("http://exon.niaid.nih.gov/transcriptome/C_felis/S1/links/cf/cf-contig_728.txt","cf-contig_728")</f>
        <v>cf-contig_728</v>
      </c>
      <c r="B187">
        <v>1</v>
      </c>
      <c r="C187" s="10" t="s">
        <v>4859</v>
      </c>
      <c r="D187">
        <v>1</v>
      </c>
      <c r="E187" t="str">
        <f>HYPERLINK("http://exon.niaid.nih.gov/transcriptome/C_felis/S1/links/cf/cf-5-36-asb-728.txt","Contig-728")</f>
        <v>Contig-728</v>
      </c>
      <c r="F187" t="str">
        <f>HYPERLINK("http://exon.niaid.nih.gov/transcriptome/C_felis/S1/links/cf/cf-5-36-728-CLU.txt","Contig728")</f>
        <v>Contig728</v>
      </c>
      <c r="G187" t="str">
        <f>HYPERLINK("http://exon.niaid.nih.gov/transcriptome/C_felis/S1/links/cf/cf-5-36-728-qual.txt","65.1")</f>
        <v>65.1</v>
      </c>
      <c r="H187" t="s">
        <v>11</v>
      </c>
      <c r="I187">
        <v>68.3</v>
      </c>
      <c r="J187">
        <v>337</v>
      </c>
      <c r="K187" t="s">
        <v>12</v>
      </c>
      <c r="L187">
        <v>1</v>
      </c>
      <c r="M187" t="s">
        <v>741</v>
      </c>
      <c r="N187">
        <v>337</v>
      </c>
      <c r="O187">
        <v>356</v>
      </c>
      <c r="P187">
        <v>138</v>
      </c>
      <c r="Q187" t="s">
        <v>1547</v>
      </c>
      <c r="R187">
        <v>2</v>
      </c>
      <c r="S187" s="7" t="s">
        <v>4585</v>
      </c>
      <c r="U187">
        <v>1</v>
      </c>
      <c r="V187" s="4">
        <v>591</v>
      </c>
      <c r="W187">
        <v>1</v>
      </c>
      <c r="X187" s="4">
        <v>607</v>
      </c>
      <c r="Y187">
        <v>1</v>
      </c>
      <c r="Z187" s="4">
        <v>620</v>
      </c>
      <c r="AA187">
        <v>1</v>
      </c>
      <c r="AB187" s="4" t="str">
        <f>HYPERLINK("http://exon.niaid.nih.gov/transcriptome/C_felis/S1/links/XC-ASB/cf-contig_728-XC-ASB.txt","XC-contig_229")</f>
        <v>XC-contig_229</v>
      </c>
      <c r="AC187">
        <v>0.25</v>
      </c>
      <c r="AD187" s="10" t="s">
        <v>4859</v>
      </c>
      <c r="AE187" t="s">
        <v>4663</v>
      </c>
      <c r="AF187" t="str">
        <f>HYPERLINK("http://exon.niaid.nih.gov/transcriptome/C_felis/S1/links/KOG/cf-contig_728-KOG.txt","KOG")</f>
        <v>KOG</v>
      </c>
      <c r="AG187">
        <v>1E-14</v>
      </c>
      <c r="AH187">
        <v>24.5</v>
      </c>
      <c r="AI187" s="4" t="str">
        <f>HYPERLINK("http://exon.niaid.nih.gov/transcriptome/C_felis/S1/links/NR/cf-contig_728-NR.txt","similar to cyclophilin-like protein isoform 1")</f>
        <v>similar to cyclophilin-like protein isoform 1</v>
      </c>
      <c r="AJ187" t="str">
        <f>HYPERLINK("http://www.ncbi.nlm.nih.gov/sutils/blink.cgi?pid=91076258","1E-011")</f>
        <v>1E-011</v>
      </c>
      <c r="AK187" t="str">
        <f>HYPERLINK("http://www.ncbi.nlm.nih.gov/protein/91076258","gi|91076258")</f>
        <v>gi|91076258</v>
      </c>
      <c r="AL187">
        <v>73.599999999999994</v>
      </c>
      <c r="AM187">
        <v>40</v>
      </c>
      <c r="AN187">
        <v>164</v>
      </c>
      <c r="AO187">
        <v>80</v>
      </c>
      <c r="AP187">
        <v>25</v>
      </c>
      <c r="AQ187">
        <v>8</v>
      </c>
      <c r="AR187">
        <v>0</v>
      </c>
      <c r="AS187">
        <v>124</v>
      </c>
      <c r="AT187">
        <v>11</v>
      </c>
      <c r="AU187">
        <v>1</v>
      </c>
      <c r="AV187">
        <v>2</v>
      </c>
      <c r="AW187" t="s">
        <v>12</v>
      </c>
      <c r="AY187" t="s">
        <v>1676</v>
      </c>
      <c r="AZ187" t="s">
        <v>1878</v>
      </c>
      <c r="BA187" s="4" t="str">
        <f>HYPERLINK("http://exon.niaid.nih.gov/transcriptome/C_felis/S1/links/SWISSP/cf-contig_728-SWISSP.txt","Peptidyl-prolyl cis-trans isomerase")</f>
        <v>Peptidyl-prolyl cis-trans isomerase</v>
      </c>
      <c r="BB187" t="str">
        <f>HYPERLINK("http://www.uniprot.org/uniprot/P54985","5E-013")</f>
        <v>5E-013</v>
      </c>
      <c r="BC187" t="s">
        <v>4309</v>
      </c>
      <c r="BD187">
        <v>73.2</v>
      </c>
      <c r="BE187">
        <v>40</v>
      </c>
      <c r="BF187">
        <v>164</v>
      </c>
      <c r="BG187">
        <v>82</v>
      </c>
      <c r="BH187">
        <v>25</v>
      </c>
      <c r="BI187">
        <v>7</v>
      </c>
      <c r="BJ187">
        <v>0</v>
      </c>
      <c r="BK187">
        <v>124</v>
      </c>
      <c r="BL187">
        <v>11</v>
      </c>
      <c r="BM187">
        <v>1</v>
      </c>
      <c r="BN187">
        <v>2</v>
      </c>
      <c r="BO187" t="s">
        <v>12</v>
      </c>
      <c r="BQ187" t="s">
        <v>1676</v>
      </c>
      <c r="BR187" t="s">
        <v>4310</v>
      </c>
      <c r="BS187" s="4" t="str">
        <f>HYPERLINK("http://exon.niaid.nih.gov/transcriptome/C_felis/S1/links/CDD/cf-contig_728-CDD.txt","cyclophilin_ABH")</f>
        <v>cyclophilin_ABH</v>
      </c>
      <c r="BT187" t="str">
        <f>HYPERLINK("http://www.ncbi.nlm.nih.gov/Structure/cdd/cddsrv.cgi?uid=cd01926&amp;version=v4.0","5E-013")</f>
        <v>5E-013</v>
      </c>
      <c r="BU187" t="s">
        <v>4311</v>
      </c>
      <c r="BV187" s="4" t="s">
        <v>4312</v>
      </c>
      <c r="BW187">
        <f>HYPERLINK("http://exon.niaid.nih.gov/transcriptome/C_felis/S1/links/GO/cf-contig_728-GO.txt",0.000000000007)</f>
        <v>7.0000000000000001E-12</v>
      </c>
      <c r="BX187" t="str">
        <f>HYPERLINK("http://amigo.geneontology.org/cgi-bin/amigo/term_details?term=GO:0003755","GO:0003755")</f>
        <v>GO:0003755</v>
      </c>
      <c r="BY187" t="s">
        <v>3727</v>
      </c>
      <c r="BZ187" t="s">
        <v>3728</v>
      </c>
      <c r="CA187" t="s">
        <v>3729</v>
      </c>
      <c r="CB187" t="str">
        <f>HYPERLINK("http://www.genome.jp/dbget-bin/www_bfind_sub?mode=bfind&amp;max_hit=1000&amp;dbkey=kegg&amp;keywords=EC:5.2.1.8","EC:5.2.1.8")</f>
        <v>EC:5.2.1.8</v>
      </c>
      <c r="CD187">
        <v>8.9999999999999996E-12</v>
      </c>
      <c r="CE187" t="str">
        <f>HYPERLINK("http://amigo.geneontology.org/cgi-bin/amigo/term_details?term=GO:0005739","GO:0005739")</f>
        <v>GO:0005739</v>
      </c>
      <c r="CF187" t="s">
        <v>2551</v>
      </c>
      <c r="CG187" t="s">
        <v>2552</v>
      </c>
      <c r="CH187" t="s">
        <v>2553</v>
      </c>
      <c r="CI187" t="s">
        <v>42</v>
      </c>
      <c r="CK187">
        <v>8.9999999999999996E-12</v>
      </c>
      <c r="CL187" t="str">
        <f>HYPERLINK("http://amigo.geneontology.org/cgi-bin/amigo/term_details?term=GO:0000413","GO:0000413")</f>
        <v>GO:0000413</v>
      </c>
      <c r="CM187" t="s">
        <v>4313</v>
      </c>
      <c r="CN187" t="s">
        <v>4314</v>
      </c>
      <c r="CO187" t="s">
        <v>4315</v>
      </c>
      <c r="CP187" t="s">
        <v>42</v>
      </c>
      <c r="CR187">
        <v>8.9999999999999996E-12</v>
      </c>
      <c r="CS187" s="4" t="str">
        <f>HYPERLINK("http://exon.niaid.nih.gov/transcriptome/C_felis/S1/links/KOG/cf-contig_728-KOG.txt","Cyclophilin type peptidyl-prolyl cis-trans isomerase")</f>
        <v>Cyclophilin type peptidyl-prolyl cis-trans isomerase</v>
      </c>
      <c r="CT187" t="str">
        <f>HYPERLINK("http://www.ncbi.nlm.nih.gov/COG/grace/shokog.cgi?KOG0865","1E-014")</f>
        <v>1E-014</v>
      </c>
      <c r="CU187" t="s">
        <v>2198</v>
      </c>
      <c r="CV187" s="4" t="str">
        <f>HYPERLINK("http://exon.niaid.nih.gov/transcriptome/C_felis/S1/links/PFAM/cf-contig_728-PFAM.txt","Pro_isomerase")</f>
        <v>Pro_isomerase</v>
      </c>
      <c r="CW187" t="str">
        <f>HYPERLINK("http://pfam.sanger.ac.uk/family?acc=PF00160","8E-008")</f>
        <v>8E-008</v>
      </c>
      <c r="CX187" s="4" t="str">
        <f>HYPERLINK("http://exon.niaid.nih.gov/transcriptome/C_felis/S1/links/SMART/cf-contig_728-SMART.txt","CAP10")</f>
        <v>CAP10</v>
      </c>
      <c r="CY187" t="str">
        <f>HYPERLINK("http://smart.embl-heidelberg.de/smart/do_annotation.pl?DOMAIN=CAP10&amp;BLAST=DUMMY","0.11")</f>
        <v>0.11</v>
      </c>
      <c r="CZ187" s="4" t="s">
        <v>42</v>
      </c>
      <c r="DA187" t="s">
        <v>42</v>
      </c>
      <c r="DB187" t="s">
        <v>42</v>
      </c>
      <c r="DC187" t="s">
        <v>42</v>
      </c>
      <c r="DD187" t="s">
        <v>42</v>
      </c>
      <c r="DE187" t="s">
        <v>42</v>
      </c>
      <c r="DF187" t="s">
        <v>42</v>
      </c>
      <c r="DG187" t="s">
        <v>42</v>
      </c>
      <c r="DH187" s="4" t="s">
        <v>42</v>
      </c>
      <c r="DI187" t="s">
        <v>42</v>
      </c>
      <c r="DJ187" s="4" t="s">
        <v>42</v>
      </c>
      <c r="DK187" t="s">
        <v>42</v>
      </c>
      <c r="DL187" s="4">
        <v>591</v>
      </c>
      <c r="DM187">
        <v>1</v>
      </c>
      <c r="DN187" s="4">
        <v>607</v>
      </c>
      <c r="DO187">
        <v>1</v>
      </c>
      <c r="DP187" s="4">
        <v>620</v>
      </c>
      <c r="DQ187">
        <v>1</v>
      </c>
      <c r="DR187" s="4">
        <v>641</v>
      </c>
      <c r="DS187">
        <v>1</v>
      </c>
      <c r="DT187" s="4">
        <v>656</v>
      </c>
      <c r="DU187">
        <v>1</v>
      </c>
      <c r="DV187" s="4">
        <v>671</v>
      </c>
      <c r="DW187">
        <v>1</v>
      </c>
      <c r="DX187" s="4">
        <v>682</v>
      </c>
      <c r="DY187">
        <v>1</v>
      </c>
      <c r="DZ187" s="4">
        <v>692</v>
      </c>
      <c r="EA187">
        <v>1</v>
      </c>
      <c r="EB187" s="4">
        <v>698</v>
      </c>
      <c r="EC187">
        <v>1</v>
      </c>
      <c r="ED187" s="4">
        <v>703</v>
      </c>
      <c r="EE187">
        <v>1</v>
      </c>
      <c r="EF187" s="4">
        <v>709</v>
      </c>
      <c r="EG187">
        <v>1</v>
      </c>
      <c r="EH187" s="4">
        <v>719</v>
      </c>
      <c r="EI187">
        <v>1</v>
      </c>
      <c r="EJ187" s="4">
        <v>728</v>
      </c>
      <c r="EK187">
        <v>1</v>
      </c>
    </row>
    <row r="188" spans="1:141" x14ac:dyDescent="0.2">
      <c r="A188" t="str">
        <f>HYPERLINK("http://exon.niaid.nih.gov/transcriptome/C_felis/S1/links/cf/cf-contig_591.txt","cf-contig_591")</f>
        <v>cf-contig_591</v>
      </c>
      <c r="B188">
        <v>1</v>
      </c>
      <c r="C188" s="10" t="s">
        <v>4815</v>
      </c>
      <c r="D188">
        <v>1</v>
      </c>
      <c r="E188" t="str">
        <f>HYPERLINK("http://exon.niaid.nih.gov/transcriptome/C_felis/S1/links/cf/cf-5-36-asb-591.txt","Contig-591")</f>
        <v>Contig-591</v>
      </c>
      <c r="F188" t="str">
        <f>HYPERLINK("http://exon.niaid.nih.gov/transcriptome/C_felis/S1/links/cf/cf-5-36-591-CLU.txt","Contig591")</f>
        <v>Contig591</v>
      </c>
      <c r="G188" t="str">
        <f>HYPERLINK("http://exon.niaid.nih.gov/transcriptome/C_felis/S1/links/cf/cf-5-36-591-qual.txt","23.6")</f>
        <v>23.6</v>
      </c>
      <c r="H188">
        <v>0.5</v>
      </c>
      <c r="I188">
        <v>55.9</v>
      </c>
      <c r="J188">
        <v>761</v>
      </c>
      <c r="K188" t="s">
        <v>12</v>
      </c>
      <c r="L188">
        <v>1</v>
      </c>
      <c r="M188" t="s">
        <v>604</v>
      </c>
      <c r="N188">
        <v>1012</v>
      </c>
      <c r="O188">
        <v>1031</v>
      </c>
      <c r="P188">
        <v>342</v>
      </c>
      <c r="Q188" t="s">
        <v>1410</v>
      </c>
      <c r="R188">
        <v>1</v>
      </c>
      <c r="S188" s="7" t="str">
        <f>HYPERLINK("http://exon.niaid.nih.gov/transcriptome/C_felis/S1/links/Sigp/CF-CONTIG_591-SigP.txt","Cyt")</f>
        <v>Cyt</v>
      </c>
      <c r="U188">
        <v>1</v>
      </c>
      <c r="V188" s="4">
        <v>481</v>
      </c>
      <c r="W188">
        <v>1</v>
      </c>
      <c r="X188" s="4">
        <v>492</v>
      </c>
      <c r="Y188">
        <v>1</v>
      </c>
      <c r="Z188" s="4">
        <v>501</v>
      </c>
      <c r="AA188">
        <v>1</v>
      </c>
      <c r="AB188" s="4" t="str">
        <f>HYPERLINK("http://exon.niaid.nih.gov/transcriptome/C_felis/S1/links/XC-ASB/cf-contig_591-XC-ASB.txt","XC-contig_26")</f>
        <v>XC-contig_26</v>
      </c>
      <c r="AC188">
        <v>3.9999999999999998E-6</v>
      </c>
      <c r="AD188" s="10" t="s">
        <v>4815</v>
      </c>
      <c r="AE188" t="s">
        <v>4663</v>
      </c>
      <c r="AF188" t="str">
        <f>HYPERLINK("http://exon.niaid.nih.gov/transcriptome/C_felis/S1/links/GO/cf-contig_591-GO.txt","GO")</f>
        <v>GO</v>
      </c>
      <c r="AG188" s="5">
        <v>4.0000000000000003E-17</v>
      </c>
      <c r="AH188">
        <v>18</v>
      </c>
      <c r="AI188" s="4" t="str">
        <f>HYPERLINK("http://exon.niaid.nih.gov/transcriptome/C_felis/S1/links/NR/cf-contig_591-NR.txt","GJ19169")</f>
        <v>GJ19169</v>
      </c>
      <c r="AJ188" t="str">
        <f>HYPERLINK("http://www.ncbi.nlm.nih.gov/sutils/blink.cgi?pid=195392842","1E-022")</f>
        <v>1E-022</v>
      </c>
      <c r="AK188" t="str">
        <f>HYPERLINK("http://www.ncbi.nlm.nih.gov/protein/195392842","gi|195392842")</f>
        <v>gi|195392842</v>
      </c>
      <c r="AL188">
        <v>92.4</v>
      </c>
      <c r="AM188">
        <v>178</v>
      </c>
      <c r="AN188">
        <v>529</v>
      </c>
      <c r="AO188">
        <v>40</v>
      </c>
      <c r="AP188">
        <v>34</v>
      </c>
      <c r="AQ188">
        <v>85</v>
      </c>
      <c r="AR188">
        <v>2</v>
      </c>
      <c r="AS188">
        <v>304</v>
      </c>
      <c r="AT188">
        <v>204</v>
      </c>
      <c r="AU188">
        <v>2</v>
      </c>
      <c r="AV188">
        <v>1</v>
      </c>
      <c r="AW188" t="s">
        <v>1689</v>
      </c>
      <c r="AX188">
        <v>1.6850000000000001</v>
      </c>
      <c r="AY188" t="s">
        <v>1676</v>
      </c>
      <c r="AZ188" t="s">
        <v>2353</v>
      </c>
      <c r="BA188" s="4" t="str">
        <f>HYPERLINK("http://exon.niaid.nih.gov/transcriptome/C_felis/S1/links/SWISSP/cf-contig_591-SWISSP.txt","DnaJ homolog subfamily C member 1")</f>
        <v>DnaJ homolog subfamily C member 1</v>
      </c>
      <c r="BB188" t="str">
        <f>HYPERLINK("http://www.uniprot.org/uniprot/Q61712","8E-015")</f>
        <v>8E-015</v>
      </c>
      <c r="BC188" t="s">
        <v>3832</v>
      </c>
      <c r="BD188">
        <v>81.599999999999994</v>
      </c>
      <c r="BE188">
        <v>65</v>
      </c>
      <c r="BF188">
        <v>552</v>
      </c>
      <c r="BG188">
        <v>58</v>
      </c>
      <c r="BH188">
        <v>12</v>
      </c>
      <c r="BI188">
        <v>28</v>
      </c>
      <c r="BJ188">
        <v>0</v>
      </c>
      <c r="BK188">
        <v>486</v>
      </c>
      <c r="BL188">
        <v>469</v>
      </c>
      <c r="BM188">
        <v>1</v>
      </c>
      <c r="BN188">
        <v>1</v>
      </c>
      <c r="BO188" t="s">
        <v>12</v>
      </c>
      <c r="BQ188" t="s">
        <v>1676</v>
      </c>
      <c r="BR188" t="s">
        <v>1705</v>
      </c>
      <c r="BS188" s="4" t="str">
        <f>HYPERLINK("http://exon.niaid.nih.gov/transcriptome/C_felis/S1/links/CDD/cf-contig_591-CDD.txt","SANT")</f>
        <v>SANT</v>
      </c>
      <c r="BT188" t="str">
        <f>HYPERLINK("http://www.ncbi.nlm.nih.gov/Structure/cdd/cddsrv.cgi?uid=smart00717&amp;version=v4.0","1E-006")</f>
        <v>1E-006</v>
      </c>
      <c r="BU188" t="s">
        <v>3833</v>
      </c>
      <c r="BV188" s="4" t="s">
        <v>3834</v>
      </c>
      <c r="BW188">
        <f>HYPERLINK("http://exon.niaid.nih.gov/transcriptome/C_felis/S1/links/GO/cf-contig_591-GO.txt",0.00000000000000004)</f>
        <v>4.0000000000000003E-17</v>
      </c>
      <c r="BX188" t="str">
        <f>HYPERLINK("http://amigo.geneontology.org/cgi-bin/amigo/term_details?term=GO:0003677","GO:0003677")</f>
        <v>GO:0003677</v>
      </c>
      <c r="BY188" t="s">
        <v>2778</v>
      </c>
      <c r="BZ188" t="s">
        <v>2779</v>
      </c>
      <c r="CA188" t="s">
        <v>2780</v>
      </c>
      <c r="CB188" t="s">
        <v>42</v>
      </c>
      <c r="CD188">
        <v>5E-15</v>
      </c>
      <c r="CE188" t="str">
        <f>HYPERLINK("http://amigo.geneontology.org/cgi-bin/amigo/term_details?term=GO:0005634","GO:0005634")</f>
        <v>GO:0005634</v>
      </c>
      <c r="CF188" t="s">
        <v>2064</v>
      </c>
      <c r="CG188" t="s">
        <v>2065</v>
      </c>
      <c r="CH188" t="s">
        <v>2066</v>
      </c>
      <c r="CI188" t="s">
        <v>42</v>
      </c>
      <c r="CK188">
        <v>5E-15</v>
      </c>
      <c r="CL188" t="str">
        <f>HYPERLINK("http://amigo.geneontology.org/cgi-bin/amigo/term_details?term=GO:0006355","GO:0006355")</f>
        <v>GO:0006355</v>
      </c>
      <c r="CM188" t="s">
        <v>2784</v>
      </c>
      <c r="CN188" t="s">
        <v>2785</v>
      </c>
      <c r="CO188" t="s">
        <v>2786</v>
      </c>
      <c r="CP188" t="s">
        <v>42</v>
      </c>
      <c r="CR188">
        <v>5E-15</v>
      </c>
      <c r="CS188" s="4" t="str">
        <f>HYPERLINK("http://exon.niaid.nih.gov/transcriptome/C_felis/S1/links/KOG/cf-contig_591-KOG.txt","Chromatin remodeling factor subunit and related transcription factors")</f>
        <v>Chromatin remodeling factor subunit and related transcription factors</v>
      </c>
      <c r="CT188" t="str">
        <f>HYPERLINK("http://www.ncbi.nlm.nih.gov/COG/grace/shokog.cgi?KOG1279","0.001")</f>
        <v>0.001</v>
      </c>
      <c r="CU188" t="s">
        <v>2096</v>
      </c>
      <c r="CV188" s="4" t="str">
        <f>HYPERLINK("http://exon.niaid.nih.gov/transcriptome/C_felis/S1/links/PFAM/cf-contig_591-PFAM.txt","Myb_DNA-binding")</f>
        <v>Myb_DNA-binding</v>
      </c>
      <c r="CW188" t="str">
        <f>HYPERLINK("http://pfam.sanger.ac.uk/family?acc=PF00249","2E-006")</f>
        <v>2E-006</v>
      </c>
      <c r="CX188" s="4" t="str">
        <f>HYPERLINK("http://exon.niaid.nih.gov/transcriptome/C_felis/S1/links/SMART/cf-contig_591-SMART.txt","SANT")</f>
        <v>SANT</v>
      </c>
      <c r="CY188" t="str">
        <f>HYPERLINK("http://smart.embl-heidelberg.de/smart/do_annotation.pl?DOMAIN=SANT&amp;BLAST=DUMMY","1E-008")</f>
        <v>1E-008</v>
      </c>
      <c r="CZ188" s="4" t="s">
        <v>42</v>
      </c>
      <c r="DA188" t="s">
        <v>42</v>
      </c>
      <c r="DB188" t="s">
        <v>42</v>
      </c>
      <c r="DC188" t="s">
        <v>42</v>
      </c>
      <c r="DD188" t="s">
        <v>42</v>
      </c>
      <c r="DE188" t="s">
        <v>42</v>
      </c>
      <c r="DF188" t="s">
        <v>42</v>
      </c>
      <c r="DG188" t="s">
        <v>42</v>
      </c>
      <c r="DH188" s="4" t="s">
        <v>42</v>
      </c>
      <c r="DI188" t="s">
        <v>42</v>
      </c>
      <c r="DJ188" s="4" t="s">
        <v>42</v>
      </c>
      <c r="DK188" t="s">
        <v>42</v>
      </c>
      <c r="DL188" s="4">
        <v>481</v>
      </c>
      <c r="DM188">
        <v>1</v>
      </c>
      <c r="DN188" s="4">
        <v>492</v>
      </c>
      <c r="DO188">
        <v>1</v>
      </c>
      <c r="DP188" s="4">
        <v>501</v>
      </c>
      <c r="DQ188">
        <v>1</v>
      </c>
      <c r="DR188" s="4">
        <v>520</v>
      </c>
      <c r="DS188">
        <v>1</v>
      </c>
      <c r="DT188" s="4">
        <v>532</v>
      </c>
      <c r="DU188">
        <v>1</v>
      </c>
      <c r="DV188" s="4">
        <v>546</v>
      </c>
      <c r="DW188">
        <v>1</v>
      </c>
      <c r="DX188" s="4">
        <v>555</v>
      </c>
      <c r="DY188">
        <v>1</v>
      </c>
      <c r="DZ188" s="4">
        <v>563</v>
      </c>
      <c r="EA188">
        <v>1</v>
      </c>
      <c r="EB188" s="4">
        <v>568</v>
      </c>
      <c r="EC188">
        <v>1</v>
      </c>
      <c r="ED188" s="4">
        <v>572</v>
      </c>
      <c r="EE188">
        <v>1</v>
      </c>
      <c r="EF188" s="4">
        <v>577</v>
      </c>
      <c r="EG188">
        <v>1</v>
      </c>
      <c r="EH188" s="4">
        <v>584</v>
      </c>
      <c r="EI188">
        <v>1</v>
      </c>
      <c r="EJ188" s="4">
        <v>591</v>
      </c>
      <c r="EK188">
        <v>1</v>
      </c>
    </row>
    <row r="189" spans="1:141" x14ac:dyDescent="0.2">
      <c r="A189" t="str">
        <f>HYPERLINK("http://exon.niaid.nih.gov/transcriptome/C_felis/S1/links/cf/cf-contig_298.txt","cf-contig_298")</f>
        <v>cf-contig_298</v>
      </c>
      <c r="B189">
        <v>1</v>
      </c>
      <c r="C189" s="10" t="s">
        <v>4723</v>
      </c>
      <c r="D189">
        <v>1</v>
      </c>
      <c r="E189" t="str">
        <f>HYPERLINK("http://exon.niaid.nih.gov/transcriptome/C_felis/S1/links/cf/cf-5-36-asb-298.txt","Contig-298")</f>
        <v>Contig-298</v>
      </c>
      <c r="F189" t="str">
        <f>HYPERLINK("http://exon.niaid.nih.gov/transcriptome/C_felis/S1/links/cf/cf-5-36-298-CLU.txt","Contig298")</f>
        <v>Contig298</v>
      </c>
      <c r="G189" t="str">
        <f>HYPERLINK("http://exon.niaid.nih.gov/transcriptome/C_felis/S1/links/cf/cf-5-36-298-qual.txt","49.3")</f>
        <v>49.3</v>
      </c>
      <c r="H189">
        <v>0.1</v>
      </c>
      <c r="I189">
        <v>66.8</v>
      </c>
      <c r="J189">
        <v>1032</v>
      </c>
      <c r="K189" t="s">
        <v>12</v>
      </c>
      <c r="L189">
        <v>1</v>
      </c>
      <c r="M189" t="s">
        <v>311</v>
      </c>
      <c r="N189">
        <v>1032</v>
      </c>
      <c r="O189">
        <v>1051</v>
      </c>
      <c r="P189">
        <v>486</v>
      </c>
      <c r="Q189" t="s">
        <v>1118</v>
      </c>
      <c r="R189">
        <v>1</v>
      </c>
      <c r="S189" s="7" t="str">
        <f>HYPERLINK("http://exon.niaid.nih.gov/transcriptome/C_felis/S1/links/Sigp/CF-CONTIG_298-SigP.txt","Cyt")</f>
        <v>Cyt</v>
      </c>
      <c r="U189">
        <v>1</v>
      </c>
      <c r="V189" s="4">
        <v>240</v>
      </c>
      <c r="W189">
        <v>1</v>
      </c>
      <c r="X189" s="4">
        <v>245</v>
      </c>
      <c r="Y189">
        <v>1</v>
      </c>
      <c r="Z189" s="4">
        <v>244</v>
      </c>
      <c r="AA189">
        <v>1</v>
      </c>
      <c r="AB189" s="4" t="str">
        <f>HYPERLINK("http://exon.niaid.nih.gov/transcriptome/C_felis/S1/links/XC-ASB/cf-contig_298-XC-ASB.txt","XC-contig_78")</f>
        <v>XC-contig_78</v>
      </c>
      <c r="AC189">
        <v>1.4E-2</v>
      </c>
      <c r="AD189" s="10" t="s">
        <v>4723</v>
      </c>
      <c r="AE189" t="s">
        <v>4663</v>
      </c>
      <c r="AF189" t="str">
        <f>HYPERLINK("http://exon.niaid.nih.gov/transcriptome/C_felis/S1/links/NR/cf-contig_298-NR.txt","NR")</f>
        <v>NR</v>
      </c>
      <c r="AG189" s="5">
        <v>2.9999999999999999E-56</v>
      </c>
      <c r="AH189">
        <v>40.4</v>
      </c>
      <c r="AI189" s="4" t="str">
        <f>HYPERLINK("http://exon.niaid.nih.gov/transcriptome/C_felis/S1/links/NR/cf-contig_298-NR.txt","DnaJ (Hsp40) homolog 2")</f>
        <v>DnaJ (Hsp40) homolog 2</v>
      </c>
      <c r="AJ189" t="str">
        <f>HYPERLINK("http://www.ncbi.nlm.nih.gov/sutils/blink.cgi?pid=114053203","2E-061")</f>
        <v>2E-061</v>
      </c>
      <c r="AK189" t="str">
        <f>HYPERLINK("http://www.ncbi.nlm.nih.gov/protein/114053203","gi|114053203")</f>
        <v>gi|114053203</v>
      </c>
      <c r="AL189">
        <v>241</v>
      </c>
      <c r="AM189">
        <v>161</v>
      </c>
      <c r="AN189">
        <v>401</v>
      </c>
      <c r="AO189">
        <v>71</v>
      </c>
      <c r="AP189">
        <v>40</v>
      </c>
      <c r="AQ189">
        <v>46</v>
      </c>
      <c r="AR189">
        <v>1</v>
      </c>
      <c r="AS189">
        <v>240</v>
      </c>
      <c r="AT189">
        <v>1</v>
      </c>
      <c r="AU189">
        <v>1</v>
      </c>
      <c r="AV189">
        <v>1</v>
      </c>
      <c r="AW189" t="s">
        <v>12</v>
      </c>
      <c r="AY189" t="s">
        <v>1676</v>
      </c>
      <c r="AZ189" t="s">
        <v>2037</v>
      </c>
      <c r="BA189" s="4" t="str">
        <f>HYPERLINK("http://exon.niaid.nih.gov/transcriptome/C_felis/S1/links/SWISSP/cf-contig_298-SWISSP.txt","DnaJ homolog subfamily A member 1")</f>
        <v>DnaJ homolog subfamily A member 1</v>
      </c>
      <c r="BB189" t="str">
        <f>HYPERLINK("http://www.uniprot.org/uniprot/P63036","6E-042")</f>
        <v>6E-042</v>
      </c>
      <c r="BC189" t="s">
        <v>2718</v>
      </c>
      <c r="BD189">
        <v>171</v>
      </c>
      <c r="BE189">
        <v>161</v>
      </c>
      <c r="BF189">
        <v>397</v>
      </c>
      <c r="BG189">
        <v>51</v>
      </c>
      <c r="BH189">
        <v>41</v>
      </c>
      <c r="BI189">
        <v>80</v>
      </c>
      <c r="BJ189">
        <v>2</v>
      </c>
      <c r="BK189">
        <v>236</v>
      </c>
      <c r="BL189">
        <v>1</v>
      </c>
      <c r="BM189">
        <v>1</v>
      </c>
      <c r="BN189">
        <v>1</v>
      </c>
      <c r="BO189" t="s">
        <v>12</v>
      </c>
      <c r="BQ189" t="s">
        <v>1676</v>
      </c>
      <c r="BR189" t="s">
        <v>1684</v>
      </c>
      <c r="BS189" s="4" t="str">
        <f>HYPERLINK("http://exon.niaid.nih.gov/transcriptome/C_felis/S1/links/CDD/cf-contig_298-CDD.txt","PTZ00037")</f>
        <v>PTZ00037</v>
      </c>
      <c r="BT189" t="str">
        <f>HYPERLINK("http://www.ncbi.nlm.nih.gov/Structure/cdd/cddsrv.cgi?uid=PTZ00037&amp;version=v4.0","6E-036")</f>
        <v>6E-036</v>
      </c>
      <c r="BU189" t="s">
        <v>2719</v>
      </c>
      <c r="BV189" s="4" t="s">
        <v>2720</v>
      </c>
      <c r="BW189">
        <f>HYPERLINK("http://exon.niaid.nih.gov/transcriptome/C_felis/S1/links/GO/cf-contig_298-GO.txt",3E-46)</f>
        <v>2.9999999999999999E-46</v>
      </c>
      <c r="BX189" t="str">
        <f>HYPERLINK("http://amigo.geneontology.org/cgi-bin/amigo/term_details?term=GO:0005524","GO:0005524")</f>
        <v>GO:0005524</v>
      </c>
      <c r="BY189" t="s">
        <v>2721</v>
      </c>
      <c r="BZ189" t="s">
        <v>2722</v>
      </c>
      <c r="CA189" t="s">
        <v>42</v>
      </c>
      <c r="CB189" t="s">
        <v>42</v>
      </c>
      <c r="CD189" s="5">
        <v>5E-42</v>
      </c>
      <c r="CE189" t="str">
        <f>HYPERLINK("http://amigo.geneontology.org/cgi-bin/amigo/term_details?term=GO:0005625","GO:0005625")</f>
        <v>GO:0005625</v>
      </c>
      <c r="CF189" t="s">
        <v>2723</v>
      </c>
      <c r="CG189" t="s">
        <v>2724</v>
      </c>
      <c r="CH189" t="s">
        <v>2725</v>
      </c>
      <c r="CI189" t="s">
        <v>42</v>
      </c>
      <c r="CK189" s="5">
        <v>5E-42</v>
      </c>
      <c r="CL189" t="str">
        <f>HYPERLINK("http://amigo.geneontology.org/cgi-bin/amigo/term_details?term=GO:0006457","GO:0006457")</f>
        <v>GO:0006457</v>
      </c>
      <c r="CM189" t="s">
        <v>2513</v>
      </c>
      <c r="CN189" t="s">
        <v>2514</v>
      </c>
      <c r="CO189" t="s">
        <v>2515</v>
      </c>
      <c r="CP189" t="s">
        <v>42</v>
      </c>
      <c r="CR189" s="5">
        <v>5E-42</v>
      </c>
      <c r="CS189" s="4" t="str">
        <f>HYPERLINK("http://exon.niaid.nih.gov/transcriptome/C_felis/S1/links/KOG/cf-contig_298-KOG.txt","Molecular chaperone (DnaJ superfamily)")</f>
        <v>Molecular chaperone (DnaJ superfamily)</v>
      </c>
      <c r="CT189" t="str">
        <f>HYPERLINK("http://www.ncbi.nlm.nih.gov/COG/grace/shokog.cgi?KOG0712","8E-028")</f>
        <v>8E-028</v>
      </c>
      <c r="CU189" t="s">
        <v>2198</v>
      </c>
      <c r="CV189" s="4" t="str">
        <f>HYPERLINK("http://exon.niaid.nih.gov/transcriptome/C_felis/S1/links/PFAM/cf-contig_298-PFAM.txt","DnaJ_C")</f>
        <v>DnaJ_C</v>
      </c>
      <c r="CW189" t="str">
        <f>HYPERLINK("http://pfam.sanger.ac.uk/family?acc=PF01556","1E-015")</f>
        <v>1E-015</v>
      </c>
      <c r="CX189" s="4" t="str">
        <f>HYPERLINK("http://exon.niaid.nih.gov/transcriptome/C_felis/S1/links/SMART/cf-contig_298-SMART.txt","B41")</f>
        <v>B41</v>
      </c>
      <c r="CY189" t="str">
        <f>HYPERLINK("http://smart.embl-heidelberg.de/smart/do_annotation.pl?DOMAIN=B41&amp;BLAST=DUMMY","0.29")</f>
        <v>0.29</v>
      </c>
      <c r="CZ189" s="4" t="s">
        <v>42</v>
      </c>
      <c r="DA189" t="s">
        <v>42</v>
      </c>
      <c r="DB189" t="s">
        <v>42</v>
      </c>
      <c r="DC189" t="s">
        <v>42</v>
      </c>
      <c r="DD189" t="s">
        <v>42</v>
      </c>
      <c r="DE189" t="s">
        <v>42</v>
      </c>
      <c r="DF189" t="s">
        <v>42</v>
      </c>
      <c r="DG189" t="s">
        <v>42</v>
      </c>
      <c r="DH189" s="4" t="s">
        <v>42</v>
      </c>
      <c r="DI189" t="s">
        <v>42</v>
      </c>
      <c r="DJ189" s="4" t="s">
        <v>42</v>
      </c>
      <c r="DK189" t="s">
        <v>42</v>
      </c>
      <c r="DL189" s="4">
        <v>240</v>
      </c>
      <c r="DM189">
        <v>1</v>
      </c>
      <c r="DN189" s="4">
        <v>245</v>
      </c>
      <c r="DO189">
        <v>1</v>
      </c>
      <c r="DP189" s="4">
        <v>244</v>
      </c>
      <c r="DQ189">
        <v>1</v>
      </c>
      <c r="DR189" s="4">
        <v>253</v>
      </c>
      <c r="DS189">
        <v>1</v>
      </c>
      <c r="DT189" s="4">
        <v>260</v>
      </c>
      <c r="DU189">
        <v>1</v>
      </c>
      <c r="DV189" s="4">
        <v>272</v>
      </c>
      <c r="DW189">
        <v>1</v>
      </c>
      <c r="DX189" s="4">
        <v>274</v>
      </c>
      <c r="DY189">
        <v>1</v>
      </c>
      <c r="DZ189" s="4">
        <v>279</v>
      </c>
      <c r="EA189">
        <v>1</v>
      </c>
      <c r="EB189" s="4">
        <v>284</v>
      </c>
      <c r="EC189">
        <v>1</v>
      </c>
      <c r="ED189" s="4">
        <v>287</v>
      </c>
      <c r="EE189">
        <v>1</v>
      </c>
      <c r="EF189" s="4">
        <v>291</v>
      </c>
      <c r="EG189">
        <v>1</v>
      </c>
      <c r="EH189" s="4">
        <v>293</v>
      </c>
      <c r="EI189">
        <v>1</v>
      </c>
      <c r="EJ189" s="4">
        <v>298</v>
      </c>
      <c r="EK189">
        <v>1</v>
      </c>
    </row>
    <row r="190" spans="1:141" x14ac:dyDescent="0.2">
      <c r="A190" t="str">
        <f>HYPERLINK("http://exon.niaid.nih.gov/transcriptome/C_felis/S1/links/cf/cf-contig_556.txt","cf-contig_556")</f>
        <v>cf-contig_556</v>
      </c>
      <c r="B190">
        <v>1</v>
      </c>
      <c r="C190" s="10" t="s">
        <v>4801</v>
      </c>
      <c r="D190">
        <v>1</v>
      </c>
      <c r="E190" t="str">
        <f>HYPERLINK("http://exon.niaid.nih.gov/transcriptome/C_felis/S1/links/cf/cf-5-36-asb-556.txt","Contig-556")</f>
        <v>Contig-556</v>
      </c>
      <c r="F190" t="str">
        <f>HYPERLINK("http://exon.niaid.nih.gov/transcriptome/C_felis/S1/links/cf/cf-5-36-556-CLU.txt","Contig556")</f>
        <v>Contig556</v>
      </c>
      <c r="G190" t="str">
        <f>HYPERLINK("http://exon.niaid.nih.gov/transcriptome/C_felis/S1/links/cf/cf-5-36-556-qual.txt","64.8")</f>
        <v>64.8</v>
      </c>
      <c r="H190" t="s">
        <v>11</v>
      </c>
      <c r="I190">
        <v>58.6</v>
      </c>
      <c r="J190">
        <v>382</v>
      </c>
      <c r="K190" t="s">
        <v>12</v>
      </c>
      <c r="L190">
        <v>1</v>
      </c>
      <c r="M190" t="s">
        <v>569</v>
      </c>
      <c r="N190">
        <v>382</v>
      </c>
      <c r="O190">
        <v>401</v>
      </c>
      <c r="P190">
        <v>336</v>
      </c>
      <c r="Q190" t="s">
        <v>1375</v>
      </c>
      <c r="R190">
        <v>2</v>
      </c>
      <c r="S190" s="7" t="str">
        <f>HYPERLINK("http://exon.niaid.nih.gov/transcriptome/C_felis/S1/links/Sigp/CF-CONTIG_556-SigP.txt","Cyt")</f>
        <v>Cyt</v>
      </c>
      <c r="U190">
        <v>1</v>
      </c>
      <c r="V190" s="4">
        <v>453</v>
      </c>
      <c r="W190">
        <v>1</v>
      </c>
      <c r="X190" s="4">
        <v>463</v>
      </c>
      <c r="Y190">
        <v>1</v>
      </c>
      <c r="Z190" s="4">
        <v>470</v>
      </c>
      <c r="AA190">
        <v>1</v>
      </c>
      <c r="AB190" s="4" t="str">
        <f>HYPERLINK("http://exon.niaid.nih.gov/transcriptome/C_felis/S1/links/XC-ASB/cf-contig_556-XC-ASB.txt","XC-contig_235")</f>
        <v>XC-contig_235</v>
      </c>
      <c r="AC190">
        <v>3.0000000000000002E-33</v>
      </c>
      <c r="AD190" s="10" t="s">
        <v>4801</v>
      </c>
      <c r="AE190" t="s">
        <v>4663</v>
      </c>
      <c r="AF190" t="str">
        <f>HYPERLINK("http://exon.niaid.nih.gov/transcriptome/C_felis/S1/links/KOG/cf-contig_556-KOG.txt","KOG")</f>
        <v>KOG</v>
      </c>
      <c r="AG190" s="5">
        <v>8.0000000000000007E-30</v>
      </c>
      <c r="AH190">
        <v>94.2</v>
      </c>
      <c r="AI190" s="4" t="str">
        <f>HYPERLINK("http://exon.niaid.nih.gov/transcriptome/C_felis/S1/links/NR/cf-contig_556-NR.txt","hypothetical protein SINV_02491")</f>
        <v>hypothetical protein SINV_02491</v>
      </c>
      <c r="AJ190" t="str">
        <f>HYPERLINK("http://www.ncbi.nlm.nih.gov/sutils/blink.cgi?pid=322797527","1E-033")</f>
        <v>1E-033</v>
      </c>
      <c r="AK190" t="str">
        <f>HYPERLINK("http://www.ncbi.nlm.nih.gov/protein/322797527","gi|322797527")</f>
        <v>gi|322797527</v>
      </c>
      <c r="AL190">
        <v>146</v>
      </c>
      <c r="AM190">
        <v>91</v>
      </c>
      <c r="AN190">
        <v>98</v>
      </c>
      <c r="AO190">
        <v>76</v>
      </c>
      <c r="AP190">
        <v>94</v>
      </c>
      <c r="AQ190">
        <v>22</v>
      </c>
      <c r="AR190">
        <v>0</v>
      </c>
      <c r="AS190">
        <v>4</v>
      </c>
      <c r="AT190">
        <v>44</v>
      </c>
      <c r="AU190">
        <v>1</v>
      </c>
      <c r="AV190">
        <v>2</v>
      </c>
      <c r="AW190" t="s">
        <v>12</v>
      </c>
      <c r="AY190" t="s">
        <v>1676</v>
      </c>
      <c r="AZ190" t="s">
        <v>1773</v>
      </c>
      <c r="BA190" s="4" t="str">
        <f>HYPERLINK("http://exon.niaid.nih.gov/transcriptome/C_felis/S1/links/SWISSP/cf-contig_556-SWISSP.txt","Glutaredoxin-C4")</f>
        <v>Glutaredoxin-C4</v>
      </c>
      <c r="BB190" t="str">
        <f>HYPERLINK("http://www.uniprot.org/uniprot/Q8LFQ6","2E-023")</f>
        <v>2E-023</v>
      </c>
      <c r="BC190" t="s">
        <v>3692</v>
      </c>
      <c r="BD190">
        <v>107</v>
      </c>
      <c r="BE190">
        <v>101</v>
      </c>
      <c r="BF190">
        <v>135</v>
      </c>
      <c r="BG190">
        <v>53</v>
      </c>
      <c r="BH190">
        <v>76</v>
      </c>
      <c r="BI190">
        <v>47</v>
      </c>
      <c r="BJ190">
        <v>0</v>
      </c>
      <c r="BK190">
        <v>24</v>
      </c>
      <c r="BL190">
        <v>23</v>
      </c>
      <c r="BM190">
        <v>1</v>
      </c>
      <c r="BN190">
        <v>2</v>
      </c>
      <c r="BO190" t="s">
        <v>12</v>
      </c>
      <c r="BQ190" t="s">
        <v>1676</v>
      </c>
      <c r="BR190" t="s">
        <v>1714</v>
      </c>
      <c r="BS190" s="4" t="str">
        <f>HYPERLINK("http://exon.niaid.nih.gov/transcriptome/C_felis/S1/links/CDD/cf-contig_556-CDD.txt","GRX_GRXh_1_2_li")</f>
        <v>GRX_GRXh_1_2_li</v>
      </c>
      <c r="BT190" t="str">
        <f>HYPERLINK("http://www.ncbi.nlm.nih.gov/Structure/cdd/cddsrv.cgi?uid=cd03419&amp;version=v4.0","2E-030")</f>
        <v>2E-030</v>
      </c>
      <c r="BU190" t="s">
        <v>3693</v>
      </c>
      <c r="BV190" s="4" t="s">
        <v>3694</v>
      </c>
      <c r="BW190">
        <f>HYPERLINK("http://exon.niaid.nih.gov/transcriptome/C_felis/S1/links/GO/cf-contig_556-GO.txt",9E-28)</f>
        <v>8.9999999999999996E-28</v>
      </c>
      <c r="BX190" t="str">
        <f>HYPERLINK("http://amigo.geneontology.org/cgi-bin/amigo/term_details?term=GO:0009055","GO:0009055")</f>
        <v>GO:0009055</v>
      </c>
      <c r="BY190" t="s">
        <v>3458</v>
      </c>
      <c r="BZ190" t="s">
        <v>3459</v>
      </c>
      <c r="CA190" t="s">
        <v>3460</v>
      </c>
      <c r="CB190" t="s">
        <v>42</v>
      </c>
      <c r="CD190" s="5">
        <v>2.0000000000000001E-26</v>
      </c>
      <c r="CE190" t="str">
        <f>HYPERLINK("http://amigo.geneontology.org/cgi-bin/amigo/term_details?term=GO:0005575","GO:0005575")</f>
        <v>GO:0005575</v>
      </c>
      <c r="CF190" t="s">
        <v>1838</v>
      </c>
      <c r="CG190" t="s">
        <v>1839</v>
      </c>
      <c r="CH190" t="s">
        <v>1840</v>
      </c>
      <c r="CI190" t="s">
        <v>42</v>
      </c>
      <c r="CK190" s="5">
        <v>2.0000000000000001E-26</v>
      </c>
      <c r="CL190" t="str">
        <f>HYPERLINK("http://amigo.geneontology.org/cgi-bin/amigo/term_details?term=GO:0045454","GO:0045454")</f>
        <v>GO:0045454</v>
      </c>
      <c r="CM190" t="s">
        <v>3695</v>
      </c>
      <c r="CN190" t="s">
        <v>3696</v>
      </c>
      <c r="CO190" t="s">
        <v>3697</v>
      </c>
      <c r="CP190" t="s">
        <v>42</v>
      </c>
      <c r="CR190" s="5">
        <v>2.0000000000000001E-26</v>
      </c>
      <c r="CS190" s="4" t="str">
        <f>HYPERLINK("http://exon.niaid.nih.gov/transcriptome/C_felis/S1/links/KOG/cf-contig_556-KOG.txt","Glutaredoxin and related proteins")</f>
        <v>Glutaredoxin and related proteins</v>
      </c>
      <c r="CT190" t="str">
        <f>HYPERLINK("http://www.ncbi.nlm.nih.gov/COG/grace/shokog.cgi?KOG1752","8E-030")</f>
        <v>8E-030</v>
      </c>
      <c r="CU190" t="s">
        <v>2198</v>
      </c>
      <c r="CV190" s="4" t="str">
        <f>HYPERLINK("http://exon.niaid.nih.gov/transcriptome/C_felis/S1/links/PFAM/cf-contig_556-PFAM.txt","Glutaredoxin")</f>
        <v>Glutaredoxin</v>
      </c>
      <c r="CW190" t="str">
        <f>HYPERLINK("http://pfam.sanger.ac.uk/family?acc=PF00462","1E-016")</f>
        <v>1E-016</v>
      </c>
      <c r="CX190" s="4" t="str">
        <f>HYPERLINK("http://exon.niaid.nih.gov/transcriptome/C_felis/S1/links/SMART/cf-contig_556-SMART.txt","SprT")</f>
        <v>SprT</v>
      </c>
      <c r="CY190" t="str">
        <f>HYPERLINK("http://smart.embl-heidelberg.de/smart/do_annotation.pl?DOMAIN=SprT&amp;BLAST=DUMMY","0.035")</f>
        <v>0.035</v>
      </c>
      <c r="CZ190" s="4" t="s">
        <v>42</v>
      </c>
      <c r="DA190" t="s">
        <v>42</v>
      </c>
      <c r="DB190" t="s">
        <v>42</v>
      </c>
      <c r="DC190" t="s">
        <v>42</v>
      </c>
      <c r="DD190" t="s">
        <v>42</v>
      </c>
      <c r="DE190" t="s">
        <v>42</v>
      </c>
      <c r="DF190" t="s">
        <v>42</v>
      </c>
      <c r="DG190" t="s">
        <v>42</v>
      </c>
      <c r="DH190" s="4" t="s">
        <v>42</v>
      </c>
      <c r="DI190" t="s">
        <v>42</v>
      </c>
      <c r="DJ190" s="4" t="s">
        <v>42</v>
      </c>
      <c r="DK190" t="s">
        <v>42</v>
      </c>
      <c r="DL190" s="4">
        <v>453</v>
      </c>
      <c r="DM190">
        <v>1</v>
      </c>
      <c r="DN190" s="4">
        <v>463</v>
      </c>
      <c r="DO190">
        <v>1</v>
      </c>
      <c r="DP190" s="4">
        <v>470</v>
      </c>
      <c r="DQ190">
        <v>1</v>
      </c>
      <c r="DR190" s="4">
        <v>486</v>
      </c>
      <c r="DS190">
        <v>1</v>
      </c>
      <c r="DT190" s="4">
        <v>498</v>
      </c>
      <c r="DU190">
        <v>1</v>
      </c>
      <c r="DV190" s="4">
        <v>512</v>
      </c>
      <c r="DW190">
        <v>1</v>
      </c>
      <c r="DX190" s="4">
        <v>520</v>
      </c>
      <c r="DY190">
        <v>1</v>
      </c>
      <c r="DZ190" s="4">
        <v>528</v>
      </c>
      <c r="EA190">
        <v>1</v>
      </c>
      <c r="EB190" s="4">
        <v>533</v>
      </c>
      <c r="EC190">
        <v>1</v>
      </c>
      <c r="ED190" s="4">
        <v>537</v>
      </c>
      <c r="EE190">
        <v>1</v>
      </c>
      <c r="EF190" s="4">
        <v>542</v>
      </c>
      <c r="EG190">
        <v>1</v>
      </c>
      <c r="EH190" s="4">
        <v>549</v>
      </c>
      <c r="EI190">
        <v>1</v>
      </c>
      <c r="EJ190" s="4">
        <v>556</v>
      </c>
      <c r="EK190">
        <v>1</v>
      </c>
    </row>
    <row r="191" spans="1:141" x14ac:dyDescent="0.2">
      <c r="A191" t="str">
        <f>HYPERLINK("http://exon.niaid.nih.gov/transcriptome/C_felis/S1/links/cf/cf-contig_669.txt","cf-contig_669")</f>
        <v>cf-contig_669</v>
      </c>
      <c r="B191">
        <v>1</v>
      </c>
      <c r="C191" s="10" t="s">
        <v>4842</v>
      </c>
      <c r="D191">
        <v>1</v>
      </c>
      <c r="E191" t="str">
        <f>HYPERLINK("http://exon.niaid.nih.gov/transcriptome/C_felis/S1/links/cf/cf-5-36-asb-669.txt","Contig-669")</f>
        <v>Contig-669</v>
      </c>
      <c r="F191" t="str">
        <f>HYPERLINK("http://exon.niaid.nih.gov/transcriptome/C_felis/S1/links/cf/cf-5-36-669-CLU.txt","Contig669")</f>
        <v>Contig669</v>
      </c>
      <c r="G191" t="str">
        <f>HYPERLINK("http://exon.niaid.nih.gov/transcriptome/C_felis/S1/links/cf/cf-5-36-669-qual.txt","63.5")</f>
        <v>63.5</v>
      </c>
      <c r="H191">
        <v>0.3</v>
      </c>
      <c r="I191">
        <v>63.8</v>
      </c>
      <c r="J191">
        <v>362</v>
      </c>
      <c r="K191" t="s">
        <v>12</v>
      </c>
      <c r="L191">
        <v>1</v>
      </c>
      <c r="M191" t="s">
        <v>682</v>
      </c>
      <c r="N191">
        <v>362</v>
      </c>
      <c r="O191">
        <v>381</v>
      </c>
      <c r="P191">
        <v>249</v>
      </c>
      <c r="Q191" t="s">
        <v>1488</v>
      </c>
      <c r="R191">
        <v>3</v>
      </c>
      <c r="S191" s="7" t="str">
        <f>HYPERLINK("http://exon.niaid.nih.gov/transcriptome/C_felis/S1/links/Sigp/CF-CONTIG_669-SigP.txt","Cyt")</f>
        <v>Cyt</v>
      </c>
      <c r="U191">
        <v>1</v>
      </c>
      <c r="V191" s="4">
        <v>547</v>
      </c>
      <c r="W191">
        <v>1</v>
      </c>
      <c r="X191" s="4">
        <v>559</v>
      </c>
      <c r="Y191">
        <v>1</v>
      </c>
      <c r="Z191" s="4">
        <v>571</v>
      </c>
      <c r="AA191">
        <v>1</v>
      </c>
      <c r="AB191" s="4" t="str">
        <f>HYPERLINK("http://exon.niaid.nih.gov/transcriptome/C_felis/S1/links/XC-ASB/cf-contig_669-XC-ASB.txt","XC-contig_88")</f>
        <v>XC-contig_88</v>
      </c>
      <c r="AC191">
        <v>0.03</v>
      </c>
      <c r="AD191" s="10" t="s">
        <v>4842</v>
      </c>
      <c r="AE191" t="s">
        <v>4663</v>
      </c>
      <c r="AF191" t="str">
        <f>HYPERLINK("http://exon.niaid.nih.gov/transcriptome/C_felis/S1/links/KOG/cf-contig_669-KOG.txt","KOG")</f>
        <v>KOG</v>
      </c>
      <c r="AG191" s="5">
        <v>1.9999999999999998E-24</v>
      </c>
      <c r="AH191">
        <v>15.1</v>
      </c>
      <c r="AI191" s="4" t="str">
        <f>HYPERLINK("http://exon.niaid.nih.gov/transcriptome/C_felis/S1/links/NR/cf-contig_669-NR.txt","hypothetical protein TcasGA2_TC003450")</f>
        <v>hypothetical protein TcasGA2_TC003450</v>
      </c>
      <c r="AJ191" t="str">
        <f>HYPERLINK("http://www.ncbi.nlm.nih.gov/sutils/blink.cgi?pid=270004132","1E-022")</f>
        <v>1E-022</v>
      </c>
      <c r="AK191" t="str">
        <f>HYPERLINK("http://www.ncbi.nlm.nih.gov/protein/270004132","gi|270004132")</f>
        <v>gi|270004132</v>
      </c>
      <c r="AL191">
        <v>110</v>
      </c>
      <c r="AM191">
        <v>79</v>
      </c>
      <c r="AN191">
        <v>473</v>
      </c>
      <c r="AO191">
        <v>62</v>
      </c>
      <c r="AP191">
        <v>17</v>
      </c>
      <c r="AQ191">
        <v>30</v>
      </c>
      <c r="AR191">
        <v>0</v>
      </c>
      <c r="AS191">
        <v>392</v>
      </c>
      <c r="AT191">
        <v>7</v>
      </c>
      <c r="AU191">
        <v>1</v>
      </c>
      <c r="AV191">
        <v>1</v>
      </c>
      <c r="AW191" t="s">
        <v>12</v>
      </c>
      <c r="AX191">
        <v>1.266</v>
      </c>
      <c r="AY191" t="s">
        <v>1676</v>
      </c>
      <c r="AZ191" t="s">
        <v>1878</v>
      </c>
      <c r="BA191" s="4" t="str">
        <f>HYPERLINK("http://exon.niaid.nih.gov/transcriptome/C_felis/S1/links/SWISSP/cf-contig_669-SWISSP.txt","Thymus-specific serine protease")</f>
        <v>Thymus-specific serine protease</v>
      </c>
      <c r="BB191" t="str">
        <f>HYPERLINK("http://www.uniprot.org/uniprot/Q9QXE5","6E-013")</f>
        <v>6E-013</v>
      </c>
      <c r="BC191" t="s">
        <v>4107</v>
      </c>
      <c r="BD191">
        <v>72.8</v>
      </c>
      <c r="BE191">
        <v>76</v>
      </c>
      <c r="BF191">
        <v>509</v>
      </c>
      <c r="BG191">
        <v>40</v>
      </c>
      <c r="BH191">
        <v>15</v>
      </c>
      <c r="BI191">
        <v>46</v>
      </c>
      <c r="BJ191">
        <v>0</v>
      </c>
      <c r="BK191">
        <v>427</v>
      </c>
      <c r="BL191">
        <v>22</v>
      </c>
      <c r="BM191">
        <v>1</v>
      </c>
      <c r="BN191">
        <v>1</v>
      </c>
      <c r="BO191" t="s">
        <v>12</v>
      </c>
      <c r="BQ191" t="s">
        <v>1676</v>
      </c>
      <c r="BR191" t="s">
        <v>1705</v>
      </c>
      <c r="BS191" s="4" t="str">
        <f>HYPERLINK("http://exon.niaid.nih.gov/transcriptome/C_felis/S1/links/CDD/cf-contig_669-CDD.txt","Peptidase_S28")</f>
        <v>Peptidase_S28</v>
      </c>
      <c r="BT191" t="str">
        <f>HYPERLINK("http://www.ncbi.nlm.nih.gov/Structure/cdd/cddsrv.cgi?uid=pfam05577&amp;version=v4.0","2E-020")</f>
        <v>2E-020</v>
      </c>
      <c r="BU191" t="s">
        <v>4108</v>
      </c>
      <c r="BV191" s="4" t="s">
        <v>4109</v>
      </c>
      <c r="BW191">
        <f>HYPERLINK("http://exon.niaid.nih.gov/transcriptome/C_felis/S1/links/GO/cf-contig_669-GO.txt",5E-22)</f>
        <v>4.9999999999999995E-22</v>
      </c>
      <c r="BX191" t="str">
        <f>HYPERLINK("http://amigo.geneontology.org/cgi-bin/amigo/term_details?term=GO:0008236","GO:0008236")</f>
        <v>GO:0008236</v>
      </c>
      <c r="BY191" t="s">
        <v>4110</v>
      </c>
      <c r="BZ191" t="s">
        <v>4111</v>
      </c>
      <c r="CA191" t="s">
        <v>4112</v>
      </c>
      <c r="CB191" t="s">
        <v>42</v>
      </c>
      <c r="CD191" s="5">
        <v>4.9999999999999995E-22</v>
      </c>
      <c r="CE191" t="str">
        <f>HYPERLINK("http://amigo.geneontology.org/cgi-bin/amigo/term_details?term=GO:0005575","GO:0005575")</f>
        <v>GO:0005575</v>
      </c>
      <c r="CF191" t="s">
        <v>1838</v>
      </c>
      <c r="CG191" t="s">
        <v>1839</v>
      </c>
      <c r="CH191" t="s">
        <v>1840</v>
      </c>
      <c r="CI191" t="s">
        <v>42</v>
      </c>
      <c r="CK191" s="5">
        <v>4.9999999999999995E-22</v>
      </c>
      <c r="CL191" t="str">
        <f>HYPERLINK("http://amigo.geneontology.org/cgi-bin/amigo/term_details?term=GO:0006508","GO:0006508")</f>
        <v>GO:0006508</v>
      </c>
      <c r="CM191" t="s">
        <v>3010</v>
      </c>
      <c r="CN191" t="s">
        <v>3011</v>
      </c>
      <c r="CO191" t="s">
        <v>3012</v>
      </c>
      <c r="CP191" t="s">
        <v>42</v>
      </c>
      <c r="CR191" s="5">
        <v>4.9999999999999995E-22</v>
      </c>
      <c r="CS191" s="4" t="str">
        <f>HYPERLINK("http://exon.niaid.nih.gov/transcriptome/C_felis/S1/links/KOG/cf-contig_669-KOG.txt","Hydrolytic enzymes of the alpha/beta hydrolase fold")</f>
        <v>Hydrolytic enzymes of the alpha/beta hydrolase fold</v>
      </c>
      <c r="CT191" t="str">
        <f>HYPERLINK("http://www.ncbi.nlm.nih.gov/COG/grace/shokog.cgi?KOG2182","2E-024")</f>
        <v>2E-024</v>
      </c>
      <c r="CU191" t="s">
        <v>2132</v>
      </c>
      <c r="CV191" s="4" t="str">
        <f>HYPERLINK("http://exon.niaid.nih.gov/transcriptome/C_felis/S1/links/PFAM/cf-contig_669-PFAM.txt","Peptidase_S28")</f>
        <v>Peptidase_S28</v>
      </c>
      <c r="CW191" t="str">
        <f>HYPERLINK("http://pfam.sanger.ac.uk/family?acc=PF05577","6E-021")</f>
        <v>6E-021</v>
      </c>
      <c r="CX191" s="4" t="str">
        <f>HYPERLINK("http://exon.niaid.nih.gov/transcriptome/C_felis/S1/links/SMART/cf-contig_669-SMART.txt","Arfaptin")</f>
        <v>Arfaptin</v>
      </c>
      <c r="CY191" t="str">
        <f>HYPERLINK("http://smart.embl-heidelberg.de/smart/do_annotation.pl?DOMAIN=Arfaptin&amp;BLAST=DUMMY","0.38")</f>
        <v>0.38</v>
      </c>
      <c r="CZ191" s="4" t="s">
        <v>42</v>
      </c>
      <c r="DA191" t="s">
        <v>42</v>
      </c>
      <c r="DB191" t="s">
        <v>42</v>
      </c>
      <c r="DC191" t="s">
        <v>42</v>
      </c>
      <c r="DD191" t="s">
        <v>42</v>
      </c>
      <c r="DE191" t="s">
        <v>42</v>
      </c>
      <c r="DF191" t="s">
        <v>42</v>
      </c>
      <c r="DG191" t="s">
        <v>42</v>
      </c>
      <c r="DH191" s="4" t="s">
        <v>42</v>
      </c>
      <c r="DI191" t="s">
        <v>42</v>
      </c>
      <c r="DJ191" s="4" t="s">
        <v>42</v>
      </c>
      <c r="DK191" t="s">
        <v>42</v>
      </c>
      <c r="DL191" s="4">
        <v>547</v>
      </c>
      <c r="DM191">
        <v>1</v>
      </c>
      <c r="DN191" s="4">
        <v>559</v>
      </c>
      <c r="DO191">
        <v>1</v>
      </c>
      <c r="DP191" s="4">
        <v>571</v>
      </c>
      <c r="DQ191">
        <v>1</v>
      </c>
      <c r="DR191" s="4">
        <v>592</v>
      </c>
      <c r="DS191">
        <v>1</v>
      </c>
      <c r="DT191" s="4">
        <v>605</v>
      </c>
      <c r="DU191">
        <v>1</v>
      </c>
      <c r="DV191" s="4">
        <v>619</v>
      </c>
      <c r="DW191">
        <v>1</v>
      </c>
      <c r="DX191" s="4">
        <v>628</v>
      </c>
      <c r="DY191">
        <v>1</v>
      </c>
      <c r="DZ191" s="4">
        <v>638</v>
      </c>
      <c r="EA191">
        <v>1</v>
      </c>
      <c r="EB191" s="4">
        <v>643</v>
      </c>
      <c r="EC191">
        <v>1</v>
      </c>
      <c r="ED191" s="4">
        <v>647</v>
      </c>
      <c r="EE191">
        <v>1</v>
      </c>
      <c r="EF191" s="4">
        <v>653</v>
      </c>
      <c r="EG191">
        <v>1</v>
      </c>
      <c r="EH191" s="4">
        <v>661</v>
      </c>
      <c r="EI191">
        <v>1</v>
      </c>
      <c r="EJ191" s="4">
        <v>669</v>
      </c>
      <c r="EK191">
        <v>1</v>
      </c>
    </row>
    <row r="192" spans="1:141" x14ac:dyDescent="0.2">
      <c r="A192" t="str">
        <f>HYPERLINK("http://exon.niaid.nih.gov/transcriptome/C_felis/S1/links/cf/cf-contig_516.txt","cf-contig_516")</f>
        <v>cf-contig_516</v>
      </c>
      <c r="B192">
        <v>1</v>
      </c>
      <c r="C192" s="10" t="s">
        <v>4790</v>
      </c>
      <c r="D192">
        <v>1</v>
      </c>
      <c r="E192" t="str">
        <f>HYPERLINK("http://exon.niaid.nih.gov/transcriptome/C_felis/S1/links/cf/cf-5-36-asb-516.txt","Contig-516")</f>
        <v>Contig-516</v>
      </c>
      <c r="F192" t="str">
        <f>HYPERLINK("http://exon.niaid.nih.gov/transcriptome/C_felis/S1/links/cf/cf-5-36-516-CLU.txt","Contig516")</f>
        <v>Contig516</v>
      </c>
      <c r="G192" t="str">
        <f>HYPERLINK("http://exon.niaid.nih.gov/transcriptome/C_felis/S1/links/cf/cf-5-36-516-qual.txt","62.6")</f>
        <v>62.6</v>
      </c>
      <c r="H192" t="s">
        <v>11</v>
      </c>
      <c r="I192">
        <v>73.400000000000006</v>
      </c>
      <c r="J192">
        <v>195</v>
      </c>
      <c r="K192" t="s">
        <v>12</v>
      </c>
      <c r="L192">
        <v>1</v>
      </c>
      <c r="M192" t="s">
        <v>529</v>
      </c>
      <c r="N192">
        <v>195</v>
      </c>
      <c r="O192">
        <v>214</v>
      </c>
      <c r="P192">
        <v>135</v>
      </c>
      <c r="Q192" t="s">
        <v>1335</v>
      </c>
      <c r="R192">
        <v>3</v>
      </c>
      <c r="S192" s="7" t="s">
        <v>4585</v>
      </c>
      <c r="U192">
        <v>1</v>
      </c>
      <c r="V192" s="4">
        <v>421</v>
      </c>
      <c r="W192">
        <v>1</v>
      </c>
      <c r="X192" s="4">
        <v>430</v>
      </c>
      <c r="Y192">
        <v>1</v>
      </c>
      <c r="Z192" s="4">
        <v>435</v>
      </c>
      <c r="AA192">
        <v>1</v>
      </c>
      <c r="AB192" s="4" t="str">
        <f>HYPERLINK("http://exon.niaid.nih.gov/transcriptome/C_felis/S1/links/XC-ASB/cf-contig_516-XC-ASB.txt","XC-contig_209")</f>
        <v>XC-contig_209</v>
      </c>
      <c r="AC192">
        <v>3.5999999999999997E-2</v>
      </c>
      <c r="AD192" s="10" t="s">
        <v>4790</v>
      </c>
      <c r="AE192" t="s">
        <v>4663</v>
      </c>
      <c r="AF192" t="str">
        <f>HYPERLINK("http://exon.niaid.nih.gov/transcriptome/C_felis/S1/links/KOG/cf-contig_516-KOG.txt","KOG")</f>
        <v>KOG</v>
      </c>
      <c r="AG192">
        <v>7.9999999999999995E-11</v>
      </c>
      <c r="AH192">
        <v>8.5</v>
      </c>
      <c r="AI192" s="4" t="str">
        <f>HYPERLINK("http://exon.niaid.nih.gov/transcriptome/C_felis/S1/links/NR/cf-contig_516-NR.txt","GF19216")</f>
        <v>GF19216</v>
      </c>
      <c r="AJ192" t="str">
        <f>HYPERLINK("http://www.ncbi.nlm.nih.gov/sutils/blink.cgi?pid=194769430","2E-008")</f>
        <v>2E-008</v>
      </c>
      <c r="AK192" t="str">
        <f>HYPERLINK("http://www.ncbi.nlm.nih.gov/protein/194769430","gi|194769430")</f>
        <v>gi|194769430</v>
      </c>
      <c r="AL192">
        <v>62.4</v>
      </c>
      <c r="AM192">
        <v>32</v>
      </c>
      <c r="AN192">
        <v>449</v>
      </c>
      <c r="AO192">
        <v>81</v>
      </c>
      <c r="AP192">
        <v>7</v>
      </c>
      <c r="AQ192">
        <v>6</v>
      </c>
      <c r="AR192">
        <v>0</v>
      </c>
      <c r="AS192">
        <v>406</v>
      </c>
      <c r="AT192">
        <v>11</v>
      </c>
      <c r="AU192">
        <v>1</v>
      </c>
      <c r="AV192">
        <v>2</v>
      </c>
      <c r="AW192" t="s">
        <v>12</v>
      </c>
      <c r="AY192" t="s">
        <v>1676</v>
      </c>
      <c r="AZ192" t="s">
        <v>3550</v>
      </c>
      <c r="BA192" s="4" t="str">
        <f>HYPERLINK("http://exon.niaid.nih.gov/transcriptome/C_felis/S1/links/SWISSP/cf-contig_516-SWISSP.txt","Dolichyl-diphosphooligosaccharide--protein glycosyltransferase 48 kDa subunit")</f>
        <v>Dolichyl-diphosphooligosaccharide--protein glycosyltransferase 48 kDa subunit</v>
      </c>
      <c r="BB192" t="str">
        <f>HYPERLINK("http://www.uniprot.org/uniprot/Q24319","3E-009")</f>
        <v>3E-009</v>
      </c>
      <c r="BC192" t="s">
        <v>3551</v>
      </c>
      <c r="BD192">
        <v>60.5</v>
      </c>
      <c r="BE192">
        <v>31</v>
      </c>
      <c r="BF192">
        <v>449</v>
      </c>
      <c r="BG192">
        <v>81</v>
      </c>
      <c r="BH192">
        <v>7</v>
      </c>
      <c r="BI192">
        <v>6</v>
      </c>
      <c r="BJ192">
        <v>0</v>
      </c>
      <c r="BK192">
        <v>406</v>
      </c>
      <c r="BL192">
        <v>11</v>
      </c>
      <c r="BM192">
        <v>1</v>
      </c>
      <c r="BN192">
        <v>2</v>
      </c>
      <c r="BO192" t="s">
        <v>12</v>
      </c>
      <c r="BQ192" t="s">
        <v>1676</v>
      </c>
      <c r="BR192" t="s">
        <v>1804</v>
      </c>
      <c r="BS192" s="4" t="str">
        <f>HYPERLINK("http://exon.niaid.nih.gov/transcriptome/C_felis/S1/links/CDD/cf-contig_516-CDD.txt","DDOST_48kD")</f>
        <v>DDOST_48kD</v>
      </c>
      <c r="BT192" t="str">
        <f>HYPERLINK("http://www.ncbi.nlm.nih.gov/Structure/cdd/cddsrv.cgi?uid=pfam03345&amp;version=v4.0","5E-009")</f>
        <v>5E-009</v>
      </c>
      <c r="BU192" t="s">
        <v>3552</v>
      </c>
      <c r="BV192" s="4" t="s">
        <v>3553</v>
      </c>
      <c r="BW192">
        <f>HYPERLINK("http://exon.niaid.nih.gov/transcriptome/C_felis/S1/links/GO/cf-contig_516-GO.txt",0.000000002)</f>
        <v>2.0000000000000001E-9</v>
      </c>
      <c r="BX192" t="str">
        <f>HYPERLINK("http://amigo.geneontology.org/cgi-bin/amigo/term_details?term=GO:0004579","GO:0004579")</f>
        <v>GO:0004579</v>
      </c>
      <c r="BY192" t="s">
        <v>3554</v>
      </c>
      <c r="BZ192" t="s">
        <v>3555</v>
      </c>
      <c r="CA192" t="s">
        <v>3556</v>
      </c>
      <c r="CB192" t="str">
        <f>HYPERLINK("http://www.genome.jp/dbget-bin/www_bfind_sub?mode=bfind&amp;max_hit=1000&amp;dbkey=kegg&amp;keywords=EC:2.4.1.119","EC:2.4.1.119")</f>
        <v>EC:2.4.1.119</v>
      </c>
      <c r="CD192">
        <v>2.0000000000000001E-9</v>
      </c>
      <c r="CE192" t="str">
        <f>HYPERLINK("http://amigo.geneontology.org/cgi-bin/amigo/term_details?term=GO:0005789","GO:0005789")</f>
        <v>GO:0005789</v>
      </c>
      <c r="CF192" t="s">
        <v>3557</v>
      </c>
      <c r="CG192" t="s">
        <v>3558</v>
      </c>
      <c r="CH192" t="s">
        <v>3559</v>
      </c>
      <c r="CI192" t="s">
        <v>42</v>
      </c>
      <c r="CK192">
        <v>2.0000000000000001E-9</v>
      </c>
      <c r="CL192" t="str">
        <f>HYPERLINK("http://amigo.geneontology.org/cgi-bin/amigo/term_details?term=GO:0006487","GO:0006487")</f>
        <v>GO:0006487</v>
      </c>
      <c r="CM192" t="s">
        <v>3560</v>
      </c>
      <c r="CN192" t="s">
        <v>3561</v>
      </c>
      <c r="CO192" t="s">
        <v>3562</v>
      </c>
      <c r="CP192" t="s">
        <v>42</v>
      </c>
      <c r="CR192">
        <v>2.0000000000000001E-9</v>
      </c>
      <c r="CS192" s="4" t="str">
        <f>HYPERLINK("http://exon.niaid.nih.gov/transcriptome/C_felis/S1/links/KOG/cf-contig_516-KOG.txt","Oligosaccharyltransferase, beta subunit")</f>
        <v>Oligosaccharyltransferase, beta subunit</v>
      </c>
      <c r="CT192" t="str">
        <f>HYPERLINK("http://www.ncbi.nlm.nih.gov/COG/grace/shokog.cgi?KOG2754","8E-011")</f>
        <v>8E-011</v>
      </c>
      <c r="CU192" t="s">
        <v>2198</v>
      </c>
      <c r="CV192" s="4" t="str">
        <f>HYPERLINK("http://exon.niaid.nih.gov/transcriptome/C_felis/S1/links/PFAM/cf-contig_516-PFAM.txt","DDOST_48kD")</f>
        <v>DDOST_48kD</v>
      </c>
      <c r="CW192" t="str">
        <f>HYPERLINK("http://pfam.sanger.ac.uk/family?acc=PF03345","1E-009")</f>
        <v>1E-009</v>
      </c>
      <c r="CX192" s="4" t="str">
        <f>HYPERLINK("http://exon.niaid.nih.gov/transcriptome/C_felis/S1/links/SMART/cf-contig_516-SMART.txt","HTTM")</f>
        <v>HTTM</v>
      </c>
      <c r="CY192" t="str">
        <f>HYPERLINK("http://smart.embl-heidelberg.de/smart/do_annotation.pl?DOMAIN=HTTM&amp;BLAST=DUMMY","0.17")</f>
        <v>0.17</v>
      </c>
      <c r="CZ192" s="4" t="s">
        <v>42</v>
      </c>
      <c r="DA192" t="s">
        <v>42</v>
      </c>
      <c r="DB192" t="s">
        <v>42</v>
      </c>
      <c r="DC192" t="s">
        <v>42</v>
      </c>
      <c r="DD192" t="s">
        <v>42</v>
      </c>
      <c r="DE192" t="s">
        <v>42</v>
      </c>
      <c r="DF192" t="s">
        <v>42</v>
      </c>
      <c r="DG192" t="s">
        <v>42</v>
      </c>
      <c r="DH192" s="4" t="s">
        <v>42</v>
      </c>
      <c r="DI192" t="s">
        <v>42</v>
      </c>
      <c r="DJ192" s="4" t="s">
        <v>42</v>
      </c>
      <c r="DK192" t="s">
        <v>42</v>
      </c>
      <c r="DL192" s="4">
        <v>421</v>
      </c>
      <c r="DM192">
        <v>1</v>
      </c>
      <c r="DN192" s="4">
        <v>430</v>
      </c>
      <c r="DO192">
        <v>1</v>
      </c>
      <c r="DP192" s="4">
        <v>435</v>
      </c>
      <c r="DQ192">
        <v>1</v>
      </c>
      <c r="DR192" s="4">
        <v>450</v>
      </c>
      <c r="DS192">
        <v>1</v>
      </c>
      <c r="DT192" s="4">
        <v>461</v>
      </c>
      <c r="DU192">
        <v>1</v>
      </c>
      <c r="DV192" s="4">
        <v>475</v>
      </c>
      <c r="DW192">
        <v>1</v>
      </c>
      <c r="DX192" s="4">
        <v>481</v>
      </c>
      <c r="DY192">
        <v>1</v>
      </c>
      <c r="DZ192" s="4">
        <v>489</v>
      </c>
      <c r="EA192">
        <v>1</v>
      </c>
      <c r="EB192" s="4">
        <v>494</v>
      </c>
      <c r="EC192">
        <v>1</v>
      </c>
      <c r="ED192" s="4">
        <v>498</v>
      </c>
      <c r="EE192">
        <v>1</v>
      </c>
      <c r="EF192" s="4">
        <v>503</v>
      </c>
      <c r="EG192">
        <v>1</v>
      </c>
      <c r="EH192" s="4">
        <v>509</v>
      </c>
      <c r="EI192">
        <v>1</v>
      </c>
      <c r="EJ192" s="4">
        <v>516</v>
      </c>
      <c r="EK192">
        <v>1</v>
      </c>
    </row>
    <row r="193" spans="1:141" x14ac:dyDescent="0.2">
      <c r="A193" t="str">
        <f>HYPERLINK("http://exon.niaid.nih.gov/transcriptome/C_felis/S1/links/cf/cf-contig_628.txt","cf-contig_628")</f>
        <v>cf-contig_628</v>
      </c>
      <c r="B193">
        <v>1</v>
      </c>
      <c r="C193" s="10" t="s">
        <v>4828</v>
      </c>
      <c r="D193">
        <v>1</v>
      </c>
      <c r="E193" t="str">
        <f>HYPERLINK("http://exon.niaid.nih.gov/transcriptome/C_felis/S1/links/cf/cf-5-36-asb-628.txt","Contig-628")</f>
        <v>Contig-628</v>
      </c>
      <c r="F193" t="str">
        <f>HYPERLINK("http://exon.niaid.nih.gov/transcriptome/C_felis/S1/links/cf/cf-5-36-628-CLU.txt","Contig628")</f>
        <v>Contig628</v>
      </c>
      <c r="G193" t="str">
        <f>HYPERLINK("http://exon.niaid.nih.gov/transcriptome/C_felis/S1/links/cf/cf-5-36-628-qual.txt","65.5")</f>
        <v>65.5</v>
      </c>
      <c r="H193" t="s">
        <v>11</v>
      </c>
      <c r="I193">
        <v>70.3</v>
      </c>
      <c r="J193">
        <v>443</v>
      </c>
      <c r="K193" t="s">
        <v>12</v>
      </c>
      <c r="L193">
        <v>1</v>
      </c>
      <c r="M193" t="s">
        <v>641</v>
      </c>
      <c r="N193">
        <v>443</v>
      </c>
      <c r="O193">
        <v>462</v>
      </c>
      <c r="P193">
        <v>234</v>
      </c>
      <c r="Q193" t="s">
        <v>1447</v>
      </c>
      <c r="R193">
        <v>1</v>
      </c>
      <c r="S193" s="7" t="str">
        <f>HYPERLINK("http://exon.niaid.nih.gov/transcriptome/C_felis/S1/links/Sigp/CF-CONTIG_628-SigP.txt","Cyt")</f>
        <v>Cyt</v>
      </c>
      <c r="U193">
        <v>1</v>
      </c>
      <c r="V193" s="4">
        <v>513</v>
      </c>
      <c r="W193">
        <v>1</v>
      </c>
      <c r="X193" s="4">
        <v>525</v>
      </c>
      <c r="Y193">
        <v>1</v>
      </c>
      <c r="Z193" s="4">
        <v>535</v>
      </c>
      <c r="AA193">
        <v>1</v>
      </c>
      <c r="AB193" s="4" t="str">
        <f>HYPERLINK("http://exon.niaid.nih.gov/transcriptome/C_felis/S1/links/XC-ASB/cf-contig_628-XC-ASB.txt","XC-contig_215")</f>
        <v>XC-contig_215</v>
      </c>
      <c r="AC193">
        <v>0.25</v>
      </c>
      <c r="AD193" s="10" t="s">
        <v>4828</v>
      </c>
      <c r="AE193" t="s">
        <v>4663</v>
      </c>
      <c r="AF193" t="str">
        <f>HYPERLINK("http://exon.niaid.nih.gov/transcriptome/C_felis/S1/links/KOG/cf-contig_628-KOG.txt","KOG")</f>
        <v>KOG</v>
      </c>
      <c r="AG193" s="5">
        <v>1.9999999999999999E-34</v>
      </c>
      <c r="AH193">
        <v>9.5</v>
      </c>
      <c r="AI193" s="4" t="str">
        <f>HYPERLINK("http://exon.niaid.nih.gov/transcriptome/C_felis/S1/links/NR/cf-contig_628-NR.txt","hypothetical protein TcasGA2_TC010433")</f>
        <v>hypothetical protein TcasGA2_TC010433</v>
      </c>
      <c r="AJ193" t="str">
        <f>HYPERLINK("http://www.ncbi.nlm.nih.gov/sutils/blink.cgi?pid=270006562","5E-035")</f>
        <v>5E-035</v>
      </c>
      <c r="AK193" t="str">
        <f>HYPERLINK("http://www.ncbi.nlm.nih.gov/protein/270006562","gi|270006562")</f>
        <v>gi|270006562</v>
      </c>
      <c r="AL193">
        <v>150</v>
      </c>
      <c r="AM193">
        <v>74</v>
      </c>
      <c r="AN193">
        <v>706</v>
      </c>
      <c r="AO193">
        <v>93</v>
      </c>
      <c r="AP193">
        <v>11</v>
      </c>
      <c r="AQ193">
        <v>5</v>
      </c>
      <c r="AR193">
        <v>0</v>
      </c>
      <c r="AS193">
        <v>632</v>
      </c>
      <c r="AT193">
        <v>10</v>
      </c>
      <c r="AU193">
        <v>1</v>
      </c>
      <c r="AV193">
        <v>1</v>
      </c>
      <c r="AW193" t="s">
        <v>12</v>
      </c>
      <c r="AY193" t="s">
        <v>1676</v>
      </c>
      <c r="AZ193" t="s">
        <v>1878</v>
      </c>
      <c r="BA193" s="4" t="str">
        <f>HYPERLINK("http://exon.niaid.nih.gov/transcriptome/C_felis/S1/links/SWISSP/cf-contig_628-SWISSP.txt","Dolichyl-diphosphooligosaccharide--protein glycosyltransferase subunit STT3A")</f>
        <v>Dolichyl-diphosphooligosaccharide--protein glycosyltransferase subunit STT3A</v>
      </c>
      <c r="BB193" t="str">
        <f>HYPERLINK("http://www.uniprot.org/uniprot/Q5RCE2","1E-032")</f>
        <v>1E-032</v>
      </c>
      <c r="BC193" t="s">
        <v>3977</v>
      </c>
      <c r="BD193">
        <v>139</v>
      </c>
      <c r="BE193">
        <v>74</v>
      </c>
      <c r="BF193">
        <v>705</v>
      </c>
      <c r="BG193">
        <v>85</v>
      </c>
      <c r="BH193">
        <v>11</v>
      </c>
      <c r="BI193">
        <v>11</v>
      </c>
      <c r="BJ193">
        <v>0</v>
      </c>
      <c r="BK193">
        <v>628</v>
      </c>
      <c r="BL193">
        <v>10</v>
      </c>
      <c r="BM193">
        <v>1</v>
      </c>
      <c r="BN193">
        <v>1</v>
      </c>
      <c r="BO193" t="s">
        <v>12</v>
      </c>
      <c r="BQ193" t="s">
        <v>1676</v>
      </c>
      <c r="BR193" t="s">
        <v>2347</v>
      </c>
      <c r="BS193" s="4" t="str">
        <f>HYPERLINK("http://exon.niaid.nih.gov/transcriptome/C_felis/S1/links/CDD/cf-contig_628-CDD.txt","ND4")</f>
        <v>ND4</v>
      </c>
      <c r="BT193" t="str">
        <f>HYPERLINK("http://www.ncbi.nlm.nih.gov/Structure/cdd/cddsrv.cgi?uid=MTH00163&amp;version=v4.0","0.034")</f>
        <v>0.034</v>
      </c>
      <c r="BU193" t="s">
        <v>3978</v>
      </c>
      <c r="BV193" s="4" t="s">
        <v>3979</v>
      </c>
      <c r="BW193">
        <f>HYPERLINK("http://exon.niaid.nih.gov/transcriptome/C_felis/S1/links/GO/cf-contig_628-GO.txt",2E-33)</f>
        <v>2.0000000000000001E-33</v>
      </c>
      <c r="BX193" t="str">
        <f>HYPERLINK("http://amigo.geneontology.org/cgi-bin/amigo/term_details?term=GO:0004576","GO:0004576")</f>
        <v>GO:0004576</v>
      </c>
      <c r="BY193" t="s">
        <v>3980</v>
      </c>
      <c r="BZ193" t="s">
        <v>3981</v>
      </c>
      <c r="CA193" t="s">
        <v>3982</v>
      </c>
      <c r="CB193" t="str">
        <f>HYPERLINK("http://www.genome.jp/dbget-bin/www_bfind_sub?mode=bfind&amp;max_hit=1000&amp;dbkey=kegg&amp;keywords=EC:2.4.1.-","EC:2.4.1.-")</f>
        <v>EC:2.4.1.-</v>
      </c>
      <c r="CD193" s="5">
        <v>2.0000000000000001E-33</v>
      </c>
      <c r="CE193" t="str">
        <f>HYPERLINK("http://amigo.geneontology.org/cgi-bin/amigo/term_details?term=GO:0016020","GO:0016020")</f>
        <v>GO:0016020</v>
      </c>
      <c r="CF193" t="s">
        <v>2444</v>
      </c>
      <c r="CG193" t="s">
        <v>2445</v>
      </c>
      <c r="CH193" t="s">
        <v>42</v>
      </c>
      <c r="CI193" t="s">
        <v>42</v>
      </c>
      <c r="CK193" s="5">
        <v>2.0000000000000001E-33</v>
      </c>
      <c r="CL193" t="str">
        <f>HYPERLINK("http://amigo.geneontology.org/cgi-bin/amigo/term_details?term=GO:0006486","GO:0006486")</f>
        <v>GO:0006486</v>
      </c>
      <c r="CM193" t="s">
        <v>3983</v>
      </c>
      <c r="CN193" t="s">
        <v>3984</v>
      </c>
      <c r="CO193" t="s">
        <v>3985</v>
      </c>
      <c r="CP193" t="s">
        <v>42</v>
      </c>
      <c r="CR193" s="5">
        <v>2.0000000000000001E-33</v>
      </c>
      <c r="CS193" s="4" t="str">
        <f>HYPERLINK("http://exon.niaid.nih.gov/transcriptome/C_felis/S1/links/KOG/cf-contig_628-KOG.txt","Oligosaccharyltransferase, STT3 subunit")</f>
        <v>Oligosaccharyltransferase, STT3 subunit</v>
      </c>
      <c r="CT193" t="str">
        <f>HYPERLINK("http://www.ncbi.nlm.nih.gov/COG/grace/shokog.cgi?KOG2292","2E-034")</f>
        <v>2E-034</v>
      </c>
      <c r="CU193" t="s">
        <v>2198</v>
      </c>
      <c r="CV193" s="4" t="str">
        <f>HYPERLINK("http://exon.niaid.nih.gov/transcriptome/C_felis/S1/links/PFAM/cf-contig_628-PFAM.txt","7TM_GPCR_Sra")</f>
        <v>7TM_GPCR_Sra</v>
      </c>
      <c r="CW193" t="str">
        <f>HYPERLINK("http://pfam.sanger.ac.uk/family?acc=PF02117","0.032")</f>
        <v>0.032</v>
      </c>
      <c r="CX193" s="4" t="str">
        <f>HYPERLINK("http://exon.niaid.nih.gov/transcriptome/C_felis/S1/links/SMART/cf-contig_628-SMART.txt","PSN")</f>
        <v>PSN</v>
      </c>
      <c r="CY193" t="str">
        <f>HYPERLINK("http://smart.embl-heidelberg.de/smart/do_annotation.pl?DOMAIN=PSN&amp;BLAST=DUMMY","0.069")</f>
        <v>0.069</v>
      </c>
      <c r="CZ193" s="4" t="s">
        <v>42</v>
      </c>
      <c r="DA193" t="s">
        <v>42</v>
      </c>
      <c r="DB193" t="s">
        <v>42</v>
      </c>
      <c r="DC193" t="s">
        <v>42</v>
      </c>
      <c r="DD193" t="s">
        <v>42</v>
      </c>
      <c r="DE193" t="s">
        <v>42</v>
      </c>
      <c r="DF193" t="s">
        <v>42</v>
      </c>
      <c r="DG193" t="s">
        <v>42</v>
      </c>
      <c r="DH193" s="4" t="s">
        <v>42</v>
      </c>
      <c r="DI193" t="s">
        <v>42</v>
      </c>
      <c r="DJ193" s="4" t="s">
        <v>42</v>
      </c>
      <c r="DK193" t="s">
        <v>42</v>
      </c>
      <c r="DL193" s="4">
        <v>513</v>
      </c>
      <c r="DM193">
        <v>1</v>
      </c>
      <c r="DN193" s="4">
        <v>525</v>
      </c>
      <c r="DO193">
        <v>1</v>
      </c>
      <c r="DP193" s="4">
        <v>535</v>
      </c>
      <c r="DQ193">
        <v>1</v>
      </c>
      <c r="DR193" s="4">
        <v>554</v>
      </c>
      <c r="DS193">
        <v>1</v>
      </c>
      <c r="DT193" s="4">
        <v>567</v>
      </c>
      <c r="DU193">
        <v>1</v>
      </c>
      <c r="DV193" s="4">
        <v>581</v>
      </c>
      <c r="DW193">
        <v>1</v>
      </c>
      <c r="DX193" s="4">
        <v>590</v>
      </c>
      <c r="DY193">
        <v>1</v>
      </c>
      <c r="DZ193" s="4">
        <v>598</v>
      </c>
      <c r="EA193">
        <v>1</v>
      </c>
      <c r="EB193" s="4">
        <v>603</v>
      </c>
      <c r="EC193">
        <v>1</v>
      </c>
      <c r="ED193" s="4">
        <v>607</v>
      </c>
      <c r="EE193">
        <v>1</v>
      </c>
      <c r="EF193" s="4">
        <v>613</v>
      </c>
      <c r="EG193">
        <v>1</v>
      </c>
      <c r="EH193" s="4">
        <v>621</v>
      </c>
      <c r="EI193">
        <v>1</v>
      </c>
      <c r="EJ193" s="4">
        <v>628</v>
      </c>
      <c r="EK193">
        <v>1</v>
      </c>
    </row>
    <row r="194" spans="1:141" x14ac:dyDescent="0.2">
      <c r="A194" t="str">
        <f>HYPERLINK("http://exon.niaid.nih.gov/transcriptome/C_felis/S1/links/cf/cf-contig_775.txt","cf-contig_775")</f>
        <v>cf-contig_775</v>
      </c>
      <c r="B194">
        <v>1</v>
      </c>
      <c r="C194" s="10" t="s">
        <v>4873</v>
      </c>
      <c r="D194">
        <v>1</v>
      </c>
      <c r="E194" t="str">
        <f>HYPERLINK("http://exon.niaid.nih.gov/transcriptome/C_felis/S1/links/cf/cf-5-36-asb-775.txt","Contig-775")</f>
        <v>Contig-775</v>
      </c>
      <c r="F194" t="str">
        <f>HYPERLINK("http://exon.niaid.nih.gov/transcriptome/C_felis/S1/links/cf/cf-5-36-775-CLU.txt","Contig775")</f>
        <v>Contig775</v>
      </c>
      <c r="G194" t="str">
        <f>HYPERLINK("http://exon.niaid.nih.gov/transcriptome/C_felis/S1/links/cf/cf-5-36-775-qual.txt","43.3")</f>
        <v>43.3</v>
      </c>
      <c r="H194" t="s">
        <v>11</v>
      </c>
      <c r="I194">
        <v>65.5</v>
      </c>
      <c r="J194" t="s">
        <v>42</v>
      </c>
      <c r="K194" t="s">
        <v>12</v>
      </c>
      <c r="L194">
        <v>1</v>
      </c>
      <c r="M194" t="s">
        <v>788</v>
      </c>
      <c r="N194" t="s">
        <v>42</v>
      </c>
      <c r="O194">
        <v>374</v>
      </c>
      <c r="P194">
        <v>216</v>
      </c>
      <c r="Q194" t="s">
        <v>1594</v>
      </c>
      <c r="R194">
        <v>1</v>
      </c>
      <c r="S194" s="7" t="str">
        <f>HYPERLINK("http://exon.niaid.nih.gov/transcriptome/C_felis/S1/links/Sigp/CF-CONTIG_775-SigP.txt","Cyt")</f>
        <v>Cyt</v>
      </c>
      <c r="U194">
        <v>1</v>
      </c>
      <c r="V194" s="4">
        <v>622</v>
      </c>
      <c r="W194">
        <v>1</v>
      </c>
      <c r="X194" s="4">
        <v>643</v>
      </c>
      <c r="Y194">
        <v>1</v>
      </c>
      <c r="Z194" s="4">
        <v>659</v>
      </c>
      <c r="AA194">
        <v>1</v>
      </c>
      <c r="AB194" s="4" t="str">
        <f>HYPERLINK("http://exon.niaid.nih.gov/transcriptome/C_felis/S1/links/XC-ASB/cf-contig_775-XC-ASB.txt","XC-contig_227")</f>
        <v>XC-contig_227</v>
      </c>
      <c r="AC194">
        <v>5.5E-2</v>
      </c>
      <c r="AD194" s="10" t="s">
        <v>4873</v>
      </c>
      <c r="AE194" t="s">
        <v>4811</v>
      </c>
      <c r="AF194" t="str">
        <f>HYPERLINK("http://exon.niaid.nih.gov/transcriptome/C_felis/S1/links/NR/cf-contig_775-NR.txt","NR")</f>
        <v>NR</v>
      </c>
      <c r="AG194" s="5">
        <v>4.9999999999999999E-17</v>
      </c>
      <c r="AH194">
        <v>9.4</v>
      </c>
      <c r="AI194" s="4" t="str">
        <f>HYPERLINK("http://exon.niaid.nih.gov/transcriptome/C_felis/S1/links/NR/cf-contig_775-NR.txt","unnamed protein product")</f>
        <v>unnamed protein product</v>
      </c>
      <c r="AJ194" t="str">
        <f>HYPERLINK("http://www.ncbi.nlm.nih.gov/sutils/blink.cgi?pid=47222200","1E-017")</f>
        <v>1E-017</v>
      </c>
      <c r="AK194" t="str">
        <f>HYPERLINK("http://www.ncbi.nlm.nih.gov/protein/47222200","gi|47222200")</f>
        <v>gi|47222200</v>
      </c>
      <c r="AL194">
        <v>93.6</v>
      </c>
      <c r="AM194">
        <v>65</v>
      </c>
      <c r="AN194">
        <v>731</v>
      </c>
      <c r="AO194">
        <v>66</v>
      </c>
      <c r="AP194">
        <v>9</v>
      </c>
      <c r="AQ194">
        <v>22</v>
      </c>
      <c r="AR194">
        <v>0</v>
      </c>
      <c r="AS194">
        <v>666</v>
      </c>
      <c r="AT194">
        <v>4</v>
      </c>
      <c r="AU194">
        <v>1</v>
      </c>
      <c r="AV194">
        <v>1</v>
      </c>
      <c r="AW194" t="s">
        <v>12</v>
      </c>
      <c r="AY194" t="s">
        <v>1676</v>
      </c>
      <c r="AZ194" t="s">
        <v>4338</v>
      </c>
      <c r="BA194" s="4" t="str">
        <f>HYPERLINK("http://exon.niaid.nih.gov/transcriptome/C_felis/S1/links/SWISSP/cf-contig_775-SWISSP.txt","Prolyl endopeptidase")</f>
        <v>Prolyl endopeptidase</v>
      </c>
      <c r="BB194" t="str">
        <f>HYPERLINK("http://www.uniprot.org/uniprot/P23687","2E-015")</f>
        <v>2E-015</v>
      </c>
      <c r="BC194" t="s">
        <v>4485</v>
      </c>
      <c r="BD194">
        <v>80.900000000000006</v>
      </c>
      <c r="BE194">
        <v>65</v>
      </c>
      <c r="BF194">
        <v>710</v>
      </c>
      <c r="BG194">
        <v>56</v>
      </c>
      <c r="BH194">
        <v>9</v>
      </c>
      <c r="BI194">
        <v>29</v>
      </c>
      <c r="BJ194">
        <v>0</v>
      </c>
      <c r="BK194">
        <v>643</v>
      </c>
      <c r="BL194">
        <v>4</v>
      </c>
      <c r="BM194">
        <v>1</v>
      </c>
      <c r="BN194">
        <v>1</v>
      </c>
      <c r="BO194" t="s">
        <v>12</v>
      </c>
      <c r="BQ194" t="s">
        <v>1676</v>
      </c>
      <c r="BR194" t="s">
        <v>1902</v>
      </c>
      <c r="BS194" s="4" t="str">
        <f>HYPERLINK("http://exon.niaid.nih.gov/transcriptome/C_felis/S1/links/CDD/cf-contig_775-CDD.txt","COG1505")</f>
        <v>COG1505</v>
      </c>
      <c r="BT194" t="str">
        <f>HYPERLINK("http://www.ncbi.nlm.nih.gov/Structure/cdd/cddsrv.cgi?uid=COG1505&amp;version=v4.0","5E-009")</f>
        <v>5E-009</v>
      </c>
      <c r="BU194" t="s">
        <v>4486</v>
      </c>
      <c r="BV194" s="4" t="s">
        <v>4487</v>
      </c>
      <c r="BW194">
        <f>HYPERLINK("http://exon.niaid.nih.gov/transcriptome/C_felis/S1/links/GO/cf-contig_775-GO.txt",0.0000000000000001)</f>
        <v>9.9999999999999998E-17</v>
      </c>
      <c r="BX194" t="str">
        <f>HYPERLINK("http://amigo.geneontology.org/cgi-bin/amigo/term_details?term=GO:0004252","GO:0004252")</f>
        <v>GO:0004252</v>
      </c>
      <c r="BY194" t="s">
        <v>3007</v>
      </c>
      <c r="BZ194" t="s">
        <v>3008</v>
      </c>
      <c r="CA194" t="s">
        <v>3009</v>
      </c>
      <c r="CB194" t="str">
        <f>HYPERLINK("http://www.genome.jp/dbget-bin/www_bfind_sub?mode=bfind&amp;max_hit=1000&amp;dbkey=kegg&amp;keywords=EC:3.4.21","EC:3.4.21")</f>
        <v>EC:3.4.21</v>
      </c>
      <c r="CD194" s="5">
        <v>9.9999999999999998E-17</v>
      </c>
      <c r="CE194" t="str">
        <f>HYPERLINK("http://amigo.geneontology.org/cgi-bin/amigo/term_details?term=GO:0005575","GO:0005575")</f>
        <v>GO:0005575</v>
      </c>
      <c r="CF194" t="s">
        <v>1838</v>
      </c>
      <c r="CG194" t="s">
        <v>1839</v>
      </c>
      <c r="CH194" t="s">
        <v>1840</v>
      </c>
      <c r="CI194" t="s">
        <v>42</v>
      </c>
      <c r="CK194" s="5">
        <v>9.9999999999999998E-17</v>
      </c>
      <c r="CL194" t="str">
        <f>HYPERLINK("http://amigo.geneontology.org/cgi-bin/amigo/term_details?term=GO:0006508","GO:0006508")</f>
        <v>GO:0006508</v>
      </c>
      <c r="CM194" t="s">
        <v>3010</v>
      </c>
      <c r="CN194" t="s">
        <v>3011</v>
      </c>
      <c r="CO194" t="s">
        <v>3012</v>
      </c>
      <c r="CP194" t="s">
        <v>42</v>
      </c>
      <c r="CR194" s="5">
        <v>9.9999999999999998E-17</v>
      </c>
      <c r="CS194" s="4" t="str">
        <f>HYPERLINK("http://exon.niaid.nih.gov/transcriptome/C_felis/S1/links/KOG/cf-contig_775-KOG.txt","Predicted serine protease")</f>
        <v>Predicted serine protease</v>
      </c>
      <c r="CT194" t="str">
        <f>HYPERLINK("http://www.ncbi.nlm.nih.gov/COG/grace/shokog.cgi?KOG2237","1E-016")</f>
        <v>1E-016</v>
      </c>
      <c r="CU194" t="s">
        <v>2198</v>
      </c>
      <c r="CV194" s="4" t="str">
        <f>HYPERLINK("http://exon.niaid.nih.gov/transcriptome/C_felis/S1/links/PFAM/cf-contig_775-PFAM.txt","Peptidase_S9")</f>
        <v>Peptidase_S9</v>
      </c>
      <c r="CW194" t="str">
        <f>HYPERLINK("http://pfam.sanger.ac.uk/family?acc=PF00326","8E-009")</f>
        <v>8E-009</v>
      </c>
      <c r="CX194" s="4" t="str">
        <f>HYPERLINK("http://exon.niaid.nih.gov/transcriptome/C_felis/S1/links/SMART/cf-contig_775-SMART.txt","SapB")</f>
        <v>SapB</v>
      </c>
      <c r="CY194" t="str">
        <f>HYPERLINK("http://smart.embl-heidelberg.de/smart/do_annotation.pl?DOMAIN=SapB&amp;BLAST=DUMMY","0.20")</f>
        <v>0.20</v>
      </c>
      <c r="CZ194" s="4" t="s">
        <v>42</v>
      </c>
      <c r="DA194" t="s">
        <v>42</v>
      </c>
      <c r="DB194" t="s">
        <v>42</v>
      </c>
      <c r="DC194" t="s">
        <v>42</v>
      </c>
      <c r="DD194" t="s">
        <v>42</v>
      </c>
      <c r="DE194" t="s">
        <v>42</v>
      </c>
      <c r="DF194" t="s">
        <v>42</v>
      </c>
      <c r="DG194" t="s">
        <v>42</v>
      </c>
      <c r="DH194" s="4" t="s">
        <v>42</v>
      </c>
      <c r="DI194" t="s">
        <v>42</v>
      </c>
      <c r="DJ194" s="4" t="s">
        <v>42</v>
      </c>
      <c r="DK194" t="s">
        <v>42</v>
      </c>
      <c r="DL194" s="4">
        <v>622</v>
      </c>
      <c r="DM194">
        <v>1</v>
      </c>
      <c r="DN194" s="4">
        <v>643</v>
      </c>
      <c r="DO194">
        <v>1</v>
      </c>
      <c r="DP194" s="4">
        <v>659</v>
      </c>
      <c r="DQ194">
        <v>1</v>
      </c>
      <c r="DR194" s="4">
        <v>681</v>
      </c>
      <c r="DS194">
        <v>1</v>
      </c>
      <c r="DT194" s="4">
        <v>697</v>
      </c>
      <c r="DU194">
        <v>1</v>
      </c>
      <c r="DV194" s="4">
        <v>712</v>
      </c>
      <c r="DW194">
        <v>1</v>
      </c>
      <c r="DX194" s="4">
        <v>726</v>
      </c>
      <c r="DY194">
        <v>1</v>
      </c>
      <c r="DZ194" s="4">
        <v>737</v>
      </c>
      <c r="EA194">
        <v>1</v>
      </c>
      <c r="EB194" s="4">
        <v>743</v>
      </c>
      <c r="EC194">
        <v>1</v>
      </c>
      <c r="ED194" s="4">
        <v>748</v>
      </c>
      <c r="EE194">
        <v>1</v>
      </c>
      <c r="EF194" s="4">
        <v>754</v>
      </c>
      <c r="EG194">
        <v>1</v>
      </c>
      <c r="EH194" s="4">
        <v>766</v>
      </c>
      <c r="EI194">
        <v>1</v>
      </c>
      <c r="EJ194" s="4">
        <v>775</v>
      </c>
      <c r="EK194">
        <v>1</v>
      </c>
    </row>
    <row r="195" spans="1:141" x14ac:dyDescent="0.2">
      <c r="A195" t="str">
        <f>HYPERLINK("http://exon.niaid.nih.gov/transcriptome/C_felis/S1/links/cf/cf-contig_584.txt","cf-contig_584")</f>
        <v>cf-contig_584</v>
      </c>
      <c r="B195">
        <v>1</v>
      </c>
      <c r="C195" s="10" t="s">
        <v>4810</v>
      </c>
      <c r="D195">
        <v>1</v>
      </c>
      <c r="E195" t="str">
        <f>HYPERLINK("http://exon.niaid.nih.gov/transcriptome/C_felis/S1/links/cf/cf-5-36-asb-584.txt","Contig-584")</f>
        <v>Contig-584</v>
      </c>
      <c r="F195" t="str">
        <f>HYPERLINK("http://exon.niaid.nih.gov/transcriptome/C_felis/S1/links/cf/cf-5-36-584-CLU.txt","Contig584")</f>
        <v>Contig584</v>
      </c>
      <c r="G195" t="str">
        <f>HYPERLINK("http://exon.niaid.nih.gov/transcriptome/C_felis/S1/links/cf/cf-5-36-584-qual.txt","65.1")</f>
        <v>65.1</v>
      </c>
      <c r="H195" t="s">
        <v>11</v>
      </c>
      <c r="I195">
        <v>66</v>
      </c>
      <c r="J195">
        <v>522</v>
      </c>
      <c r="K195" t="s">
        <v>12</v>
      </c>
      <c r="L195">
        <v>1</v>
      </c>
      <c r="M195" t="s">
        <v>597</v>
      </c>
      <c r="N195">
        <v>522</v>
      </c>
      <c r="O195">
        <v>541</v>
      </c>
      <c r="P195">
        <v>318</v>
      </c>
      <c r="Q195" t="s">
        <v>1403</v>
      </c>
      <c r="R195">
        <v>1</v>
      </c>
      <c r="S195" s="7" t="str">
        <f>HYPERLINK("http://exon.niaid.nih.gov/transcriptome/C_felis/S1/links/Sigp/CF-CONTIG_584-SigP.txt","Cyt")</f>
        <v>Cyt</v>
      </c>
      <c r="U195">
        <v>1</v>
      </c>
      <c r="V195" s="4">
        <v>476</v>
      </c>
      <c r="W195">
        <v>1</v>
      </c>
      <c r="X195" s="4">
        <v>486</v>
      </c>
      <c r="Y195">
        <v>1</v>
      </c>
      <c r="Z195" s="4">
        <v>495</v>
      </c>
      <c r="AA195">
        <v>1</v>
      </c>
      <c r="AB195" s="4" t="str">
        <f>HYPERLINK("http://exon.niaid.nih.gov/transcriptome/C_felis/S1/links/XC-ASB/cf-contig_584-XC-ASB.txt","XC-contig_63")</f>
        <v>XC-contig_63</v>
      </c>
      <c r="AC195">
        <v>0.12</v>
      </c>
      <c r="AD195" s="10" t="s">
        <v>4810</v>
      </c>
      <c r="AE195" t="s">
        <v>4811</v>
      </c>
      <c r="AF195" t="str">
        <f>HYPERLINK("http://exon.niaid.nih.gov/transcriptome/C_felis/S1/links/NR/cf-contig_584-NR.txt","NR")</f>
        <v>NR</v>
      </c>
      <c r="AG195" s="5">
        <v>9.9999999999999993E-40</v>
      </c>
      <c r="AH195">
        <v>11.3</v>
      </c>
      <c r="AI195" s="4" t="str">
        <f>HYPERLINK("http://exon.niaid.nih.gov/transcriptome/C_felis/S1/links/NR/cf-contig_584-NR.txt","serine protease P153")</f>
        <v>serine protease P153</v>
      </c>
      <c r="AJ195" t="str">
        <f>HYPERLINK("http://www.ncbi.nlm.nih.gov/sutils/blink.cgi?pid=270009237","1E-039")</f>
        <v>1E-039</v>
      </c>
      <c r="AK195" t="str">
        <f>HYPERLINK("http://www.ncbi.nlm.nih.gov/protein/270009237","gi|270009237")</f>
        <v>gi|270009237</v>
      </c>
      <c r="AL195">
        <v>166</v>
      </c>
      <c r="AM195">
        <v>89</v>
      </c>
      <c r="AN195">
        <v>792</v>
      </c>
      <c r="AO195">
        <v>75</v>
      </c>
      <c r="AP195">
        <v>11</v>
      </c>
      <c r="AQ195">
        <v>22</v>
      </c>
      <c r="AR195">
        <v>0</v>
      </c>
      <c r="AS195">
        <v>695</v>
      </c>
      <c r="AT195">
        <v>22</v>
      </c>
      <c r="AU195">
        <v>1</v>
      </c>
      <c r="AV195">
        <v>1</v>
      </c>
      <c r="AW195" t="s">
        <v>12</v>
      </c>
      <c r="AY195" t="s">
        <v>1676</v>
      </c>
      <c r="AZ195" t="s">
        <v>1878</v>
      </c>
      <c r="BA195" s="4" t="str">
        <f>HYPERLINK("http://exon.niaid.nih.gov/transcriptome/C_felis/S1/links/SWISSP/cf-contig_584-SWISSP.txt","Hepatocyte growth factor activator")</f>
        <v>Hepatocyte growth factor activator</v>
      </c>
      <c r="BB195" t="str">
        <f>HYPERLINK("http://www.uniprot.org/uniprot/Q04756","3E-023")</f>
        <v>3E-023</v>
      </c>
      <c r="BC195" t="s">
        <v>3808</v>
      </c>
      <c r="BD195">
        <v>107</v>
      </c>
      <c r="BE195">
        <v>92</v>
      </c>
      <c r="BF195">
        <v>655</v>
      </c>
      <c r="BG195">
        <v>53</v>
      </c>
      <c r="BH195">
        <v>14</v>
      </c>
      <c r="BI195">
        <v>43</v>
      </c>
      <c r="BJ195">
        <v>0</v>
      </c>
      <c r="BK195">
        <v>554</v>
      </c>
      <c r="BL195">
        <v>22</v>
      </c>
      <c r="BM195">
        <v>1</v>
      </c>
      <c r="BN195">
        <v>1</v>
      </c>
      <c r="BO195" t="s">
        <v>12</v>
      </c>
      <c r="BQ195" t="s">
        <v>1676</v>
      </c>
      <c r="BR195" t="s">
        <v>1690</v>
      </c>
      <c r="BS195" s="4" t="str">
        <f>HYPERLINK("http://exon.niaid.nih.gov/transcriptome/C_felis/S1/links/CDD/cf-contig_584-CDD.txt","Tryp_SPc")</f>
        <v>Tryp_SPc</v>
      </c>
      <c r="BT195" t="str">
        <f>HYPERLINK("http://www.ncbi.nlm.nih.gov/Structure/cdd/cddsrv.cgi?uid=smart00020&amp;version=v4.0","1E-030")</f>
        <v>1E-030</v>
      </c>
      <c r="BU195" t="s">
        <v>3809</v>
      </c>
      <c r="BV195" s="4" t="s">
        <v>3810</v>
      </c>
      <c r="BW195">
        <f>HYPERLINK("http://exon.niaid.nih.gov/transcriptome/C_felis/S1/links/GO/cf-contig_584-GO.txt",2E-27)</f>
        <v>2.0000000000000001E-27</v>
      </c>
      <c r="BX195" t="str">
        <f>HYPERLINK("http://amigo.geneontology.org/cgi-bin/amigo/term_details?term=GO:0004252","GO:0004252")</f>
        <v>GO:0004252</v>
      </c>
      <c r="BY195" t="s">
        <v>3007</v>
      </c>
      <c r="BZ195" t="s">
        <v>3008</v>
      </c>
      <c r="CA195" t="s">
        <v>3009</v>
      </c>
      <c r="CB195" t="str">
        <f>HYPERLINK("http://www.genome.jp/dbget-bin/www_bfind_sub?mode=bfind&amp;max_hit=1000&amp;dbkey=kegg&amp;keywords=EC:3.4.21","EC:3.4.21")</f>
        <v>EC:3.4.21</v>
      </c>
      <c r="CD195" s="5">
        <v>2.0000000000000001E-27</v>
      </c>
      <c r="CE195" t="str">
        <f>HYPERLINK("http://amigo.geneontology.org/cgi-bin/amigo/term_details?term=GO:0005576","GO:0005576")</f>
        <v>GO:0005576</v>
      </c>
      <c r="CF195" t="s">
        <v>1854</v>
      </c>
      <c r="CG195" t="s">
        <v>1855</v>
      </c>
      <c r="CH195" t="s">
        <v>1856</v>
      </c>
      <c r="CI195" t="s">
        <v>42</v>
      </c>
      <c r="CK195" s="5">
        <v>2.0000000000000001E-27</v>
      </c>
      <c r="CL195" t="str">
        <f>HYPERLINK("http://amigo.geneontology.org/cgi-bin/amigo/term_details?term=GO:0006508","GO:0006508")</f>
        <v>GO:0006508</v>
      </c>
      <c r="CM195" t="s">
        <v>3010</v>
      </c>
      <c r="CN195" t="s">
        <v>3011</v>
      </c>
      <c r="CO195" t="s">
        <v>3012</v>
      </c>
      <c r="CP195" t="s">
        <v>42</v>
      </c>
      <c r="CR195" s="5">
        <v>2.0000000000000001E-27</v>
      </c>
      <c r="CS195" s="4" t="str">
        <f>HYPERLINK("http://exon.niaid.nih.gov/transcriptome/C_felis/S1/links/KOG/cf-contig_584-KOG.txt","Trypsin")</f>
        <v>Trypsin</v>
      </c>
      <c r="CT195" t="str">
        <f>HYPERLINK("http://www.ncbi.nlm.nih.gov/COG/grace/shokog.cgi?KOG3627","1E-026")</f>
        <v>1E-026</v>
      </c>
      <c r="CU195" t="s">
        <v>2408</v>
      </c>
      <c r="CV195" s="4" t="str">
        <f>HYPERLINK("http://exon.niaid.nih.gov/transcriptome/C_felis/S1/links/PFAM/cf-contig_584-PFAM.txt","Trypsin")</f>
        <v>Trypsin</v>
      </c>
      <c r="CW195" t="str">
        <f>HYPERLINK("http://pfam.sanger.ac.uk/family?acc=PF00089","9E-023")</f>
        <v>9E-023</v>
      </c>
      <c r="CX195" s="4" t="str">
        <f>HYPERLINK("http://exon.niaid.nih.gov/transcriptome/C_felis/S1/links/SMART/cf-contig_584-SMART.txt","Tryp_SPc")</f>
        <v>Tryp_SPc</v>
      </c>
      <c r="CY195" t="str">
        <f>HYPERLINK("http://smart.embl-heidelberg.de/smart/do_annotation.pl?DOMAIN=Tryp_SPc&amp;BLAST=DUMMY","2E-032")</f>
        <v>2E-032</v>
      </c>
      <c r="CZ195" s="4" t="s">
        <v>42</v>
      </c>
      <c r="DA195" t="s">
        <v>42</v>
      </c>
      <c r="DB195" t="s">
        <v>42</v>
      </c>
      <c r="DC195" t="s">
        <v>42</v>
      </c>
      <c r="DD195" t="s">
        <v>42</v>
      </c>
      <c r="DE195" t="s">
        <v>42</v>
      </c>
      <c r="DF195" t="s">
        <v>42</v>
      </c>
      <c r="DG195" t="s">
        <v>42</v>
      </c>
      <c r="DH195" s="4" t="s">
        <v>42</v>
      </c>
      <c r="DI195" t="s">
        <v>42</v>
      </c>
      <c r="DJ195" s="4" t="s">
        <v>42</v>
      </c>
      <c r="DK195" t="s">
        <v>42</v>
      </c>
      <c r="DL195" s="4">
        <v>476</v>
      </c>
      <c r="DM195">
        <v>1</v>
      </c>
      <c r="DN195" s="4">
        <v>486</v>
      </c>
      <c r="DO195">
        <v>1</v>
      </c>
      <c r="DP195" s="4">
        <v>495</v>
      </c>
      <c r="DQ195">
        <v>1</v>
      </c>
      <c r="DR195" s="4">
        <v>514</v>
      </c>
      <c r="DS195">
        <v>1</v>
      </c>
      <c r="DT195" s="4">
        <v>526</v>
      </c>
      <c r="DU195">
        <v>1</v>
      </c>
      <c r="DV195" s="4">
        <v>540</v>
      </c>
      <c r="DW195">
        <v>1</v>
      </c>
      <c r="DX195" s="4">
        <v>548</v>
      </c>
      <c r="DY195">
        <v>1</v>
      </c>
      <c r="DZ195" s="4">
        <v>556</v>
      </c>
      <c r="EA195">
        <v>1</v>
      </c>
      <c r="EB195" s="4">
        <v>561</v>
      </c>
      <c r="EC195">
        <v>1</v>
      </c>
      <c r="ED195" s="4">
        <v>565</v>
      </c>
      <c r="EE195">
        <v>1</v>
      </c>
      <c r="EF195" s="4">
        <v>570</v>
      </c>
      <c r="EG195">
        <v>1</v>
      </c>
      <c r="EH195" s="4">
        <v>577</v>
      </c>
      <c r="EI195">
        <v>1</v>
      </c>
      <c r="EJ195" s="4">
        <v>584</v>
      </c>
      <c r="EK195">
        <v>1</v>
      </c>
    </row>
    <row r="196" spans="1:141" s="6" customFormat="1" x14ac:dyDescent="0.2">
      <c r="A196" s="12" t="s">
        <v>4893</v>
      </c>
      <c r="C196" s="11"/>
      <c r="AB196" s="6" t="s">
        <v>42</v>
      </c>
      <c r="AD196" s="11"/>
      <c r="AE196" s="11"/>
      <c r="AF196" s="11"/>
      <c r="AG196" s="11"/>
      <c r="AH196" s="11"/>
    </row>
    <row r="197" spans="1:141" x14ac:dyDescent="0.2">
      <c r="A197" t="str">
        <f>HYPERLINK("http://exon.niaid.nih.gov/transcriptome/C_felis/S1/links/cf/cf-contig_89.txt","cf-contig_89")</f>
        <v>cf-contig_89</v>
      </c>
      <c r="B197">
        <v>6</v>
      </c>
      <c r="C197" s="10" t="s">
        <v>4620</v>
      </c>
      <c r="D197">
        <v>6</v>
      </c>
      <c r="E197" t="str">
        <f>HYPERLINK("http://exon.niaid.nih.gov/transcriptome/C_felis/S1/links/cf/cf-5-36-asb-89.txt","Contig-89")</f>
        <v>Contig-89</v>
      </c>
      <c r="F197" t="str">
        <f>HYPERLINK("http://exon.niaid.nih.gov/transcriptome/C_felis/S1/links/cf/cf-5-36-89-CLU.txt","Contig89")</f>
        <v>Contig89</v>
      </c>
      <c r="G197" t="str">
        <f>HYPERLINK("http://exon.niaid.nih.gov/transcriptome/C_felis/S1/links/cf/cf-5-36-89-qual.txt","65.8")</f>
        <v>65.8</v>
      </c>
      <c r="H197" t="s">
        <v>11</v>
      </c>
      <c r="I197">
        <v>77.099999999999994</v>
      </c>
      <c r="J197">
        <v>729</v>
      </c>
      <c r="K197" t="s">
        <v>12</v>
      </c>
      <c r="L197">
        <v>6</v>
      </c>
      <c r="M197" t="s">
        <v>102</v>
      </c>
      <c r="N197">
        <v>770</v>
      </c>
      <c r="O197">
        <v>748</v>
      </c>
      <c r="P197">
        <v>474</v>
      </c>
      <c r="Q197" t="s">
        <v>909</v>
      </c>
      <c r="R197">
        <v>2</v>
      </c>
      <c r="S197" s="7" t="str">
        <f>HYPERLINK("http://exon.niaid.nih.gov/transcriptome/C_felis/S1/links/Sigp/CF-CONTIG_89-SigP.txt","Cyt")</f>
        <v>Cyt</v>
      </c>
      <c r="U197">
        <v>6</v>
      </c>
      <c r="V197" s="4">
        <v>115</v>
      </c>
      <c r="W197">
        <v>1</v>
      </c>
      <c r="X197" s="4">
        <v>110</v>
      </c>
      <c r="Y197">
        <v>1</v>
      </c>
      <c r="Z197" s="4">
        <v>107</v>
      </c>
      <c r="AA197">
        <v>1</v>
      </c>
      <c r="AB197" s="4" t="str">
        <f>HYPERLINK("http://exon.niaid.nih.gov/transcriptome/C_felis/S1/links/XC-ASB/cf-contig_89-XC-ASB.txt","XC-contig_209")</f>
        <v>XC-contig_209</v>
      </c>
      <c r="AC197">
        <v>3.0000000000000001E-3</v>
      </c>
      <c r="AD197" s="10" t="s">
        <v>4620</v>
      </c>
      <c r="AE197" t="s">
        <v>4621</v>
      </c>
      <c r="AF197" t="str">
        <f>HYPERLINK("http://exon.niaid.nih.gov/transcriptome/C_felis/S1/links/SWISSP/cf-contig_89-SWISSP.txt","SWISSP")</f>
        <v>SWISSP</v>
      </c>
      <c r="AG197">
        <v>2.0000000000000002E-5</v>
      </c>
      <c r="AH197">
        <v>3.2</v>
      </c>
      <c r="AI197" s="4" t="str">
        <f>HYPERLINK("http://exon.niaid.nih.gov/transcriptome/C_felis/S1/links/NR/cf-contig_89-NR.txt","hypothetical protein Mtub2_12463")</f>
        <v>hypothetical protein Mtub2_12463</v>
      </c>
      <c r="AJ197" t="str">
        <f>HYPERLINK("http://www.ncbi.nlm.nih.gov/sutils/blink.cgi?pid=294995292","3E-008")</f>
        <v>3E-008</v>
      </c>
      <c r="AK197" t="str">
        <f>HYPERLINK("http://www.ncbi.nlm.nih.gov/protein/294995292","gi|294995292")</f>
        <v>gi|294995292</v>
      </c>
      <c r="AL197">
        <v>63.5</v>
      </c>
      <c r="AM197">
        <v>224</v>
      </c>
      <c r="AN197">
        <v>244</v>
      </c>
      <c r="AO197">
        <v>29</v>
      </c>
      <c r="AP197">
        <v>92</v>
      </c>
      <c r="AQ197">
        <v>139</v>
      </c>
      <c r="AR197">
        <v>0</v>
      </c>
      <c r="AS197">
        <v>20</v>
      </c>
      <c r="AT197">
        <v>137</v>
      </c>
      <c r="AU197">
        <v>4</v>
      </c>
      <c r="AV197">
        <v>-1</v>
      </c>
      <c r="AW197" t="s">
        <v>12</v>
      </c>
      <c r="AX197">
        <v>5.8040000000000003</v>
      </c>
      <c r="AY197" t="s">
        <v>1666</v>
      </c>
      <c r="AZ197" t="s">
        <v>1993</v>
      </c>
      <c r="BA197" s="4" t="str">
        <f>HYPERLINK("http://exon.niaid.nih.gov/transcriptome/C_felis/S1/links/SWISSP/cf-contig_89-SWISSP.txt","E3 ubiquitin-protein ligase RBBP6")</f>
        <v>E3 ubiquitin-protein ligase RBBP6</v>
      </c>
      <c r="BB197" t="str">
        <f>HYPERLINK("http://www.uniprot.org/uniprot/P97868","2E-005")</f>
        <v>2E-005</v>
      </c>
      <c r="BC197" t="s">
        <v>1994</v>
      </c>
      <c r="BD197">
        <v>49.7</v>
      </c>
      <c r="BE197">
        <v>855</v>
      </c>
      <c r="BF197">
        <v>1790</v>
      </c>
      <c r="BG197">
        <v>46</v>
      </c>
      <c r="BH197">
        <v>48</v>
      </c>
      <c r="BI197">
        <v>31</v>
      </c>
      <c r="BJ197">
        <v>0</v>
      </c>
      <c r="BK197">
        <v>916</v>
      </c>
      <c r="BL197">
        <v>350</v>
      </c>
      <c r="BM197">
        <v>3</v>
      </c>
      <c r="BN197">
        <v>2</v>
      </c>
      <c r="BO197" t="s">
        <v>12</v>
      </c>
      <c r="BQ197" t="s">
        <v>1676</v>
      </c>
      <c r="BR197" t="s">
        <v>1705</v>
      </c>
      <c r="BS197" s="4" t="str">
        <f>HYPERLINK("http://exon.niaid.nih.gov/transcriptome/C_felis/S1/links/CDD/cf-contig_89-CDD.txt","ND4")</f>
        <v>ND4</v>
      </c>
      <c r="BT197" t="str">
        <f>HYPERLINK("http://www.ncbi.nlm.nih.gov/Structure/cdd/cddsrv.cgi?uid=MTH00094&amp;version=v4.0","6E-012")</f>
        <v>6E-012</v>
      </c>
      <c r="BU197" t="s">
        <v>1995</v>
      </c>
      <c r="BV197" s="4" t="s">
        <v>1996</v>
      </c>
      <c r="BW197">
        <f>HYPERLINK("http://exon.niaid.nih.gov/transcriptome/C_felis/S1/links/GO/cf-contig_89-GO.txt",0.0000004)</f>
        <v>3.9999999999999998E-7</v>
      </c>
      <c r="BX197" t="str">
        <f>HYPERLINK("http://amigo.geneontology.org/cgi-bin/amigo/term_details?term=GO:0004004","GO:0004004")</f>
        <v>GO:0004004</v>
      </c>
      <c r="BY197" t="s">
        <v>1997</v>
      </c>
      <c r="BZ197" t="s">
        <v>1998</v>
      </c>
      <c r="CA197" t="s">
        <v>42</v>
      </c>
      <c r="CB197" t="s">
        <v>42</v>
      </c>
      <c r="CD197">
        <v>3.9999999999999998E-7</v>
      </c>
      <c r="CE197" t="str">
        <f>HYPERLINK("http://amigo.geneontology.org/cgi-bin/amigo/term_details?term=GO:0005681","GO:0005681")</f>
        <v>GO:0005681</v>
      </c>
      <c r="CF197" t="s">
        <v>1999</v>
      </c>
      <c r="CG197" t="s">
        <v>2000</v>
      </c>
      <c r="CH197" t="s">
        <v>2001</v>
      </c>
      <c r="CI197" t="s">
        <v>42</v>
      </c>
      <c r="CK197">
        <v>3.9999999999999998E-7</v>
      </c>
      <c r="CL197" t="str">
        <f>HYPERLINK("http://amigo.geneontology.org/cgi-bin/amigo/term_details?term=GO:0051726","GO:0051726")</f>
        <v>GO:0051726</v>
      </c>
      <c r="CM197" t="s">
        <v>2002</v>
      </c>
      <c r="CN197" t="s">
        <v>2003</v>
      </c>
      <c r="CO197" t="s">
        <v>2004</v>
      </c>
      <c r="CP197" t="s">
        <v>42</v>
      </c>
      <c r="CR197">
        <v>3.9999999999999998E-7</v>
      </c>
      <c r="CS197" s="4" t="str">
        <f>HYPERLINK("http://exon.niaid.nih.gov/transcriptome/C_felis/S1/links/KOG/cf-contig_89-KOG.txt","Lipid exporter ABCA1 and related proteins, ABC superfamily")</f>
        <v>Lipid exporter ABCA1 and related proteins, ABC superfamily</v>
      </c>
      <c r="CT197" t="str">
        <f>HYPERLINK("http://www.ncbi.nlm.nih.gov/COG/grace/shokog.cgi?KOG0059","3E-005")</f>
        <v>3E-005</v>
      </c>
      <c r="CU197" t="s">
        <v>1768</v>
      </c>
      <c r="CV197" s="4" t="str">
        <f>HYPERLINK("http://exon.niaid.nih.gov/transcriptome/C_felis/S1/links/PFAM/cf-contig_89-PFAM.txt","Glyco_transf_22")</f>
        <v>Glyco_transf_22</v>
      </c>
      <c r="CW197" t="str">
        <f>HYPERLINK("http://pfam.sanger.ac.uk/family?acc=PF03901","1E-006")</f>
        <v>1E-006</v>
      </c>
      <c r="CX197" s="4" t="str">
        <f>HYPERLINK("http://exon.niaid.nih.gov/transcriptome/C_felis/S1/links/SMART/cf-contig_89-SMART.txt","LITAF")</f>
        <v>LITAF</v>
      </c>
      <c r="CY197" t="str">
        <f>HYPERLINK("http://smart.embl-heidelberg.de/smart/do_annotation.pl?DOMAIN=LITAF&amp;BLAST=DUMMY","0.002")</f>
        <v>0.002</v>
      </c>
      <c r="CZ197" s="4" t="s">
        <v>42</v>
      </c>
      <c r="DA197" t="s">
        <v>42</v>
      </c>
      <c r="DB197" t="s">
        <v>42</v>
      </c>
      <c r="DC197" t="s">
        <v>42</v>
      </c>
      <c r="DD197" t="s">
        <v>42</v>
      </c>
      <c r="DE197" t="s">
        <v>42</v>
      </c>
      <c r="DF197" t="s">
        <v>42</v>
      </c>
      <c r="DG197" t="s">
        <v>42</v>
      </c>
      <c r="DH197" s="4" t="s">
        <v>42</v>
      </c>
      <c r="DI197" t="s">
        <v>42</v>
      </c>
      <c r="DJ197" s="4" t="s">
        <v>42</v>
      </c>
      <c r="DK197" t="s">
        <v>42</v>
      </c>
      <c r="DL197" s="4">
        <v>115</v>
      </c>
      <c r="DM197">
        <v>1</v>
      </c>
      <c r="DN197" s="4">
        <v>110</v>
      </c>
      <c r="DO197">
        <v>1</v>
      </c>
      <c r="DP197" s="4">
        <v>107</v>
      </c>
      <c r="DQ197">
        <v>1</v>
      </c>
      <c r="DR197" s="4">
        <v>98</v>
      </c>
      <c r="DS197">
        <v>1</v>
      </c>
      <c r="DT197" s="4">
        <v>96</v>
      </c>
      <c r="DU197">
        <v>1</v>
      </c>
      <c r="DV197" s="4">
        <v>101</v>
      </c>
      <c r="DW197">
        <v>1</v>
      </c>
      <c r="DX197" s="4">
        <v>100</v>
      </c>
      <c r="DY197">
        <v>1</v>
      </c>
      <c r="DZ197" s="4">
        <v>98</v>
      </c>
      <c r="EA197">
        <v>1</v>
      </c>
      <c r="EB197" s="4">
        <v>98</v>
      </c>
      <c r="EC197">
        <v>1</v>
      </c>
      <c r="ED197" s="4">
        <v>99</v>
      </c>
      <c r="EE197">
        <v>1</v>
      </c>
      <c r="EF197" s="4">
        <v>96</v>
      </c>
      <c r="EG197">
        <v>1</v>
      </c>
      <c r="EH197" s="4">
        <v>91</v>
      </c>
      <c r="EI197">
        <v>1</v>
      </c>
      <c r="EJ197" s="4">
        <v>89</v>
      </c>
      <c r="EK197">
        <v>1</v>
      </c>
    </row>
    <row r="198" spans="1:141" x14ac:dyDescent="0.2">
      <c r="A198" t="str">
        <f>HYPERLINK("http://exon.niaid.nih.gov/transcriptome/C_felis/S1/links/cf/cf-contig_142.txt","cf-contig_142")</f>
        <v>cf-contig_142</v>
      </c>
      <c r="B198">
        <v>3</v>
      </c>
      <c r="C198" s="10" t="s">
        <v>4651</v>
      </c>
      <c r="D198">
        <v>3</v>
      </c>
      <c r="E198" t="str">
        <f>HYPERLINK("http://exon.niaid.nih.gov/transcriptome/C_felis/S1/links/cf/cf-5-36-asb-142.txt","Contig-142")</f>
        <v>Contig-142</v>
      </c>
      <c r="F198" t="str">
        <f>HYPERLINK("http://exon.niaid.nih.gov/transcriptome/C_felis/S1/links/cf/cf-5-36-142-CLU.txt","Contig142")</f>
        <v>Contig142</v>
      </c>
      <c r="G198" t="str">
        <f>HYPERLINK("http://exon.niaid.nih.gov/transcriptome/C_felis/S1/links/cf/cf-5-36-142-qual.txt","75.3")</f>
        <v>75.3</v>
      </c>
      <c r="H198" t="s">
        <v>11</v>
      </c>
      <c r="I198">
        <v>70.5</v>
      </c>
      <c r="J198">
        <v>446</v>
      </c>
      <c r="K198" t="s">
        <v>12</v>
      </c>
      <c r="L198">
        <v>3</v>
      </c>
      <c r="M198" t="s">
        <v>155</v>
      </c>
      <c r="N198">
        <v>452</v>
      </c>
      <c r="O198">
        <v>465</v>
      </c>
      <c r="P198">
        <v>330</v>
      </c>
      <c r="Q198" t="s">
        <v>962</v>
      </c>
      <c r="R198">
        <v>2</v>
      </c>
      <c r="S198" s="7" t="str">
        <f>HYPERLINK("http://exon.niaid.nih.gov/transcriptome/C_felis/S1/links/Sigp/CF-CONTIG_142-SigP.txt","Cyt")</f>
        <v>Cyt</v>
      </c>
      <c r="U198">
        <v>3</v>
      </c>
      <c r="V198" s="4">
        <v>137</v>
      </c>
      <c r="W198">
        <v>1</v>
      </c>
      <c r="X198" s="4">
        <v>134</v>
      </c>
      <c r="Y198">
        <v>1</v>
      </c>
      <c r="Z198" s="4">
        <v>131</v>
      </c>
      <c r="AA198">
        <v>1</v>
      </c>
      <c r="AB198" s="4" t="str">
        <f>HYPERLINK("http://exon.niaid.nih.gov/transcriptome/C_felis/S1/links/XC-ASB/cf-contig_142-XC-ASB.txt","XC-contig_150")</f>
        <v>XC-contig_150</v>
      </c>
      <c r="AC198">
        <v>3.9999999999999998E-6</v>
      </c>
      <c r="AD198" s="10" t="s">
        <v>4651</v>
      </c>
      <c r="AE198" t="s">
        <v>4621</v>
      </c>
      <c r="AF198" t="str">
        <f>HYPERLINK("http://exon.niaid.nih.gov/transcriptome/C_felis/S1/links/KOG/cf-contig_142-KOG.txt","KOG")</f>
        <v>KOG</v>
      </c>
      <c r="AG198">
        <v>3.0000000000000001E-5</v>
      </c>
      <c r="AH198">
        <v>2.9</v>
      </c>
      <c r="AI198" s="4" t="str">
        <f>HYPERLINK("http://exon.niaid.nih.gov/transcriptome/C_felis/S1/links/NR/cf-contig_142-NR.txt","hypothetical protein LOC100650428")</f>
        <v>hypothetical protein LOC100650428</v>
      </c>
      <c r="AJ198" t="str">
        <f>HYPERLINK("http://www.ncbi.nlm.nih.gov/sutils/blink.cgi?pid=340709124","8E-010")</f>
        <v>8E-010</v>
      </c>
      <c r="AK198" t="str">
        <f>HYPERLINK("http://www.ncbi.nlm.nih.gov/protein/340709124","gi|340709124")</f>
        <v>gi|340709124</v>
      </c>
      <c r="AL198">
        <v>67.400000000000006</v>
      </c>
      <c r="AM198">
        <v>125</v>
      </c>
      <c r="AN198">
        <v>598</v>
      </c>
      <c r="AO198">
        <v>28</v>
      </c>
      <c r="AP198">
        <v>21</v>
      </c>
      <c r="AQ198">
        <v>69</v>
      </c>
      <c r="AR198">
        <v>0</v>
      </c>
      <c r="AS198">
        <v>40</v>
      </c>
      <c r="AT198">
        <v>11</v>
      </c>
      <c r="AU198">
        <v>8</v>
      </c>
      <c r="AV198">
        <v>2</v>
      </c>
      <c r="AW198" t="s">
        <v>12</v>
      </c>
      <c r="AY198" t="s">
        <v>1676</v>
      </c>
      <c r="AZ198" t="s">
        <v>2212</v>
      </c>
      <c r="BA198" s="4" t="str">
        <f>HYPERLINK("http://exon.niaid.nih.gov/transcriptome/C_felis/S1/links/SWISSP/cf-contig_142-SWISSP.txt","Putative uncharacterized transmembrane protein DDB_G0290641")</f>
        <v>Putative uncharacterized transmembrane protein DDB_G0290641</v>
      </c>
      <c r="BB198" t="str">
        <f>HYPERLINK("http://www.uniprot.org/uniprot/Q54FZ8","5E-007")</f>
        <v>5E-007</v>
      </c>
      <c r="BC198" t="s">
        <v>2213</v>
      </c>
      <c r="BD198">
        <v>53.5</v>
      </c>
      <c r="BE198">
        <v>99</v>
      </c>
      <c r="BF198">
        <v>5801</v>
      </c>
      <c r="BG198">
        <v>33</v>
      </c>
      <c r="BH198">
        <v>2</v>
      </c>
      <c r="BI198">
        <v>52</v>
      </c>
      <c r="BJ198">
        <v>0</v>
      </c>
      <c r="BK198">
        <v>5488</v>
      </c>
      <c r="BL198">
        <v>14</v>
      </c>
      <c r="BM198">
        <v>5</v>
      </c>
      <c r="BN198">
        <v>2</v>
      </c>
      <c r="BO198" t="s">
        <v>12</v>
      </c>
      <c r="BQ198" t="s">
        <v>1676</v>
      </c>
      <c r="BR198" t="s">
        <v>1976</v>
      </c>
      <c r="BS198" s="4" t="str">
        <f>HYPERLINK("http://exon.niaid.nih.gov/transcriptome/C_felis/S1/links/CDD/cf-contig_142-CDD.txt","ND4")</f>
        <v>ND4</v>
      </c>
      <c r="BT198" t="str">
        <f>HYPERLINK("http://www.ncbi.nlm.nih.gov/Structure/cdd/cddsrv.cgi?uid=MTH00094&amp;version=v4.0","3E-009")</f>
        <v>3E-009</v>
      </c>
      <c r="BU198" t="s">
        <v>2214</v>
      </c>
      <c r="BV198" s="4" t="s">
        <v>2215</v>
      </c>
      <c r="BW198">
        <f>HYPERLINK("http://exon.niaid.nih.gov/transcriptome/C_felis/S1/links/GO/cf-contig_142-GO.txt",0.00000001)</f>
        <v>1E-8</v>
      </c>
      <c r="BX198" t="str">
        <f>HYPERLINK("http://amigo.geneontology.org/cgi-bin/amigo/term_details?term=GO:0003824","GO:0003824")</f>
        <v>GO:0003824</v>
      </c>
      <c r="BY198" t="s">
        <v>2216</v>
      </c>
      <c r="BZ198" t="s">
        <v>2217</v>
      </c>
      <c r="CA198" t="s">
        <v>2218</v>
      </c>
      <c r="CB198" t="s">
        <v>42</v>
      </c>
      <c r="CD198">
        <v>2E-8</v>
      </c>
      <c r="CE198" t="str">
        <f>HYPERLINK("http://amigo.geneontology.org/cgi-bin/amigo/term_details?term=GO:0012505","GO:0012505")</f>
        <v>GO:0012505</v>
      </c>
      <c r="CF198" t="s">
        <v>2219</v>
      </c>
      <c r="CG198" t="s">
        <v>2220</v>
      </c>
      <c r="CH198" t="s">
        <v>42</v>
      </c>
      <c r="CI198" t="s">
        <v>42</v>
      </c>
      <c r="CK198">
        <v>2E-8</v>
      </c>
      <c r="CL198" t="str">
        <f>HYPERLINK("http://amigo.geneontology.org/cgi-bin/amigo/term_details?term=GO:0005975","GO:0005975")</f>
        <v>GO:0005975</v>
      </c>
      <c r="CM198" t="s">
        <v>2221</v>
      </c>
      <c r="CN198" t="s">
        <v>2222</v>
      </c>
      <c r="CO198" t="s">
        <v>2223</v>
      </c>
      <c r="CP198" t="s">
        <v>42</v>
      </c>
      <c r="CR198">
        <v>2E-8</v>
      </c>
      <c r="CS198" s="4" t="str">
        <f>HYPERLINK("http://exon.niaid.nih.gov/transcriptome/C_felis/S1/links/KOG/cf-contig_142-KOG.txt","HIV-1 Vpr-binding protein")</f>
        <v>HIV-1 Vpr-binding protein</v>
      </c>
      <c r="CT198" t="str">
        <f>HYPERLINK("http://www.ncbi.nlm.nih.gov/COG/grace/shokog.cgi?KOG1832","3E-005")</f>
        <v>3E-005</v>
      </c>
      <c r="CU198" t="s">
        <v>1750</v>
      </c>
      <c r="CV198" s="4" t="str">
        <f>HYPERLINK("http://exon.niaid.nih.gov/transcriptome/C_felis/S1/links/PFAM/cf-contig_142-PFAM.txt","7TM_GPCR_Srz")</f>
        <v>7TM_GPCR_Srz</v>
      </c>
      <c r="CW198" t="str">
        <f>HYPERLINK("http://pfam.sanger.ac.uk/family?acc=PF10325","6E-008")</f>
        <v>6E-008</v>
      </c>
      <c r="CX198" s="4" t="str">
        <f>HYPERLINK("http://exon.niaid.nih.gov/transcriptome/C_felis/S1/links/SMART/cf-contig_142-SMART.txt","PSN")</f>
        <v>PSN</v>
      </c>
      <c r="CY198" t="str">
        <f>HYPERLINK("http://smart.embl-heidelberg.de/smart/do_annotation.pl?DOMAIN=PSN&amp;BLAST=DUMMY","9E-008")</f>
        <v>9E-008</v>
      </c>
      <c r="CZ198" s="4" t="s">
        <v>42</v>
      </c>
      <c r="DA198" t="s">
        <v>42</v>
      </c>
      <c r="DB198" t="s">
        <v>42</v>
      </c>
      <c r="DC198" t="s">
        <v>42</v>
      </c>
      <c r="DD198" t="s">
        <v>42</v>
      </c>
      <c r="DE198" t="s">
        <v>42</v>
      </c>
      <c r="DF198" t="s">
        <v>42</v>
      </c>
      <c r="DG198" t="s">
        <v>42</v>
      </c>
      <c r="DH198" s="4" t="s">
        <v>42</v>
      </c>
      <c r="DI198" t="s">
        <v>42</v>
      </c>
      <c r="DJ198" s="4" t="s">
        <v>42</v>
      </c>
      <c r="DK198" t="s">
        <v>42</v>
      </c>
      <c r="DL198" s="4">
        <v>137</v>
      </c>
      <c r="DM198">
        <v>1</v>
      </c>
      <c r="DN198" s="4">
        <v>134</v>
      </c>
      <c r="DO198">
        <v>1</v>
      </c>
      <c r="DP198" s="4">
        <v>131</v>
      </c>
      <c r="DQ198">
        <v>1</v>
      </c>
      <c r="DR198" s="4">
        <v>126</v>
      </c>
      <c r="DS198">
        <v>1</v>
      </c>
      <c r="DT198" s="4">
        <v>125</v>
      </c>
      <c r="DU198">
        <v>1</v>
      </c>
      <c r="DV198" s="4">
        <v>135</v>
      </c>
      <c r="DW198">
        <v>1</v>
      </c>
      <c r="DX198" s="4">
        <v>137</v>
      </c>
      <c r="DY198">
        <v>1</v>
      </c>
      <c r="DZ198" s="4">
        <v>137</v>
      </c>
      <c r="EA198">
        <v>1</v>
      </c>
      <c r="EB198" s="4">
        <v>142</v>
      </c>
      <c r="EC198">
        <v>1</v>
      </c>
      <c r="ED198" s="4">
        <v>143</v>
      </c>
      <c r="EE198">
        <v>1</v>
      </c>
      <c r="EF198" s="4">
        <v>142</v>
      </c>
      <c r="EG198">
        <v>1</v>
      </c>
      <c r="EH198" s="4">
        <v>141</v>
      </c>
      <c r="EI198">
        <v>1</v>
      </c>
      <c r="EJ198" s="4">
        <v>142</v>
      </c>
      <c r="EK198">
        <v>1</v>
      </c>
    </row>
    <row r="199" spans="1:141" x14ac:dyDescent="0.2">
      <c r="A199" t="str">
        <f>HYPERLINK("http://exon.niaid.nih.gov/transcriptome/C_felis/S1/links/cf/cf-contig_536.txt","cf-contig_536")</f>
        <v>cf-contig_536</v>
      </c>
      <c r="B199">
        <v>1</v>
      </c>
      <c r="C199" s="10" t="s">
        <v>4796</v>
      </c>
      <c r="D199">
        <v>1</v>
      </c>
      <c r="E199" t="str">
        <f>HYPERLINK("http://exon.niaid.nih.gov/transcriptome/C_felis/S1/links/cf/cf-5-36-asb-536.txt","Contig-536")</f>
        <v>Contig-536</v>
      </c>
      <c r="F199" t="str">
        <f>HYPERLINK("http://exon.niaid.nih.gov/transcriptome/C_felis/S1/links/cf/cf-5-36-536-CLU.txt","Contig536")</f>
        <v>Contig536</v>
      </c>
      <c r="G199" t="str">
        <f>HYPERLINK("http://exon.niaid.nih.gov/transcriptome/C_felis/S1/links/cf/cf-5-36-536-qual.txt","63.6")</f>
        <v>63.6</v>
      </c>
      <c r="H199" t="s">
        <v>11</v>
      </c>
      <c r="I199">
        <v>59.7</v>
      </c>
      <c r="J199">
        <v>259</v>
      </c>
      <c r="K199" t="s">
        <v>12</v>
      </c>
      <c r="L199">
        <v>1</v>
      </c>
      <c r="M199" t="s">
        <v>549</v>
      </c>
      <c r="N199">
        <v>259</v>
      </c>
      <c r="O199">
        <v>278</v>
      </c>
      <c r="P199">
        <v>147</v>
      </c>
      <c r="Q199" t="s">
        <v>1355</v>
      </c>
      <c r="R199">
        <v>2</v>
      </c>
      <c r="S199" s="7" t="str">
        <f>HYPERLINK("http://exon.niaid.nih.gov/transcriptome/C_felis/S1/links/Sigp/CF-CONTIG_536-SigP.txt","Cyt")</f>
        <v>Cyt</v>
      </c>
      <c r="U199">
        <v>1</v>
      </c>
      <c r="V199" s="4">
        <v>438</v>
      </c>
      <c r="W199">
        <v>1</v>
      </c>
      <c r="X199" s="4">
        <v>448</v>
      </c>
      <c r="Y199">
        <v>1</v>
      </c>
      <c r="Z199" s="4">
        <v>454</v>
      </c>
      <c r="AA199">
        <v>1</v>
      </c>
      <c r="AB199" s="4" t="str">
        <f>HYPERLINK("http://exon.niaid.nih.gov/transcriptome/C_felis/S1/links/XC-ASB/cf-contig_536-XC-ASB.txt","XC-contig_140")</f>
        <v>XC-contig_140</v>
      </c>
      <c r="AC199">
        <v>0.13</v>
      </c>
      <c r="AD199" s="10" t="s">
        <v>4796</v>
      </c>
      <c r="AE199" t="s">
        <v>4621</v>
      </c>
      <c r="AF199" t="str">
        <f>HYPERLINK("http://exon.niaid.nih.gov/transcriptome/C_felis/S1/links/GO/cf-contig_536-GO.txt","GO")</f>
        <v>GO</v>
      </c>
      <c r="AG199">
        <v>8.0000000000000002E-8</v>
      </c>
      <c r="AH199">
        <v>4.3</v>
      </c>
      <c r="AI199" s="4" t="str">
        <f>HYPERLINK("http://exon.niaid.nih.gov/transcriptome/C_felis/S1/links/NR/cf-contig_536-NR.txt","26S proteasome non-ATPase regulatory subunit 1-like isoform 1")</f>
        <v>26S proteasome non-ATPase regulatory subunit 1-like isoform 1</v>
      </c>
      <c r="AJ199" t="str">
        <f>HYPERLINK("http://www.ncbi.nlm.nih.gov/sutils/blink.cgi?pid=328714367","2E-006")</f>
        <v>2E-006</v>
      </c>
      <c r="AK199" t="str">
        <f>HYPERLINK("http://www.ncbi.nlm.nih.gov/protein/328714367","gi|328714367")</f>
        <v>gi|328714367</v>
      </c>
      <c r="AL199">
        <v>56.2</v>
      </c>
      <c r="AM199">
        <v>42</v>
      </c>
      <c r="AN199">
        <v>979</v>
      </c>
      <c r="AO199">
        <v>63</v>
      </c>
      <c r="AP199">
        <v>4</v>
      </c>
      <c r="AQ199">
        <v>16</v>
      </c>
      <c r="AR199">
        <v>2</v>
      </c>
      <c r="AS199">
        <v>936</v>
      </c>
      <c r="AT199">
        <v>13</v>
      </c>
      <c r="AU199">
        <v>1</v>
      </c>
      <c r="AV199">
        <v>1</v>
      </c>
      <c r="AW199" t="s">
        <v>12</v>
      </c>
      <c r="AY199" t="s">
        <v>1676</v>
      </c>
      <c r="AZ199" t="s">
        <v>2726</v>
      </c>
      <c r="BA199" s="4" t="str">
        <f>HYPERLINK("http://exon.niaid.nih.gov/transcriptome/C_felis/S1/links/SWISSP/cf-contig_536-SWISSP.txt","26S proteasome non-ATPase regulatory subunit 1")</f>
        <v>26S proteasome non-ATPase regulatory subunit 1</v>
      </c>
      <c r="BB199" t="str">
        <f>HYPERLINK("http://www.uniprot.org/uniprot/O88761","5E-007")</f>
        <v>5E-007</v>
      </c>
      <c r="BC199" t="s">
        <v>3626</v>
      </c>
      <c r="BD199">
        <v>53.1</v>
      </c>
      <c r="BE199">
        <v>41</v>
      </c>
      <c r="BF199">
        <v>953</v>
      </c>
      <c r="BG199">
        <v>57</v>
      </c>
      <c r="BH199">
        <v>4</v>
      </c>
      <c r="BI199">
        <v>18</v>
      </c>
      <c r="BJ199">
        <v>0</v>
      </c>
      <c r="BK199">
        <v>911</v>
      </c>
      <c r="BL199">
        <v>13</v>
      </c>
      <c r="BM199">
        <v>1</v>
      </c>
      <c r="BN199">
        <v>1</v>
      </c>
      <c r="BO199" t="s">
        <v>12</v>
      </c>
      <c r="BQ199" t="s">
        <v>1676</v>
      </c>
      <c r="BR199" t="s">
        <v>1684</v>
      </c>
      <c r="BS199" s="4" t="str">
        <f>HYPERLINK("http://exon.niaid.nih.gov/transcriptome/C_felis/S1/links/CDD/cf-contig_536-CDD.txt","PHA03307")</f>
        <v>PHA03307</v>
      </c>
      <c r="BT199" t="str">
        <f>HYPERLINK("http://www.ncbi.nlm.nih.gov/Structure/cdd/cddsrv.cgi?uid=PHA03307&amp;version=v4.0","0.14")</f>
        <v>0.14</v>
      </c>
      <c r="BU199" t="s">
        <v>3627</v>
      </c>
      <c r="BV199" s="4" t="s">
        <v>3628</v>
      </c>
      <c r="BW199">
        <f>HYPERLINK("http://exon.niaid.nih.gov/transcriptome/C_felis/S1/links/GO/cf-contig_536-GO.txt",0.00000008)</f>
        <v>8.0000000000000002E-8</v>
      </c>
      <c r="BX199" t="str">
        <f>HYPERLINK("http://amigo.geneontology.org/cgi-bin/amigo/term_details?term=GO:0005488","GO:0005488")</f>
        <v>GO:0005488</v>
      </c>
      <c r="BY199" t="s">
        <v>3236</v>
      </c>
      <c r="BZ199" t="s">
        <v>3237</v>
      </c>
      <c r="CA199" t="s">
        <v>3238</v>
      </c>
      <c r="CB199" t="s">
        <v>42</v>
      </c>
      <c r="CD199">
        <v>8.0000000000000002E-8</v>
      </c>
      <c r="CE199" t="str">
        <f>HYPERLINK("http://amigo.geneontology.org/cgi-bin/amigo/term_details?term=GO:0000502","GO:0000502")</f>
        <v>GO:0000502</v>
      </c>
      <c r="CF199" t="s">
        <v>3629</v>
      </c>
      <c r="CG199" t="s">
        <v>3630</v>
      </c>
      <c r="CH199" t="s">
        <v>3631</v>
      </c>
      <c r="CI199" t="s">
        <v>42</v>
      </c>
      <c r="CK199">
        <v>8.0000000000000002E-8</v>
      </c>
      <c r="CL199" t="str">
        <f>HYPERLINK("http://amigo.geneontology.org/cgi-bin/amigo/term_details?term=GO:0042176","GO:0042176")</f>
        <v>GO:0042176</v>
      </c>
      <c r="CM199" t="s">
        <v>3632</v>
      </c>
      <c r="CN199" t="s">
        <v>3633</v>
      </c>
      <c r="CO199" t="s">
        <v>3634</v>
      </c>
      <c r="CP199" t="s">
        <v>42</v>
      </c>
      <c r="CR199">
        <v>8.0000000000000002E-8</v>
      </c>
      <c r="CS199" s="4" t="str">
        <f>HYPERLINK("http://exon.niaid.nih.gov/transcriptome/C_felis/S1/links/KOG/cf-contig_536-KOG.txt","26S proteasome regulatory complex, subunit RPN2/PSMD1")</f>
        <v>26S proteasome regulatory complex, subunit RPN2/PSMD1</v>
      </c>
      <c r="CT199" t="str">
        <f>HYPERLINK("http://www.ncbi.nlm.nih.gov/COG/grace/shokog.cgi?KOG2062","0.002")</f>
        <v>0.002</v>
      </c>
      <c r="CU199" t="s">
        <v>2198</v>
      </c>
      <c r="CV199" s="4" t="str">
        <f>HYPERLINK("http://exon.niaid.nih.gov/transcriptome/C_felis/S1/links/PFAM/cf-contig_536-PFAM.txt","DUF2946")</f>
        <v>DUF2946</v>
      </c>
      <c r="CW199" t="str">
        <f>HYPERLINK("http://pfam.sanger.ac.uk/family?acc=PF11162","0.057")</f>
        <v>0.057</v>
      </c>
      <c r="CX199" s="4" t="str">
        <f>HYPERLINK("http://exon.niaid.nih.gov/transcriptome/C_felis/S1/links/SMART/cf-contig_536-SMART.txt","ALAD")</f>
        <v>ALAD</v>
      </c>
      <c r="CY199" t="str">
        <f>HYPERLINK("http://smart.embl-heidelberg.de/smart/do_annotation.pl?DOMAIN=ALAD&amp;BLAST=DUMMY","0.021")</f>
        <v>0.021</v>
      </c>
      <c r="CZ199" s="4" t="s">
        <v>42</v>
      </c>
      <c r="DA199" t="s">
        <v>42</v>
      </c>
      <c r="DB199" t="s">
        <v>42</v>
      </c>
      <c r="DC199" t="s">
        <v>42</v>
      </c>
      <c r="DD199" t="s">
        <v>42</v>
      </c>
      <c r="DE199" t="s">
        <v>42</v>
      </c>
      <c r="DF199" t="s">
        <v>42</v>
      </c>
      <c r="DG199" t="s">
        <v>42</v>
      </c>
      <c r="DH199" s="4" t="s">
        <v>42</v>
      </c>
      <c r="DI199" t="s">
        <v>42</v>
      </c>
      <c r="DJ199" s="4" t="s">
        <v>42</v>
      </c>
      <c r="DK199" t="s">
        <v>42</v>
      </c>
      <c r="DL199" s="4">
        <v>438</v>
      </c>
      <c r="DM199">
        <v>1</v>
      </c>
      <c r="DN199" s="4">
        <v>448</v>
      </c>
      <c r="DO199">
        <v>1</v>
      </c>
      <c r="DP199" s="4">
        <v>454</v>
      </c>
      <c r="DQ199">
        <v>1</v>
      </c>
      <c r="DR199" s="4">
        <v>469</v>
      </c>
      <c r="DS199">
        <v>1</v>
      </c>
      <c r="DT199" s="4">
        <v>481</v>
      </c>
      <c r="DU199">
        <v>1</v>
      </c>
      <c r="DV199" s="4">
        <v>495</v>
      </c>
      <c r="DW199">
        <v>1</v>
      </c>
      <c r="DX199" s="4">
        <v>501</v>
      </c>
      <c r="DY199">
        <v>1</v>
      </c>
      <c r="DZ199" s="4">
        <v>509</v>
      </c>
      <c r="EA199">
        <v>1</v>
      </c>
      <c r="EB199" s="4">
        <v>514</v>
      </c>
      <c r="EC199">
        <v>1</v>
      </c>
      <c r="ED199" s="4">
        <v>518</v>
      </c>
      <c r="EE199">
        <v>1</v>
      </c>
      <c r="EF199" s="4">
        <v>523</v>
      </c>
      <c r="EG199">
        <v>1</v>
      </c>
      <c r="EH199" s="4">
        <v>529</v>
      </c>
      <c r="EI199">
        <v>1</v>
      </c>
      <c r="EJ199" s="4">
        <v>536</v>
      </c>
      <c r="EK199">
        <v>1</v>
      </c>
    </row>
    <row r="200" spans="1:141" x14ac:dyDescent="0.2">
      <c r="A200" t="str">
        <f>HYPERLINK("http://exon.niaid.nih.gov/transcriptome/C_felis/S1/links/cf/cf-contig_785.txt","cf-contig_785")</f>
        <v>cf-contig_785</v>
      </c>
      <c r="B200">
        <v>1</v>
      </c>
      <c r="C200" s="10" t="s">
        <v>4875</v>
      </c>
      <c r="D200">
        <v>1</v>
      </c>
      <c r="E200" t="str">
        <f>HYPERLINK("http://exon.niaid.nih.gov/transcriptome/C_felis/S1/links/cf/cf-5-36-asb-785.txt","Contig-785")</f>
        <v>Contig-785</v>
      </c>
      <c r="F200" t="str">
        <f>HYPERLINK("http://exon.niaid.nih.gov/transcriptome/C_felis/S1/links/cf/cf-5-36-785-CLU.txt","Contig785")</f>
        <v>Contig785</v>
      </c>
      <c r="G200" t="str">
        <f>HYPERLINK("http://exon.niaid.nih.gov/transcriptome/C_felis/S1/links/cf/cf-5-36-785-qual.txt","61.1")</f>
        <v>61.1</v>
      </c>
      <c r="H200">
        <v>0.3</v>
      </c>
      <c r="I200">
        <v>70.8</v>
      </c>
      <c r="J200">
        <v>344</v>
      </c>
      <c r="K200" t="s">
        <v>12</v>
      </c>
      <c r="L200">
        <v>1</v>
      </c>
      <c r="M200" t="s">
        <v>798</v>
      </c>
      <c r="N200">
        <v>344</v>
      </c>
      <c r="O200">
        <v>363</v>
      </c>
      <c r="P200">
        <v>153</v>
      </c>
      <c r="Q200" t="s">
        <v>1604</v>
      </c>
      <c r="R200">
        <v>1</v>
      </c>
      <c r="S200" s="7" t="str">
        <f>HYPERLINK("http://exon.niaid.nih.gov/transcriptome/C_felis/S1/links/Sigp/CF-CONTIG_785-SigP.txt","Cyt")</f>
        <v>Cyt</v>
      </c>
      <c r="U200">
        <v>1</v>
      </c>
      <c r="V200" s="4">
        <v>630</v>
      </c>
      <c r="W200">
        <v>1</v>
      </c>
      <c r="X200" s="4">
        <v>651</v>
      </c>
      <c r="Y200">
        <v>1</v>
      </c>
      <c r="Z200" s="4">
        <v>667</v>
      </c>
      <c r="AA200">
        <v>1</v>
      </c>
      <c r="AB200" s="4" t="str">
        <f>HYPERLINK("http://exon.niaid.nih.gov/transcriptome/C_felis/S1/links/XC-ASB/cf-contig_785-XC-ASB.txt","XC-contig_104")</f>
        <v>XC-contig_104</v>
      </c>
      <c r="AC200">
        <v>0.19</v>
      </c>
      <c r="AD200" s="10" t="s">
        <v>4875</v>
      </c>
      <c r="AE200" t="s">
        <v>4621</v>
      </c>
      <c r="AF200" t="str">
        <f>HYPERLINK("http://exon.niaid.nih.gov/transcriptome/C_felis/S1/links/NR/cf-contig_785-NR.txt","NR")</f>
        <v>NR</v>
      </c>
      <c r="AG200">
        <v>2.9999999999999998E-15</v>
      </c>
      <c r="AH200">
        <v>2.5</v>
      </c>
      <c r="AI200" s="4" t="str">
        <f>HYPERLINK("http://exon.niaid.nih.gov/transcriptome/C_felis/S1/links/NR/cf-contig_785-NR.txt","hypothetical protein TcasGA2_TC013292")</f>
        <v>hypothetical protein TcasGA2_TC013292</v>
      </c>
      <c r="AJ200" t="str">
        <f>HYPERLINK("http://www.ncbi.nlm.nih.gov/sutils/blink.cgi?pid=270010813","3E-015")</f>
        <v>3E-015</v>
      </c>
      <c r="AK200" t="str">
        <f>HYPERLINK("http://www.ncbi.nlm.nih.gov/protein/270010813","gi|270010813")</f>
        <v>gi|270010813</v>
      </c>
      <c r="AL200">
        <v>73.900000000000006</v>
      </c>
      <c r="AM200">
        <v>51</v>
      </c>
      <c r="AN200">
        <v>1831</v>
      </c>
      <c r="AO200">
        <v>67</v>
      </c>
      <c r="AP200">
        <v>3</v>
      </c>
      <c r="AQ200">
        <v>15</v>
      </c>
      <c r="AR200">
        <v>0</v>
      </c>
      <c r="AS200">
        <v>1779</v>
      </c>
      <c r="AT200">
        <v>9</v>
      </c>
      <c r="AU200">
        <v>2</v>
      </c>
      <c r="AV200">
        <v>1</v>
      </c>
      <c r="AW200" t="s">
        <v>1689</v>
      </c>
      <c r="AY200" t="s">
        <v>1676</v>
      </c>
      <c r="AZ200" t="s">
        <v>1878</v>
      </c>
      <c r="BA200" s="4" t="str">
        <f>HYPERLINK("http://exon.niaid.nih.gov/transcriptome/C_felis/S1/links/SWISSP/cf-contig_785-SWISSP.txt","Proteasome activator complex subunit 4")</f>
        <v>Proteasome activator complex subunit 4</v>
      </c>
      <c r="BB200" t="str">
        <f>HYPERLINK("http://www.uniprot.org/uniprot/Q5SSW2","4E-012")</f>
        <v>4E-012</v>
      </c>
      <c r="BC200" t="s">
        <v>4512</v>
      </c>
      <c r="BD200">
        <v>63.2</v>
      </c>
      <c r="BE200">
        <v>53</v>
      </c>
      <c r="BF200">
        <v>1843</v>
      </c>
      <c r="BG200">
        <v>54</v>
      </c>
      <c r="BH200">
        <v>3</v>
      </c>
      <c r="BI200">
        <v>21</v>
      </c>
      <c r="BJ200">
        <v>0</v>
      </c>
      <c r="BK200">
        <v>1789</v>
      </c>
      <c r="BL200">
        <v>3</v>
      </c>
      <c r="BM200">
        <v>2</v>
      </c>
      <c r="BN200">
        <v>1</v>
      </c>
      <c r="BO200" t="s">
        <v>1689</v>
      </c>
      <c r="BQ200" t="s">
        <v>1676</v>
      </c>
      <c r="BR200" t="s">
        <v>1705</v>
      </c>
      <c r="BS200" s="4" t="str">
        <f>HYPERLINK("http://exon.niaid.nih.gov/transcriptome/C_felis/S1/links/CDD/cf-contig_785-CDD.txt","DUF3437")</f>
        <v>DUF3437</v>
      </c>
      <c r="BT200" t="str">
        <f>HYPERLINK("http://www.ncbi.nlm.nih.gov/Structure/cdd/cddsrv.cgi?uid=pfam11919&amp;version=v4.0","5E-010")</f>
        <v>5E-010</v>
      </c>
      <c r="BU200" t="s">
        <v>4513</v>
      </c>
      <c r="BV200" s="4" t="s">
        <v>4514</v>
      </c>
      <c r="BW200">
        <f>HYPERLINK("http://exon.niaid.nih.gov/transcriptome/C_felis/S1/links/GO/cf-contig_785-GO.txt",0.000000000003)</f>
        <v>3.0000000000000001E-12</v>
      </c>
      <c r="BX200" t="str">
        <f>HYPERLINK("http://amigo.geneontology.org/cgi-bin/amigo/term_details?term=GO:0005488","GO:0005488")</f>
        <v>GO:0005488</v>
      </c>
      <c r="BY200" t="s">
        <v>3236</v>
      </c>
      <c r="BZ200" t="s">
        <v>3237</v>
      </c>
      <c r="CA200" t="s">
        <v>3238</v>
      </c>
      <c r="CB200" t="s">
        <v>42</v>
      </c>
      <c r="CD200">
        <v>3.0000000000000001E-12</v>
      </c>
      <c r="CE200" t="str">
        <f>HYPERLINK("http://amigo.geneontology.org/cgi-bin/amigo/term_details?term=GO:0000502","GO:0000502")</f>
        <v>GO:0000502</v>
      </c>
      <c r="CF200" t="s">
        <v>3629</v>
      </c>
      <c r="CG200" t="s">
        <v>3630</v>
      </c>
      <c r="CH200" t="s">
        <v>3631</v>
      </c>
      <c r="CI200" t="s">
        <v>42</v>
      </c>
      <c r="CK200">
        <v>3.0000000000000001E-12</v>
      </c>
      <c r="CL200" t="str">
        <f>HYPERLINK("http://amigo.geneontology.org/cgi-bin/amigo/term_details?term=GO:0000075","GO:0000075")</f>
        <v>GO:0000075</v>
      </c>
      <c r="CM200" t="s">
        <v>2585</v>
      </c>
      <c r="CN200" t="s">
        <v>2586</v>
      </c>
      <c r="CO200" t="s">
        <v>42</v>
      </c>
      <c r="CP200" t="s">
        <v>42</v>
      </c>
      <c r="CR200">
        <v>3.0000000000000001E-12</v>
      </c>
      <c r="CS200" s="4" t="str">
        <f>HYPERLINK("http://exon.niaid.nih.gov/transcriptome/C_felis/S1/links/KOG/cf-contig_785-KOG.txt","Uncharacterized conserved protein")</f>
        <v>Uncharacterized conserved protein</v>
      </c>
      <c r="CT200" t="str">
        <f>HYPERLINK("http://www.ncbi.nlm.nih.gov/COG/grace/shokog.cgi?KOG1851","9E-009")</f>
        <v>9E-009</v>
      </c>
      <c r="CU200" t="s">
        <v>1711</v>
      </c>
      <c r="CV200" s="4" t="str">
        <f>HYPERLINK("http://exon.niaid.nih.gov/transcriptome/C_felis/S1/links/PFAM/cf-contig_785-PFAM.txt","DUF3437")</f>
        <v>DUF3437</v>
      </c>
      <c r="CW200" t="str">
        <f>HYPERLINK("http://pfam.sanger.ac.uk/family?acc=PF11919","1E-010")</f>
        <v>1E-010</v>
      </c>
      <c r="CX200" s="4" t="str">
        <f>HYPERLINK("http://exon.niaid.nih.gov/transcriptome/C_felis/S1/links/SMART/cf-contig_785-SMART.txt","RNAse_Pc")</f>
        <v>RNAse_Pc</v>
      </c>
      <c r="CY200" t="str">
        <f>HYPERLINK("http://smart.embl-heidelberg.de/smart/do_annotation.pl?DOMAIN=RNAse_Pc&amp;BLAST=DUMMY","0.041")</f>
        <v>0.041</v>
      </c>
      <c r="CZ200" s="4" t="s">
        <v>42</v>
      </c>
      <c r="DA200" t="s">
        <v>42</v>
      </c>
      <c r="DB200" t="s">
        <v>42</v>
      </c>
      <c r="DC200" t="s">
        <v>42</v>
      </c>
      <c r="DD200" t="s">
        <v>42</v>
      </c>
      <c r="DE200" t="s">
        <v>42</v>
      </c>
      <c r="DF200" t="s">
        <v>42</v>
      </c>
      <c r="DG200" t="s">
        <v>42</v>
      </c>
      <c r="DH200" s="4" t="s">
        <v>42</v>
      </c>
      <c r="DI200" t="s">
        <v>42</v>
      </c>
      <c r="DJ200" s="4" t="s">
        <v>42</v>
      </c>
      <c r="DK200" t="s">
        <v>42</v>
      </c>
      <c r="DL200" s="4">
        <v>630</v>
      </c>
      <c r="DM200">
        <v>1</v>
      </c>
      <c r="DN200" s="4">
        <v>651</v>
      </c>
      <c r="DO200">
        <v>1</v>
      </c>
      <c r="DP200" s="4">
        <v>667</v>
      </c>
      <c r="DQ200">
        <v>1</v>
      </c>
      <c r="DR200" s="4">
        <v>689</v>
      </c>
      <c r="DS200">
        <v>1</v>
      </c>
      <c r="DT200" s="4">
        <v>705</v>
      </c>
      <c r="DU200">
        <v>1</v>
      </c>
      <c r="DV200" s="4">
        <v>720</v>
      </c>
      <c r="DW200">
        <v>1</v>
      </c>
      <c r="DX200" s="4">
        <v>734</v>
      </c>
      <c r="DY200">
        <v>1</v>
      </c>
      <c r="DZ200" s="4">
        <v>745</v>
      </c>
      <c r="EA200">
        <v>1</v>
      </c>
      <c r="EB200" s="4">
        <v>752</v>
      </c>
      <c r="EC200">
        <v>1</v>
      </c>
      <c r="ED200" s="4">
        <v>757</v>
      </c>
      <c r="EE200">
        <v>1</v>
      </c>
      <c r="EF200" s="4">
        <v>764</v>
      </c>
      <c r="EG200">
        <v>1</v>
      </c>
      <c r="EH200" s="4">
        <v>776</v>
      </c>
      <c r="EI200">
        <v>1</v>
      </c>
      <c r="EJ200" s="4">
        <v>785</v>
      </c>
      <c r="EK200">
        <v>1</v>
      </c>
    </row>
    <row r="201" spans="1:141" x14ac:dyDescent="0.2">
      <c r="A201" t="str">
        <f>HYPERLINK("http://exon.niaid.nih.gov/transcriptome/C_felis/S1/links/cf/cf-contig_251.txt","cf-contig_251")</f>
        <v>cf-contig_251</v>
      </c>
      <c r="B201">
        <v>1</v>
      </c>
      <c r="C201" s="10" t="s">
        <v>4717</v>
      </c>
      <c r="D201">
        <v>1</v>
      </c>
      <c r="E201" t="str">
        <f>HYPERLINK("http://exon.niaid.nih.gov/transcriptome/C_felis/S1/links/cf/cf-5-36-asb-251.txt","Contig-251")</f>
        <v>Contig-251</v>
      </c>
      <c r="F201" t="str">
        <f>HYPERLINK("http://exon.niaid.nih.gov/transcriptome/C_felis/S1/links/cf/cf-5-36-251-CLU.txt","Contig251")</f>
        <v>Contig251</v>
      </c>
      <c r="G201" t="str">
        <f>HYPERLINK("http://exon.niaid.nih.gov/transcriptome/C_felis/S1/links/cf/cf-5-36-251-qual.txt","67.7")</f>
        <v>67.7</v>
      </c>
      <c r="H201" t="s">
        <v>11</v>
      </c>
      <c r="I201">
        <v>64.400000000000006</v>
      </c>
      <c r="J201">
        <v>220</v>
      </c>
      <c r="K201" t="s">
        <v>12</v>
      </c>
      <c r="L201">
        <v>1</v>
      </c>
      <c r="M201" t="s">
        <v>264</v>
      </c>
      <c r="N201">
        <v>220</v>
      </c>
      <c r="O201">
        <v>239</v>
      </c>
      <c r="P201">
        <v>162</v>
      </c>
      <c r="Q201" t="s">
        <v>1071</v>
      </c>
      <c r="R201">
        <v>3</v>
      </c>
      <c r="S201" s="7" t="s">
        <v>4585</v>
      </c>
      <c r="U201">
        <v>1</v>
      </c>
      <c r="V201" s="4">
        <v>199</v>
      </c>
      <c r="W201">
        <v>1</v>
      </c>
      <c r="X201" s="4">
        <v>202</v>
      </c>
      <c r="Y201">
        <v>1</v>
      </c>
      <c r="Z201" s="4">
        <v>200</v>
      </c>
      <c r="AA201">
        <v>1</v>
      </c>
      <c r="AB201" s="4" t="str">
        <f>HYPERLINK("http://exon.niaid.nih.gov/transcriptome/C_felis/S1/links/XC-ASB/cf-contig_251-XC-ASB.txt","XC-contig_81")</f>
        <v>XC-contig_81</v>
      </c>
      <c r="AC201">
        <v>0.71</v>
      </c>
      <c r="AD201" s="10" t="s">
        <v>4717</v>
      </c>
      <c r="AE201" t="s">
        <v>4621</v>
      </c>
      <c r="AF201" t="str">
        <f>HYPERLINK("http://exon.niaid.nih.gov/transcriptome/C_felis/S1/links/NR/cf-contig_251-NR.txt","NR")</f>
        <v>NR</v>
      </c>
      <c r="AG201">
        <v>8.0000000000000006E-15</v>
      </c>
      <c r="AH201">
        <v>23.2</v>
      </c>
      <c r="AI201" s="4" t="str">
        <f>HYPERLINK("http://exon.niaid.nih.gov/transcriptome/C_felis/S1/links/NR/cf-contig_251-NR.txt","proteasome subunit beta 1")</f>
        <v>proteasome subunit beta 1</v>
      </c>
      <c r="AJ201" t="str">
        <f>HYPERLINK("http://www.ncbi.nlm.nih.gov/sutils/blink.cgi?pid=211939905","8E-015")</f>
        <v>8E-015</v>
      </c>
      <c r="AK201" t="str">
        <f>HYPERLINK("http://www.ncbi.nlm.nih.gov/protein/211939905","gi|211939905")</f>
        <v>gi|211939905</v>
      </c>
      <c r="AL201">
        <v>84</v>
      </c>
      <c r="AM201">
        <v>53</v>
      </c>
      <c r="AN201">
        <v>232</v>
      </c>
      <c r="AO201">
        <v>75</v>
      </c>
      <c r="AP201">
        <v>23</v>
      </c>
      <c r="AQ201">
        <v>13</v>
      </c>
      <c r="AR201">
        <v>0</v>
      </c>
      <c r="AS201">
        <v>179</v>
      </c>
      <c r="AT201">
        <v>3</v>
      </c>
      <c r="AU201">
        <v>1</v>
      </c>
      <c r="AV201">
        <v>3</v>
      </c>
      <c r="AW201" t="s">
        <v>12</v>
      </c>
      <c r="AY201" t="s">
        <v>1676</v>
      </c>
      <c r="AZ201" t="s">
        <v>2611</v>
      </c>
      <c r="BA201" s="4" t="str">
        <f>HYPERLINK("http://exon.niaid.nih.gov/transcriptome/C_felis/S1/links/SWISSP/cf-contig_251-SWISSP.txt","Proteasome subunit beta type-1-B")</f>
        <v>Proteasome subunit beta type-1-B</v>
      </c>
      <c r="BB201" t="str">
        <f>HYPERLINK("http://www.uniprot.org/uniprot/Q9IB83","2E-011")</f>
        <v>2E-011</v>
      </c>
      <c r="BC201" t="s">
        <v>2612</v>
      </c>
      <c r="BD201">
        <v>68.2</v>
      </c>
      <c r="BE201">
        <v>53</v>
      </c>
      <c r="BF201">
        <v>237</v>
      </c>
      <c r="BG201">
        <v>59</v>
      </c>
      <c r="BH201">
        <v>23</v>
      </c>
      <c r="BI201">
        <v>22</v>
      </c>
      <c r="BJ201">
        <v>0</v>
      </c>
      <c r="BK201">
        <v>184</v>
      </c>
      <c r="BL201">
        <v>3</v>
      </c>
      <c r="BM201">
        <v>1</v>
      </c>
      <c r="BN201">
        <v>3</v>
      </c>
      <c r="BO201" t="s">
        <v>12</v>
      </c>
      <c r="BQ201" t="s">
        <v>1676</v>
      </c>
      <c r="BR201" t="s">
        <v>2613</v>
      </c>
      <c r="BS201" s="4" t="str">
        <f>HYPERLINK("http://exon.niaid.nih.gov/transcriptome/C_felis/S1/links/CDD/cf-contig_251-CDD.txt","proteasome_beta")</f>
        <v>proteasome_beta</v>
      </c>
      <c r="BT201" t="str">
        <f>HYPERLINK("http://www.ncbi.nlm.nih.gov/Structure/cdd/cddsrv.cgi?uid=cd03757&amp;version=v4.0","1E-015")</f>
        <v>1E-015</v>
      </c>
      <c r="BU201" t="s">
        <v>2614</v>
      </c>
      <c r="BV201" s="4" t="s">
        <v>2615</v>
      </c>
      <c r="BW201">
        <f>HYPERLINK("http://exon.niaid.nih.gov/transcriptome/C_felis/S1/links/GO/cf-contig_251-GO.txt",0.000000000009)</f>
        <v>8.9999999999999996E-12</v>
      </c>
      <c r="BX201" t="str">
        <f>HYPERLINK("http://amigo.geneontology.org/cgi-bin/amigo/term_details?term=GO:0004298","GO:0004298")</f>
        <v>GO:0004298</v>
      </c>
      <c r="BY201" t="s">
        <v>2616</v>
      </c>
      <c r="BZ201" t="s">
        <v>2617</v>
      </c>
      <c r="CA201" t="s">
        <v>2618</v>
      </c>
      <c r="CB201" t="str">
        <f>HYPERLINK("http://www.genome.jp/dbget-bin/www_bfind_sub?mode=bfind&amp;max_hit=1000&amp;dbkey=kegg&amp;keywords=EC:3.4.25","EC:3.4.25")</f>
        <v>EC:3.4.25</v>
      </c>
      <c r="CD201">
        <v>8.9999999999999996E-12</v>
      </c>
      <c r="CE201" t="str">
        <f>HYPERLINK("http://amigo.geneontology.org/cgi-bin/amigo/term_details?term=GO:0005634","GO:0005634")</f>
        <v>GO:0005634</v>
      </c>
      <c r="CF201" t="s">
        <v>2064</v>
      </c>
      <c r="CG201" t="s">
        <v>2065</v>
      </c>
      <c r="CH201" t="s">
        <v>2066</v>
      </c>
      <c r="CI201" t="s">
        <v>42</v>
      </c>
      <c r="CK201">
        <v>8.9999999999999996E-12</v>
      </c>
      <c r="CL201" t="str">
        <f>HYPERLINK("http://amigo.geneontology.org/cgi-bin/amigo/term_details?term=GO:0051603","GO:0051603")</f>
        <v>GO:0051603</v>
      </c>
      <c r="CM201" t="s">
        <v>2619</v>
      </c>
      <c r="CN201" t="s">
        <v>2620</v>
      </c>
      <c r="CO201" t="s">
        <v>2621</v>
      </c>
      <c r="CP201" t="s">
        <v>42</v>
      </c>
      <c r="CR201">
        <v>8.9999999999999996E-12</v>
      </c>
      <c r="CS201" s="4" t="str">
        <f>HYPERLINK("http://exon.niaid.nih.gov/transcriptome/C_felis/S1/links/KOG/cf-contig_251-KOG.txt","20S proteasome, regulatory subunit beta type PSMB1/PRE7")</f>
        <v>20S proteasome, regulatory subunit beta type PSMB1/PRE7</v>
      </c>
      <c r="CT201" t="str">
        <f>HYPERLINK("http://www.ncbi.nlm.nih.gov/COG/grace/shokog.cgi?KOG0179","3E-014")</f>
        <v>3E-014</v>
      </c>
      <c r="CU201" t="s">
        <v>2198</v>
      </c>
      <c r="CV201" s="4" t="str">
        <f>HYPERLINK("http://exon.niaid.nih.gov/transcriptome/C_felis/S1/links/PFAM/cf-contig_251-PFAM.txt","7tm_6")</f>
        <v>7tm_6</v>
      </c>
      <c r="CW201" t="str">
        <f>HYPERLINK("http://pfam.sanger.ac.uk/family?acc=PF02949","0.055")</f>
        <v>0.055</v>
      </c>
      <c r="CX201" s="4" t="str">
        <f>HYPERLINK("http://exon.niaid.nih.gov/transcriptome/C_felis/S1/links/SMART/cf-contig_251-SMART.txt","Agro_virD5")</f>
        <v>Agro_virD5</v>
      </c>
      <c r="CY201" t="str">
        <f>HYPERLINK("http://smart.embl-heidelberg.de/smart/do_annotation.pl?DOMAIN=Agro_virD5&amp;BLAST=DUMMY","0.085")</f>
        <v>0.085</v>
      </c>
      <c r="CZ201" s="4" t="s">
        <v>42</v>
      </c>
      <c r="DA201" t="s">
        <v>42</v>
      </c>
      <c r="DB201" t="s">
        <v>42</v>
      </c>
      <c r="DC201" t="s">
        <v>42</v>
      </c>
      <c r="DD201" t="s">
        <v>42</v>
      </c>
      <c r="DE201" t="s">
        <v>42</v>
      </c>
      <c r="DF201" t="s">
        <v>42</v>
      </c>
      <c r="DG201" t="s">
        <v>42</v>
      </c>
      <c r="DH201" s="4" t="s">
        <v>42</v>
      </c>
      <c r="DI201" t="s">
        <v>42</v>
      </c>
      <c r="DJ201" s="4" t="s">
        <v>42</v>
      </c>
      <c r="DK201" t="s">
        <v>42</v>
      </c>
      <c r="DL201" s="4">
        <v>199</v>
      </c>
      <c r="DM201">
        <v>1</v>
      </c>
      <c r="DN201" s="4">
        <v>202</v>
      </c>
      <c r="DO201">
        <v>1</v>
      </c>
      <c r="DP201" s="4">
        <v>200</v>
      </c>
      <c r="DQ201">
        <v>1</v>
      </c>
      <c r="DR201" s="4">
        <v>209</v>
      </c>
      <c r="DS201">
        <v>1</v>
      </c>
      <c r="DT201" s="4">
        <v>215</v>
      </c>
      <c r="DU201">
        <v>1</v>
      </c>
      <c r="DV201" s="4">
        <v>227</v>
      </c>
      <c r="DW201">
        <v>1</v>
      </c>
      <c r="DX201" s="4">
        <v>229</v>
      </c>
      <c r="DY201">
        <v>1</v>
      </c>
      <c r="DZ201" s="4">
        <v>233</v>
      </c>
      <c r="EA201">
        <v>1</v>
      </c>
      <c r="EB201" s="4">
        <v>238</v>
      </c>
      <c r="EC201">
        <v>1</v>
      </c>
      <c r="ED201" s="4">
        <v>241</v>
      </c>
      <c r="EE201">
        <v>1</v>
      </c>
      <c r="EF201" s="4">
        <v>244</v>
      </c>
      <c r="EG201">
        <v>1</v>
      </c>
      <c r="EH201" s="4">
        <v>246</v>
      </c>
      <c r="EI201">
        <v>1</v>
      </c>
      <c r="EJ201" s="4">
        <v>251</v>
      </c>
      <c r="EK201">
        <v>1</v>
      </c>
    </row>
    <row r="202" spans="1:141" x14ac:dyDescent="0.2">
      <c r="A202" t="str">
        <f>HYPERLINK("http://exon.niaid.nih.gov/transcriptome/C_felis/S1/links/cf/cf-contig_346.txt","cf-contig_346")</f>
        <v>cf-contig_346</v>
      </c>
      <c r="B202">
        <v>1</v>
      </c>
      <c r="C202" s="10" t="s">
        <v>4737</v>
      </c>
      <c r="D202">
        <v>1</v>
      </c>
      <c r="E202" t="str">
        <f>HYPERLINK("http://exon.niaid.nih.gov/transcriptome/C_felis/S1/links/cf/cf-5-36-asb-346.txt","Contig-346")</f>
        <v>Contig-346</v>
      </c>
      <c r="F202" t="str">
        <f>HYPERLINK("http://exon.niaid.nih.gov/transcriptome/C_felis/S1/links/cf/cf-5-36-346-CLU.txt","Contig346")</f>
        <v>Contig346</v>
      </c>
      <c r="G202" t="str">
        <f>HYPERLINK("http://exon.niaid.nih.gov/transcriptome/C_felis/S1/links/cf/cf-5-36-346-qual.txt","57.9")</f>
        <v>57.9</v>
      </c>
      <c r="H202" t="s">
        <v>11</v>
      </c>
      <c r="I202">
        <v>69.3</v>
      </c>
      <c r="J202">
        <v>362</v>
      </c>
      <c r="K202" t="s">
        <v>12</v>
      </c>
      <c r="L202">
        <v>1</v>
      </c>
      <c r="M202" t="s">
        <v>359</v>
      </c>
      <c r="N202">
        <v>362</v>
      </c>
      <c r="O202">
        <v>381</v>
      </c>
      <c r="P202">
        <v>165</v>
      </c>
      <c r="Q202" t="s">
        <v>1166</v>
      </c>
      <c r="R202">
        <v>2</v>
      </c>
      <c r="S202" s="7" t="s">
        <v>4585</v>
      </c>
      <c r="U202">
        <v>1</v>
      </c>
      <c r="V202" s="4">
        <v>278</v>
      </c>
      <c r="W202">
        <v>1</v>
      </c>
      <c r="X202" s="4">
        <v>284</v>
      </c>
      <c r="Y202">
        <v>1</v>
      </c>
      <c r="Z202" s="4">
        <v>284</v>
      </c>
      <c r="AA202">
        <v>1</v>
      </c>
      <c r="AB202" s="4" t="str">
        <f>HYPERLINK("http://exon.niaid.nih.gov/transcriptome/C_felis/S1/links/XC-ASB/cf-contig_346-XC-ASB.txt","XC-contig_201")</f>
        <v>XC-contig_201</v>
      </c>
      <c r="AC202">
        <v>0.28000000000000003</v>
      </c>
      <c r="AD202" s="10" t="s">
        <v>4737</v>
      </c>
      <c r="AE202" t="s">
        <v>4621</v>
      </c>
      <c r="AF202" t="str">
        <f>HYPERLINK("http://exon.niaid.nih.gov/transcriptome/C_felis/S1/links/NR/cf-contig_346-NR.txt","NR")</f>
        <v>NR</v>
      </c>
      <c r="AG202">
        <v>2.0000000000000002E-15</v>
      </c>
      <c r="AH202">
        <v>28</v>
      </c>
      <c r="AI202" s="4" t="str">
        <f>HYPERLINK("http://exon.niaid.nih.gov/transcriptome/C_felis/S1/links/NR/cf-contig_346-NR.txt","ubiquitin-conjugating enzyme E2 isoform 2")</f>
        <v>ubiquitin-conjugating enzyme E2 isoform 2</v>
      </c>
      <c r="AJ202" t="str">
        <f>HYPERLINK("http://www.ncbi.nlm.nih.gov/sutils/blink.cgi?pid=95102778","4E-016")</f>
        <v>4E-016</v>
      </c>
      <c r="AK202" t="str">
        <f>HYPERLINK("http://www.ncbi.nlm.nih.gov/protein/95102778","gi|95102778")</f>
        <v>gi|95102778</v>
      </c>
      <c r="AL202">
        <v>88.2</v>
      </c>
      <c r="AM202">
        <v>44</v>
      </c>
      <c r="AN202">
        <v>131</v>
      </c>
      <c r="AO202">
        <v>91</v>
      </c>
      <c r="AP202">
        <v>34</v>
      </c>
      <c r="AQ202">
        <v>4</v>
      </c>
      <c r="AR202">
        <v>0</v>
      </c>
      <c r="AS202">
        <v>87</v>
      </c>
      <c r="AT202">
        <v>32</v>
      </c>
      <c r="AU202">
        <v>1</v>
      </c>
      <c r="AV202">
        <v>2</v>
      </c>
      <c r="AW202" t="s">
        <v>12</v>
      </c>
      <c r="AY202" t="s">
        <v>1676</v>
      </c>
      <c r="AZ202" t="s">
        <v>2037</v>
      </c>
      <c r="BA202" s="4" t="str">
        <f>HYPERLINK("http://exon.niaid.nih.gov/transcriptome/C_felis/S1/links/SWISSP/cf-contig_346-SWISSP.txt","SUMO-conjugating enzyme UBC9")</f>
        <v>SUMO-conjugating enzyme UBC9</v>
      </c>
      <c r="BB202" t="str">
        <f>HYPERLINK("http://www.uniprot.org/uniprot/Q28CQ4","8E-014")</f>
        <v>8E-014</v>
      </c>
      <c r="BC202" t="s">
        <v>2898</v>
      </c>
      <c r="BD202">
        <v>75.900000000000006</v>
      </c>
      <c r="BE202">
        <v>41</v>
      </c>
      <c r="BF202">
        <v>158</v>
      </c>
      <c r="BG202">
        <v>78</v>
      </c>
      <c r="BH202">
        <v>27</v>
      </c>
      <c r="BI202">
        <v>9</v>
      </c>
      <c r="BJ202">
        <v>0</v>
      </c>
      <c r="BK202">
        <v>115</v>
      </c>
      <c r="BL202">
        <v>32</v>
      </c>
      <c r="BM202">
        <v>1</v>
      </c>
      <c r="BN202">
        <v>2</v>
      </c>
      <c r="BO202" t="s">
        <v>12</v>
      </c>
      <c r="BQ202" t="s">
        <v>1676</v>
      </c>
      <c r="BR202" t="s">
        <v>1826</v>
      </c>
      <c r="BS202" s="4" t="str">
        <f>HYPERLINK("http://exon.niaid.nih.gov/transcriptome/C_felis/S1/links/CDD/cf-contig_346-CDD.txt","UQ_con")</f>
        <v>UQ_con</v>
      </c>
      <c r="BT202" t="str">
        <f>HYPERLINK("http://www.ncbi.nlm.nih.gov/Structure/cdd/cddsrv.cgi?uid=pfam00179&amp;version=v4.0","5E-009")</f>
        <v>5E-009</v>
      </c>
      <c r="BU202" t="s">
        <v>2899</v>
      </c>
      <c r="BV202" s="4" t="s">
        <v>2900</v>
      </c>
      <c r="BW202">
        <f>HYPERLINK("http://exon.niaid.nih.gov/transcriptome/C_felis/S1/links/GO/cf-contig_346-GO.txt",0.00000000000000004)</f>
        <v>4.0000000000000003E-17</v>
      </c>
      <c r="BX202" t="str">
        <f>HYPERLINK("http://amigo.geneontology.org/cgi-bin/amigo/term_details?term=GO:0019789","GO:0019789")</f>
        <v>GO:0019789</v>
      </c>
      <c r="BY202" t="s">
        <v>2901</v>
      </c>
      <c r="BZ202" t="s">
        <v>2902</v>
      </c>
      <c r="CA202" t="s">
        <v>2903</v>
      </c>
      <c r="CB202" t="s">
        <v>42</v>
      </c>
      <c r="CD202" s="5">
        <v>4.0000000000000003E-17</v>
      </c>
      <c r="CE202" t="str">
        <f>HYPERLINK("http://amigo.geneontology.org/cgi-bin/amigo/term_details?term=GO:0005634","GO:0005634")</f>
        <v>GO:0005634</v>
      </c>
      <c r="CF202" t="s">
        <v>2064</v>
      </c>
      <c r="CG202" t="s">
        <v>2065</v>
      </c>
      <c r="CH202" t="s">
        <v>2066</v>
      </c>
      <c r="CI202" t="s">
        <v>42</v>
      </c>
      <c r="CK202" s="5">
        <v>4.0000000000000003E-17</v>
      </c>
      <c r="CL202" t="str">
        <f>HYPERLINK("http://amigo.geneontology.org/cgi-bin/amigo/term_details?term=GO:0016925","GO:0016925")</f>
        <v>GO:0016925</v>
      </c>
      <c r="CM202" t="s">
        <v>2904</v>
      </c>
      <c r="CN202" t="s">
        <v>2905</v>
      </c>
      <c r="CO202" t="s">
        <v>2906</v>
      </c>
      <c r="CP202" t="s">
        <v>42</v>
      </c>
      <c r="CR202" s="5">
        <v>4.0000000000000003E-17</v>
      </c>
      <c r="CS202" s="4" t="str">
        <f>HYPERLINK("http://exon.niaid.nih.gov/transcriptome/C_felis/S1/links/KOG/cf-contig_346-KOG.txt","Ubiquitin-protein ligase")</f>
        <v>Ubiquitin-protein ligase</v>
      </c>
      <c r="CT202" t="str">
        <f>HYPERLINK("http://www.ncbi.nlm.nih.gov/COG/grace/shokog.cgi?KOG0424","3E-015")</f>
        <v>3E-015</v>
      </c>
      <c r="CU202" t="s">
        <v>2198</v>
      </c>
      <c r="CV202" s="4" t="str">
        <f>HYPERLINK("http://exon.niaid.nih.gov/transcriptome/C_felis/S1/links/PFAM/cf-contig_346-PFAM.txt","UQ_con")</f>
        <v>UQ_con</v>
      </c>
      <c r="CW202" t="str">
        <f>HYPERLINK("http://pfam.sanger.ac.uk/family?acc=PF00179","1E-009")</f>
        <v>1E-009</v>
      </c>
      <c r="CX202" s="4" t="str">
        <f>HYPERLINK("http://exon.niaid.nih.gov/transcriptome/C_felis/S1/links/SMART/cf-contig_346-SMART.txt","UBCc")</f>
        <v>UBCc</v>
      </c>
      <c r="CY202" t="str">
        <f>HYPERLINK("http://smart.embl-heidelberg.de/smart/do_annotation.pl?DOMAIN=UBCc&amp;BLAST=DUMMY","5E-010")</f>
        <v>5E-010</v>
      </c>
      <c r="CZ202" s="4" t="s">
        <v>42</v>
      </c>
      <c r="DA202" t="s">
        <v>42</v>
      </c>
      <c r="DB202" t="s">
        <v>42</v>
      </c>
      <c r="DC202" t="s">
        <v>42</v>
      </c>
      <c r="DD202" t="s">
        <v>42</v>
      </c>
      <c r="DE202" t="s">
        <v>42</v>
      </c>
      <c r="DF202" t="s">
        <v>42</v>
      </c>
      <c r="DG202" t="s">
        <v>42</v>
      </c>
      <c r="DH202" s="4" t="s">
        <v>42</v>
      </c>
      <c r="DI202" t="s">
        <v>42</v>
      </c>
      <c r="DJ202" s="4" t="s">
        <v>42</v>
      </c>
      <c r="DK202" t="s">
        <v>42</v>
      </c>
      <c r="DL202" s="4">
        <v>278</v>
      </c>
      <c r="DM202">
        <v>1</v>
      </c>
      <c r="DN202" s="4">
        <v>284</v>
      </c>
      <c r="DO202">
        <v>1</v>
      </c>
      <c r="DP202" s="4">
        <v>284</v>
      </c>
      <c r="DQ202">
        <v>1</v>
      </c>
      <c r="DR202" s="4">
        <v>294</v>
      </c>
      <c r="DS202">
        <v>1</v>
      </c>
      <c r="DT202" s="4">
        <v>304</v>
      </c>
      <c r="DU202">
        <v>1</v>
      </c>
      <c r="DV202" s="4">
        <v>317</v>
      </c>
      <c r="DW202">
        <v>1</v>
      </c>
      <c r="DX202" s="4">
        <v>320</v>
      </c>
      <c r="DY202">
        <v>1</v>
      </c>
      <c r="DZ202" s="4">
        <v>325</v>
      </c>
      <c r="EA202">
        <v>1</v>
      </c>
      <c r="EB202" s="4">
        <v>330</v>
      </c>
      <c r="EC202">
        <v>1</v>
      </c>
      <c r="ED202" s="4">
        <v>334</v>
      </c>
      <c r="EE202">
        <v>1</v>
      </c>
      <c r="EF202" s="4">
        <v>339</v>
      </c>
      <c r="EG202">
        <v>1</v>
      </c>
      <c r="EH202" s="4">
        <v>341</v>
      </c>
      <c r="EI202">
        <v>1</v>
      </c>
      <c r="EJ202" s="4">
        <v>346</v>
      </c>
      <c r="EK202">
        <v>1</v>
      </c>
    </row>
    <row r="203" spans="1:141" x14ac:dyDescent="0.2">
      <c r="A203" t="str">
        <f>HYPERLINK("http://exon.niaid.nih.gov/transcriptome/C_felis/S1/links/cf/cf-contig_422.txt","cf-contig_422")</f>
        <v>cf-contig_422</v>
      </c>
      <c r="B203">
        <v>1</v>
      </c>
      <c r="C203" s="10" t="s">
        <v>4762</v>
      </c>
      <c r="D203">
        <v>1</v>
      </c>
      <c r="E203" t="str">
        <f>HYPERLINK("http://exon.niaid.nih.gov/transcriptome/C_felis/S1/links/cf/cf-5-36-asb-422.txt","Contig-422")</f>
        <v>Contig-422</v>
      </c>
      <c r="F203" t="str">
        <f>HYPERLINK("http://exon.niaid.nih.gov/transcriptome/C_felis/S1/links/cf/cf-5-36-422-CLU.txt","Contig422")</f>
        <v>Contig422</v>
      </c>
      <c r="G203" t="str">
        <f>HYPERLINK("http://exon.niaid.nih.gov/transcriptome/C_felis/S1/links/cf/cf-5-36-422-qual.txt","64.3")</f>
        <v>64.3</v>
      </c>
      <c r="H203" t="s">
        <v>11</v>
      </c>
      <c r="I203">
        <v>73.599999999999994</v>
      </c>
      <c r="J203">
        <v>560</v>
      </c>
      <c r="K203" t="s">
        <v>12</v>
      </c>
      <c r="L203">
        <v>1</v>
      </c>
      <c r="M203" t="s">
        <v>435</v>
      </c>
      <c r="N203">
        <v>560</v>
      </c>
      <c r="O203">
        <v>579</v>
      </c>
      <c r="P203">
        <v>357</v>
      </c>
      <c r="Q203" t="s">
        <v>1242</v>
      </c>
      <c r="R203">
        <v>2</v>
      </c>
      <c r="S203" s="7" t="str">
        <f>HYPERLINK("http://exon.niaid.nih.gov/transcriptome/C_felis/S1/links/Sigp/CF-CONTIG_422-SigP.txt","Cyt")</f>
        <v>Cyt</v>
      </c>
      <c r="U203">
        <v>1</v>
      </c>
      <c r="V203" s="4">
        <v>344</v>
      </c>
      <c r="W203">
        <v>1</v>
      </c>
      <c r="X203" s="4">
        <v>353</v>
      </c>
      <c r="Y203">
        <v>1</v>
      </c>
      <c r="Z203" s="4">
        <v>356</v>
      </c>
      <c r="AA203">
        <v>1</v>
      </c>
      <c r="AB203" s="4" t="str">
        <f>HYPERLINK("http://exon.niaid.nih.gov/transcriptome/C_felis/S1/links/XC-ASB/cf-contig_422-XC-ASB.txt","XC-contig_237")</f>
        <v>XC-contig_237</v>
      </c>
      <c r="AC203">
        <v>1.9E-2</v>
      </c>
      <c r="AD203" s="10" t="s">
        <v>4762</v>
      </c>
      <c r="AE203" t="s">
        <v>4621</v>
      </c>
      <c r="AF203" t="str">
        <f>HYPERLINK("http://exon.niaid.nih.gov/transcriptome/C_felis/S1/links/GO/cf-contig_422-GO.txt","GO")</f>
        <v>GO</v>
      </c>
      <c r="AG203">
        <v>5.0000000000000002E-5</v>
      </c>
      <c r="AH203">
        <v>1.2</v>
      </c>
      <c r="AI203" s="4" t="str">
        <f>HYPERLINK("http://exon.niaid.nih.gov/transcriptome/C_felis/S1/links/NR/cf-contig_422-NR.txt","hypothetical protein DICPUDRAFT_89628")</f>
        <v>hypothetical protein DICPUDRAFT_89628</v>
      </c>
      <c r="AJ203" t="str">
        <f>HYPERLINK("http://www.ncbi.nlm.nih.gov/sutils/blink.cgi?pid=330833818","2E-005")</f>
        <v>2E-005</v>
      </c>
      <c r="AK203" t="str">
        <f>HYPERLINK("http://www.ncbi.nlm.nih.gov/protein/330833818","gi|330833818")</f>
        <v>gi|330833818</v>
      </c>
      <c r="AL203">
        <v>53.1</v>
      </c>
      <c r="AM203">
        <v>126</v>
      </c>
      <c r="AN203">
        <v>312</v>
      </c>
      <c r="AO203">
        <v>33</v>
      </c>
      <c r="AP203">
        <v>41</v>
      </c>
      <c r="AQ203">
        <v>76</v>
      </c>
      <c r="AR203">
        <v>0</v>
      </c>
      <c r="AS203">
        <v>158</v>
      </c>
      <c r="AT203">
        <v>11</v>
      </c>
      <c r="AU203">
        <v>2</v>
      </c>
      <c r="AV203">
        <v>2</v>
      </c>
      <c r="AW203" t="s">
        <v>12</v>
      </c>
      <c r="AY203" t="s">
        <v>1676</v>
      </c>
      <c r="AZ203" t="s">
        <v>2146</v>
      </c>
      <c r="BA203" s="4" t="str">
        <f>HYPERLINK("http://exon.niaid.nih.gov/transcriptome/C_felis/S1/links/SWISSP/cf-contig_422-SWISSP.txt","Homeobox protein 9")</f>
        <v>Homeobox protein 9</v>
      </c>
      <c r="BB203" t="str">
        <f>HYPERLINK("http://www.uniprot.org/uniprot/Q54VB4","1E-004")</f>
        <v>1E-004</v>
      </c>
      <c r="BC203" t="s">
        <v>3175</v>
      </c>
      <c r="BD203">
        <v>46.2</v>
      </c>
      <c r="BE203">
        <v>508</v>
      </c>
      <c r="BF203">
        <v>639</v>
      </c>
      <c r="BG203">
        <v>25</v>
      </c>
      <c r="BH203">
        <v>80</v>
      </c>
      <c r="BI203">
        <v>93</v>
      </c>
      <c r="BJ203">
        <v>7</v>
      </c>
      <c r="BK203">
        <v>26</v>
      </c>
      <c r="BL203">
        <v>5</v>
      </c>
      <c r="BM203">
        <v>7</v>
      </c>
      <c r="BN203">
        <v>2</v>
      </c>
      <c r="BO203" t="s">
        <v>12</v>
      </c>
      <c r="BQ203" t="s">
        <v>1676</v>
      </c>
      <c r="BR203" t="s">
        <v>1976</v>
      </c>
      <c r="BS203" s="4" t="str">
        <f>HYPERLINK("http://exon.niaid.nih.gov/transcriptome/C_felis/S1/links/CDD/cf-contig_422-CDD.txt","7TM_GPCR_Srz")</f>
        <v>7TM_GPCR_Srz</v>
      </c>
      <c r="BT203" t="str">
        <f>HYPERLINK("http://www.ncbi.nlm.nih.gov/Structure/cdd/cddsrv.cgi?uid=pfam10325&amp;version=v4.0","8E-005")</f>
        <v>8E-005</v>
      </c>
      <c r="BU203" t="s">
        <v>3176</v>
      </c>
      <c r="BV203" s="4" t="s">
        <v>3177</v>
      </c>
      <c r="BW203">
        <f>HYPERLINK("http://exon.niaid.nih.gov/transcriptome/C_felis/S1/links/GO/cf-contig_422-GO.txt",0.00002)</f>
        <v>2.0000000000000002E-5</v>
      </c>
      <c r="BX203" t="str">
        <f>HYPERLINK("http://amigo.geneontology.org/cgi-bin/amigo/term_details?term=GO:0003700","GO:0003700")</f>
        <v>GO:0003700</v>
      </c>
      <c r="BY203" t="s">
        <v>3178</v>
      </c>
      <c r="BZ203" t="s">
        <v>3179</v>
      </c>
      <c r="CA203" t="s">
        <v>3180</v>
      </c>
      <c r="CB203" t="s">
        <v>42</v>
      </c>
      <c r="CD203">
        <v>4.0000000000000003E-5</v>
      </c>
      <c r="CE203" t="str">
        <f>HYPERLINK("http://amigo.geneontology.org/cgi-bin/amigo/term_details?term=GO:0005634","GO:0005634")</f>
        <v>GO:0005634</v>
      </c>
      <c r="CF203" t="s">
        <v>2064</v>
      </c>
      <c r="CG203" t="s">
        <v>2065</v>
      </c>
      <c r="CH203" t="s">
        <v>2066</v>
      </c>
      <c r="CI203" t="s">
        <v>42</v>
      </c>
      <c r="CK203">
        <v>4.0000000000000003E-5</v>
      </c>
      <c r="CL203" t="str">
        <f>HYPERLINK("http://amigo.geneontology.org/cgi-bin/amigo/term_details?term=GO:0006355","GO:0006355")</f>
        <v>GO:0006355</v>
      </c>
      <c r="CM203" t="s">
        <v>2784</v>
      </c>
      <c r="CN203" t="s">
        <v>2785</v>
      </c>
      <c r="CO203" t="s">
        <v>2786</v>
      </c>
      <c r="CP203" t="s">
        <v>42</v>
      </c>
      <c r="CR203">
        <v>4.0000000000000003E-5</v>
      </c>
      <c r="CS203" s="4" t="str">
        <f>HYPERLINK("http://exon.niaid.nih.gov/transcriptome/C_felis/S1/links/KOG/cf-contig_422-KOG.txt","Ankyrin repeat and DHHC-type Zn-finger domain containing proteins")</f>
        <v>Ankyrin repeat and DHHC-type Zn-finger domain containing proteins</v>
      </c>
      <c r="CT203" t="str">
        <f>HYPERLINK("http://www.ncbi.nlm.nih.gov/COG/grace/shokog.cgi?KOG0509","5E-004")</f>
        <v>5E-004</v>
      </c>
      <c r="CU203" t="s">
        <v>1721</v>
      </c>
      <c r="CV203" s="4" t="str">
        <f>HYPERLINK("http://exon.niaid.nih.gov/transcriptome/C_felis/S1/links/PFAM/cf-contig_422-PFAM.txt","7TM_GPCR_Srz")</f>
        <v>7TM_GPCR_Srz</v>
      </c>
      <c r="CW203" t="str">
        <f>HYPERLINK("http://pfam.sanger.ac.uk/family?acc=PF10325","2E-005")</f>
        <v>2E-005</v>
      </c>
      <c r="CX203" s="4" t="str">
        <f>HYPERLINK("http://exon.niaid.nih.gov/transcriptome/C_felis/S1/links/SMART/cf-contig_422-SMART.txt","TOPEUc")</f>
        <v>TOPEUc</v>
      </c>
      <c r="CY203" t="str">
        <f>HYPERLINK("http://smart.embl-heidelberg.de/smart/do_annotation.pl?DOMAIN=TOPEUc&amp;BLAST=DUMMY","0.039")</f>
        <v>0.039</v>
      </c>
      <c r="CZ203" s="4" t="s">
        <v>42</v>
      </c>
      <c r="DA203" t="s">
        <v>42</v>
      </c>
      <c r="DB203" t="s">
        <v>42</v>
      </c>
      <c r="DC203" t="s">
        <v>42</v>
      </c>
      <c r="DD203" t="s">
        <v>42</v>
      </c>
      <c r="DE203" t="s">
        <v>42</v>
      </c>
      <c r="DF203" t="s">
        <v>42</v>
      </c>
      <c r="DG203" t="s">
        <v>42</v>
      </c>
      <c r="DH203" s="4" t="s">
        <v>42</v>
      </c>
      <c r="DI203" t="s">
        <v>42</v>
      </c>
      <c r="DJ203" s="4" t="s">
        <v>42</v>
      </c>
      <c r="DK203" t="s">
        <v>42</v>
      </c>
      <c r="DL203" s="4">
        <v>344</v>
      </c>
      <c r="DM203">
        <v>1</v>
      </c>
      <c r="DN203" s="4">
        <v>353</v>
      </c>
      <c r="DO203">
        <v>1</v>
      </c>
      <c r="DP203" s="4">
        <v>356</v>
      </c>
      <c r="DQ203">
        <v>1</v>
      </c>
      <c r="DR203" s="4">
        <v>368</v>
      </c>
      <c r="DS203">
        <v>1</v>
      </c>
      <c r="DT203" s="4">
        <v>378</v>
      </c>
      <c r="DU203">
        <v>1</v>
      </c>
      <c r="DV203" s="4">
        <v>391</v>
      </c>
      <c r="DW203">
        <v>1</v>
      </c>
      <c r="DX203" s="4">
        <v>394</v>
      </c>
      <c r="DY203">
        <v>1</v>
      </c>
      <c r="DZ203" s="4">
        <v>399</v>
      </c>
      <c r="EA203">
        <v>1</v>
      </c>
      <c r="EB203" s="4">
        <v>404</v>
      </c>
      <c r="EC203">
        <v>1</v>
      </c>
      <c r="ED203" s="4">
        <v>408</v>
      </c>
      <c r="EE203">
        <v>1</v>
      </c>
      <c r="EF203" s="4">
        <v>413</v>
      </c>
      <c r="EG203">
        <v>1</v>
      </c>
      <c r="EH203" s="4">
        <v>416</v>
      </c>
      <c r="EI203">
        <v>1</v>
      </c>
      <c r="EJ203" s="4">
        <v>422</v>
      </c>
      <c r="EK203">
        <v>1</v>
      </c>
    </row>
    <row r="204" spans="1:141" x14ac:dyDescent="0.2">
      <c r="A204" t="str">
        <f>HYPERLINK("http://exon.niaid.nih.gov/transcriptome/C_felis/S1/links/cf/cf-contig_90.txt","cf-contig_90")</f>
        <v>cf-contig_90</v>
      </c>
      <c r="B204">
        <v>2</v>
      </c>
      <c r="C204" s="10" t="s">
        <v>4622</v>
      </c>
      <c r="D204">
        <v>2</v>
      </c>
      <c r="E204" t="str">
        <f>HYPERLINK("http://exon.niaid.nih.gov/transcriptome/C_felis/S1/links/cf/cf-5-36-asb-90.txt","Contig-90")</f>
        <v>Contig-90</v>
      </c>
      <c r="F204" t="str">
        <f>HYPERLINK("http://exon.niaid.nih.gov/transcriptome/C_felis/S1/links/cf/cf-5-36-90-CLU.txt","Contig90")</f>
        <v>Contig90</v>
      </c>
      <c r="G204" t="str">
        <f>HYPERLINK("http://exon.niaid.nih.gov/transcriptome/C_felis/S1/links/cf/cf-5-36-90-qual.txt","79.7")</f>
        <v>79.7</v>
      </c>
      <c r="H204">
        <v>0.2</v>
      </c>
      <c r="I204">
        <v>76.400000000000006</v>
      </c>
      <c r="J204">
        <v>455</v>
      </c>
      <c r="K204" t="s">
        <v>12</v>
      </c>
      <c r="L204">
        <v>2</v>
      </c>
      <c r="M204" t="s">
        <v>103</v>
      </c>
      <c r="N204">
        <v>519</v>
      </c>
      <c r="O204">
        <v>474</v>
      </c>
      <c r="P204">
        <v>294</v>
      </c>
      <c r="Q204" t="s">
        <v>910</v>
      </c>
      <c r="R204">
        <v>2</v>
      </c>
      <c r="S204" s="7" t="s">
        <v>4585</v>
      </c>
      <c r="U204">
        <v>2</v>
      </c>
      <c r="V204" s="4">
        <f>HYPERLINK("http://exon.niaid.nih.gov/transcriptome/C_felis/S1/links/cluster/cf-5-36-asb30-50-Id-CLU36.txt", 36)</f>
        <v>36</v>
      </c>
      <c r="W204">
        <f>HYPERLINK("http://exon.niaid.nih.gov/transcriptome/C_felis/S1/links/cluster/cf-5-36-asb30-50-Id-CLTL36.txt", 2)</f>
        <v>2</v>
      </c>
      <c r="X204" s="4">
        <f>HYPERLINK("http://exon.niaid.nih.gov/transcriptome/C_felis/S1/links/cluster/cf-5-36-asb35-50-Id-CLU29.txt", 29)</f>
        <v>29</v>
      </c>
      <c r="Y204">
        <f>HYPERLINK("http://exon.niaid.nih.gov/transcriptome/C_felis/S1/links/cluster/cf-5-36-asb35-50-Id-CLTL29.txt", 2)</f>
        <v>2</v>
      </c>
      <c r="Z204" s="4">
        <f>HYPERLINK("http://exon.niaid.nih.gov/transcriptome/C_felis/S1/links/cluster/cf-5-36-asb40-50-Id-CLU27.txt", 27)</f>
        <v>27</v>
      </c>
      <c r="AA204">
        <f>HYPERLINK("http://exon.niaid.nih.gov/transcriptome/C_felis/S1/links/cluster/cf-5-36-asb40-50-Id-CLTL27.txt", 2)</f>
        <v>2</v>
      </c>
      <c r="AB204" s="4" t="str">
        <f>HYPERLINK("http://exon.niaid.nih.gov/transcriptome/C_felis/S1/links/XC-ASB/cf-contig_90-XC-ASB.txt","XC-contig_71")</f>
        <v>XC-contig_71</v>
      </c>
      <c r="AC204">
        <v>1.0999999999999999E-2</v>
      </c>
      <c r="AD204" s="10" t="s">
        <v>4622</v>
      </c>
      <c r="AE204" t="s">
        <v>4621</v>
      </c>
      <c r="AF204" t="str">
        <f>HYPERLINK("http://exon.niaid.nih.gov/transcriptome/C_felis/S1/links/GO/cf-contig_90-GO.txt","GO")</f>
        <v>GO</v>
      </c>
      <c r="AG204">
        <v>5.0000000000000004E-6</v>
      </c>
      <c r="AH204">
        <v>3</v>
      </c>
      <c r="AI204" s="4" t="str">
        <f>HYPERLINK("http://exon.niaid.nih.gov/transcriptome/C_felis/S1/links/NR/cf-contig_90-NR.txt","hypothetical protein MetalDRAFT_1346")</f>
        <v>hypothetical protein MetalDRAFT_1346</v>
      </c>
      <c r="AJ204" t="str">
        <f>HYPERLINK("http://www.ncbi.nlm.nih.gov/sutils/blink.cgi?pid=334110345","7E-006")</f>
        <v>7E-006</v>
      </c>
      <c r="AK204" t="str">
        <f>HYPERLINK("http://www.ncbi.nlm.nih.gov/protein/334110345","gi|334110345")</f>
        <v>gi|334110345</v>
      </c>
      <c r="AL204">
        <v>54.3</v>
      </c>
      <c r="AM204">
        <v>78</v>
      </c>
      <c r="AN204">
        <v>97</v>
      </c>
      <c r="AO204">
        <v>41</v>
      </c>
      <c r="AP204">
        <v>81</v>
      </c>
      <c r="AQ204">
        <v>32</v>
      </c>
      <c r="AR204">
        <v>0</v>
      </c>
      <c r="AS204">
        <v>6</v>
      </c>
      <c r="AT204">
        <v>86</v>
      </c>
      <c r="AU204">
        <v>4</v>
      </c>
      <c r="AV204">
        <v>2</v>
      </c>
      <c r="AW204" t="s">
        <v>12</v>
      </c>
      <c r="AY204" t="s">
        <v>1676</v>
      </c>
      <c r="AZ204" t="s">
        <v>2005</v>
      </c>
      <c r="BA204" s="4" t="str">
        <f>HYPERLINK("http://exon.niaid.nih.gov/transcriptome/C_felis/S1/links/SWISSP/cf-contig_90-SWISSP.txt","E3 ubiquitin-protein ligase RBBP6")</f>
        <v>E3 ubiquitin-protein ligase RBBP6</v>
      </c>
      <c r="BB204" t="str">
        <f>HYPERLINK("http://www.uniprot.org/uniprot/Q7Z6E9","8E-006")</f>
        <v>8E-006</v>
      </c>
      <c r="BC204" t="s">
        <v>2006</v>
      </c>
      <c r="BD204">
        <v>49.7</v>
      </c>
      <c r="BE204">
        <v>893</v>
      </c>
      <c r="BF204">
        <v>1792</v>
      </c>
      <c r="BG204">
        <v>45</v>
      </c>
      <c r="BH204">
        <v>50</v>
      </c>
      <c r="BI204">
        <v>33</v>
      </c>
      <c r="BJ204">
        <v>9</v>
      </c>
      <c r="BK204">
        <v>892</v>
      </c>
      <c r="BL204">
        <v>8</v>
      </c>
      <c r="BM204">
        <v>3</v>
      </c>
      <c r="BN204">
        <v>2</v>
      </c>
      <c r="BO204" t="s">
        <v>12</v>
      </c>
      <c r="BQ204" t="s">
        <v>1676</v>
      </c>
      <c r="BR204" t="s">
        <v>1690</v>
      </c>
      <c r="BS204" s="4" t="str">
        <f>HYPERLINK("http://exon.niaid.nih.gov/transcriptome/C_felis/S1/links/CDD/cf-contig_90-CDD.txt","ND2")</f>
        <v>ND2</v>
      </c>
      <c r="BT204" t="str">
        <f>HYPERLINK("http://www.ncbi.nlm.nih.gov/Structure/cdd/cddsrv.cgi?uid=MTH00160&amp;version=v4.0","5E-010")</f>
        <v>5E-010</v>
      </c>
      <c r="BU204" t="s">
        <v>2007</v>
      </c>
      <c r="BV204" s="4" t="s">
        <v>2008</v>
      </c>
      <c r="BW204">
        <f>HYPERLINK("http://exon.niaid.nih.gov/transcriptome/C_felis/S1/links/GO/cf-contig_90-GO.txt",0.000005)</f>
        <v>5.0000000000000004E-6</v>
      </c>
      <c r="BX204" t="str">
        <f>HYPERLINK("http://amigo.geneontology.org/cgi-bin/amigo/term_details?term=GO:0003676","GO:0003676")</f>
        <v>GO:0003676</v>
      </c>
      <c r="BY204" t="s">
        <v>2009</v>
      </c>
      <c r="BZ204" t="s">
        <v>2010</v>
      </c>
      <c r="CA204" t="s">
        <v>42</v>
      </c>
      <c r="CB204" t="s">
        <v>42</v>
      </c>
      <c r="CD204">
        <v>5.0000000000000004E-6</v>
      </c>
      <c r="CE204" t="str">
        <f>HYPERLINK("http://amigo.geneontology.org/cgi-bin/amigo/term_details?term=GO:0000151","GO:0000151")</f>
        <v>GO:0000151</v>
      </c>
      <c r="CF204" t="s">
        <v>2011</v>
      </c>
      <c r="CG204" t="s">
        <v>2012</v>
      </c>
      <c r="CH204" t="s">
        <v>42</v>
      </c>
      <c r="CI204" t="s">
        <v>42</v>
      </c>
      <c r="CK204">
        <v>5.0000000000000004E-6</v>
      </c>
      <c r="CL204" t="str">
        <f>HYPERLINK("http://amigo.geneontology.org/cgi-bin/amigo/term_details?term=GO:0042787","GO:0042787")</f>
        <v>GO:0042787</v>
      </c>
      <c r="CM204" t="s">
        <v>2013</v>
      </c>
      <c r="CN204" t="s">
        <v>2014</v>
      </c>
      <c r="CO204" t="s">
        <v>2015</v>
      </c>
      <c r="CP204" t="s">
        <v>42</v>
      </c>
      <c r="CR204">
        <v>5.0000000000000004E-6</v>
      </c>
      <c r="CS204" s="4" t="str">
        <f>HYPERLINK("http://exon.niaid.nih.gov/transcriptome/C_felis/S1/links/KOG/cf-contig_90-KOG.txt","N-acetylglucosaminyltransferase complex, subunit PIG-Q/GPI1, required for phosphatidylinositol biosynthesis")</f>
        <v>N-acetylglucosaminyltransferase complex, subunit PIG-Q/GPI1, required for phosphatidylinositol biosynthesis</v>
      </c>
      <c r="CT204" t="str">
        <f>HYPERLINK("http://www.ncbi.nlm.nih.gov/COG/grace/shokog.cgi?KOG1183","8E-004")</f>
        <v>8E-004</v>
      </c>
      <c r="CU204" t="s">
        <v>1948</v>
      </c>
      <c r="CV204" s="4" t="str">
        <f>HYPERLINK("http://exon.niaid.nih.gov/transcriptome/C_felis/S1/links/PFAM/cf-contig_90-PFAM.txt","YfhO")</f>
        <v>YfhO</v>
      </c>
      <c r="CW204" t="str">
        <f>HYPERLINK("http://pfam.sanger.ac.uk/family?acc=PF09586","2E-005")</f>
        <v>2E-005</v>
      </c>
      <c r="CX204" s="4" t="str">
        <f>HYPERLINK("http://exon.niaid.nih.gov/transcriptome/C_felis/S1/links/SMART/cf-contig_90-SMART.txt","LITAF")</f>
        <v>LITAF</v>
      </c>
      <c r="CY204" t="str">
        <f>HYPERLINK("http://smart.embl-heidelberg.de/smart/do_annotation.pl?DOMAIN=LITAF&amp;BLAST=DUMMY","0.010")</f>
        <v>0.010</v>
      </c>
      <c r="CZ204" s="4" t="s">
        <v>42</v>
      </c>
      <c r="DA204" t="s">
        <v>42</v>
      </c>
      <c r="DB204" t="s">
        <v>42</v>
      </c>
      <c r="DC204" t="s">
        <v>42</v>
      </c>
      <c r="DD204" t="s">
        <v>42</v>
      </c>
      <c r="DE204" t="s">
        <v>42</v>
      </c>
      <c r="DF204" t="s">
        <v>42</v>
      </c>
      <c r="DG204" t="s">
        <v>42</v>
      </c>
      <c r="DH204" s="4" t="s">
        <v>42</v>
      </c>
      <c r="DI204" t="s">
        <v>42</v>
      </c>
      <c r="DJ204" s="4" t="s">
        <v>42</v>
      </c>
      <c r="DK204" t="s">
        <v>42</v>
      </c>
      <c r="DL204" s="4">
        <f>HYPERLINK("http://exon.niaid.nih.gov/transcriptome/C_felis/S1/links/cluster/cf-5-36-asb30-50-Id-CLU36.txt", 36)</f>
        <v>36</v>
      </c>
      <c r="DM204">
        <f>HYPERLINK("http://exon.niaid.nih.gov/transcriptome/C_felis/S1/links/cluster/cf-5-36-asb30-50-Id-CLTL36.txt", 2)</f>
        <v>2</v>
      </c>
      <c r="DN204" s="4">
        <f>HYPERLINK("http://exon.niaid.nih.gov/transcriptome/C_felis/S1/links/cluster/cf-5-36-asb35-50-Id-CLU29.txt", 29)</f>
        <v>29</v>
      </c>
      <c r="DO204">
        <f>HYPERLINK("http://exon.niaid.nih.gov/transcriptome/C_felis/S1/links/cluster/cf-5-36-asb35-50-Id-CLTL29.txt", 2)</f>
        <v>2</v>
      </c>
      <c r="DP204" s="4">
        <f>HYPERLINK("http://exon.niaid.nih.gov/transcriptome/C_felis/S1/links/cluster/cf-5-36-asb40-50-Id-CLU27.txt", 27)</f>
        <v>27</v>
      </c>
      <c r="DQ204">
        <f>HYPERLINK("http://exon.niaid.nih.gov/transcriptome/C_felis/S1/links/cluster/cf-5-36-asb40-50-Id-CLTL27.txt", 2)</f>
        <v>2</v>
      </c>
      <c r="DR204" s="4">
        <f>HYPERLINK("http://exon.niaid.nih.gov/transcriptome/C_felis/S1/links/cluster/cf-5-36-asb45-50-Id-CLU25.txt", 25)</f>
        <v>25</v>
      </c>
      <c r="DS204">
        <f>HYPERLINK("http://exon.niaid.nih.gov/transcriptome/C_felis/S1/links/cluster/cf-5-36-asb45-50-Id-CLTL25.txt", 2)</f>
        <v>2</v>
      </c>
      <c r="DT204" s="4">
        <f>HYPERLINK("http://exon.niaid.nih.gov/transcriptome/C_felis/S1/links/cluster/cf-5-36-asb50-50-Id-CLU21.txt", 21)</f>
        <v>21</v>
      </c>
      <c r="DU204">
        <f>HYPERLINK("http://exon.niaid.nih.gov/transcriptome/C_felis/S1/links/cluster/cf-5-36-asb50-50-Id-CLTL21.txt", 2)</f>
        <v>2</v>
      </c>
      <c r="DV204" s="4">
        <v>102</v>
      </c>
      <c r="DW204">
        <v>1</v>
      </c>
      <c r="DX204" s="4">
        <v>101</v>
      </c>
      <c r="DY204">
        <v>1</v>
      </c>
      <c r="DZ204" s="4">
        <v>99</v>
      </c>
      <c r="EA204">
        <v>1</v>
      </c>
      <c r="EB204" s="4">
        <v>99</v>
      </c>
      <c r="EC204">
        <v>1</v>
      </c>
      <c r="ED204" s="4">
        <v>100</v>
      </c>
      <c r="EE204">
        <v>1</v>
      </c>
      <c r="EF204" s="4">
        <v>97</v>
      </c>
      <c r="EG204">
        <v>1</v>
      </c>
      <c r="EH204" s="4">
        <v>92</v>
      </c>
      <c r="EI204">
        <v>1</v>
      </c>
      <c r="EJ204" s="4">
        <v>90</v>
      </c>
      <c r="EK204">
        <v>1</v>
      </c>
    </row>
    <row r="205" spans="1:141" x14ac:dyDescent="0.2">
      <c r="A205" t="str">
        <f>HYPERLINK("http://exon.niaid.nih.gov/transcriptome/C_felis/S1/links/cf/cf-contig_91.txt","cf-contig_91")</f>
        <v>cf-contig_91</v>
      </c>
      <c r="B205">
        <v>1</v>
      </c>
      <c r="C205" s="10" t="s">
        <v>4622</v>
      </c>
      <c r="D205">
        <v>1</v>
      </c>
      <c r="E205" t="str">
        <f>HYPERLINK("http://exon.niaid.nih.gov/transcriptome/C_felis/S1/links/cf/cf-5-36-asb-91.txt","Contig-91")</f>
        <v>Contig-91</v>
      </c>
      <c r="F205" t="str">
        <f>HYPERLINK("http://exon.niaid.nih.gov/transcriptome/C_felis/S1/links/cf/cf-5-36-91-CLU.txt","Contig91")</f>
        <v>Contig91</v>
      </c>
      <c r="G205" t="str">
        <f>HYPERLINK("http://exon.niaid.nih.gov/transcriptome/C_felis/S1/links/cf/cf-5-36-91-qual.txt","58.3")</f>
        <v>58.3</v>
      </c>
      <c r="H205" t="s">
        <v>11</v>
      </c>
      <c r="I205">
        <v>77.7</v>
      </c>
      <c r="J205">
        <v>850</v>
      </c>
      <c r="K205" t="s">
        <v>12</v>
      </c>
      <c r="L205">
        <v>1</v>
      </c>
      <c r="M205" t="s">
        <v>104</v>
      </c>
      <c r="N205">
        <v>850</v>
      </c>
      <c r="O205">
        <v>869</v>
      </c>
      <c r="P205">
        <v>438</v>
      </c>
      <c r="Q205" t="s">
        <v>911</v>
      </c>
      <c r="R205">
        <v>1</v>
      </c>
      <c r="S205" s="7" t="str">
        <f>HYPERLINK("http://exon.niaid.nih.gov/transcriptome/C_felis/S1/links/Sigp/CF-CONTIG_91-SigP.txt","Cyt")</f>
        <v>Cyt</v>
      </c>
      <c r="U205">
        <v>1</v>
      </c>
      <c r="V205" s="4">
        <f>HYPERLINK("http://exon.niaid.nih.gov/transcriptome/C_felis/S1/links/cluster/cf-5-36-asb30-50-Id-CLU36.txt", 36)</f>
        <v>36</v>
      </c>
      <c r="W205">
        <f>HYPERLINK("http://exon.niaid.nih.gov/transcriptome/C_felis/S1/links/cluster/cf-5-36-asb30-50-Id-CLTL36.txt", 2)</f>
        <v>2</v>
      </c>
      <c r="X205" s="4">
        <f>HYPERLINK("http://exon.niaid.nih.gov/transcriptome/C_felis/S1/links/cluster/cf-5-36-asb35-50-Id-CLU29.txt", 29)</f>
        <v>29</v>
      </c>
      <c r="Y205">
        <f>HYPERLINK("http://exon.niaid.nih.gov/transcriptome/C_felis/S1/links/cluster/cf-5-36-asb35-50-Id-CLTL29.txt", 2)</f>
        <v>2</v>
      </c>
      <c r="Z205" s="4">
        <f>HYPERLINK("http://exon.niaid.nih.gov/transcriptome/C_felis/S1/links/cluster/cf-5-36-asb40-50-Id-CLU27.txt", 27)</f>
        <v>27</v>
      </c>
      <c r="AA205">
        <f>HYPERLINK("http://exon.niaid.nih.gov/transcriptome/C_felis/S1/links/cluster/cf-5-36-asb40-50-Id-CLTL27.txt", 2)</f>
        <v>2</v>
      </c>
      <c r="AB205" s="4" t="str">
        <f>HYPERLINK("http://exon.niaid.nih.gov/transcriptome/C_felis/S1/links/XC-ASB/cf-contig_91-XC-ASB.txt","XC-contig_71")</f>
        <v>XC-contig_71</v>
      </c>
      <c r="AC205">
        <v>2.1999999999999999E-2</v>
      </c>
      <c r="AD205" s="10" t="s">
        <v>4622</v>
      </c>
      <c r="AE205" t="s">
        <v>4621</v>
      </c>
      <c r="AF205" t="str">
        <f>HYPERLINK("http://exon.niaid.nih.gov/transcriptome/C_felis/S1/links/GO/cf-contig_91-GO.txt","GO")</f>
        <v>GO</v>
      </c>
      <c r="AG205">
        <v>2.0000000000000002E-5</v>
      </c>
      <c r="AH205">
        <v>3</v>
      </c>
      <c r="AI205" s="4" t="str">
        <f>HYPERLINK("http://exon.niaid.nih.gov/transcriptome/C_felis/S1/links/NR/cf-contig_91-NR.txt","hypothetical protein MetalDRAFT_1346")</f>
        <v>hypothetical protein MetalDRAFT_1346</v>
      </c>
      <c r="AJ205" t="str">
        <f>HYPERLINK("http://www.ncbi.nlm.nih.gov/sutils/blink.cgi?pid=334110345","2E-005")</f>
        <v>2E-005</v>
      </c>
      <c r="AK205" t="str">
        <f>HYPERLINK("http://www.ncbi.nlm.nih.gov/protein/334110345","gi|334110345")</f>
        <v>gi|334110345</v>
      </c>
      <c r="AL205">
        <v>54.3</v>
      </c>
      <c r="AM205">
        <v>78</v>
      </c>
      <c r="AN205">
        <v>97</v>
      </c>
      <c r="AO205">
        <v>41</v>
      </c>
      <c r="AP205">
        <v>81</v>
      </c>
      <c r="AQ205">
        <v>32</v>
      </c>
      <c r="AR205">
        <v>0</v>
      </c>
      <c r="AS205">
        <v>6</v>
      </c>
      <c r="AT205">
        <v>229</v>
      </c>
      <c r="AU205">
        <v>4</v>
      </c>
      <c r="AV205">
        <v>1</v>
      </c>
      <c r="AW205" t="s">
        <v>12</v>
      </c>
      <c r="AY205" t="s">
        <v>1676</v>
      </c>
      <c r="AZ205" t="s">
        <v>2005</v>
      </c>
      <c r="BA205" s="4" t="str">
        <f>HYPERLINK("http://exon.niaid.nih.gov/transcriptome/C_felis/S1/links/SWISSP/cf-contig_91-SWISSP.txt","E3 ubiquitin-protein ligase RBBP6")</f>
        <v>E3 ubiquitin-protein ligase RBBP6</v>
      </c>
      <c r="BB205" t="str">
        <f>HYPERLINK("http://www.uniprot.org/uniprot/Q7Z6E9","3E-005")</f>
        <v>3E-005</v>
      </c>
      <c r="BC205" t="s">
        <v>2006</v>
      </c>
      <c r="BD205">
        <v>49.7</v>
      </c>
      <c r="BE205">
        <v>936</v>
      </c>
      <c r="BF205">
        <v>1792</v>
      </c>
      <c r="BG205">
        <v>45</v>
      </c>
      <c r="BH205">
        <v>52</v>
      </c>
      <c r="BI205">
        <v>33</v>
      </c>
      <c r="BJ205">
        <v>9</v>
      </c>
      <c r="BK205">
        <v>849</v>
      </c>
      <c r="BL205">
        <v>25</v>
      </c>
      <c r="BM205">
        <v>2</v>
      </c>
      <c r="BN205">
        <v>1</v>
      </c>
      <c r="BO205" t="s">
        <v>12</v>
      </c>
      <c r="BQ205" t="s">
        <v>1676</v>
      </c>
      <c r="BR205" t="s">
        <v>1690</v>
      </c>
      <c r="BS205" s="4" t="str">
        <f>HYPERLINK("http://exon.niaid.nih.gov/transcriptome/C_felis/S1/links/CDD/cf-contig_91-CDD.txt","ND5")</f>
        <v>ND5</v>
      </c>
      <c r="BT205" t="str">
        <f>HYPERLINK("http://www.ncbi.nlm.nih.gov/Structure/cdd/cddsrv.cgi?uid=MTH00095&amp;version=v4.0","2E-010")</f>
        <v>2E-010</v>
      </c>
      <c r="BU205" t="s">
        <v>2016</v>
      </c>
      <c r="BV205" s="4" t="s">
        <v>2008</v>
      </c>
      <c r="BW205">
        <f>HYPERLINK("http://exon.niaid.nih.gov/transcriptome/C_felis/S1/links/GO/cf-contig_91-GO.txt",0.00002)</f>
        <v>2.0000000000000002E-5</v>
      </c>
      <c r="BX205" t="str">
        <f>HYPERLINK("http://amigo.geneontology.org/cgi-bin/amigo/term_details?term=GO:0003676","GO:0003676")</f>
        <v>GO:0003676</v>
      </c>
      <c r="BY205" t="s">
        <v>2009</v>
      </c>
      <c r="BZ205" t="s">
        <v>2010</v>
      </c>
      <c r="CA205" t="s">
        <v>42</v>
      </c>
      <c r="CB205" t="s">
        <v>42</v>
      </c>
      <c r="CD205">
        <v>2.0000000000000002E-5</v>
      </c>
      <c r="CE205" t="str">
        <f>HYPERLINK("http://amigo.geneontology.org/cgi-bin/amigo/term_details?term=GO:0000151","GO:0000151")</f>
        <v>GO:0000151</v>
      </c>
      <c r="CF205" t="s">
        <v>2011</v>
      </c>
      <c r="CG205" t="s">
        <v>2012</v>
      </c>
      <c r="CH205" t="s">
        <v>42</v>
      </c>
      <c r="CI205" t="s">
        <v>42</v>
      </c>
      <c r="CK205">
        <v>2.0000000000000002E-5</v>
      </c>
      <c r="CL205" t="str">
        <f>HYPERLINK("http://amigo.geneontology.org/cgi-bin/amigo/term_details?term=GO:0042787","GO:0042787")</f>
        <v>GO:0042787</v>
      </c>
      <c r="CM205" t="s">
        <v>2013</v>
      </c>
      <c r="CN205" t="s">
        <v>2014</v>
      </c>
      <c r="CO205" t="s">
        <v>2015</v>
      </c>
      <c r="CP205" t="s">
        <v>42</v>
      </c>
      <c r="CR205">
        <v>2.0000000000000002E-5</v>
      </c>
      <c r="CS205" s="4" t="str">
        <f>HYPERLINK("http://exon.niaid.nih.gov/transcriptome/C_felis/S1/links/KOG/cf-contig_91-KOG.txt","N-acetylglucosaminyltransferase complex, subunit PIG-Q/GPI1, required for phosphatidylinositol biosynthesis")</f>
        <v>N-acetylglucosaminyltransferase complex, subunit PIG-Q/GPI1, required for phosphatidylinositol biosynthesis</v>
      </c>
      <c r="CT205" t="str">
        <f>HYPERLINK("http://www.ncbi.nlm.nih.gov/COG/grace/shokog.cgi?KOG1183","0.002")</f>
        <v>0.002</v>
      </c>
      <c r="CU205" t="s">
        <v>1948</v>
      </c>
      <c r="CV205" s="4" t="str">
        <f>HYPERLINK("http://exon.niaid.nih.gov/transcriptome/C_felis/S1/links/PFAM/cf-contig_91-PFAM.txt","Borrelia_orfA")</f>
        <v>Borrelia_orfA</v>
      </c>
      <c r="CW205" t="str">
        <f>HYPERLINK("http://pfam.sanger.ac.uk/family?acc=PF02414","6E-006")</f>
        <v>6E-006</v>
      </c>
      <c r="CX205" s="4" t="str">
        <f>HYPERLINK("http://exon.niaid.nih.gov/transcriptome/C_felis/S1/links/SMART/cf-contig_91-SMART.txt","BAR")</f>
        <v>BAR</v>
      </c>
      <c r="CY205" t="str">
        <f>HYPERLINK("http://smart.embl-heidelberg.de/smart/do_annotation.pl?DOMAIN=BAR&amp;BLAST=DUMMY","0.003")</f>
        <v>0.003</v>
      </c>
      <c r="CZ205" s="4" t="s">
        <v>42</v>
      </c>
      <c r="DA205" t="s">
        <v>42</v>
      </c>
      <c r="DB205" t="s">
        <v>42</v>
      </c>
      <c r="DC205" t="s">
        <v>42</v>
      </c>
      <c r="DD205" t="s">
        <v>42</v>
      </c>
      <c r="DE205" t="s">
        <v>42</v>
      </c>
      <c r="DF205" t="s">
        <v>42</v>
      </c>
      <c r="DG205" t="s">
        <v>42</v>
      </c>
      <c r="DH205" s="4" t="s">
        <v>42</v>
      </c>
      <c r="DI205" t="s">
        <v>42</v>
      </c>
      <c r="DJ205" s="4" t="s">
        <v>42</v>
      </c>
      <c r="DK205" t="s">
        <v>42</v>
      </c>
      <c r="DL205" s="4">
        <f>HYPERLINK("http://exon.niaid.nih.gov/transcriptome/C_felis/S1/links/cluster/cf-5-36-asb30-50-Id-CLU36.txt", 36)</f>
        <v>36</v>
      </c>
      <c r="DM205">
        <f>HYPERLINK("http://exon.niaid.nih.gov/transcriptome/C_felis/S1/links/cluster/cf-5-36-asb30-50-Id-CLTL36.txt", 2)</f>
        <v>2</v>
      </c>
      <c r="DN205" s="4">
        <f>HYPERLINK("http://exon.niaid.nih.gov/transcriptome/C_felis/S1/links/cluster/cf-5-36-asb35-50-Id-CLU29.txt", 29)</f>
        <v>29</v>
      </c>
      <c r="DO205">
        <f>HYPERLINK("http://exon.niaid.nih.gov/transcriptome/C_felis/S1/links/cluster/cf-5-36-asb35-50-Id-CLTL29.txt", 2)</f>
        <v>2</v>
      </c>
      <c r="DP205" s="4">
        <f>HYPERLINK("http://exon.niaid.nih.gov/transcriptome/C_felis/S1/links/cluster/cf-5-36-asb40-50-Id-CLU27.txt", 27)</f>
        <v>27</v>
      </c>
      <c r="DQ205">
        <f>HYPERLINK("http://exon.niaid.nih.gov/transcriptome/C_felis/S1/links/cluster/cf-5-36-asb40-50-Id-CLTL27.txt", 2)</f>
        <v>2</v>
      </c>
      <c r="DR205" s="4">
        <f>HYPERLINK("http://exon.niaid.nih.gov/transcriptome/C_felis/S1/links/cluster/cf-5-36-asb45-50-Id-CLU25.txt", 25)</f>
        <v>25</v>
      </c>
      <c r="DS205">
        <f>HYPERLINK("http://exon.niaid.nih.gov/transcriptome/C_felis/S1/links/cluster/cf-5-36-asb45-50-Id-CLTL25.txt", 2)</f>
        <v>2</v>
      </c>
      <c r="DT205" s="4">
        <f>HYPERLINK("http://exon.niaid.nih.gov/transcriptome/C_felis/S1/links/cluster/cf-5-36-asb50-50-Id-CLU21.txt", 21)</f>
        <v>21</v>
      </c>
      <c r="DU205">
        <f>HYPERLINK("http://exon.niaid.nih.gov/transcriptome/C_felis/S1/links/cluster/cf-5-36-asb50-50-Id-CLTL21.txt", 2)</f>
        <v>2</v>
      </c>
      <c r="DV205" s="4">
        <v>103</v>
      </c>
      <c r="DW205">
        <v>1</v>
      </c>
      <c r="DX205" s="4">
        <v>102</v>
      </c>
      <c r="DY205">
        <v>1</v>
      </c>
      <c r="DZ205" s="4">
        <v>100</v>
      </c>
      <c r="EA205">
        <v>1</v>
      </c>
      <c r="EB205" s="4">
        <v>100</v>
      </c>
      <c r="EC205">
        <v>1</v>
      </c>
      <c r="ED205" s="4">
        <v>101</v>
      </c>
      <c r="EE205">
        <v>1</v>
      </c>
      <c r="EF205" s="4">
        <v>98</v>
      </c>
      <c r="EG205">
        <v>1</v>
      </c>
      <c r="EH205" s="4">
        <v>93</v>
      </c>
      <c r="EI205">
        <v>1</v>
      </c>
      <c r="EJ205" s="4">
        <v>91</v>
      </c>
      <c r="EK205">
        <v>1</v>
      </c>
    </row>
    <row r="206" spans="1:141" s="6" customFormat="1" x14ac:dyDescent="0.2">
      <c r="A206" s="12" t="s">
        <v>4894</v>
      </c>
      <c r="C206" s="11"/>
      <c r="AB206" s="6" t="s">
        <v>42</v>
      </c>
      <c r="AD206" s="11"/>
      <c r="AE206" s="11"/>
      <c r="AF206" s="11"/>
      <c r="AG206" s="11"/>
      <c r="AH206" s="11"/>
    </row>
    <row r="207" spans="1:141" x14ac:dyDescent="0.2">
      <c r="A207" t="str">
        <f>HYPERLINK("http://exon.niaid.nih.gov/transcriptome/C_felis/S1/links/cf/cf-contig_178.txt","cf-contig_178")</f>
        <v>cf-contig_178</v>
      </c>
      <c r="B207">
        <v>3</v>
      </c>
      <c r="C207" s="10" t="s">
        <v>4670</v>
      </c>
      <c r="D207">
        <v>3</v>
      </c>
      <c r="E207" t="str">
        <f>HYPERLINK("http://exon.niaid.nih.gov/transcriptome/C_felis/S1/links/cf/cf-5-36-asb-178.txt","Contig-178")</f>
        <v>Contig-178</v>
      </c>
      <c r="F207" t="str">
        <f>HYPERLINK("http://exon.niaid.nih.gov/transcriptome/C_felis/S1/links/cf/cf-5-36-178-CLU.txt","Contig178")</f>
        <v>Contig178</v>
      </c>
      <c r="G207" t="str">
        <f>HYPERLINK("http://exon.niaid.nih.gov/transcriptome/C_felis/S1/links/cf/cf-5-36-178-qual.txt","93.6")</f>
        <v>93.6</v>
      </c>
      <c r="H207" t="s">
        <v>11</v>
      </c>
      <c r="I207">
        <v>63.7</v>
      </c>
      <c r="J207">
        <v>317</v>
      </c>
      <c r="K207" t="s">
        <v>12</v>
      </c>
      <c r="L207">
        <v>3</v>
      </c>
      <c r="M207" t="s">
        <v>191</v>
      </c>
      <c r="N207">
        <v>341</v>
      </c>
      <c r="O207">
        <v>336</v>
      </c>
      <c r="P207">
        <v>237</v>
      </c>
      <c r="Q207" t="s">
        <v>998</v>
      </c>
      <c r="R207">
        <v>2</v>
      </c>
      <c r="S207" s="7" t="str">
        <f>HYPERLINK("http://exon.niaid.nih.gov/transcriptome/C_felis/S1/links/Sigp/CF-CONTIG_178-SigP.txt","Cyt")</f>
        <v>Cyt</v>
      </c>
      <c r="U207">
        <v>3</v>
      </c>
      <c r="V207" s="4">
        <f>HYPERLINK("http://exon.niaid.nih.gov/transcriptome/C_felis/S1/links/cluster/cf-5-36-asb30-50-Id-CLU46.txt", 46)</f>
        <v>46</v>
      </c>
      <c r="W207">
        <f>HYPERLINK("http://exon.niaid.nih.gov/transcriptome/C_felis/S1/links/cluster/cf-5-36-asb30-50-Id-CLTL46.txt", 2)</f>
        <v>2</v>
      </c>
      <c r="X207" s="4">
        <f>HYPERLINK("http://exon.niaid.nih.gov/transcriptome/C_felis/S1/links/cluster/cf-5-36-asb35-50-Id-CLU39.txt", 39)</f>
        <v>39</v>
      </c>
      <c r="Y207">
        <f>HYPERLINK("http://exon.niaid.nih.gov/transcriptome/C_felis/S1/links/cluster/cf-5-36-asb35-50-Id-CLTL39.txt", 2)</f>
        <v>2</v>
      </c>
      <c r="Z207" s="4">
        <f>HYPERLINK("http://exon.niaid.nih.gov/transcriptome/C_felis/S1/links/cluster/cf-5-36-asb40-50-Id-CLU36.txt", 36)</f>
        <v>36</v>
      </c>
      <c r="AA207">
        <f>HYPERLINK("http://exon.niaid.nih.gov/transcriptome/C_felis/S1/links/cluster/cf-5-36-asb40-50-Id-CLTL36.txt", 2)</f>
        <v>2</v>
      </c>
      <c r="AB207" s="4" t="str">
        <f>HYPERLINK("http://exon.niaid.nih.gov/transcriptome/C_felis/S1/links/XC-ASB/cf-contig_178-XC-ASB.txt","XC-contig_106")</f>
        <v>XC-contig_106</v>
      </c>
      <c r="AC207">
        <v>2E-50</v>
      </c>
      <c r="AD207" s="10" t="s">
        <v>4670</v>
      </c>
      <c r="AE207" t="s">
        <v>4605</v>
      </c>
      <c r="AF207" t="str">
        <f>HYPERLINK("http://exon.niaid.nih.gov/transcriptome/C_felis/S1/links/KOG/cf-contig_178-KOG.txt","KOG")</f>
        <v>KOG</v>
      </c>
      <c r="AG207" s="5">
        <v>3.9999999999999998E-38</v>
      </c>
      <c r="AH207">
        <v>50.9</v>
      </c>
      <c r="AI207" s="4" t="str">
        <f>HYPERLINK("http://exon.niaid.nih.gov/transcriptome/C_felis/S1/links/NR/cf-contig_178-NR.txt","ribosomal protein S13")</f>
        <v>ribosomal protein S13</v>
      </c>
      <c r="AJ207" t="str">
        <f>HYPERLINK("http://www.ncbi.nlm.nih.gov/sutils/blink.cgi?pid=121511938","4E-035")</f>
        <v>4E-035</v>
      </c>
      <c r="AK207" t="str">
        <f>HYPERLINK("http://www.ncbi.nlm.nih.gov/protein/121511938","gi|121511938")</f>
        <v>gi|121511938</v>
      </c>
      <c r="AL207">
        <v>151</v>
      </c>
      <c r="AM207">
        <v>76</v>
      </c>
      <c r="AN207">
        <v>151</v>
      </c>
      <c r="AO207">
        <v>97</v>
      </c>
      <c r="AP207">
        <v>51</v>
      </c>
      <c r="AQ207">
        <v>2</v>
      </c>
      <c r="AR207">
        <v>0</v>
      </c>
      <c r="AS207">
        <v>75</v>
      </c>
      <c r="AT207">
        <v>8</v>
      </c>
      <c r="AU207">
        <v>1</v>
      </c>
      <c r="AV207">
        <v>2</v>
      </c>
      <c r="AW207" t="s">
        <v>12</v>
      </c>
      <c r="AY207" t="s">
        <v>1676</v>
      </c>
      <c r="AZ207" t="s">
        <v>1717</v>
      </c>
      <c r="BA207" s="4" t="str">
        <f>HYPERLINK("http://exon.niaid.nih.gov/transcriptome/C_felis/S1/links/SWISSP/cf-contig_178-SWISSP.txt","40S ribosomal protein S13")</f>
        <v>40S ribosomal protein S13</v>
      </c>
      <c r="BB207" t="str">
        <f>HYPERLINK("http://www.uniprot.org/uniprot/Q962R6","2E-035")</f>
        <v>2E-035</v>
      </c>
      <c r="BC207" t="s">
        <v>2335</v>
      </c>
      <c r="BD207">
        <v>147</v>
      </c>
      <c r="BE207">
        <v>76</v>
      </c>
      <c r="BF207">
        <v>151</v>
      </c>
      <c r="BG207">
        <v>93</v>
      </c>
      <c r="BH207">
        <v>51</v>
      </c>
      <c r="BI207">
        <v>5</v>
      </c>
      <c r="BJ207">
        <v>0</v>
      </c>
      <c r="BK207">
        <v>75</v>
      </c>
      <c r="BL207">
        <v>8</v>
      </c>
      <c r="BM207">
        <v>1</v>
      </c>
      <c r="BN207">
        <v>2</v>
      </c>
      <c r="BO207" t="s">
        <v>12</v>
      </c>
      <c r="BQ207" t="s">
        <v>1676</v>
      </c>
      <c r="BR207" t="s">
        <v>2031</v>
      </c>
      <c r="BS207" s="4" t="str">
        <f>HYPERLINK("http://exon.niaid.nih.gov/transcriptome/C_felis/S1/links/CDD/cf-contig_178-CDD.txt","PTZ00072")</f>
        <v>PTZ00072</v>
      </c>
      <c r="BT207" t="str">
        <f>HYPERLINK("http://www.ncbi.nlm.nih.gov/Structure/cdd/cddsrv.cgi?uid=PTZ00072&amp;version=v4.0","8E-042")</f>
        <v>8E-042</v>
      </c>
      <c r="BU207" t="s">
        <v>2336</v>
      </c>
      <c r="BV207" s="4" t="s">
        <v>2337</v>
      </c>
      <c r="BW207">
        <f>HYPERLINK("http://exon.niaid.nih.gov/transcriptome/C_felis/S1/links/GO/cf-contig_178-GO.txt",3E-33)</f>
        <v>3.0000000000000002E-33</v>
      </c>
      <c r="BX207" t="str">
        <f>HYPERLINK("http://amigo.geneontology.org/cgi-bin/amigo/term_details?term=GO:0003735","GO:0003735")</f>
        <v>GO:0003735</v>
      </c>
      <c r="BY207" t="s">
        <v>1929</v>
      </c>
      <c r="BZ207" t="s">
        <v>1930</v>
      </c>
      <c r="CA207" t="s">
        <v>1931</v>
      </c>
      <c r="CB207" t="s">
        <v>42</v>
      </c>
      <c r="CD207" s="5">
        <v>3.0000000000000002E-33</v>
      </c>
      <c r="CE207" t="str">
        <f>HYPERLINK("http://amigo.geneontology.org/cgi-bin/amigo/term_details?term=GO:0005622","GO:0005622")</f>
        <v>GO:0005622</v>
      </c>
      <c r="CF207" t="s">
        <v>2085</v>
      </c>
      <c r="CG207" t="s">
        <v>2086</v>
      </c>
      <c r="CH207" t="s">
        <v>2087</v>
      </c>
      <c r="CI207" t="s">
        <v>42</v>
      </c>
      <c r="CK207" s="5">
        <v>3.0000000000000002E-33</v>
      </c>
      <c r="CL207" t="str">
        <f>HYPERLINK("http://amigo.geneontology.org/cgi-bin/amigo/term_details?term=GO:0006412","GO:0006412")</f>
        <v>GO:0006412</v>
      </c>
      <c r="CM207" t="s">
        <v>1935</v>
      </c>
      <c r="CN207" t="s">
        <v>1936</v>
      </c>
      <c r="CO207" t="s">
        <v>1937</v>
      </c>
      <c r="CP207" t="s">
        <v>42</v>
      </c>
      <c r="CR207" s="5">
        <v>3.0000000000000002E-33</v>
      </c>
      <c r="CS207" s="4" t="str">
        <f>HYPERLINK("http://exon.niaid.nih.gov/transcriptome/C_felis/S1/links/KOG/cf-contig_178-KOG.txt","40S ribosomal protein S13")</f>
        <v>40S ribosomal protein S13</v>
      </c>
      <c r="CT207" t="str">
        <f>HYPERLINK("http://www.ncbi.nlm.nih.gov/COG/grace/shokog.cgi?KOG0400","4E-038")</f>
        <v>4E-038</v>
      </c>
      <c r="CU207" t="s">
        <v>1707</v>
      </c>
      <c r="CV207" s="4" t="str">
        <f>HYPERLINK("http://exon.niaid.nih.gov/transcriptome/C_felis/S1/links/PFAM/cf-contig_178-PFAM.txt","Ribosomal_S15")</f>
        <v>Ribosomal_S15</v>
      </c>
      <c r="CW207" t="str">
        <f>HYPERLINK("http://pfam.sanger.ac.uk/family?acc=PF00312","4E-019")</f>
        <v>4E-019</v>
      </c>
      <c r="CX207" s="4" t="str">
        <f>HYPERLINK("http://exon.niaid.nih.gov/transcriptome/C_felis/S1/links/SMART/cf-contig_178-SMART.txt","EGF")</f>
        <v>EGF</v>
      </c>
      <c r="CY207" t="str">
        <f>HYPERLINK("http://smart.embl-heidelberg.de/smart/do_annotation.pl?DOMAIN=EGF&amp;BLAST=DUMMY","0.014")</f>
        <v>0.014</v>
      </c>
      <c r="CZ207" s="4" t="s">
        <v>42</v>
      </c>
      <c r="DA207" t="s">
        <v>42</v>
      </c>
      <c r="DB207" t="s">
        <v>42</v>
      </c>
      <c r="DC207" t="s">
        <v>42</v>
      </c>
      <c r="DD207" t="s">
        <v>42</v>
      </c>
      <c r="DE207" t="s">
        <v>42</v>
      </c>
      <c r="DF207" t="s">
        <v>42</v>
      </c>
      <c r="DG207" t="s">
        <v>42</v>
      </c>
      <c r="DH207" s="4" t="s">
        <v>42</v>
      </c>
      <c r="DI207" t="s">
        <v>42</v>
      </c>
      <c r="DJ207" s="4" t="s">
        <v>42</v>
      </c>
      <c r="DK207" t="s">
        <v>42</v>
      </c>
      <c r="DL207" s="4">
        <f>HYPERLINK("http://exon.niaid.nih.gov/transcriptome/C_felis/S1/links/cluster/cf-5-36-asb30-50-Id-CLU46.txt", 46)</f>
        <v>46</v>
      </c>
      <c r="DM207">
        <f>HYPERLINK("http://exon.niaid.nih.gov/transcriptome/C_felis/S1/links/cluster/cf-5-36-asb30-50-Id-CLTL46.txt", 2)</f>
        <v>2</v>
      </c>
      <c r="DN207" s="4">
        <f>HYPERLINK("http://exon.niaid.nih.gov/transcriptome/C_felis/S1/links/cluster/cf-5-36-asb35-50-Id-CLU39.txt", 39)</f>
        <v>39</v>
      </c>
      <c r="DO207">
        <f>HYPERLINK("http://exon.niaid.nih.gov/transcriptome/C_felis/S1/links/cluster/cf-5-36-asb35-50-Id-CLTL39.txt", 2)</f>
        <v>2</v>
      </c>
      <c r="DP207" s="4">
        <f>HYPERLINK("http://exon.niaid.nih.gov/transcriptome/C_felis/S1/links/cluster/cf-5-36-asb40-50-Id-CLU36.txt", 36)</f>
        <v>36</v>
      </c>
      <c r="DQ207">
        <f>HYPERLINK("http://exon.niaid.nih.gov/transcriptome/C_felis/S1/links/cluster/cf-5-36-asb40-50-Id-CLTL36.txt", 2)</f>
        <v>2</v>
      </c>
      <c r="DR207" s="4">
        <v>154</v>
      </c>
      <c r="DS207">
        <v>1</v>
      </c>
      <c r="DT207" s="4">
        <v>154</v>
      </c>
      <c r="DU207">
        <v>1</v>
      </c>
      <c r="DV207" s="4">
        <v>164</v>
      </c>
      <c r="DW207">
        <v>1</v>
      </c>
      <c r="DX207" s="4">
        <v>166</v>
      </c>
      <c r="DY207">
        <v>1</v>
      </c>
      <c r="DZ207" s="4">
        <v>166</v>
      </c>
      <c r="EA207">
        <v>1</v>
      </c>
      <c r="EB207" s="4">
        <v>171</v>
      </c>
      <c r="EC207">
        <v>1</v>
      </c>
      <c r="ED207" s="4">
        <v>172</v>
      </c>
      <c r="EE207">
        <v>1</v>
      </c>
      <c r="EF207" s="4">
        <v>173</v>
      </c>
      <c r="EG207">
        <v>1</v>
      </c>
      <c r="EH207" s="4">
        <v>173</v>
      </c>
      <c r="EI207">
        <v>1</v>
      </c>
      <c r="EJ207" s="4">
        <v>178</v>
      </c>
      <c r="EK207">
        <v>1</v>
      </c>
    </row>
    <row r="208" spans="1:141" x14ac:dyDescent="0.2">
      <c r="A208" t="str">
        <f>HYPERLINK("http://exon.niaid.nih.gov/transcriptome/C_felis/S1/links/cf/cf-contig_179.txt","cf-contig_179")</f>
        <v>cf-contig_179</v>
      </c>
      <c r="B208">
        <v>1</v>
      </c>
      <c r="C208" s="10" t="s">
        <v>4670</v>
      </c>
      <c r="D208">
        <v>1</v>
      </c>
      <c r="E208" t="str">
        <f>HYPERLINK("http://exon.niaid.nih.gov/transcriptome/C_felis/S1/links/cf/cf-5-36-asb-179.txt","Contig-179")</f>
        <v>Contig-179</v>
      </c>
      <c r="F208" t="str">
        <f>HYPERLINK("http://exon.niaid.nih.gov/transcriptome/C_felis/S1/links/cf/cf-5-36-179-CLU.txt","Contig179")</f>
        <v>Contig179</v>
      </c>
      <c r="G208" t="str">
        <f>HYPERLINK("http://exon.niaid.nih.gov/transcriptome/C_felis/S1/links/cf/cf-5-36-179-qual.txt","62.3")</f>
        <v>62.3</v>
      </c>
      <c r="H208">
        <v>0.4</v>
      </c>
      <c r="I208">
        <v>64.8</v>
      </c>
      <c r="J208">
        <v>254</v>
      </c>
      <c r="K208" t="s">
        <v>12</v>
      </c>
      <c r="L208">
        <v>1</v>
      </c>
      <c r="M208" t="s">
        <v>192</v>
      </c>
      <c r="N208">
        <v>254</v>
      </c>
      <c r="O208">
        <v>273</v>
      </c>
      <c r="P208">
        <v>216</v>
      </c>
      <c r="Q208" t="s">
        <v>999</v>
      </c>
      <c r="R208">
        <v>2</v>
      </c>
      <c r="S208" s="7" t="s">
        <v>4585</v>
      </c>
      <c r="U208">
        <v>1</v>
      </c>
      <c r="V208" s="4">
        <f>HYPERLINK("http://exon.niaid.nih.gov/transcriptome/C_felis/S1/links/cluster/cf-5-36-asb30-50-Id-CLU46.txt", 46)</f>
        <v>46</v>
      </c>
      <c r="W208">
        <f>HYPERLINK("http://exon.niaid.nih.gov/transcriptome/C_felis/S1/links/cluster/cf-5-36-asb30-50-Id-CLTL46.txt", 2)</f>
        <v>2</v>
      </c>
      <c r="X208" s="4">
        <f>HYPERLINK("http://exon.niaid.nih.gov/transcriptome/C_felis/S1/links/cluster/cf-5-36-asb35-50-Id-CLU39.txt", 39)</f>
        <v>39</v>
      </c>
      <c r="Y208">
        <f>HYPERLINK("http://exon.niaid.nih.gov/transcriptome/C_felis/S1/links/cluster/cf-5-36-asb35-50-Id-CLTL39.txt", 2)</f>
        <v>2</v>
      </c>
      <c r="Z208" s="4">
        <f>HYPERLINK("http://exon.niaid.nih.gov/transcriptome/C_felis/S1/links/cluster/cf-5-36-asb40-50-Id-CLU36.txt", 36)</f>
        <v>36</v>
      </c>
      <c r="AA208">
        <f>HYPERLINK("http://exon.niaid.nih.gov/transcriptome/C_felis/S1/links/cluster/cf-5-36-asb40-50-Id-CLTL36.txt", 2)</f>
        <v>2</v>
      </c>
      <c r="AB208" s="4" t="str">
        <f>HYPERLINK("http://exon.niaid.nih.gov/transcriptome/C_felis/S1/links/XC-ASB/cf-contig_179-XC-ASB.txt","XC-contig_106")</f>
        <v>XC-contig_106</v>
      </c>
      <c r="AC208">
        <v>1.0000000000000001E-32</v>
      </c>
      <c r="AD208" s="10" t="s">
        <v>4670</v>
      </c>
      <c r="AE208" t="s">
        <v>4605</v>
      </c>
      <c r="AF208" t="str">
        <f>HYPERLINK("http://exon.niaid.nih.gov/transcriptome/C_felis/S1/links/KOG/cf-contig_179-KOG.txt","KOG")</f>
        <v>KOG</v>
      </c>
      <c r="AG208" s="5">
        <v>3.9999999999999998E-23</v>
      </c>
      <c r="AH208">
        <v>34.4</v>
      </c>
      <c r="AI208" s="4" t="str">
        <f>HYPERLINK("http://exon.niaid.nih.gov/transcriptome/C_felis/S1/links/NR/cf-contig_179-NR.txt","ribosomal protein S13")</f>
        <v>ribosomal protein S13</v>
      </c>
      <c r="AJ208" t="str">
        <f>HYPERLINK("http://www.ncbi.nlm.nih.gov/sutils/blink.cgi?pid=121511938","2E-019")</f>
        <v>2E-019</v>
      </c>
      <c r="AK208" t="str">
        <f>HYPERLINK("http://www.ncbi.nlm.nih.gov/protein/121511938","gi|121511938")</f>
        <v>gi|121511938</v>
      </c>
      <c r="AL208">
        <v>99.4</v>
      </c>
      <c r="AM208">
        <v>49</v>
      </c>
      <c r="AN208">
        <v>151</v>
      </c>
      <c r="AO208">
        <v>98</v>
      </c>
      <c r="AP208">
        <v>33</v>
      </c>
      <c r="AQ208">
        <v>1</v>
      </c>
      <c r="AR208">
        <v>0</v>
      </c>
      <c r="AS208">
        <v>102</v>
      </c>
      <c r="AT208">
        <v>27</v>
      </c>
      <c r="AU208">
        <v>1</v>
      </c>
      <c r="AV208">
        <v>3</v>
      </c>
      <c r="AW208" t="s">
        <v>12</v>
      </c>
      <c r="AY208" t="s">
        <v>1676</v>
      </c>
      <c r="AZ208" t="s">
        <v>1717</v>
      </c>
      <c r="BA208" s="4" t="str">
        <f>HYPERLINK("http://exon.niaid.nih.gov/transcriptome/C_felis/S1/links/SWISSP/cf-contig_179-SWISSP.txt","40S ribosomal protein S13")</f>
        <v>40S ribosomal protein S13</v>
      </c>
      <c r="BB208" t="str">
        <f>HYPERLINK("http://www.uniprot.org/uniprot/Q962R6","3E-020")</f>
        <v>3E-020</v>
      </c>
      <c r="BC208" t="s">
        <v>2335</v>
      </c>
      <c r="BD208">
        <v>97.1</v>
      </c>
      <c r="BE208">
        <v>49</v>
      </c>
      <c r="BF208">
        <v>151</v>
      </c>
      <c r="BG208">
        <v>94</v>
      </c>
      <c r="BH208">
        <v>33</v>
      </c>
      <c r="BI208">
        <v>3</v>
      </c>
      <c r="BJ208">
        <v>0</v>
      </c>
      <c r="BK208">
        <v>102</v>
      </c>
      <c r="BL208">
        <v>27</v>
      </c>
      <c r="BM208">
        <v>1</v>
      </c>
      <c r="BN208">
        <v>3</v>
      </c>
      <c r="BO208" t="s">
        <v>12</v>
      </c>
      <c r="BQ208" t="s">
        <v>1676</v>
      </c>
      <c r="BR208" t="s">
        <v>2031</v>
      </c>
      <c r="BS208" s="4" t="str">
        <f>HYPERLINK("http://exon.niaid.nih.gov/transcriptome/C_felis/S1/links/CDD/cf-contig_179-CDD.txt","PTZ00072")</f>
        <v>PTZ00072</v>
      </c>
      <c r="BT208" t="str">
        <f>HYPERLINK("http://www.ncbi.nlm.nih.gov/Structure/cdd/cddsrv.cgi?uid=PTZ00072&amp;version=v4.0","6E-025")</f>
        <v>6E-025</v>
      </c>
      <c r="BU208" t="s">
        <v>2338</v>
      </c>
      <c r="BV208" s="4" t="s">
        <v>2339</v>
      </c>
      <c r="BW208">
        <f>HYPERLINK("http://exon.niaid.nih.gov/transcriptome/C_felis/S1/links/GO/cf-contig_179-GO.txt",7E-20)</f>
        <v>7.0000000000000001E-20</v>
      </c>
      <c r="BX208" t="str">
        <f>HYPERLINK("http://amigo.geneontology.org/cgi-bin/amigo/term_details?term=GO:0003735","GO:0003735")</f>
        <v>GO:0003735</v>
      </c>
      <c r="BY208" t="s">
        <v>1929</v>
      </c>
      <c r="BZ208" t="s">
        <v>1930</v>
      </c>
      <c r="CA208" t="s">
        <v>1931</v>
      </c>
      <c r="CB208" t="s">
        <v>42</v>
      </c>
      <c r="CD208" s="5">
        <v>7.0000000000000001E-20</v>
      </c>
      <c r="CE208" t="str">
        <f>HYPERLINK("http://amigo.geneontology.org/cgi-bin/amigo/term_details?term=GO:0022627","GO:0022627")</f>
        <v>GO:0022627</v>
      </c>
      <c r="CF208" t="s">
        <v>2034</v>
      </c>
      <c r="CG208" t="s">
        <v>2035</v>
      </c>
      <c r="CH208" t="s">
        <v>2036</v>
      </c>
      <c r="CI208" t="s">
        <v>42</v>
      </c>
      <c r="CK208" s="5">
        <v>7.0000000000000001E-20</v>
      </c>
      <c r="CL208" t="str">
        <f>HYPERLINK("http://amigo.geneontology.org/cgi-bin/amigo/term_details?term=GO:0006412","GO:0006412")</f>
        <v>GO:0006412</v>
      </c>
      <c r="CM208" t="s">
        <v>1935</v>
      </c>
      <c r="CN208" t="s">
        <v>1936</v>
      </c>
      <c r="CO208" t="s">
        <v>1937</v>
      </c>
      <c r="CP208" t="s">
        <v>42</v>
      </c>
      <c r="CR208" s="5">
        <v>7.0000000000000001E-20</v>
      </c>
      <c r="CS208" s="4" t="str">
        <f>HYPERLINK("http://exon.niaid.nih.gov/transcriptome/C_felis/S1/links/KOG/cf-contig_179-KOG.txt","40S ribosomal protein S13")</f>
        <v>40S ribosomal protein S13</v>
      </c>
      <c r="CT208" t="str">
        <f>HYPERLINK("http://www.ncbi.nlm.nih.gov/COG/grace/shokog.cgi?KOG0400","4E-023")</f>
        <v>4E-023</v>
      </c>
      <c r="CU208" t="s">
        <v>1707</v>
      </c>
      <c r="CV208" s="4" t="str">
        <f>HYPERLINK("http://exon.niaid.nih.gov/transcriptome/C_felis/S1/links/PFAM/cf-contig_179-PFAM.txt","Ribosomal_S15")</f>
        <v>Ribosomal_S15</v>
      </c>
      <c r="CW208" t="str">
        <f>HYPERLINK("http://pfam.sanger.ac.uk/family?acc=PF00312","6E-011")</f>
        <v>6E-011</v>
      </c>
      <c r="CX208" s="4" t="str">
        <f>HYPERLINK("http://exon.niaid.nih.gov/transcriptome/C_felis/S1/links/SMART/cf-contig_179-SMART.txt","WR1")</f>
        <v>WR1</v>
      </c>
      <c r="CY208" t="str">
        <f>HYPERLINK("http://smart.embl-heidelberg.de/smart/do_annotation.pl?DOMAIN=WR1&amp;BLAST=DUMMY","0.16")</f>
        <v>0.16</v>
      </c>
      <c r="CZ208" s="4" t="s">
        <v>42</v>
      </c>
      <c r="DA208" t="s">
        <v>42</v>
      </c>
      <c r="DB208" t="s">
        <v>42</v>
      </c>
      <c r="DC208" t="s">
        <v>42</v>
      </c>
      <c r="DD208" t="s">
        <v>42</v>
      </c>
      <c r="DE208" t="s">
        <v>42</v>
      </c>
      <c r="DF208" t="s">
        <v>42</v>
      </c>
      <c r="DG208" t="s">
        <v>42</v>
      </c>
      <c r="DH208" s="4" t="s">
        <v>42</v>
      </c>
      <c r="DI208" t="s">
        <v>42</v>
      </c>
      <c r="DJ208" s="4" t="s">
        <v>42</v>
      </c>
      <c r="DK208" t="s">
        <v>42</v>
      </c>
      <c r="DL208" s="4">
        <f>HYPERLINK("http://exon.niaid.nih.gov/transcriptome/C_felis/S1/links/cluster/cf-5-36-asb30-50-Id-CLU46.txt", 46)</f>
        <v>46</v>
      </c>
      <c r="DM208">
        <f>HYPERLINK("http://exon.niaid.nih.gov/transcriptome/C_felis/S1/links/cluster/cf-5-36-asb30-50-Id-CLTL46.txt", 2)</f>
        <v>2</v>
      </c>
      <c r="DN208" s="4">
        <f>HYPERLINK("http://exon.niaid.nih.gov/transcriptome/C_felis/S1/links/cluster/cf-5-36-asb35-50-Id-CLU39.txt", 39)</f>
        <v>39</v>
      </c>
      <c r="DO208">
        <f>HYPERLINK("http://exon.niaid.nih.gov/transcriptome/C_felis/S1/links/cluster/cf-5-36-asb35-50-Id-CLTL39.txt", 2)</f>
        <v>2</v>
      </c>
      <c r="DP208" s="4">
        <f>HYPERLINK("http://exon.niaid.nih.gov/transcriptome/C_felis/S1/links/cluster/cf-5-36-asb40-50-Id-CLU36.txt", 36)</f>
        <v>36</v>
      </c>
      <c r="DQ208">
        <f>HYPERLINK("http://exon.niaid.nih.gov/transcriptome/C_felis/S1/links/cluster/cf-5-36-asb40-50-Id-CLTL36.txt", 2)</f>
        <v>2</v>
      </c>
      <c r="DR208" s="4">
        <v>155</v>
      </c>
      <c r="DS208">
        <v>1</v>
      </c>
      <c r="DT208" s="4">
        <v>155</v>
      </c>
      <c r="DU208">
        <v>1</v>
      </c>
      <c r="DV208" s="4">
        <v>165</v>
      </c>
      <c r="DW208">
        <v>1</v>
      </c>
      <c r="DX208" s="4">
        <v>167</v>
      </c>
      <c r="DY208">
        <v>1</v>
      </c>
      <c r="DZ208" s="4">
        <v>167</v>
      </c>
      <c r="EA208">
        <v>1</v>
      </c>
      <c r="EB208" s="4">
        <v>172</v>
      </c>
      <c r="EC208">
        <v>1</v>
      </c>
      <c r="ED208" s="4">
        <v>173</v>
      </c>
      <c r="EE208">
        <v>1</v>
      </c>
      <c r="EF208" s="4">
        <v>174</v>
      </c>
      <c r="EG208">
        <v>1</v>
      </c>
      <c r="EH208" s="4">
        <v>174</v>
      </c>
      <c r="EI208">
        <v>1</v>
      </c>
      <c r="EJ208" s="4">
        <v>179</v>
      </c>
      <c r="EK208">
        <v>1</v>
      </c>
    </row>
    <row r="209" spans="1:141" x14ac:dyDescent="0.2">
      <c r="A209" t="str">
        <f>HYPERLINK("http://exon.niaid.nih.gov/transcriptome/C_felis/S1/links/cf/cf-contig_200.txt","cf-contig_200")</f>
        <v>cf-contig_200</v>
      </c>
      <c r="B209">
        <v>3</v>
      </c>
      <c r="C209" s="10" t="s">
        <v>4684</v>
      </c>
      <c r="D209">
        <v>3</v>
      </c>
      <c r="E209" t="str">
        <f>HYPERLINK("http://exon.niaid.nih.gov/transcriptome/C_felis/S1/links/cf/cf-5-36-asb-200.txt","Contig-200")</f>
        <v>Contig-200</v>
      </c>
      <c r="F209" t="str">
        <f>HYPERLINK("http://exon.niaid.nih.gov/transcriptome/C_felis/S1/links/cf/cf-5-36-200-CLU.txt","Contig200")</f>
        <v>Contig200</v>
      </c>
      <c r="G209" t="str">
        <f>HYPERLINK("http://exon.niaid.nih.gov/transcriptome/C_felis/S1/links/cf/cf-5-36-200-qual.txt","79.9")</f>
        <v>79.9</v>
      </c>
      <c r="H209" t="s">
        <v>11</v>
      </c>
      <c r="I209">
        <v>53.2</v>
      </c>
      <c r="J209">
        <v>288</v>
      </c>
      <c r="K209" t="s">
        <v>12</v>
      </c>
      <c r="L209">
        <v>3</v>
      </c>
      <c r="M209" t="s">
        <v>213</v>
      </c>
      <c r="N209">
        <v>288</v>
      </c>
      <c r="O209">
        <v>310</v>
      </c>
      <c r="P209">
        <v>204</v>
      </c>
      <c r="Q209" t="s">
        <v>1020</v>
      </c>
      <c r="R209">
        <v>1</v>
      </c>
      <c r="S209" s="7" t="str">
        <f>HYPERLINK("http://exon.niaid.nih.gov/transcriptome/C_felis/S1/links/Sigp/CF-CONTIG_200-SigP.txt","Cyt")</f>
        <v>Cyt</v>
      </c>
      <c r="U209">
        <v>3</v>
      </c>
      <c r="V209" s="4">
        <v>169</v>
      </c>
      <c r="W209">
        <v>1</v>
      </c>
      <c r="X209" s="4">
        <v>171</v>
      </c>
      <c r="Y209">
        <v>1</v>
      </c>
      <c r="Z209" s="4">
        <v>169</v>
      </c>
      <c r="AA209">
        <v>1</v>
      </c>
      <c r="AB209" s="4" t="str">
        <f>HYPERLINK("http://exon.niaid.nih.gov/transcriptome/C_felis/S1/links/XC-ASB/cf-contig_200-XC-ASB.txt","XC-contig_179")</f>
        <v>XC-contig_179</v>
      </c>
      <c r="AC209">
        <v>1.9</v>
      </c>
      <c r="AD209" s="10" t="s">
        <v>4684</v>
      </c>
      <c r="AE209" t="s">
        <v>4605</v>
      </c>
      <c r="AF209" t="str">
        <f>HYPERLINK("http://exon.niaid.nih.gov/transcriptome/C_felis/S1/links/KOG/cf-contig_200-KOG.txt","KOG")</f>
        <v>KOG</v>
      </c>
      <c r="AG209" s="5">
        <v>8.0000000000000004E-33</v>
      </c>
      <c r="AH209">
        <v>47.4</v>
      </c>
      <c r="AI209" s="4" t="str">
        <f>HYPERLINK("http://exon.niaid.nih.gov/transcriptome/C_felis/S1/links/NR/cf-contig_200-NR.txt","40S ribosomal protein S14")</f>
        <v>40S ribosomal protein S14</v>
      </c>
      <c r="AJ209" t="str">
        <f>HYPERLINK("http://www.ncbi.nlm.nih.gov/sutils/blink.cgi?pid=335057540","1E-028")</f>
        <v>1E-028</v>
      </c>
      <c r="AK209" t="str">
        <f>HYPERLINK("http://www.ncbi.nlm.nih.gov/protein/335057540","gi|335057540")</f>
        <v>gi|335057540</v>
      </c>
      <c r="AL209">
        <v>129</v>
      </c>
      <c r="AM209">
        <v>65</v>
      </c>
      <c r="AN209">
        <v>151</v>
      </c>
      <c r="AO209">
        <v>98</v>
      </c>
      <c r="AP209">
        <v>44</v>
      </c>
      <c r="AQ209">
        <v>1</v>
      </c>
      <c r="AR209">
        <v>0</v>
      </c>
      <c r="AS209">
        <v>86</v>
      </c>
      <c r="AT209">
        <v>25</v>
      </c>
      <c r="AU209">
        <v>1</v>
      </c>
      <c r="AV209">
        <v>1</v>
      </c>
      <c r="AW209" t="s">
        <v>12</v>
      </c>
      <c r="AY209" t="s">
        <v>1676</v>
      </c>
      <c r="AZ209" t="s">
        <v>1900</v>
      </c>
      <c r="BA209" s="4" t="str">
        <f>HYPERLINK("http://exon.niaid.nih.gov/transcriptome/C_felis/S1/links/SWISSP/cf-contig_200-SWISSP.txt","40S ribosomal protein S14")</f>
        <v>40S ribosomal protein S14</v>
      </c>
      <c r="BB209" t="str">
        <f>HYPERLINK("http://www.uniprot.org/uniprot/P14130","1E-029")</f>
        <v>1E-029</v>
      </c>
      <c r="BC209" t="s">
        <v>2409</v>
      </c>
      <c r="BD209">
        <v>128</v>
      </c>
      <c r="BE209">
        <v>65</v>
      </c>
      <c r="BF209">
        <v>151</v>
      </c>
      <c r="BG209">
        <v>96</v>
      </c>
      <c r="BH209">
        <v>44</v>
      </c>
      <c r="BI209">
        <v>2</v>
      </c>
      <c r="BJ209">
        <v>0</v>
      </c>
      <c r="BK209">
        <v>86</v>
      </c>
      <c r="BL209">
        <v>25</v>
      </c>
      <c r="BM209">
        <v>1</v>
      </c>
      <c r="BN209">
        <v>1</v>
      </c>
      <c r="BO209" t="s">
        <v>12</v>
      </c>
      <c r="BQ209" t="s">
        <v>1676</v>
      </c>
      <c r="BR209" t="s">
        <v>1804</v>
      </c>
      <c r="BS209" s="4" t="str">
        <f>HYPERLINK("http://exon.niaid.nih.gov/transcriptome/C_felis/S1/links/CDD/cf-contig_200-CDD.txt","PTZ00129")</f>
        <v>PTZ00129</v>
      </c>
      <c r="BT209" t="str">
        <f>HYPERLINK("http://www.ncbi.nlm.nih.gov/Structure/cdd/cddsrv.cgi?uid=PTZ00129&amp;version=v4.0","1E-032")</f>
        <v>1E-032</v>
      </c>
      <c r="BU209" t="s">
        <v>2410</v>
      </c>
      <c r="BV209" s="4" t="s">
        <v>2411</v>
      </c>
      <c r="BW209">
        <f>HYPERLINK("http://exon.niaid.nih.gov/transcriptome/C_felis/S1/links/GO/cf-contig_200-GO.txt",7E-30)</f>
        <v>7.0000000000000006E-30</v>
      </c>
      <c r="BX209" t="str">
        <f>HYPERLINK("http://amigo.geneontology.org/cgi-bin/amigo/term_details?term=GO:0003674","GO:0003674")</f>
        <v>GO:0003674</v>
      </c>
      <c r="BY209" t="s">
        <v>1851</v>
      </c>
      <c r="BZ209" t="s">
        <v>1852</v>
      </c>
      <c r="CA209" t="s">
        <v>1853</v>
      </c>
      <c r="CB209" t="s">
        <v>42</v>
      </c>
      <c r="CD209" s="5">
        <v>7.0000000000000006E-30</v>
      </c>
      <c r="CE209" t="str">
        <f>HYPERLINK("http://amigo.geneontology.org/cgi-bin/amigo/term_details?term=GO:0005575","GO:0005575")</f>
        <v>GO:0005575</v>
      </c>
      <c r="CF209" t="s">
        <v>1838</v>
      </c>
      <c r="CG209" t="s">
        <v>1839</v>
      </c>
      <c r="CH209" t="s">
        <v>1840</v>
      </c>
      <c r="CI209" t="s">
        <v>42</v>
      </c>
      <c r="CK209" s="5">
        <v>7.0000000000000006E-30</v>
      </c>
      <c r="CL209" t="str">
        <f>HYPERLINK("http://amigo.geneontology.org/cgi-bin/amigo/term_details?term=GO:0008150","GO:0008150")</f>
        <v>GO:0008150</v>
      </c>
      <c r="CM209" t="s">
        <v>1857</v>
      </c>
      <c r="CN209" t="s">
        <v>1858</v>
      </c>
      <c r="CO209" t="s">
        <v>1859</v>
      </c>
      <c r="CP209" t="s">
        <v>42</v>
      </c>
      <c r="CR209" s="5">
        <v>7.0000000000000006E-30</v>
      </c>
      <c r="CS209" s="4" t="str">
        <f>HYPERLINK("http://exon.niaid.nih.gov/transcriptome/C_felis/S1/links/KOG/cf-contig_200-KOG.txt","40S ribosomal protein S14")</f>
        <v>40S ribosomal protein S14</v>
      </c>
      <c r="CT209" t="str">
        <f>HYPERLINK("http://www.ncbi.nlm.nih.gov/COG/grace/shokog.cgi?KOG0407","8E-033")</f>
        <v>8E-033</v>
      </c>
      <c r="CU209" t="s">
        <v>1707</v>
      </c>
      <c r="CV209" s="4" t="str">
        <f>HYPERLINK("http://exon.niaid.nih.gov/transcriptome/C_felis/S1/links/PFAM/cf-contig_200-PFAM.txt","Ribosomal_S11")</f>
        <v>Ribosomal_S11</v>
      </c>
      <c r="CW209" t="str">
        <f>HYPERLINK("http://pfam.sanger.ac.uk/family?acc=PF00411","6E-016")</f>
        <v>6E-016</v>
      </c>
      <c r="CX209" s="4" t="str">
        <f>HYPERLINK("http://exon.niaid.nih.gov/transcriptome/C_felis/S1/links/SMART/cf-contig_200-SMART.txt","Alpha_L_fucos")</f>
        <v>Alpha_L_fucos</v>
      </c>
      <c r="CY209" t="str">
        <f>HYPERLINK("http://smart.embl-heidelberg.de/smart/do_annotation.pl?DOMAIN=Alpha_L_fucos&amp;BLAST=DUMMY","0.11")</f>
        <v>0.11</v>
      </c>
      <c r="CZ209" s="4" t="s">
        <v>42</v>
      </c>
      <c r="DA209" t="s">
        <v>42</v>
      </c>
      <c r="DB209" t="s">
        <v>42</v>
      </c>
      <c r="DC209" t="s">
        <v>42</v>
      </c>
      <c r="DD209" t="s">
        <v>42</v>
      </c>
      <c r="DE209" t="s">
        <v>42</v>
      </c>
      <c r="DF209" t="s">
        <v>42</v>
      </c>
      <c r="DG209" t="s">
        <v>42</v>
      </c>
      <c r="DH209" s="4" t="s">
        <v>42</v>
      </c>
      <c r="DI209" t="s">
        <v>42</v>
      </c>
      <c r="DJ209" s="4" t="s">
        <v>42</v>
      </c>
      <c r="DK209" t="s">
        <v>42</v>
      </c>
      <c r="DL209" s="4">
        <v>169</v>
      </c>
      <c r="DM209">
        <v>1</v>
      </c>
      <c r="DN209" s="4">
        <v>171</v>
      </c>
      <c r="DO209">
        <v>1</v>
      </c>
      <c r="DP209" s="4">
        <v>169</v>
      </c>
      <c r="DQ209">
        <v>1</v>
      </c>
      <c r="DR209" s="4">
        <v>168</v>
      </c>
      <c r="DS209">
        <v>1</v>
      </c>
      <c r="DT209" s="4">
        <v>172</v>
      </c>
      <c r="DU209">
        <v>1</v>
      </c>
      <c r="DV209" s="4">
        <v>182</v>
      </c>
      <c r="DW209">
        <v>1</v>
      </c>
      <c r="DX209" s="4">
        <v>184</v>
      </c>
      <c r="DY209">
        <v>1</v>
      </c>
      <c r="DZ209" s="4">
        <v>186</v>
      </c>
      <c r="EA209">
        <v>1</v>
      </c>
      <c r="EB209" s="4">
        <v>191</v>
      </c>
      <c r="EC209">
        <v>1</v>
      </c>
      <c r="ED209" s="4">
        <v>194</v>
      </c>
      <c r="EE209">
        <v>1</v>
      </c>
      <c r="EF209" s="4">
        <v>195</v>
      </c>
      <c r="EG209">
        <v>1</v>
      </c>
      <c r="EH209" s="4">
        <v>195</v>
      </c>
      <c r="EI209">
        <v>1</v>
      </c>
      <c r="EJ209" s="4">
        <v>200</v>
      </c>
      <c r="EK209">
        <v>1</v>
      </c>
    </row>
    <row r="210" spans="1:141" x14ac:dyDescent="0.2">
      <c r="A210" t="str">
        <f>HYPERLINK("http://exon.niaid.nih.gov/transcriptome/C_felis/S1/links/cf/cf-contig_406.txt","cf-contig_406")</f>
        <v>cf-contig_406</v>
      </c>
      <c r="B210">
        <v>1</v>
      </c>
      <c r="C210" s="10" t="s">
        <v>4757</v>
      </c>
      <c r="D210">
        <v>1</v>
      </c>
      <c r="E210" t="str">
        <f>HYPERLINK("http://exon.niaid.nih.gov/transcriptome/C_felis/S1/links/cf/cf-5-36-asb-406.txt","Contig-406")</f>
        <v>Contig-406</v>
      </c>
      <c r="F210" t="str">
        <f>HYPERLINK("http://exon.niaid.nih.gov/transcriptome/C_felis/S1/links/cf/cf-5-36-406-CLU.txt","Contig406")</f>
        <v>Contig406</v>
      </c>
      <c r="G210" t="str">
        <f>HYPERLINK("http://exon.niaid.nih.gov/transcriptome/C_felis/S1/links/cf/cf-5-36-406-qual.txt","57.8")</f>
        <v>57.8</v>
      </c>
      <c r="H210">
        <v>0.6</v>
      </c>
      <c r="I210">
        <v>67.099999999999994</v>
      </c>
      <c r="J210">
        <v>154</v>
      </c>
      <c r="K210" t="s">
        <v>12</v>
      </c>
      <c r="L210">
        <v>1</v>
      </c>
      <c r="M210" t="s">
        <v>419</v>
      </c>
      <c r="N210">
        <v>154</v>
      </c>
      <c r="O210">
        <v>173</v>
      </c>
      <c r="P210">
        <v>132</v>
      </c>
      <c r="Q210" t="s">
        <v>1226</v>
      </c>
      <c r="R210">
        <v>1</v>
      </c>
      <c r="S210" s="7" t="s">
        <v>4585</v>
      </c>
      <c r="U210">
        <v>1</v>
      </c>
      <c r="V210" s="4">
        <v>332</v>
      </c>
      <c r="W210">
        <v>1</v>
      </c>
      <c r="X210" s="4">
        <v>340</v>
      </c>
      <c r="Y210">
        <v>1</v>
      </c>
      <c r="Z210" s="4">
        <v>341</v>
      </c>
      <c r="AA210">
        <v>1</v>
      </c>
      <c r="AB210" s="4" t="str">
        <f>HYPERLINK("http://exon.niaid.nih.gov/transcriptome/C_felis/S1/links/XC-ASB/cf-contig_406-XC-ASB.txt","XC-contig_151")</f>
        <v>XC-contig_151</v>
      </c>
      <c r="AC210">
        <v>2.4E-2</v>
      </c>
      <c r="AD210" s="10" t="s">
        <v>4757</v>
      </c>
      <c r="AE210" t="s">
        <v>4605</v>
      </c>
      <c r="AF210" t="str">
        <f>HYPERLINK("http://exon.niaid.nih.gov/transcriptome/C_felis/S1/links/KOG/cf-contig_406-KOG.txt","KOG")</f>
        <v>KOG</v>
      </c>
      <c r="AG210">
        <v>1.0000000000000001E-15</v>
      </c>
      <c r="AH210">
        <v>22.3</v>
      </c>
      <c r="AI210" s="4" t="str">
        <f>HYPERLINK("http://exon.niaid.nih.gov/transcriptome/C_felis/S1/links/NR/cf-contig_406-NR.txt","40S ribosomal protein S15-like")</f>
        <v>40S ribosomal protein S15-like</v>
      </c>
      <c r="AJ210" t="str">
        <f>HYPERLINK("http://www.ncbi.nlm.nih.gov/sutils/blink.cgi?pid=345329793","2E-011")</f>
        <v>2E-011</v>
      </c>
      <c r="AK210" t="str">
        <f>HYPERLINK("http://www.ncbi.nlm.nih.gov/protein/345329793","gi|345329793")</f>
        <v>gi|345329793</v>
      </c>
      <c r="AL210">
        <v>72.8</v>
      </c>
      <c r="AM210">
        <v>43</v>
      </c>
      <c r="AN210">
        <v>163</v>
      </c>
      <c r="AO210">
        <v>73</v>
      </c>
      <c r="AP210">
        <v>27</v>
      </c>
      <c r="AQ210">
        <v>12</v>
      </c>
      <c r="AR210">
        <v>0</v>
      </c>
      <c r="AS210">
        <v>112</v>
      </c>
      <c r="AT210">
        <v>9</v>
      </c>
      <c r="AU210">
        <v>1</v>
      </c>
      <c r="AV210">
        <v>3</v>
      </c>
      <c r="AW210" t="s">
        <v>12</v>
      </c>
      <c r="AX210">
        <v>2.3260000000000001</v>
      </c>
      <c r="AY210" t="s">
        <v>1676</v>
      </c>
      <c r="AZ210" t="s">
        <v>2521</v>
      </c>
      <c r="BA210" s="4" t="str">
        <f>HYPERLINK("http://exon.niaid.nih.gov/transcriptome/C_felis/S1/links/SWISSP/cf-contig_406-SWISSP.txt","40S ribosomal protein S15")</f>
        <v>40S ribosomal protein S15</v>
      </c>
      <c r="BB210" t="str">
        <f>HYPERLINK("http://www.uniprot.org/uniprot/P20342","1E-012")</f>
        <v>1E-012</v>
      </c>
      <c r="BC210" t="s">
        <v>3101</v>
      </c>
      <c r="BD210">
        <v>71.599999999999994</v>
      </c>
      <c r="BE210">
        <v>33</v>
      </c>
      <c r="BF210">
        <v>145</v>
      </c>
      <c r="BG210">
        <v>91</v>
      </c>
      <c r="BH210">
        <v>23</v>
      </c>
      <c r="BI210">
        <v>3</v>
      </c>
      <c r="BJ210">
        <v>0</v>
      </c>
      <c r="BK210">
        <v>112</v>
      </c>
      <c r="BL210">
        <v>9</v>
      </c>
      <c r="BM210">
        <v>1</v>
      </c>
      <c r="BN210">
        <v>3</v>
      </c>
      <c r="BO210" t="s">
        <v>12</v>
      </c>
      <c r="BQ210" t="s">
        <v>1676</v>
      </c>
      <c r="BR210" t="s">
        <v>1832</v>
      </c>
      <c r="BS210" s="4" t="str">
        <f>HYPERLINK("http://exon.niaid.nih.gov/transcriptome/C_felis/S1/links/CDD/cf-contig_406-CDD.txt","PTZ00096")</f>
        <v>PTZ00096</v>
      </c>
      <c r="BT210" t="str">
        <f>HYPERLINK("http://www.ncbi.nlm.nih.gov/Structure/cdd/cddsrv.cgi?uid=PTZ00096&amp;version=v4.0","5E-016")</f>
        <v>5E-016</v>
      </c>
      <c r="BU210" t="s">
        <v>3102</v>
      </c>
      <c r="BV210" s="4" t="s">
        <v>3103</v>
      </c>
      <c r="BW210">
        <f>HYPERLINK("http://exon.niaid.nih.gov/transcriptome/C_felis/S1/links/GO/cf-contig_406-GO.txt",0.000000000001)</f>
        <v>9.9999999999999998E-13</v>
      </c>
      <c r="BX210" t="str">
        <f>HYPERLINK("http://amigo.geneontology.org/cgi-bin/amigo/term_details?term=GO:0003723","GO:0003723")</f>
        <v>GO:0003723</v>
      </c>
      <c r="BY210" t="s">
        <v>2062</v>
      </c>
      <c r="BZ210" t="s">
        <v>2063</v>
      </c>
      <c r="CA210" t="s">
        <v>42</v>
      </c>
      <c r="CB210" t="s">
        <v>42</v>
      </c>
      <c r="CD210">
        <v>9.9999999999999998E-13</v>
      </c>
      <c r="CE210" t="str">
        <f>HYPERLINK("http://amigo.geneontology.org/cgi-bin/amigo/term_details?term=GO:0015935","GO:0015935")</f>
        <v>GO:0015935</v>
      </c>
      <c r="CF210" t="s">
        <v>3104</v>
      </c>
      <c r="CG210" t="s">
        <v>3105</v>
      </c>
      <c r="CH210" t="s">
        <v>3106</v>
      </c>
      <c r="CI210" t="s">
        <v>42</v>
      </c>
      <c r="CK210">
        <v>9.9999999999999998E-13</v>
      </c>
      <c r="CL210" t="str">
        <f t="shared" ref="CL210:CL218" si="22">HYPERLINK("http://amigo.geneontology.org/cgi-bin/amigo/term_details?term=GO:0006412","GO:0006412")</f>
        <v>GO:0006412</v>
      </c>
      <c r="CM210" t="s">
        <v>1935</v>
      </c>
      <c r="CN210" t="s">
        <v>1936</v>
      </c>
      <c r="CO210" t="s">
        <v>1937</v>
      </c>
      <c r="CP210" t="s">
        <v>42</v>
      </c>
      <c r="CR210">
        <v>9.9999999999999998E-13</v>
      </c>
      <c r="CS210" s="4" t="str">
        <f>HYPERLINK("http://exon.niaid.nih.gov/transcriptome/C_felis/S1/links/KOG/cf-contig_406-KOG.txt","40S ribosomal protein S15")</f>
        <v>40S ribosomal protein S15</v>
      </c>
      <c r="CT210" t="str">
        <f>HYPERLINK("http://www.ncbi.nlm.nih.gov/COG/grace/shokog.cgi?KOG0898","1E-015")</f>
        <v>1E-015</v>
      </c>
      <c r="CU210" t="s">
        <v>1707</v>
      </c>
      <c r="CV210" s="4" t="str">
        <f>HYPERLINK("http://exon.niaid.nih.gov/transcriptome/C_felis/S1/links/PFAM/cf-contig_406-PFAM.txt","Ribosomal_S19")</f>
        <v>Ribosomal_S19</v>
      </c>
      <c r="CW210" t="str">
        <f>HYPERLINK("http://pfam.sanger.ac.uk/family?acc=PF00203","0.036")</f>
        <v>0.036</v>
      </c>
      <c r="CX210" s="4" t="str">
        <f>HYPERLINK("http://exon.niaid.nih.gov/transcriptome/C_felis/S1/links/SMART/cf-contig_406-SMART.txt","IG_FLMN")</f>
        <v>IG_FLMN</v>
      </c>
      <c r="CY210" t="str">
        <f>HYPERLINK("http://smart.embl-heidelberg.de/smart/do_annotation.pl?DOMAIN=IG_FLMN&amp;BLAST=DUMMY","0.90")</f>
        <v>0.90</v>
      </c>
      <c r="CZ210" s="4" t="s">
        <v>42</v>
      </c>
      <c r="DA210" t="s">
        <v>42</v>
      </c>
      <c r="DB210" t="s">
        <v>42</v>
      </c>
      <c r="DC210" t="s">
        <v>42</v>
      </c>
      <c r="DD210" t="s">
        <v>42</v>
      </c>
      <c r="DE210" t="s">
        <v>42</v>
      </c>
      <c r="DF210" t="s">
        <v>42</v>
      </c>
      <c r="DG210" t="s">
        <v>42</v>
      </c>
      <c r="DH210" s="4" t="s">
        <v>42</v>
      </c>
      <c r="DI210" t="s">
        <v>42</v>
      </c>
      <c r="DJ210" s="4" t="s">
        <v>42</v>
      </c>
      <c r="DK210" t="s">
        <v>42</v>
      </c>
      <c r="DL210" s="4">
        <v>332</v>
      </c>
      <c r="DM210">
        <v>1</v>
      </c>
      <c r="DN210" s="4">
        <v>340</v>
      </c>
      <c r="DO210">
        <v>1</v>
      </c>
      <c r="DP210" s="4">
        <v>341</v>
      </c>
      <c r="DQ210">
        <v>1</v>
      </c>
      <c r="DR210" s="4">
        <v>352</v>
      </c>
      <c r="DS210">
        <v>1</v>
      </c>
      <c r="DT210" s="4">
        <v>362</v>
      </c>
      <c r="DU210">
        <v>1</v>
      </c>
      <c r="DV210" s="4">
        <v>375</v>
      </c>
      <c r="DW210">
        <v>1</v>
      </c>
      <c r="DX210" s="4">
        <v>378</v>
      </c>
      <c r="DY210">
        <v>1</v>
      </c>
      <c r="DZ210" s="4">
        <v>383</v>
      </c>
      <c r="EA210">
        <v>1</v>
      </c>
      <c r="EB210" s="4">
        <v>388</v>
      </c>
      <c r="EC210">
        <v>1</v>
      </c>
      <c r="ED210" s="4">
        <v>392</v>
      </c>
      <c r="EE210">
        <v>1</v>
      </c>
      <c r="EF210" s="4">
        <v>397</v>
      </c>
      <c r="EG210">
        <v>1</v>
      </c>
      <c r="EH210" s="4">
        <v>400</v>
      </c>
      <c r="EI210">
        <v>1</v>
      </c>
      <c r="EJ210" s="4">
        <v>406</v>
      </c>
      <c r="EK210">
        <v>1</v>
      </c>
    </row>
    <row r="211" spans="1:141" x14ac:dyDescent="0.2">
      <c r="A211" t="str">
        <f>HYPERLINK("http://exon.niaid.nih.gov/transcriptome/C_felis/S1/links/cf/cf-contig_801.txt","cf-contig_801")</f>
        <v>cf-contig_801</v>
      </c>
      <c r="B211">
        <v>1</v>
      </c>
      <c r="C211" s="10" t="s">
        <v>4757</v>
      </c>
      <c r="D211">
        <v>1</v>
      </c>
      <c r="E211" t="str">
        <f>HYPERLINK("http://exon.niaid.nih.gov/transcriptome/C_felis/S1/links/cf/cf-5-36-asb-801.txt","Contig-801")</f>
        <v>Contig-801</v>
      </c>
      <c r="F211" t="str">
        <f>HYPERLINK("http://exon.niaid.nih.gov/transcriptome/C_felis/S1/links/cf/cf-5-36-801-CLU.txt","Contig801")</f>
        <v>Contig801</v>
      </c>
      <c r="G211" t="str">
        <f>HYPERLINK("http://exon.niaid.nih.gov/transcriptome/C_felis/S1/links/cf/cf-5-36-801-qual.txt","59.2")</f>
        <v>59.2</v>
      </c>
      <c r="H211" t="s">
        <v>11</v>
      </c>
      <c r="I211">
        <v>62.5</v>
      </c>
      <c r="J211">
        <v>442</v>
      </c>
      <c r="K211" t="s">
        <v>12</v>
      </c>
      <c r="L211">
        <v>1</v>
      </c>
      <c r="M211" t="s">
        <v>814</v>
      </c>
      <c r="N211">
        <v>442</v>
      </c>
      <c r="O211">
        <v>461</v>
      </c>
      <c r="P211">
        <v>399</v>
      </c>
      <c r="Q211" t="s">
        <v>1620</v>
      </c>
      <c r="R211">
        <v>1</v>
      </c>
      <c r="S211" s="7" t="str">
        <f>HYPERLINK("http://exon.niaid.nih.gov/transcriptome/C_felis/S1/links/Sigp/CF-CONTIG_801-SigP.txt","Cyt")</f>
        <v>Cyt</v>
      </c>
      <c r="U211">
        <v>1</v>
      </c>
      <c r="V211" s="4">
        <v>644</v>
      </c>
      <c r="W211">
        <v>1</v>
      </c>
      <c r="X211" s="4">
        <v>666</v>
      </c>
      <c r="Y211">
        <v>1</v>
      </c>
      <c r="Z211" s="4">
        <v>682</v>
      </c>
      <c r="AA211">
        <v>1</v>
      </c>
      <c r="AB211" s="4" t="str">
        <f>HYPERLINK("http://exon.niaid.nih.gov/transcriptome/C_felis/S1/links/XC-ASB/cf-contig_801-XC-ASB.txt","XC-contig_50")</f>
        <v>XC-contig_50</v>
      </c>
      <c r="AC211">
        <v>1.4999999999999999E-2</v>
      </c>
      <c r="AD211" s="10" t="s">
        <v>4757</v>
      </c>
      <c r="AE211" t="s">
        <v>4605</v>
      </c>
      <c r="AF211" t="str">
        <f>HYPERLINK("http://exon.niaid.nih.gov/transcriptome/C_felis/S1/links/KOG/cf-contig_801-KOG.txt","KOG")</f>
        <v>KOG</v>
      </c>
      <c r="AG211" s="5">
        <v>1.9999999999999999E-72</v>
      </c>
      <c r="AH211">
        <v>83.5</v>
      </c>
      <c r="AI211" s="4" t="str">
        <f>HYPERLINK("http://exon.niaid.nih.gov/transcriptome/C_felis/S1/links/NR/cf-contig_801-NR.txt","ribosomal protein S15e")</f>
        <v>ribosomal protein S15e</v>
      </c>
      <c r="AJ211" t="str">
        <f>HYPERLINK("http://www.ncbi.nlm.nih.gov/sutils/blink.cgi?pid=70909559","1E-066")</f>
        <v>1E-066</v>
      </c>
      <c r="AK211" t="str">
        <f>HYPERLINK("http://www.ncbi.nlm.nih.gov/protein/70909559","gi|70909559")</f>
        <v>gi|70909559</v>
      </c>
      <c r="AL211">
        <v>256</v>
      </c>
      <c r="AM211">
        <v>129</v>
      </c>
      <c r="AN211">
        <v>148</v>
      </c>
      <c r="AO211">
        <v>96</v>
      </c>
      <c r="AP211">
        <v>88</v>
      </c>
      <c r="AQ211">
        <v>4</v>
      </c>
      <c r="AR211">
        <v>0</v>
      </c>
      <c r="AS211">
        <v>19</v>
      </c>
      <c r="AT211">
        <v>10</v>
      </c>
      <c r="AU211">
        <v>1</v>
      </c>
      <c r="AV211">
        <v>1</v>
      </c>
      <c r="AW211" t="s">
        <v>12</v>
      </c>
      <c r="AY211" t="s">
        <v>1676</v>
      </c>
      <c r="AZ211" t="s">
        <v>4565</v>
      </c>
      <c r="BA211" s="4" t="str">
        <f>HYPERLINK("http://exon.niaid.nih.gov/transcriptome/C_felis/S1/links/SWISSP/cf-contig_801-SWISSP.txt","40S ribosomal protein S15")</f>
        <v>40S ribosomal protein S15</v>
      </c>
      <c r="BB211" t="str">
        <f>HYPERLINK("http://www.uniprot.org/uniprot/Q945U1","2E-060")</f>
        <v>2E-060</v>
      </c>
      <c r="BC211" t="s">
        <v>4566</v>
      </c>
      <c r="BD211">
        <v>230</v>
      </c>
      <c r="BE211">
        <v>126</v>
      </c>
      <c r="BF211">
        <v>153</v>
      </c>
      <c r="BG211">
        <v>85</v>
      </c>
      <c r="BH211">
        <v>83</v>
      </c>
      <c r="BI211">
        <v>18</v>
      </c>
      <c r="BJ211">
        <v>0</v>
      </c>
      <c r="BK211">
        <v>27</v>
      </c>
      <c r="BL211">
        <v>19</v>
      </c>
      <c r="BM211">
        <v>1</v>
      </c>
      <c r="BN211">
        <v>1</v>
      </c>
      <c r="BO211" t="s">
        <v>12</v>
      </c>
      <c r="BQ211" t="s">
        <v>1676</v>
      </c>
      <c r="BR211" t="s">
        <v>4567</v>
      </c>
      <c r="BS211" s="4" t="str">
        <f>HYPERLINK("http://exon.niaid.nih.gov/transcriptome/C_felis/S1/links/CDD/cf-contig_801-CDD.txt","PTZ00096")</f>
        <v>PTZ00096</v>
      </c>
      <c r="BT211" t="str">
        <f>HYPERLINK("http://www.ncbi.nlm.nih.gov/Structure/cdd/cddsrv.cgi?uid=PTZ00096&amp;version=v4.0","3E-071")</f>
        <v>3E-071</v>
      </c>
      <c r="BU211" t="s">
        <v>4568</v>
      </c>
      <c r="BV211" s="4" t="s">
        <v>4569</v>
      </c>
      <c r="BW211">
        <f>HYPERLINK("http://exon.niaid.nih.gov/transcriptome/C_felis/S1/links/GO/cf-contig_801-GO.txt",8E-64)</f>
        <v>7.9999999999999997E-64</v>
      </c>
      <c r="BX211" t="str">
        <f>HYPERLINK("http://amigo.geneontology.org/cgi-bin/amigo/term_details?term=GO:0003735","GO:0003735")</f>
        <v>GO:0003735</v>
      </c>
      <c r="BY211" t="s">
        <v>1929</v>
      </c>
      <c r="BZ211" t="s">
        <v>1930</v>
      </c>
      <c r="CA211" t="s">
        <v>1931</v>
      </c>
      <c r="CB211" t="s">
        <v>42</v>
      </c>
      <c r="CD211" s="5">
        <v>7.9999999999999997E-64</v>
      </c>
      <c r="CE211" t="str">
        <f>HYPERLINK("http://amigo.geneontology.org/cgi-bin/amigo/term_details?term=GO:0022627","GO:0022627")</f>
        <v>GO:0022627</v>
      </c>
      <c r="CF211" t="s">
        <v>2034</v>
      </c>
      <c r="CG211" t="s">
        <v>2035</v>
      </c>
      <c r="CH211" t="s">
        <v>2036</v>
      </c>
      <c r="CI211" t="s">
        <v>42</v>
      </c>
      <c r="CK211" s="5">
        <v>7.9999999999999997E-64</v>
      </c>
      <c r="CL211" t="str">
        <f t="shared" si="22"/>
        <v>GO:0006412</v>
      </c>
      <c r="CM211" t="s">
        <v>1935</v>
      </c>
      <c r="CN211" t="s">
        <v>1936</v>
      </c>
      <c r="CO211" t="s">
        <v>1937</v>
      </c>
      <c r="CP211" t="s">
        <v>42</v>
      </c>
      <c r="CR211" s="5">
        <v>7.9999999999999997E-64</v>
      </c>
      <c r="CS211" s="4" t="str">
        <f>HYPERLINK("http://exon.niaid.nih.gov/transcriptome/C_felis/S1/links/KOG/cf-contig_801-KOG.txt","40S ribosomal protein S15")</f>
        <v>40S ribosomal protein S15</v>
      </c>
      <c r="CT211" t="str">
        <f>HYPERLINK("http://www.ncbi.nlm.nih.gov/COG/grace/shokog.cgi?KOG0898","2E-072")</f>
        <v>2E-072</v>
      </c>
      <c r="CU211" t="s">
        <v>1707</v>
      </c>
      <c r="CV211" s="4" t="str">
        <f>HYPERLINK("http://exon.niaid.nih.gov/transcriptome/C_felis/S1/links/PFAM/cf-contig_801-PFAM.txt","Ribosomal_S19")</f>
        <v>Ribosomal_S19</v>
      </c>
      <c r="CW211" t="str">
        <f>HYPERLINK("http://pfam.sanger.ac.uk/family?acc=PF00203","5E-036")</f>
        <v>5E-036</v>
      </c>
      <c r="CX211" s="4" t="str">
        <f>HYPERLINK("http://exon.niaid.nih.gov/transcriptome/C_felis/S1/links/SMART/cf-contig_801-SMART.txt","ZP")</f>
        <v>ZP</v>
      </c>
      <c r="CY211" t="str">
        <f>HYPERLINK("http://smart.embl-heidelberg.de/smart/do_annotation.pl?DOMAIN=ZP&amp;BLAST=DUMMY","0.064")</f>
        <v>0.064</v>
      </c>
      <c r="CZ211" s="4" t="s">
        <v>42</v>
      </c>
      <c r="DA211" t="s">
        <v>42</v>
      </c>
      <c r="DB211" t="s">
        <v>42</v>
      </c>
      <c r="DC211" t="s">
        <v>42</v>
      </c>
      <c r="DD211" t="s">
        <v>42</v>
      </c>
      <c r="DE211" t="s">
        <v>42</v>
      </c>
      <c r="DF211" t="s">
        <v>42</v>
      </c>
      <c r="DG211" t="s">
        <v>42</v>
      </c>
      <c r="DH211" s="4" t="s">
        <v>42</v>
      </c>
      <c r="DI211" t="s">
        <v>42</v>
      </c>
      <c r="DJ211" s="4" t="s">
        <v>42</v>
      </c>
      <c r="DK211" t="s">
        <v>42</v>
      </c>
      <c r="DL211" s="4">
        <v>644</v>
      </c>
      <c r="DM211">
        <v>1</v>
      </c>
      <c r="DN211" s="4">
        <v>666</v>
      </c>
      <c r="DO211">
        <v>1</v>
      </c>
      <c r="DP211" s="4">
        <v>682</v>
      </c>
      <c r="DQ211">
        <v>1</v>
      </c>
      <c r="DR211" s="4">
        <v>704</v>
      </c>
      <c r="DS211">
        <v>1</v>
      </c>
      <c r="DT211" s="4">
        <v>720</v>
      </c>
      <c r="DU211">
        <v>1</v>
      </c>
      <c r="DV211" s="4">
        <v>735</v>
      </c>
      <c r="DW211">
        <v>1</v>
      </c>
      <c r="DX211" s="4">
        <v>749</v>
      </c>
      <c r="DY211">
        <v>1</v>
      </c>
      <c r="DZ211" s="4">
        <v>761</v>
      </c>
      <c r="EA211">
        <v>1</v>
      </c>
      <c r="EB211" s="4">
        <v>768</v>
      </c>
      <c r="EC211">
        <v>1</v>
      </c>
      <c r="ED211" s="4">
        <v>773</v>
      </c>
      <c r="EE211">
        <v>1</v>
      </c>
      <c r="EF211" s="4">
        <v>780</v>
      </c>
      <c r="EG211">
        <v>1</v>
      </c>
      <c r="EH211" s="4">
        <v>792</v>
      </c>
      <c r="EI211">
        <v>1</v>
      </c>
      <c r="EJ211" s="4">
        <v>801</v>
      </c>
      <c r="EK211">
        <v>1</v>
      </c>
    </row>
    <row r="212" spans="1:141" x14ac:dyDescent="0.2">
      <c r="A212" t="str">
        <f>HYPERLINK("http://exon.niaid.nih.gov/transcriptome/C_felis/S1/links/cf/cf-contig_130.txt","cf-contig_130")</f>
        <v>cf-contig_130</v>
      </c>
      <c r="B212">
        <v>6</v>
      </c>
      <c r="C212" s="10" t="s">
        <v>4646</v>
      </c>
      <c r="D212">
        <v>6</v>
      </c>
      <c r="E212" t="str">
        <f>HYPERLINK("http://exon.niaid.nih.gov/transcriptome/C_felis/S1/links/cf/cf-5-36-asb-130.txt","Contig-130")</f>
        <v>Contig-130</v>
      </c>
      <c r="F212" t="str">
        <f>HYPERLINK("http://exon.niaid.nih.gov/transcriptome/C_felis/S1/links/cf/cf-5-36-130-CLU.txt","Contig130")</f>
        <v>Contig130</v>
      </c>
      <c r="G212" t="str">
        <f>HYPERLINK("http://exon.niaid.nih.gov/transcriptome/C_felis/S1/links/cf/cf-5-36-130-qual.txt","87.3")</f>
        <v>87.3</v>
      </c>
      <c r="H212" t="s">
        <v>11</v>
      </c>
      <c r="I212">
        <v>69.7</v>
      </c>
      <c r="J212">
        <v>131</v>
      </c>
      <c r="K212" t="s">
        <v>12</v>
      </c>
      <c r="L212">
        <v>6</v>
      </c>
      <c r="M212" t="s">
        <v>143</v>
      </c>
      <c r="N212">
        <v>134</v>
      </c>
      <c r="O212">
        <v>152</v>
      </c>
      <c r="P212">
        <v>90</v>
      </c>
      <c r="Q212" t="s">
        <v>950</v>
      </c>
      <c r="R212">
        <v>1</v>
      </c>
      <c r="S212" s="7" t="s">
        <v>4585</v>
      </c>
      <c r="U212">
        <v>6</v>
      </c>
      <c r="V212" s="4">
        <v>135</v>
      </c>
      <c r="W212">
        <v>1</v>
      </c>
      <c r="X212" s="4">
        <v>131</v>
      </c>
      <c r="Y212">
        <v>1</v>
      </c>
      <c r="Z212" s="4">
        <v>128</v>
      </c>
      <c r="AA212">
        <v>1</v>
      </c>
      <c r="AB212" s="4" t="str">
        <f>HYPERLINK("http://exon.niaid.nih.gov/transcriptome/C_felis/S1/links/XC-ASB/cf-contig_130-XC-ASB.txt","XC-contig_101")</f>
        <v>XC-contig_101</v>
      </c>
      <c r="AC212">
        <v>3.0000000000000001E-17</v>
      </c>
      <c r="AD212" s="10" t="s">
        <v>4646</v>
      </c>
      <c r="AE212" t="s">
        <v>4605</v>
      </c>
      <c r="AF212" t="str">
        <f>HYPERLINK("http://exon.niaid.nih.gov/transcriptome/C_felis/S1/links/KOG/cf-contig_130-KOG.txt","KOG")</f>
        <v>KOG</v>
      </c>
      <c r="AG212">
        <v>1E-10</v>
      </c>
      <c r="AH212">
        <v>23</v>
      </c>
      <c r="AI212" s="4" t="str">
        <f>HYPERLINK("http://exon.niaid.nih.gov/transcriptome/C_felis/S1/links/NR/cf-contig_130-NR.txt","40S ribosomal protein S15/S22")</f>
        <v>40S ribosomal protein S15/S22</v>
      </c>
      <c r="AJ212" t="str">
        <f>HYPERLINK("http://www.ncbi.nlm.nih.gov/sutils/blink.cgi?pid=342906230","1E-008")</f>
        <v>1E-008</v>
      </c>
      <c r="AK212" t="str">
        <f>HYPERLINK("http://www.ncbi.nlm.nih.gov/protein/342906230","gi|342906230")</f>
        <v>gi|342906230</v>
      </c>
      <c r="AL212">
        <v>63.2</v>
      </c>
      <c r="AM212">
        <v>29</v>
      </c>
      <c r="AN212">
        <v>118</v>
      </c>
      <c r="AO212">
        <v>96</v>
      </c>
      <c r="AP212">
        <v>25</v>
      </c>
      <c r="AQ212">
        <v>1</v>
      </c>
      <c r="AR212">
        <v>0</v>
      </c>
      <c r="AS212">
        <v>89</v>
      </c>
      <c r="AT212">
        <v>1</v>
      </c>
      <c r="AU212">
        <v>1</v>
      </c>
      <c r="AV212">
        <v>1</v>
      </c>
      <c r="AW212" t="s">
        <v>12</v>
      </c>
      <c r="AY212" t="s">
        <v>1676</v>
      </c>
      <c r="AZ212" t="s">
        <v>2158</v>
      </c>
      <c r="BA212" s="4" t="str">
        <f>HYPERLINK("http://exon.niaid.nih.gov/transcriptome/C_felis/S1/links/SWISSP/cf-contig_130-SWISSP.txt","40S ribosomal protein S15Ab")</f>
        <v>40S ribosomal protein S15Ab</v>
      </c>
      <c r="BB212" t="str">
        <f>HYPERLINK("http://www.uniprot.org/uniprot/Q7KR04","5E-010")</f>
        <v>5E-010</v>
      </c>
      <c r="BC212" t="s">
        <v>2159</v>
      </c>
      <c r="BD212">
        <v>63.2</v>
      </c>
      <c r="BE212">
        <v>29</v>
      </c>
      <c r="BF212">
        <v>130</v>
      </c>
      <c r="BG212">
        <v>96</v>
      </c>
      <c r="BH212">
        <v>23</v>
      </c>
      <c r="BI212">
        <v>1</v>
      </c>
      <c r="BJ212">
        <v>0</v>
      </c>
      <c r="BK212">
        <v>101</v>
      </c>
      <c r="BL212">
        <v>1</v>
      </c>
      <c r="BM212">
        <v>1</v>
      </c>
      <c r="BN212">
        <v>1</v>
      </c>
      <c r="BO212" t="s">
        <v>12</v>
      </c>
      <c r="BQ212" t="s">
        <v>1676</v>
      </c>
      <c r="BR212" t="s">
        <v>1804</v>
      </c>
      <c r="BS212" s="4" t="str">
        <f>HYPERLINK("http://exon.niaid.nih.gov/transcriptome/C_felis/S1/links/CDD/cf-contig_130-CDD.txt","PTZ00158")</f>
        <v>PTZ00158</v>
      </c>
      <c r="BT212" t="str">
        <f>HYPERLINK("http://www.ncbi.nlm.nih.gov/Structure/cdd/cddsrv.cgi?uid=PTZ00158&amp;version=v4.0","5E-013")</f>
        <v>5E-013</v>
      </c>
      <c r="BU212" t="s">
        <v>2160</v>
      </c>
      <c r="BV212" s="4" t="s">
        <v>2161</v>
      </c>
      <c r="BW212">
        <f>HYPERLINK("http://exon.niaid.nih.gov/transcriptome/C_felis/S1/links/GO/cf-contig_130-GO.txt",0.0000000004)</f>
        <v>4.0000000000000001E-10</v>
      </c>
      <c r="BX212" t="str">
        <f>HYPERLINK("http://amigo.geneontology.org/cgi-bin/amigo/term_details?term=GO:0003735","GO:0003735")</f>
        <v>GO:0003735</v>
      </c>
      <c r="BY212" t="s">
        <v>1929</v>
      </c>
      <c r="BZ212" t="s">
        <v>1930</v>
      </c>
      <c r="CA212" t="s">
        <v>1931</v>
      </c>
      <c r="CB212" t="s">
        <v>42</v>
      </c>
      <c r="CD212">
        <v>4.0000000000000001E-10</v>
      </c>
      <c r="CE212" t="str">
        <f>HYPERLINK("http://amigo.geneontology.org/cgi-bin/amigo/term_details?term=GO:0022627","GO:0022627")</f>
        <v>GO:0022627</v>
      </c>
      <c r="CF212" t="s">
        <v>2034</v>
      </c>
      <c r="CG212" t="s">
        <v>2035</v>
      </c>
      <c r="CH212" t="s">
        <v>2036</v>
      </c>
      <c r="CI212" t="s">
        <v>42</v>
      </c>
      <c r="CK212">
        <v>4.0000000000000001E-10</v>
      </c>
      <c r="CL212" t="str">
        <f t="shared" si="22"/>
        <v>GO:0006412</v>
      </c>
      <c r="CM212" t="s">
        <v>1935</v>
      </c>
      <c r="CN212" t="s">
        <v>1936</v>
      </c>
      <c r="CO212" t="s">
        <v>1937</v>
      </c>
      <c r="CP212" t="s">
        <v>42</v>
      </c>
      <c r="CR212">
        <v>4.0000000000000001E-10</v>
      </c>
      <c r="CS212" s="4" t="str">
        <f>HYPERLINK("http://exon.niaid.nih.gov/transcriptome/C_felis/S1/links/KOG/cf-contig_130-KOG.txt","40S ribosomal protein S15/S22")</f>
        <v>40S ribosomal protein S15/S22</v>
      </c>
      <c r="CT212" t="str">
        <f>HYPERLINK("http://www.ncbi.nlm.nih.gov/COG/grace/shokog.cgi?KOG1754","1E-010")</f>
        <v>1E-010</v>
      </c>
      <c r="CU212" t="s">
        <v>1707</v>
      </c>
      <c r="CV212" s="4" t="str">
        <f>HYPERLINK("http://exon.niaid.nih.gov/transcriptome/C_felis/S1/links/PFAM/cf-contig_130-PFAM.txt","Ribosomal_S8")</f>
        <v>Ribosomal_S8</v>
      </c>
      <c r="CW212" t="str">
        <f>HYPERLINK("http://pfam.sanger.ac.uk/family?acc=PF00410","1E-007")</f>
        <v>1E-007</v>
      </c>
      <c r="CX212" s="4" t="str">
        <f>HYPERLINK("http://exon.niaid.nih.gov/transcriptome/C_felis/S1/links/SMART/cf-contig_130-SMART.txt","RasGEFN")</f>
        <v>RasGEFN</v>
      </c>
      <c r="CY212" t="str">
        <f>HYPERLINK("http://smart.embl-heidelberg.de/smart/do_annotation.pl?DOMAIN=RasGEFN&amp;BLAST=DUMMY","1.1")</f>
        <v>1.1</v>
      </c>
      <c r="CZ212" s="4" t="s">
        <v>42</v>
      </c>
      <c r="DA212" t="s">
        <v>42</v>
      </c>
      <c r="DB212" t="s">
        <v>42</v>
      </c>
      <c r="DC212" t="s">
        <v>42</v>
      </c>
      <c r="DD212" t="s">
        <v>42</v>
      </c>
      <c r="DE212" t="s">
        <v>42</v>
      </c>
      <c r="DF212" t="s">
        <v>42</v>
      </c>
      <c r="DG212" t="s">
        <v>42</v>
      </c>
      <c r="DH212" s="4" t="s">
        <v>42</v>
      </c>
      <c r="DI212" t="s">
        <v>42</v>
      </c>
      <c r="DJ212" s="4" t="s">
        <v>42</v>
      </c>
      <c r="DK212" t="s">
        <v>42</v>
      </c>
      <c r="DL212" s="4">
        <v>135</v>
      </c>
      <c r="DM212">
        <v>1</v>
      </c>
      <c r="DN212" s="4">
        <v>131</v>
      </c>
      <c r="DO212">
        <v>1</v>
      </c>
      <c r="DP212" s="4">
        <v>128</v>
      </c>
      <c r="DQ212">
        <v>1</v>
      </c>
      <c r="DR212" s="4">
        <v>122</v>
      </c>
      <c r="DS212">
        <v>1</v>
      </c>
      <c r="DT212" s="4">
        <v>120</v>
      </c>
      <c r="DU212">
        <v>1</v>
      </c>
      <c r="DV212" s="4">
        <v>129</v>
      </c>
      <c r="DW212">
        <v>1</v>
      </c>
      <c r="DX212" s="4">
        <v>131</v>
      </c>
      <c r="DY212">
        <v>1</v>
      </c>
      <c r="DZ212" s="4">
        <v>131</v>
      </c>
      <c r="EA212">
        <v>1</v>
      </c>
      <c r="EB212" s="4">
        <v>134</v>
      </c>
      <c r="EC212">
        <v>1</v>
      </c>
      <c r="ED212" s="4">
        <v>135</v>
      </c>
      <c r="EE212">
        <v>1</v>
      </c>
      <c r="EF212" s="4">
        <v>132</v>
      </c>
      <c r="EG212">
        <v>1</v>
      </c>
      <c r="EH212" s="4">
        <v>129</v>
      </c>
      <c r="EI212">
        <v>1</v>
      </c>
      <c r="EJ212" s="4">
        <v>130</v>
      </c>
      <c r="EK212">
        <v>1</v>
      </c>
    </row>
    <row r="213" spans="1:141" x14ac:dyDescent="0.2">
      <c r="A213" t="str">
        <f>HYPERLINK("http://exon.niaid.nih.gov/transcriptome/C_felis/S1/links/cf/cf-contig_152.txt","cf-contig_152")</f>
        <v>cf-contig_152</v>
      </c>
      <c r="B213">
        <v>5</v>
      </c>
      <c r="C213" s="10" t="s">
        <v>4657</v>
      </c>
      <c r="D213">
        <v>5</v>
      </c>
      <c r="E213" t="str">
        <f>HYPERLINK("http://exon.niaid.nih.gov/transcriptome/C_felis/S1/links/cf/cf-5-36-asb-152.txt","Contig-152")</f>
        <v>Contig-152</v>
      </c>
      <c r="F213" t="str">
        <f>HYPERLINK("http://exon.niaid.nih.gov/transcriptome/C_felis/S1/links/cf/cf-5-36-152-CLU.txt","Contig152")</f>
        <v>Contig152</v>
      </c>
      <c r="G213" t="str">
        <f>HYPERLINK("http://exon.niaid.nih.gov/transcriptome/C_felis/S1/links/cf/cf-5-36-152-qual.txt","88.4")</f>
        <v>88.4</v>
      </c>
      <c r="H213" t="s">
        <v>11</v>
      </c>
      <c r="I213">
        <v>59.5</v>
      </c>
      <c r="J213">
        <v>419</v>
      </c>
      <c r="K213" t="s">
        <v>12</v>
      </c>
      <c r="L213">
        <v>5</v>
      </c>
      <c r="M213" t="s">
        <v>165</v>
      </c>
      <c r="N213">
        <v>421</v>
      </c>
      <c r="O213">
        <v>440</v>
      </c>
      <c r="P213">
        <v>366</v>
      </c>
      <c r="Q213" t="s">
        <v>972</v>
      </c>
      <c r="R213">
        <v>3</v>
      </c>
      <c r="S213" s="7" t="s">
        <v>4585</v>
      </c>
      <c r="U213">
        <v>5</v>
      </c>
      <c r="V213" s="4">
        <v>143</v>
      </c>
      <c r="W213">
        <v>1</v>
      </c>
      <c r="X213" s="4">
        <v>140</v>
      </c>
      <c r="Y213">
        <v>1</v>
      </c>
      <c r="Z213" s="4">
        <v>137</v>
      </c>
      <c r="AA213">
        <v>1</v>
      </c>
      <c r="AB213" s="4" t="str">
        <f>HYPERLINK("http://exon.niaid.nih.gov/transcriptome/C_felis/S1/links/XC-ASB/cf-contig_152-XC-ASB.txt","XC-contig_187")</f>
        <v>XC-contig_187</v>
      </c>
      <c r="AC213">
        <v>1E-79</v>
      </c>
      <c r="AD213" s="10" t="s">
        <v>4657</v>
      </c>
      <c r="AE213" t="s">
        <v>4605</v>
      </c>
      <c r="AF213" t="str">
        <f>HYPERLINK("http://exon.niaid.nih.gov/transcriptome/C_felis/S1/links/KOG/cf-contig_152-KOG.txt","KOG")</f>
        <v>KOG</v>
      </c>
      <c r="AG213" s="5">
        <v>7.0000000000000003E-62</v>
      </c>
      <c r="AH213">
        <v>82</v>
      </c>
      <c r="AI213" s="4" t="str">
        <f>HYPERLINK("http://exon.niaid.nih.gov/transcriptome/C_felis/S1/links/NR/cf-contig_152-NR.txt","40S ribosomal protein S16")</f>
        <v>40S ribosomal protein S16</v>
      </c>
      <c r="AJ213" t="str">
        <f>HYPERLINK("http://www.ncbi.nlm.nih.gov/sutils/blink.cgi?pid=121511948","1E-059")</f>
        <v>1E-059</v>
      </c>
      <c r="AK213" t="str">
        <f>HYPERLINK("http://www.ncbi.nlm.nih.gov/protein/121511948","gi|121511948")</f>
        <v>gi|121511948</v>
      </c>
      <c r="AL213">
        <v>232</v>
      </c>
      <c r="AM213">
        <v>118</v>
      </c>
      <c r="AN213">
        <v>148</v>
      </c>
      <c r="AO213">
        <v>95</v>
      </c>
      <c r="AP213">
        <v>80</v>
      </c>
      <c r="AQ213">
        <v>5</v>
      </c>
      <c r="AR213">
        <v>0</v>
      </c>
      <c r="AS213">
        <v>30</v>
      </c>
      <c r="AT213">
        <v>12</v>
      </c>
      <c r="AU213">
        <v>1</v>
      </c>
      <c r="AV213">
        <v>3</v>
      </c>
      <c r="AW213" t="s">
        <v>12</v>
      </c>
      <c r="AY213" t="s">
        <v>1676</v>
      </c>
      <c r="AZ213" t="s">
        <v>1717</v>
      </c>
      <c r="BA213" s="4" t="str">
        <f>HYPERLINK("http://exon.niaid.nih.gov/transcriptome/C_felis/S1/links/SWISSP/cf-contig_152-SWISSP.txt","40S ribosomal protein S16")</f>
        <v>40S ribosomal protein S16</v>
      </c>
      <c r="BB213" t="str">
        <f>HYPERLINK("http://www.uniprot.org/uniprot/Q9W237","5E-057")</f>
        <v>5E-057</v>
      </c>
      <c r="BC213" t="s">
        <v>2254</v>
      </c>
      <c r="BD213">
        <v>219</v>
      </c>
      <c r="BE213">
        <v>118</v>
      </c>
      <c r="BF213">
        <v>148</v>
      </c>
      <c r="BG213">
        <v>89</v>
      </c>
      <c r="BH213">
        <v>80</v>
      </c>
      <c r="BI213">
        <v>13</v>
      </c>
      <c r="BJ213">
        <v>0</v>
      </c>
      <c r="BK213">
        <v>30</v>
      </c>
      <c r="BL213">
        <v>12</v>
      </c>
      <c r="BM213">
        <v>1</v>
      </c>
      <c r="BN213">
        <v>3</v>
      </c>
      <c r="BO213" t="s">
        <v>12</v>
      </c>
      <c r="BQ213" t="s">
        <v>1676</v>
      </c>
      <c r="BR213" t="s">
        <v>1804</v>
      </c>
      <c r="BS213" s="4" t="str">
        <f>HYPERLINK("http://exon.niaid.nih.gov/transcriptome/C_felis/S1/links/CDD/cf-contig_152-CDD.txt","PTZ00086")</f>
        <v>PTZ00086</v>
      </c>
      <c r="BT213" t="str">
        <f>HYPERLINK("http://www.ncbi.nlm.nih.gov/Structure/cdd/cddsrv.cgi?uid=PTZ00086&amp;version=v4.0","2E-064")</f>
        <v>2E-064</v>
      </c>
      <c r="BU213" t="s">
        <v>2255</v>
      </c>
      <c r="BV213" s="4" t="s">
        <v>2256</v>
      </c>
      <c r="BW213">
        <f>HYPERLINK("http://exon.niaid.nih.gov/transcriptome/C_felis/S1/links/GO/cf-contig_152-GO.txt",4E-57)</f>
        <v>3.9999999999999998E-57</v>
      </c>
      <c r="BX213" t="str">
        <f>HYPERLINK("http://amigo.geneontology.org/cgi-bin/amigo/term_details?term=GO:0003735","GO:0003735")</f>
        <v>GO:0003735</v>
      </c>
      <c r="BY213" t="s">
        <v>1929</v>
      </c>
      <c r="BZ213" t="s">
        <v>1930</v>
      </c>
      <c r="CA213" t="s">
        <v>1931</v>
      </c>
      <c r="CB213" t="s">
        <v>42</v>
      </c>
      <c r="CD213" s="5">
        <v>3.9999999999999998E-57</v>
      </c>
      <c r="CE213" t="str">
        <f>HYPERLINK("http://amigo.geneontology.org/cgi-bin/amigo/term_details?term=GO:0022627","GO:0022627")</f>
        <v>GO:0022627</v>
      </c>
      <c r="CF213" t="s">
        <v>2034</v>
      </c>
      <c r="CG213" t="s">
        <v>2035</v>
      </c>
      <c r="CH213" t="s">
        <v>2036</v>
      </c>
      <c r="CI213" t="s">
        <v>42</v>
      </c>
      <c r="CK213" s="5">
        <v>3.9999999999999998E-57</v>
      </c>
      <c r="CL213" t="str">
        <f t="shared" si="22"/>
        <v>GO:0006412</v>
      </c>
      <c r="CM213" t="s">
        <v>1935</v>
      </c>
      <c r="CN213" t="s">
        <v>1936</v>
      </c>
      <c r="CO213" t="s">
        <v>1937</v>
      </c>
      <c r="CP213" t="s">
        <v>42</v>
      </c>
      <c r="CR213" s="5">
        <v>3.9999999999999998E-57</v>
      </c>
      <c r="CS213" s="4" t="str">
        <f>HYPERLINK("http://exon.niaid.nih.gov/transcriptome/C_felis/S1/links/KOG/cf-contig_152-KOG.txt","40S ribosomal protein S16")</f>
        <v>40S ribosomal protein S16</v>
      </c>
      <c r="CT213" t="str">
        <f>HYPERLINK("http://www.ncbi.nlm.nih.gov/COG/grace/shokog.cgi?KOG1753","7E-062")</f>
        <v>7E-062</v>
      </c>
      <c r="CU213" t="s">
        <v>1707</v>
      </c>
      <c r="CV213" s="4" t="str">
        <f>HYPERLINK("http://exon.niaid.nih.gov/transcriptome/C_felis/S1/links/PFAM/cf-contig_152-PFAM.txt","Ribosomal_S9")</f>
        <v>Ribosomal_S9</v>
      </c>
      <c r="CW213" t="str">
        <f>HYPERLINK("http://pfam.sanger.ac.uk/family?acc=PF00380","9E-037")</f>
        <v>9E-037</v>
      </c>
      <c r="CX213" s="4" t="str">
        <f>HYPERLINK("http://exon.niaid.nih.gov/transcriptome/C_felis/S1/links/SMART/cf-contig_152-SMART.txt","IBN_N")</f>
        <v>IBN_N</v>
      </c>
      <c r="CY213" t="str">
        <f>HYPERLINK("http://smart.embl-heidelberg.de/smart/do_annotation.pl?DOMAIN=IBN_N&amp;BLAST=DUMMY","0.16")</f>
        <v>0.16</v>
      </c>
      <c r="CZ213" s="4" t="s">
        <v>42</v>
      </c>
      <c r="DA213" t="s">
        <v>42</v>
      </c>
      <c r="DB213" t="s">
        <v>42</v>
      </c>
      <c r="DC213" t="s">
        <v>42</v>
      </c>
      <c r="DD213" t="s">
        <v>42</v>
      </c>
      <c r="DE213" t="s">
        <v>42</v>
      </c>
      <c r="DF213" t="s">
        <v>42</v>
      </c>
      <c r="DG213" t="s">
        <v>42</v>
      </c>
      <c r="DH213" s="4" t="s">
        <v>42</v>
      </c>
      <c r="DI213" t="s">
        <v>42</v>
      </c>
      <c r="DJ213" s="4" t="s">
        <v>42</v>
      </c>
      <c r="DK213" t="s">
        <v>42</v>
      </c>
      <c r="DL213" s="4">
        <v>143</v>
      </c>
      <c r="DM213">
        <v>1</v>
      </c>
      <c r="DN213" s="4">
        <v>140</v>
      </c>
      <c r="DO213">
        <v>1</v>
      </c>
      <c r="DP213" s="4">
        <v>137</v>
      </c>
      <c r="DQ213">
        <v>1</v>
      </c>
      <c r="DR213" s="4">
        <v>134</v>
      </c>
      <c r="DS213">
        <v>1</v>
      </c>
      <c r="DT213" s="4">
        <v>133</v>
      </c>
      <c r="DU213">
        <v>1</v>
      </c>
      <c r="DV213" s="4">
        <v>143</v>
      </c>
      <c r="DW213">
        <v>1</v>
      </c>
      <c r="DX213" s="4">
        <v>145</v>
      </c>
      <c r="DY213">
        <v>1</v>
      </c>
      <c r="DZ213" s="4">
        <v>145</v>
      </c>
      <c r="EA213">
        <v>1</v>
      </c>
      <c r="EB213" s="4">
        <v>150</v>
      </c>
      <c r="EC213">
        <v>1</v>
      </c>
      <c r="ED213" s="4">
        <v>151</v>
      </c>
      <c r="EE213">
        <v>1</v>
      </c>
      <c r="EF213" s="4">
        <v>150</v>
      </c>
      <c r="EG213">
        <v>1</v>
      </c>
      <c r="EH213" s="4">
        <v>149</v>
      </c>
      <c r="EI213">
        <v>1</v>
      </c>
      <c r="EJ213" s="4">
        <v>152</v>
      </c>
      <c r="EK213">
        <v>1</v>
      </c>
    </row>
    <row r="214" spans="1:141" x14ac:dyDescent="0.2">
      <c r="A214" t="str">
        <f>HYPERLINK("http://exon.niaid.nih.gov/transcriptome/C_felis/S1/links/cf/cf-contig_102.txt","cf-contig_102")</f>
        <v>cf-contig_102</v>
      </c>
      <c r="B214">
        <v>2</v>
      </c>
      <c r="C214" s="10" t="s">
        <v>4627</v>
      </c>
      <c r="D214">
        <v>2</v>
      </c>
      <c r="E214" t="str">
        <f>HYPERLINK("http://exon.niaid.nih.gov/transcriptome/C_felis/S1/links/cf/cf-5-36-asb-102.txt","Contig-102")</f>
        <v>Contig-102</v>
      </c>
      <c r="F214" t="str">
        <f>HYPERLINK("http://exon.niaid.nih.gov/transcriptome/C_felis/S1/links/cf/cf-5-36-102-CLU.txt","Contig102")</f>
        <v>Contig102</v>
      </c>
      <c r="G214" t="str">
        <f>HYPERLINK("http://exon.niaid.nih.gov/transcriptome/C_felis/S1/links/cf/cf-5-36-102-qual.txt","70.9")</f>
        <v>70.9</v>
      </c>
      <c r="H214" t="s">
        <v>11</v>
      </c>
      <c r="I214">
        <v>58.7</v>
      </c>
      <c r="J214">
        <v>342</v>
      </c>
      <c r="K214" t="s">
        <v>12</v>
      </c>
      <c r="L214">
        <v>2</v>
      </c>
      <c r="M214" t="s">
        <v>115</v>
      </c>
      <c r="N214">
        <v>342</v>
      </c>
      <c r="O214">
        <v>361</v>
      </c>
      <c r="P214">
        <v>267</v>
      </c>
      <c r="Q214" t="s">
        <v>922</v>
      </c>
      <c r="R214">
        <v>3</v>
      </c>
      <c r="S214" s="7" t="s">
        <v>4585</v>
      </c>
      <c r="U214">
        <v>2</v>
      </c>
      <c r="V214" s="4">
        <v>120</v>
      </c>
      <c r="W214">
        <v>1</v>
      </c>
      <c r="X214" s="4">
        <v>115</v>
      </c>
      <c r="Y214">
        <v>1</v>
      </c>
      <c r="Z214" s="4">
        <v>112</v>
      </c>
      <c r="AA214">
        <v>1</v>
      </c>
      <c r="AB214" s="4" t="str">
        <f>HYPERLINK("http://exon.niaid.nih.gov/transcriptome/C_felis/S1/links/XC-ASB/cf-contig_102-XC-ASB.txt","XC-contig_159")</f>
        <v>XC-contig_159</v>
      </c>
      <c r="AC214">
        <v>6.0000000000000002E-58</v>
      </c>
      <c r="AD214" s="10" t="s">
        <v>4627</v>
      </c>
      <c r="AE214" t="s">
        <v>4605</v>
      </c>
      <c r="AF214" t="str">
        <f>HYPERLINK("http://exon.niaid.nih.gov/transcriptome/C_felis/S1/links/KOG/cf-contig_102-KOG.txt","KOG")</f>
        <v>KOG</v>
      </c>
      <c r="AG214" s="5">
        <v>1.0000000000000001E-37</v>
      </c>
      <c r="AH214">
        <v>49</v>
      </c>
      <c r="AI214" s="4" t="str">
        <f>HYPERLINK("http://exon.niaid.nih.gov/transcriptome/C_felis/S1/links/NR/cf-contig_102-NR.txt","60S ribosomal protein L12-like")</f>
        <v>60S ribosomal protein L12-like</v>
      </c>
      <c r="AJ214" t="str">
        <f>HYPERLINK("http://www.ncbi.nlm.nih.gov/sutils/blink.cgi?pid=332220948","1E-034")</f>
        <v>1E-034</v>
      </c>
      <c r="AK214" t="str">
        <f>HYPERLINK("http://www.ncbi.nlm.nih.gov/protein/332220948","gi|332220948")</f>
        <v>gi|332220948</v>
      </c>
      <c r="AL214">
        <v>130</v>
      </c>
      <c r="AM214">
        <v>99</v>
      </c>
      <c r="AN214">
        <v>165</v>
      </c>
      <c r="AO214">
        <v>78</v>
      </c>
      <c r="AP214">
        <v>61</v>
      </c>
      <c r="AQ214">
        <v>18</v>
      </c>
      <c r="AR214">
        <v>0</v>
      </c>
      <c r="AS214">
        <v>66</v>
      </c>
      <c r="AT214">
        <v>15</v>
      </c>
      <c r="AU214">
        <v>2</v>
      </c>
      <c r="AV214">
        <v>3</v>
      </c>
      <c r="AW214" t="s">
        <v>1689</v>
      </c>
      <c r="AY214" t="s">
        <v>1676</v>
      </c>
      <c r="AZ214" t="s">
        <v>2056</v>
      </c>
      <c r="BA214" s="4" t="str">
        <f>HYPERLINK("http://exon.niaid.nih.gov/transcriptome/C_felis/S1/links/SWISSP/cf-contig_102-SWISSP.txt","60S ribosomal protein L12")</f>
        <v>60S ribosomal protein L12</v>
      </c>
      <c r="BB214" t="str">
        <f>HYPERLINK("http://www.uniprot.org/uniprot/P23358","1E-032")</f>
        <v>1E-032</v>
      </c>
      <c r="BC214" t="s">
        <v>2057</v>
      </c>
      <c r="BD214">
        <v>138</v>
      </c>
      <c r="BE214">
        <v>99</v>
      </c>
      <c r="BF214">
        <v>165</v>
      </c>
      <c r="BG214">
        <v>81</v>
      </c>
      <c r="BH214">
        <v>61</v>
      </c>
      <c r="BI214">
        <v>15</v>
      </c>
      <c r="BJ214">
        <v>0</v>
      </c>
      <c r="BK214">
        <v>66</v>
      </c>
      <c r="BL214">
        <v>15</v>
      </c>
      <c r="BM214">
        <v>2</v>
      </c>
      <c r="BN214">
        <v>3</v>
      </c>
      <c r="BO214" t="s">
        <v>1689</v>
      </c>
      <c r="BQ214" t="s">
        <v>1676</v>
      </c>
      <c r="BR214" t="s">
        <v>1684</v>
      </c>
      <c r="BS214" s="4" t="str">
        <f>HYPERLINK("http://exon.niaid.nih.gov/transcriptome/C_felis/S1/links/CDD/cf-contig_102-CDD.txt","PTZ00105")</f>
        <v>PTZ00105</v>
      </c>
      <c r="BT214" t="str">
        <f>HYPERLINK("http://www.ncbi.nlm.nih.gov/Structure/cdd/cddsrv.cgi?uid=PTZ00105&amp;version=v4.0","6E-038")</f>
        <v>6E-038</v>
      </c>
      <c r="BU214" t="s">
        <v>2058</v>
      </c>
      <c r="BV214" s="4" t="s">
        <v>2059</v>
      </c>
      <c r="BW214">
        <f>HYPERLINK("http://exon.niaid.nih.gov/transcriptome/C_felis/S1/links/GO/cf-contig_102-GO.txt",3E-33)</f>
        <v>3.0000000000000002E-33</v>
      </c>
      <c r="BX214" t="str">
        <f>HYPERLINK("http://amigo.geneontology.org/cgi-bin/amigo/term_details?term=GO:0003735","GO:0003735")</f>
        <v>GO:0003735</v>
      </c>
      <c r="BY214" t="s">
        <v>1929</v>
      </c>
      <c r="BZ214" t="s">
        <v>1930</v>
      </c>
      <c r="CA214" t="s">
        <v>1931</v>
      </c>
      <c r="CB214" t="s">
        <v>42</v>
      </c>
      <c r="CD214" s="5">
        <v>3.0000000000000002E-33</v>
      </c>
      <c r="CE214" t="str">
        <f>HYPERLINK("http://amigo.geneontology.org/cgi-bin/amigo/term_details?term=GO:0022625","GO:0022625")</f>
        <v>GO:0022625</v>
      </c>
      <c r="CF214" t="s">
        <v>1932</v>
      </c>
      <c r="CG214" t="s">
        <v>1933</v>
      </c>
      <c r="CH214" t="s">
        <v>1934</v>
      </c>
      <c r="CI214" t="s">
        <v>42</v>
      </c>
      <c r="CK214" s="5">
        <v>3.0000000000000002E-33</v>
      </c>
      <c r="CL214" t="str">
        <f t="shared" si="22"/>
        <v>GO:0006412</v>
      </c>
      <c r="CM214" t="s">
        <v>1935</v>
      </c>
      <c r="CN214" t="s">
        <v>1936</v>
      </c>
      <c r="CO214" t="s">
        <v>1937</v>
      </c>
      <c r="CP214" t="s">
        <v>42</v>
      </c>
      <c r="CR214" s="5">
        <v>3.0000000000000002E-33</v>
      </c>
      <c r="CS214" s="4" t="str">
        <f>HYPERLINK("http://exon.niaid.nih.gov/transcriptome/C_felis/S1/links/KOG/cf-contig_102-KOG.txt","40S ribosomal protein S2")</f>
        <v>40S ribosomal protein S2</v>
      </c>
      <c r="CT214" t="str">
        <f>HYPERLINK("http://www.ncbi.nlm.nih.gov/COG/grace/shokog.cgi?KOG0886","1E-037")</f>
        <v>1E-037</v>
      </c>
      <c r="CU214" t="s">
        <v>1707</v>
      </c>
      <c r="CV214" s="4" t="str">
        <f>HYPERLINK("http://exon.niaid.nih.gov/transcriptome/C_felis/S1/links/PFAM/cf-contig_102-PFAM.txt","Ribosomal_L11")</f>
        <v>Ribosomal_L11</v>
      </c>
      <c r="CW214" t="str">
        <f>HYPERLINK("http://pfam.sanger.ac.uk/family?acc=PF00298","1E-010")</f>
        <v>1E-010</v>
      </c>
      <c r="CX214" s="4" t="str">
        <f>HYPERLINK("http://exon.niaid.nih.gov/transcriptome/C_felis/S1/links/SMART/cf-contig_102-SMART.txt","RL11")</f>
        <v>RL11</v>
      </c>
      <c r="CY214" t="str">
        <f>HYPERLINK("http://smart.embl-heidelberg.de/smart/do_annotation.pl?DOMAIN=RL11&amp;BLAST=DUMMY","7E-023")</f>
        <v>7E-023</v>
      </c>
      <c r="CZ214" s="4" t="s">
        <v>42</v>
      </c>
      <c r="DA214" t="s">
        <v>42</v>
      </c>
      <c r="DB214" t="s">
        <v>42</v>
      </c>
      <c r="DC214" t="s">
        <v>42</v>
      </c>
      <c r="DD214" t="s">
        <v>42</v>
      </c>
      <c r="DE214" t="s">
        <v>42</v>
      </c>
      <c r="DF214" t="s">
        <v>42</v>
      </c>
      <c r="DG214" t="s">
        <v>42</v>
      </c>
      <c r="DH214" s="4" t="s">
        <v>42</v>
      </c>
      <c r="DI214" t="s">
        <v>42</v>
      </c>
      <c r="DJ214" s="4" t="s">
        <v>42</v>
      </c>
      <c r="DK214" t="s">
        <v>42</v>
      </c>
      <c r="DL214" s="4">
        <v>120</v>
      </c>
      <c r="DM214">
        <v>1</v>
      </c>
      <c r="DN214" s="4">
        <v>115</v>
      </c>
      <c r="DO214">
        <v>1</v>
      </c>
      <c r="DP214" s="4">
        <v>112</v>
      </c>
      <c r="DQ214">
        <v>1</v>
      </c>
      <c r="DR214" s="4">
        <v>103</v>
      </c>
      <c r="DS214">
        <v>1</v>
      </c>
      <c r="DT214" s="4">
        <v>101</v>
      </c>
      <c r="DU214">
        <v>1</v>
      </c>
      <c r="DV214" s="4">
        <v>110</v>
      </c>
      <c r="DW214">
        <v>1</v>
      </c>
      <c r="DX214" s="4">
        <v>110</v>
      </c>
      <c r="DY214">
        <v>1</v>
      </c>
      <c r="DZ214" s="4">
        <v>109</v>
      </c>
      <c r="EA214">
        <v>1</v>
      </c>
      <c r="EB214" s="4">
        <v>109</v>
      </c>
      <c r="EC214">
        <v>1</v>
      </c>
      <c r="ED214" s="4">
        <v>110</v>
      </c>
      <c r="EE214">
        <v>1</v>
      </c>
      <c r="EF214" s="4">
        <v>107</v>
      </c>
      <c r="EG214">
        <v>1</v>
      </c>
      <c r="EH214" s="4">
        <v>104</v>
      </c>
      <c r="EI214">
        <v>1</v>
      </c>
      <c r="EJ214" s="4">
        <v>102</v>
      </c>
      <c r="EK214">
        <v>1</v>
      </c>
    </row>
    <row r="215" spans="1:141" x14ac:dyDescent="0.2">
      <c r="A215" t="str">
        <f>HYPERLINK("http://exon.niaid.nih.gov/transcriptome/C_felis/S1/links/cf/cf-contig_103.txt","cf-contig_103")</f>
        <v>cf-contig_103</v>
      </c>
      <c r="B215">
        <v>5</v>
      </c>
      <c r="C215" s="10" t="s">
        <v>4627</v>
      </c>
      <c r="D215">
        <v>5</v>
      </c>
      <c r="E215" t="str">
        <f>HYPERLINK("http://exon.niaid.nih.gov/transcriptome/C_felis/S1/links/cf/cf-5-36-asb-103.txt","Contig-103")</f>
        <v>Contig-103</v>
      </c>
      <c r="F215" t="str">
        <f>HYPERLINK("http://exon.niaid.nih.gov/transcriptome/C_felis/S1/links/cf/cf-5-36-103-CLU.txt","Contig103")</f>
        <v>Contig103</v>
      </c>
      <c r="G215" t="str">
        <f>HYPERLINK("http://exon.niaid.nih.gov/transcriptome/C_felis/S1/links/cf/cf-5-36-103-qual.txt","88.1")</f>
        <v>88.1</v>
      </c>
      <c r="H215" t="s">
        <v>11</v>
      </c>
      <c r="I215">
        <v>63</v>
      </c>
      <c r="J215">
        <v>195</v>
      </c>
      <c r="K215" t="s">
        <v>12</v>
      </c>
      <c r="L215">
        <v>5</v>
      </c>
      <c r="M215" t="s">
        <v>116</v>
      </c>
      <c r="N215">
        <v>192</v>
      </c>
      <c r="O215">
        <v>219</v>
      </c>
      <c r="P215">
        <v>171</v>
      </c>
      <c r="Q215" t="s">
        <v>923</v>
      </c>
      <c r="R215">
        <v>1</v>
      </c>
      <c r="S215" s="7" t="str">
        <f>HYPERLINK("http://exon.niaid.nih.gov/transcriptome/C_felis/S1/links/Sigp/CF-CONTIG_103-SigP.txt","Cyt")</f>
        <v>Cyt</v>
      </c>
      <c r="U215">
        <v>5</v>
      </c>
      <c r="V215" s="4">
        <v>121</v>
      </c>
      <c r="W215">
        <v>1</v>
      </c>
      <c r="X215" s="4">
        <v>116</v>
      </c>
      <c r="Y215">
        <v>1</v>
      </c>
      <c r="Z215" s="4">
        <v>113</v>
      </c>
      <c r="AA215">
        <v>1</v>
      </c>
      <c r="AB215" s="4" t="str">
        <f>HYPERLINK("http://exon.niaid.nih.gov/transcriptome/C_felis/S1/links/XC-ASB/cf-contig_103-XC-ASB.txt","XC-contig_159")</f>
        <v>XC-contig_159</v>
      </c>
      <c r="AC215">
        <v>9.0000000000000002E-35</v>
      </c>
      <c r="AD215" s="10" t="s">
        <v>4627</v>
      </c>
      <c r="AE215" t="s">
        <v>4605</v>
      </c>
      <c r="AF215" t="str">
        <f>HYPERLINK("http://exon.niaid.nih.gov/transcriptome/C_felis/S1/links/KOG/cf-contig_103-KOG.txt","KOG")</f>
        <v>KOG</v>
      </c>
      <c r="AG215" s="5">
        <v>2.9999999999999999E-22</v>
      </c>
      <c r="AH215">
        <v>33.5</v>
      </c>
      <c r="AI215" s="4" t="str">
        <f>HYPERLINK("http://exon.niaid.nih.gov/transcriptome/C_felis/S1/links/NR/cf-contig_103-NR.txt","60S ribosomal protein L12")</f>
        <v>60S ribosomal protein L12</v>
      </c>
      <c r="AJ215" t="str">
        <f>HYPERLINK("http://www.ncbi.nlm.nih.gov/sutils/blink.cgi?pid=170059827","1E-019")</f>
        <v>1E-019</v>
      </c>
      <c r="AK215" t="str">
        <f>HYPERLINK("http://www.ncbi.nlm.nih.gov/protein/170059827","gi|170059827")</f>
        <v>gi|170059827</v>
      </c>
      <c r="AL215">
        <v>100</v>
      </c>
      <c r="AM215">
        <v>55</v>
      </c>
      <c r="AN215">
        <v>165</v>
      </c>
      <c r="AO215">
        <v>82</v>
      </c>
      <c r="AP215">
        <v>34</v>
      </c>
      <c r="AQ215">
        <v>10</v>
      </c>
      <c r="AR215">
        <v>0</v>
      </c>
      <c r="AS215">
        <v>109</v>
      </c>
      <c r="AT215">
        <v>1</v>
      </c>
      <c r="AU215">
        <v>1</v>
      </c>
      <c r="AV215">
        <v>1</v>
      </c>
      <c r="AW215" t="s">
        <v>12</v>
      </c>
      <c r="AY215" t="s">
        <v>1676</v>
      </c>
      <c r="AZ215" t="s">
        <v>1769</v>
      </c>
      <c r="BA215" s="4" t="str">
        <f>HYPERLINK("http://exon.niaid.nih.gov/transcriptome/C_felis/S1/links/SWISSP/cf-contig_103-SWISSP.txt","60S ribosomal protein L12")</f>
        <v>60S ribosomal protein L12</v>
      </c>
      <c r="BB215" t="str">
        <f>HYPERLINK("http://www.uniprot.org/uniprot/P23358","3E-020")</f>
        <v>3E-020</v>
      </c>
      <c r="BC215" t="s">
        <v>2057</v>
      </c>
      <c r="BD215">
        <v>97.1</v>
      </c>
      <c r="BE215">
        <v>56</v>
      </c>
      <c r="BF215">
        <v>165</v>
      </c>
      <c r="BG215">
        <v>78</v>
      </c>
      <c r="BH215">
        <v>35</v>
      </c>
      <c r="BI215">
        <v>12</v>
      </c>
      <c r="BJ215">
        <v>0</v>
      </c>
      <c r="BK215">
        <v>109</v>
      </c>
      <c r="BL215">
        <v>1</v>
      </c>
      <c r="BM215">
        <v>1</v>
      </c>
      <c r="BN215">
        <v>1</v>
      </c>
      <c r="BO215" t="s">
        <v>12</v>
      </c>
      <c r="BQ215" t="s">
        <v>1676</v>
      </c>
      <c r="BR215" t="s">
        <v>1684</v>
      </c>
      <c r="BS215" s="4" t="str">
        <f>HYPERLINK("http://exon.niaid.nih.gov/transcriptome/C_felis/S1/links/CDD/cf-contig_103-CDD.txt","PTZ00105")</f>
        <v>PTZ00105</v>
      </c>
      <c r="BT215" t="str">
        <f>HYPERLINK("http://www.ncbi.nlm.nih.gov/Structure/cdd/cddsrv.cgi?uid=PTZ00105&amp;version=v4.0","2E-019")</f>
        <v>2E-019</v>
      </c>
      <c r="BU215" t="s">
        <v>2060</v>
      </c>
      <c r="BV215" s="4" t="s">
        <v>2061</v>
      </c>
      <c r="BW215">
        <f>HYPERLINK("http://exon.niaid.nih.gov/transcriptome/C_felis/S1/links/GO/cf-contig_103-GO.txt",2E-20)</f>
        <v>1.9999999999999999E-20</v>
      </c>
      <c r="BX215" t="str">
        <f>HYPERLINK("http://amigo.geneontology.org/cgi-bin/amigo/term_details?term=GO:0003723","GO:0003723")</f>
        <v>GO:0003723</v>
      </c>
      <c r="BY215" t="s">
        <v>2062</v>
      </c>
      <c r="BZ215" t="s">
        <v>2063</v>
      </c>
      <c r="CA215" t="s">
        <v>42</v>
      </c>
      <c r="CB215" t="s">
        <v>42</v>
      </c>
      <c r="CD215" s="5">
        <v>1.9999999999999999E-20</v>
      </c>
      <c r="CE215" t="str">
        <f>HYPERLINK("http://amigo.geneontology.org/cgi-bin/amigo/term_details?term=GO:0005634","GO:0005634")</f>
        <v>GO:0005634</v>
      </c>
      <c r="CF215" t="s">
        <v>2064</v>
      </c>
      <c r="CG215" t="s">
        <v>2065</v>
      </c>
      <c r="CH215" t="s">
        <v>2066</v>
      </c>
      <c r="CI215" t="s">
        <v>42</v>
      </c>
      <c r="CK215" s="5">
        <v>1.9999999999999999E-20</v>
      </c>
      <c r="CL215" t="str">
        <f t="shared" si="22"/>
        <v>GO:0006412</v>
      </c>
      <c r="CM215" t="s">
        <v>1935</v>
      </c>
      <c r="CN215" t="s">
        <v>1936</v>
      </c>
      <c r="CO215" t="s">
        <v>1937</v>
      </c>
      <c r="CP215" t="s">
        <v>42</v>
      </c>
      <c r="CR215" s="5">
        <v>1.9999999999999999E-20</v>
      </c>
      <c r="CS215" s="4" t="str">
        <f>HYPERLINK("http://exon.niaid.nih.gov/transcriptome/C_felis/S1/links/KOG/cf-contig_103-KOG.txt","40S ribosomal protein S2")</f>
        <v>40S ribosomal protein S2</v>
      </c>
      <c r="CT215" t="str">
        <f>HYPERLINK("http://www.ncbi.nlm.nih.gov/COG/grace/shokog.cgi?KOG0886","3E-022")</f>
        <v>3E-022</v>
      </c>
      <c r="CU215" t="s">
        <v>1707</v>
      </c>
      <c r="CV215" s="4" t="str">
        <f>HYPERLINK("http://exon.niaid.nih.gov/transcriptome/C_felis/S1/links/PFAM/cf-contig_103-PFAM.txt","Ribosomal_L11")</f>
        <v>Ribosomal_L11</v>
      </c>
      <c r="CW215" t="str">
        <f>HYPERLINK("http://pfam.sanger.ac.uk/family?acc=PF00298","2E-005")</f>
        <v>2E-005</v>
      </c>
      <c r="CX215" s="4" t="str">
        <f>HYPERLINK("http://exon.niaid.nih.gov/transcriptome/C_felis/S1/links/SMART/cf-contig_103-SMART.txt","RL11")</f>
        <v>RL11</v>
      </c>
      <c r="CY215" t="str">
        <f>HYPERLINK("http://smart.embl-heidelberg.de/smart/do_annotation.pl?DOMAIN=RL11&amp;BLAST=DUMMY","2E-010")</f>
        <v>2E-010</v>
      </c>
      <c r="CZ215" s="4" t="s">
        <v>42</v>
      </c>
      <c r="DA215" t="s">
        <v>42</v>
      </c>
      <c r="DB215" t="s">
        <v>42</v>
      </c>
      <c r="DC215" t="s">
        <v>42</v>
      </c>
      <c r="DD215" t="s">
        <v>42</v>
      </c>
      <c r="DE215" t="s">
        <v>42</v>
      </c>
      <c r="DF215" t="s">
        <v>42</v>
      </c>
      <c r="DG215" t="s">
        <v>42</v>
      </c>
      <c r="DH215" s="4" t="s">
        <v>42</v>
      </c>
      <c r="DI215" t="s">
        <v>42</v>
      </c>
      <c r="DJ215" s="4" t="s">
        <v>42</v>
      </c>
      <c r="DK215" t="s">
        <v>42</v>
      </c>
      <c r="DL215" s="4">
        <v>121</v>
      </c>
      <c r="DM215">
        <v>1</v>
      </c>
      <c r="DN215" s="4">
        <v>116</v>
      </c>
      <c r="DO215">
        <v>1</v>
      </c>
      <c r="DP215" s="4">
        <v>113</v>
      </c>
      <c r="DQ215">
        <v>1</v>
      </c>
      <c r="DR215" s="4">
        <v>104</v>
      </c>
      <c r="DS215">
        <v>1</v>
      </c>
      <c r="DT215" s="4">
        <v>102</v>
      </c>
      <c r="DU215">
        <v>1</v>
      </c>
      <c r="DV215" s="4">
        <v>111</v>
      </c>
      <c r="DW215">
        <v>1</v>
      </c>
      <c r="DX215" s="4">
        <v>111</v>
      </c>
      <c r="DY215">
        <v>1</v>
      </c>
      <c r="DZ215" s="4">
        <v>110</v>
      </c>
      <c r="EA215">
        <v>1</v>
      </c>
      <c r="EB215" s="4">
        <v>110</v>
      </c>
      <c r="EC215">
        <v>1</v>
      </c>
      <c r="ED215" s="4">
        <v>111</v>
      </c>
      <c r="EE215">
        <v>1</v>
      </c>
      <c r="EF215" s="4">
        <v>108</v>
      </c>
      <c r="EG215">
        <v>1</v>
      </c>
      <c r="EH215" s="4">
        <v>105</v>
      </c>
      <c r="EI215">
        <v>1</v>
      </c>
      <c r="EJ215" s="4">
        <v>103</v>
      </c>
      <c r="EK215">
        <v>1</v>
      </c>
    </row>
    <row r="216" spans="1:141" x14ac:dyDescent="0.2">
      <c r="A216" t="str">
        <f>HYPERLINK("http://exon.niaid.nih.gov/transcriptome/C_felis/S1/links/cf/cf-contig_187.txt","cf-contig_187")</f>
        <v>cf-contig_187</v>
      </c>
      <c r="B216">
        <v>4</v>
      </c>
      <c r="C216" s="10" t="s">
        <v>4676</v>
      </c>
      <c r="D216">
        <v>4</v>
      </c>
      <c r="E216" t="str">
        <f>HYPERLINK("http://exon.niaid.nih.gov/transcriptome/C_felis/S1/links/cf/cf-5-36-asb-187.txt","Contig-187")</f>
        <v>Contig-187</v>
      </c>
      <c r="F216" t="str">
        <f>HYPERLINK("http://exon.niaid.nih.gov/transcriptome/C_felis/S1/links/cf/cf-5-36-187-CLU.txt","Contig187")</f>
        <v>Contig187</v>
      </c>
      <c r="G216" t="str">
        <f>HYPERLINK("http://exon.niaid.nih.gov/transcriptome/C_felis/S1/links/cf/cf-5-36-187-qual.txt","85.4")</f>
        <v>85.4</v>
      </c>
      <c r="H216" t="s">
        <v>11</v>
      </c>
      <c r="I216">
        <v>57.3</v>
      </c>
      <c r="J216">
        <v>508</v>
      </c>
      <c r="K216" t="s">
        <v>12</v>
      </c>
      <c r="L216">
        <v>4</v>
      </c>
      <c r="M216" t="s">
        <v>200</v>
      </c>
      <c r="N216">
        <v>508</v>
      </c>
      <c r="O216">
        <v>527</v>
      </c>
      <c r="P216">
        <v>465</v>
      </c>
      <c r="Q216" t="s">
        <v>1007</v>
      </c>
      <c r="R216">
        <v>3</v>
      </c>
      <c r="S216" s="7" t="str">
        <f>HYPERLINK("http://exon.niaid.nih.gov/transcriptome/C_felis/S1/links/Sigp/CF-CONTIG_187-SigP.txt","Cyt")</f>
        <v>Cyt</v>
      </c>
      <c r="U216">
        <v>4</v>
      </c>
      <c r="V216" s="4">
        <v>162</v>
      </c>
      <c r="W216">
        <v>1</v>
      </c>
      <c r="X216" s="4">
        <v>164</v>
      </c>
      <c r="Y216">
        <v>1</v>
      </c>
      <c r="Z216" s="4">
        <v>162</v>
      </c>
      <c r="AA216">
        <v>1</v>
      </c>
      <c r="AB216" s="4" t="str">
        <f>HYPERLINK("http://exon.niaid.nih.gov/transcriptome/C_felis/S1/links/XC-ASB/cf-contig_187-XC-ASB.txt","XC-contig_103")</f>
        <v>XC-contig_103</v>
      </c>
      <c r="AC216">
        <v>1.7999999999999999E-2</v>
      </c>
      <c r="AD216" s="10" t="s">
        <v>4676</v>
      </c>
      <c r="AE216" t="s">
        <v>4605</v>
      </c>
      <c r="AF216" t="str">
        <f>HYPERLINK("http://exon.niaid.nih.gov/transcriptome/C_felis/S1/links/KOG/cf-contig_187-KOG.txt","KOG")</f>
        <v>KOG</v>
      </c>
      <c r="AG216" s="5">
        <v>9.9999999999999992E-66</v>
      </c>
      <c r="AH216">
        <v>61</v>
      </c>
      <c r="AI216" s="4" t="str">
        <f>HYPERLINK("http://exon.niaid.nih.gov/transcriptome/C_felis/S1/links/NR/cf-contig_187-NR.txt","similar to ribosomal protein S2")</f>
        <v>similar to ribosomal protein S2</v>
      </c>
      <c r="AJ216" t="str">
        <f>HYPERLINK("http://www.ncbi.nlm.nih.gov/sutils/blink.cgi?pid=91081061","4E-076")</f>
        <v>4E-076</v>
      </c>
      <c r="AK216" t="str">
        <f>HYPERLINK("http://www.ncbi.nlm.nih.gov/protein/91081061","gi|91081061")</f>
        <v>gi|91081061</v>
      </c>
      <c r="AL216">
        <v>287</v>
      </c>
      <c r="AM216">
        <v>144</v>
      </c>
      <c r="AN216">
        <v>278</v>
      </c>
      <c r="AO216">
        <v>95</v>
      </c>
      <c r="AP216">
        <v>52</v>
      </c>
      <c r="AQ216">
        <v>6</v>
      </c>
      <c r="AR216">
        <v>0</v>
      </c>
      <c r="AS216">
        <v>123</v>
      </c>
      <c r="AT216">
        <v>6</v>
      </c>
      <c r="AU216">
        <v>1</v>
      </c>
      <c r="AV216">
        <v>3</v>
      </c>
      <c r="AW216" t="s">
        <v>12</v>
      </c>
      <c r="AY216" t="s">
        <v>1676</v>
      </c>
      <c r="AZ216" t="s">
        <v>1878</v>
      </c>
      <c r="BA216" s="4" t="str">
        <f>HYPERLINK("http://exon.niaid.nih.gov/transcriptome/C_felis/S1/links/SWISSP/cf-contig_187-SWISSP.txt","40S ribosomal protein S2")</f>
        <v>40S ribosomal protein S2</v>
      </c>
      <c r="BB216" t="str">
        <f>HYPERLINK("http://www.uniprot.org/uniprot/P31009","2E-073")</f>
        <v>2E-073</v>
      </c>
      <c r="BC216" t="s">
        <v>2362</v>
      </c>
      <c r="BD216">
        <v>274</v>
      </c>
      <c r="BE216">
        <v>140</v>
      </c>
      <c r="BF216">
        <v>267</v>
      </c>
      <c r="BG216">
        <v>93</v>
      </c>
      <c r="BH216">
        <v>53</v>
      </c>
      <c r="BI216">
        <v>9</v>
      </c>
      <c r="BJ216">
        <v>0</v>
      </c>
      <c r="BK216">
        <v>118</v>
      </c>
      <c r="BL216">
        <v>6</v>
      </c>
      <c r="BM216">
        <v>1</v>
      </c>
      <c r="BN216">
        <v>3</v>
      </c>
      <c r="BO216" t="s">
        <v>12</v>
      </c>
      <c r="BQ216" t="s">
        <v>1676</v>
      </c>
      <c r="BR216" t="s">
        <v>1804</v>
      </c>
      <c r="BS216" s="4" t="str">
        <f>HYPERLINK("http://exon.niaid.nih.gov/transcriptome/C_felis/S1/links/CDD/cf-contig_187-CDD.txt","PTZ00070")</f>
        <v>PTZ00070</v>
      </c>
      <c r="BT216" t="str">
        <f>HYPERLINK("http://www.ncbi.nlm.nih.gov/Structure/cdd/cddsrv.cgi?uid=PTZ00070&amp;version=v4.0","6E-081")</f>
        <v>6E-081</v>
      </c>
      <c r="BU216" t="s">
        <v>2363</v>
      </c>
      <c r="BV216" s="4" t="s">
        <v>2364</v>
      </c>
      <c r="BW216">
        <f>HYPERLINK("http://exon.niaid.nih.gov/transcriptome/C_felis/S1/links/GO/cf-contig_187-GO.txt",2E-73)</f>
        <v>2E-73</v>
      </c>
      <c r="BX216" t="str">
        <f>HYPERLINK("http://amigo.geneontology.org/cgi-bin/amigo/term_details?term=GO:0003735","GO:0003735")</f>
        <v>GO:0003735</v>
      </c>
      <c r="BY216" t="s">
        <v>1929</v>
      </c>
      <c r="BZ216" t="s">
        <v>1930</v>
      </c>
      <c r="CA216" t="s">
        <v>1931</v>
      </c>
      <c r="CB216" t="s">
        <v>42</v>
      </c>
      <c r="CD216" s="5">
        <v>2E-73</v>
      </c>
      <c r="CE216" t="str">
        <f>HYPERLINK("http://amigo.geneontology.org/cgi-bin/amigo/term_details?term=GO:0022627","GO:0022627")</f>
        <v>GO:0022627</v>
      </c>
      <c r="CF216" t="s">
        <v>2034</v>
      </c>
      <c r="CG216" t="s">
        <v>2035</v>
      </c>
      <c r="CH216" t="s">
        <v>2036</v>
      </c>
      <c r="CI216" t="s">
        <v>42</v>
      </c>
      <c r="CK216" s="5">
        <v>2E-73</v>
      </c>
      <c r="CL216" t="str">
        <f t="shared" si="22"/>
        <v>GO:0006412</v>
      </c>
      <c r="CM216" t="s">
        <v>1935</v>
      </c>
      <c r="CN216" t="s">
        <v>1936</v>
      </c>
      <c r="CO216" t="s">
        <v>1937</v>
      </c>
      <c r="CP216" t="s">
        <v>42</v>
      </c>
      <c r="CR216" s="5">
        <v>2E-73</v>
      </c>
      <c r="CS216" s="4" t="str">
        <f>HYPERLINK("http://exon.niaid.nih.gov/transcriptome/C_felis/S1/links/KOG/cf-contig_187-KOG.txt","40S ribosomal protein S2/30S ribosomal protein S5")</f>
        <v>40S ribosomal protein S2/30S ribosomal protein S5</v>
      </c>
      <c r="CT216" t="str">
        <f>HYPERLINK("http://www.ncbi.nlm.nih.gov/COG/grace/shokog.cgi?KOG0877","1E-065")</f>
        <v>1E-065</v>
      </c>
      <c r="CU216" t="s">
        <v>1707</v>
      </c>
      <c r="CV216" s="4" t="str">
        <f>HYPERLINK("http://exon.niaid.nih.gov/transcriptome/C_felis/S1/links/PFAM/cf-contig_187-PFAM.txt","Ribosomal_S5_C")</f>
        <v>Ribosomal_S5_C</v>
      </c>
      <c r="CW216" t="str">
        <f>HYPERLINK("http://pfam.sanger.ac.uk/family?acc=PF03719","3E-022")</f>
        <v>3E-022</v>
      </c>
      <c r="CX216" s="4" t="str">
        <f>HYPERLINK("http://exon.niaid.nih.gov/transcriptome/C_felis/S1/links/SMART/cf-contig_187-SMART.txt","DWB")</f>
        <v>DWB</v>
      </c>
      <c r="CY216" t="str">
        <f>HYPERLINK("http://smart.embl-heidelberg.de/smart/do_annotation.pl?DOMAIN=DWB&amp;BLAST=DUMMY","0.002")</f>
        <v>0.002</v>
      </c>
      <c r="CZ216" s="4" t="s">
        <v>42</v>
      </c>
      <c r="DA216" t="s">
        <v>42</v>
      </c>
      <c r="DB216" t="s">
        <v>42</v>
      </c>
      <c r="DC216" t="s">
        <v>42</v>
      </c>
      <c r="DD216" t="s">
        <v>42</v>
      </c>
      <c r="DE216" t="s">
        <v>42</v>
      </c>
      <c r="DF216" t="s">
        <v>42</v>
      </c>
      <c r="DG216" t="s">
        <v>42</v>
      </c>
      <c r="DH216" s="4" t="s">
        <v>42</v>
      </c>
      <c r="DI216" t="s">
        <v>42</v>
      </c>
      <c r="DJ216" s="4" t="s">
        <v>42</v>
      </c>
      <c r="DK216" t="s">
        <v>42</v>
      </c>
      <c r="DL216" s="4">
        <v>162</v>
      </c>
      <c r="DM216">
        <v>1</v>
      </c>
      <c r="DN216" s="4">
        <v>164</v>
      </c>
      <c r="DO216">
        <v>1</v>
      </c>
      <c r="DP216" s="4">
        <v>162</v>
      </c>
      <c r="DQ216">
        <v>1</v>
      </c>
      <c r="DR216" s="4">
        <v>161</v>
      </c>
      <c r="DS216">
        <v>1</v>
      </c>
      <c r="DT216" s="4">
        <v>163</v>
      </c>
      <c r="DU216">
        <v>1</v>
      </c>
      <c r="DV216" s="4">
        <v>173</v>
      </c>
      <c r="DW216">
        <v>1</v>
      </c>
      <c r="DX216" s="4">
        <v>175</v>
      </c>
      <c r="DY216">
        <v>1</v>
      </c>
      <c r="DZ216" s="4">
        <v>175</v>
      </c>
      <c r="EA216">
        <v>1</v>
      </c>
      <c r="EB216" s="4">
        <v>180</v>
      </c>
      <c r="EC216">
        <v>1</v>
      </c>
      <c r="ED216" s="4">
        <v>181</v>
      </c>
      <c r="EE216">
        <v>1</v>
      </c>
      <c r="EF216" s="4">
        <v>182</v>
      </c>
      <c r="EG216">
        <v>1</v>
      </c>
      <c r="EH216" s="4">
        <v>182</v>
      </c>
      <c r="EI216">
        <v>1</v>
      </c>
      <c r="EJ216" s="4">
        <v>187</v>
      </c>
      <c r="EK216">
        <v>1</v>
      </c>
    </row>
    <row r="217" spans="1:141" x14ac:dyDescent="0.2">
      <c r="A217" t="str">
        <f>HYPERLINK("http://exon.niaid.nih.gov/transcriptome/C_felis/S1/links/cf/cf-contig_320.txt","cf-contig_320")</f>
        <v>cf-contig_320</v>
      </c>
      <c r="B217">
        <v>1</v>
      </c>
      <c r="C217" s="10" t="s">
        <v>4731</v>
      </c>
      <c r="D217">
        <v>1</v>
      </c>
      <c r="E217" t="str">
        <f>HYPERLINK("http://exon.niaid.nih.gov/transcriptome/C_felis/S1/links/cf/cf-5-36-asb-320.txt","Contig-320")</f>
        <v>Contig-320</v>
      </c>
      <c r="F217" t="str">
        <f>HYPERLINK("http://exon.niaid.nih.gov/transcriptome/C_felis/S1/links/cf/cf-5-36-320-CLU.txt","Contig320")</f>
        <v>Contig320</v>
      </c>
      <c r="G217" t="str">
        <f>HYPERLINK("http://exon.niaid.nih.gov/transcriptome/C_felis/S1/links/cf/cf-5-36-320-qual.txt","66.2")</f>
        <v>66.2</v>
      </c>
      <c r="H217" t="s">
        <v>11</v>
      </c>
      <c r="I217">
        <v>69.5</v>
      </c>
      <c r="J217">
        <v>204</v>
      </c>
      <c r="K217" t="s">
        <v>12</v>
      </c>
      <c r="L217">
        <v>1</v>
      </c>
      <c r="M217" t="s">
        <v>333</v>
      </c>
      <c r="N217">
        <v>204</v>
      </c>
      <c r="O217">
        <v>223</v>
      </c>
      <c r="P217">
        <v>117</v>
      </c>
      <c r="Q217" t="s">
        <v>1140</v>
      </c>
      <c r="R217">
        <v>2</v>
      </c>
      <c r="S217" s="7" t="s">
        <v>4585</v>
      </c>
      <c r="U217">
        <v>1</v>
      </c>
      <c r="V217" s="4">
        <f>HYPERLINK("http://exon.niaid.nih.gov/transcriptome/C_felis/S1/links/cluster/cf-5-36-asb30-50-Id-CLU66.txt", 66)</f>
        <v>66</v>
      </c>
      <c r="W217">
        <f>HYPERLINK("http://exon.niaid.nih.gov/transcriptome/C_felis/S1/links/cluster/cf-5-36-asb30-50-Id-CLTL66.txt", 2)</f>
        <v>2</v>
      </c>
      <c r="X217" s="4">
        <f>HYPERLINK("http://exon.niaid.nih.gov/transcriptome/C_felis/S1/links/cluster/cf-5-36-asb35-50-Id-CLU58.txt", 58)</f>
        <v>58</v>
      </c>
      <c r="Y217">
        <f>HYPERLINK("http://exon.niaid.nih.gov/transcriptome/C_felis/S1/links/cluster/cf-5-36-asb35-50-Id-CLTL58.txt", 2)</f>
        <v>2</v>
      </c>
      <c r="Z217" s="4">
        <f>HYPERLINK("http://exon.niaid.nih.gov/transcriptome/C_felis/S1/links/cluster/cf-5-36-asb40-50-Id-CLU55.txt", 55)</f>
        <v>55</v>
      </c>
      <c r="AA217">
        <f>HYPERLINK("http://exon.niaid.nih.gov/transcriptome/C_felis/S1/links/cluster/cf-5-36-asb40-50-Id-CLTL55.txt", 2)</f>
        <v>2</v>
      </c>
      <c r="AB217" s="4" t="str">
        <f>HYPERLINK("http://exon.niaid.nih.gov/transcriptome/C_felis/S1/links/XC-ASB/cf-contig_320-XC-ASB.txt","XC-contig_154")</f>
        <v>XC-contig_154</v>
      </c>
      <c r="AC217">
        <v>7.9999999999999997E-23</v>
      </c>
      <c r="AD217" s="10" t="s">
        <v>4731</v>
      </c>
      <c r="AE217" t="s">
        <v>4605</v>
      </c>
      <c r="AF217" t="str">
        <f>HYPERLINK("http://exon.niaid.nih.gov/transcriptome/C_felis/S1/links/KOG/cf-contig_320-KOG.txt","KOG")</f>
        <v>KOG</v>
      </c>
      <c r="AG217" s="5">
        <v>1.0000000000000001E-17</v>
      </c>
      <c r="AH217">
        <v>27.2</v>
      </c>
      <c r="AI217" s="4" t="str">
        <f>HYPERLINK("http://exon.niaid.nih.gov/transcriptome/C_felis/S1/links/NR/cf-contig_320-NR.txt","ribosomal protein S23")</f>
        <v>ribosomal protein S23</v>
      </c>
      <c r="AJ217" t="str">
        <f>HYPERLINK("http://www.ncbi.nlm.nih.gov/sutils/blink.cgi?pid=342356365","2E-013")</f>
        <v>2E-013</v>
      </c>
      <c r="AK217" t="str">
        <f>HYPERLINK("http://www.ncbi.nlm.nih.gov/protein/342356365","gi|342356365")</f>
        <v>gi|342356365</v>
      </c>
      <c r="AL217">
        <v>79.3</v>
      </c>
      <c r="AM217">
        <v>38</v>
      </c>
      <c r="AN217">
        <v>143</v>
      </c>
      <c r="AO217">
        <v>97</v>
      </c>
      <c r="AP217">
        <v>27</v>
      </c>
      <c r="AQ217">
        <v>1</v>
      </c>
      <c r="AR217">
        <v>0</v>
      </c>
      <c r="AS217">
        <v>105</v>
      </c>
      <c r="AT217">
        <v>2</v>
      </c>
      <c r="AU217">
        <v>1</v>
      </c>
      <c r="AV217">
        <v>2</v>
      </c>
      <c r="AW217" t="s">
        <v>12</v>
      </c>
      <c r="AY217" t="s">
        <v>1676</v>
      </c>
      <c r="AZ217" t="s">
        <v>2242</v>
      </c>
      <c r="BA217" s="4" t="str">
        <f>HYPERLINK("http://exon.niaid.nih.gov/transcriptome/C_felis/S1/links/SWISSP/cf-contig_320-SWISSP.txt","40S ribosomal protein S23")</f>
        <v>40S ribosomal protein S23</v>
      </c>
      <c r="BB217" t="str">
        <f>HYPERLINK("http://www.uniprot.org/uniprot/Q962Q7","7E-015")</f>
        <v>7E-015</v>
      </c>
      <c r="BC217" t="s">
        <v>2817</v>
      </c>
      <c r="BD217">
        <v>79.3</v>
      </c>
      <c r="BE217">
        <v>38</v>
      </c>
      <c r="BF217">
        <v>143</v>
      </c>
      <c r="BG217">
        <v>97</v>
      </c>
      <c r="BH217">
        <v>27</v>
      </c>
      <c r="BI217">
        <v>1</v>
      </c>
      <c r="BJ217">
        <v>0</v>
      </c>
      <c r="BK217">
        <v>105</v>
      </c>
      <c r="BL217">
        <v>2</v>
      </c>
      <c r="BM217">
        <v>1</v>
      </c>
      <c r="BN217">
        <v>2</v>
      </c>
      <c r="BO217" t="s">
        <v>12</v>
      </c>
      <c r="BQ217" t="s">
        <v>1676</v>
      </c>
      <c r="BR217" t="s">
        <v>2031</v>
      </c>
      <c r="BS217" s="4" t="str">
        <f>HYPERLINK("http://exon.niaid.nih.gov/transcriptome/C_felis/S1/links/CDD/cf-contig_320-CDD.txt","PTZ00067")</f>
        <v>PTZ00067</v>
      </c>
      <c r="BT217" t="str">
        <f>HYPERLINK("http://www.ncbi.nlm.nih.gov/Structure/cdd/cddsrv.cgi?uid=PTZ00067&amp;version=v4.0","1E-018")</f>
        <v>1E-018</v>
      </c>
      <c r="BU217" t="s">
        <v>2818</v>
      </c>
      <c r="BV217" s="4" t="s">
        <v>2819</v>
      </c>
      <c r="BW217">
        <f>HYPERLINK("http://exon.niaid.nih.gov/transcriptome/C_felis/S1/links/GO/cf-contig_320-GO.txt",0.000000000000005)</f>
        <v>5E-15</v>
      </c>
      <c r="BX217" t="str">
        <f>HYPERLINK("http://amigo.geneontology.org/cgi-bin/amigo/term_details?term=GO:0003735","GO:0003735")</f>
        <v>GO:0003735</v>
      </c>
      <c r="BY217" t="s">
        <v>1929</v>
      </c>
      <c r="BZ217" t="s">
        <v>1930</v>
      </c>
      <c r="CA217" t="s">
        <v>1931</v>
      </c>
      <c r="CB217" t="s">
        <v>42</v>
      </c>
      <c r="CD217">
        <v>5E-15</v>
      </c>
      <c r="CE217" t="str">
        <f>HYPERLINK("http://amigo.geneontology.org/cgi-bin/amigo/term_details?term=GO:0022627","GO:0022627")</f>
        <v>GO:0022627</v>
      </c>
      <c r="CF217" t="s">
        <v>2034</v>
      </c>
      <c r="CG217" t="s">
        <v>2035</v>
      </c>
      <c r="CH217" t="s">
        <v>2036</v>
      </c>
      <c r="CI217" t="s">
        <v>42</v>
      </c>
      <c r="CK217">
        <v>5E-15</v>
      </c>
      <c r="CL217" t="str">
        <f t="shared" si="22"/>
        <v>GO:0006412</v>
      </c>
      <c r="CM217" t="s">
        <v>1935</v>
      </c>
      <c r="CN217" t="s">
        <v>1936</v>
      </c>
      <c r="CO217" t="s">
        <v>1937</v>
      </c>
      <c r="CP217" t="s">
        <v>42</v>
      </c>
      <c r="CR217">
        <v>5E-15</v>
      </c>
      <c r="CS217" s="4" t="str">
        <f>HYPERLINK("http://exon.niaid.nih.gov/transcriptome/C_felis/S1/links/KOG/cf-contig_320-KOG.txt","40S ribosomal protein S23")</f>
        <v>40S ribosomal protein S23</v>
      </c>
      <c r="CT217" t="str">
        <f>HYPERLINK("http://www.ncbi.nlm.nih.gov/COG/grace/shokog.cgi?KOG1749","1E-017")</f>
        <v>1E-017</v>
      </c>
      <c r="CU217" t="s">
        <v>1707</v>
      </c>
      <c r="CV217" s="4" t="str">
        <f>HYPERLINK("http://exon.niaid.nih.gov/transcriptome/C_felis/S1/links/PFAM/cf-contig_320-PFAM.txt","Ribosomal_S12")</f>
        <v>Ribosomal_S12</v>
      </c>
      <c r="CW217" t="str">
        <f>HYPERLINK("http://pfam.sanger.ac.uk/family?acc=PF00164","6E-007")</f>
        <v>6E-007</v>
      </c>
      <c r="CX217" s="4" t="str">
        <f>HYPERLINK("http://exon.niaid.nih.gov/transcriptome/C_felis/S1/links/SMART/cf-contig_320-SMART.txt","Beach")</f>
        <v>Beach</v>
      </c>
      <c r="CY217" t="str">
        <f>HYPERLINK("http://smart.embl-heidelberg.de/smart/do_annotation.pl?DOMAIN=Beach&amp;BLAST=DUMMY","0.81")</f>
        <v>0.81</v>
      </c>
      <c r="CZ217" s="4" t="s">
        <v>42</v>
      </c>
      <c r="DA217" t="s">
        <v>42</v>
      </c>
      <c r="DB217" t="s">
        <v>42</v>
      </c>
      <c r="DC217" t="s">
        <v>42</v>
      </c>
      <c r="DD217" t="s">
        <v>42</v>
      </c>
      <c r="DE217" t="s">
        <v>42</v>
      </c>
      <c r="DF217" t="s">
        <v>42</v>
      </c>
      <c r="DG217" t="s">
        <v>42</v>
      </c>
      <c r="DH217" s="4" t="s">
        <v>42</v>
      </c>
      <c r="DI217" t="s">
        <v>42</v>
      </c>
      <c r="DJ217" s="4" t="s">
        <v>42</v>
      </c>
      <c r="DK217" t="s">
        <v>42</v>
      </c>
      <c r="DL217" s="4">
        <f>HYPERLINK("http://exon.niaid.nih.gov/transcriptome/C_felis/S1/links/cluster/cf-5-36-asb30-50-Id-CLU66.txt", 66)</f>
        <v>66</v>
      </c>
      <c r="DM217">
        <f>HYPERLINK("http://exon.niaid.nih.gov/transcriptome/C_felis/S1/links/cluster/cf-5-36-asb30-50-Id-CLTL66.txt", 2)</f>
        <v>2</v>
      </c>
      <c r="DN217" s="4">
        <f>HYPERLINK("http://exon.niaid.nih.gov/transcriptome/C_felis/S1/links/cluster/cf-5-36-asb35-50-Id-CLU58.txt", 58)</f>
        <v>58</v>
      </c>
      <c r="DO217">
        <f>HYPERLINK("http://exon.niaid.nih.gov/transcriptome/C_felis/S1/links/cluster/cf-5-36-asb35-50-Id-CLTL58.txt", 2)</f>
        <v>2</v>
      </c>
      <c r="DP217" s="4">
        <f>HYPERLINK("http://exon.niaid.nih.gov/transcriptome/C_felis/S1/links/cluster/cf-5-36-asb40-50-Id-CLU55.txt", 55)</f>
        <v>55</v>
      </c>
      <c r="DQ217">
        <f>HYPERLINK("http://exon.niaid.nih.gov/transcriptome/C_felis/S1/links/cluster/cf-5-36-asb40-50-Id-CLTL55.txt", 2)</f>
        <v>2</v>
      </c>
      <c r="DR217" s="4">
        <f>HYPERLINK("http://exon.niaid.nih.gov/transcriptome/C_felis/S1/links/cluster/cf-5-36-asb45-50-Id-CLU46.txt", 46)</f>
        <v>46</v>
      </c>
      <c r="DS217">
        <f>HYPERLINK("http://exon.niaid.nih.gov/transcriptome/C_felis/S1/links/cluster/cf-5-36-asb45-50-Id-CLTL46.txt", 2)</f>
        <v>2</v>
      </c>
      <c r="DT217" s="4">
        <f>HYPERLINK("http://exon.niaid.nih.gov/transcriptome/C_felis/S1/links/cluster/cf-5-36-asb50-50-Id-CLU38.txt", 38)</f>
        <v>38</v>
      </c>
      <c r="DU217">
        <f>HYPERLINK("http://exon.niaid.nih.gov/transcriptome/C_felis/S1/links/cluster/cf-5-36-asb50-50-Id-CLTL38.txt", 2)</f>
        <v>2</v>
      </c>
      <c r="DV217" s="4">
        <f>HYPERLINK("http://exon.niaid.nih.gov/transcriptome/C_felis/S1/links/cluster/cf-5-36-asb55-50-Id-CLU35.txt", 35)</f>
        <v>35</v>
      </c>
      <c r="DW217">
        <f>HYPERLINK("http://exon.niaid.nih.gov/transcriptome/C_felis/S1/links/cluster/cf-5-36-asb55-50-Id-CLTL35.txt", 2)</f>
        <v>2</v>
      </c>
      <c r="DX217" s="4">
        <f>HYPERLINK("http://exon.niaid.nih.gov/transcriptome/C_felis/S1/links/cluster/cf-5-36-asb60-50-Id-CLU32.txt", 32)</f>
        <v>32</v>
      </c>
      <c r="DY217">
        <f>HYPERLINK("http://exon.niaid.nih.gov/transcriptome/C_felis/S1/links/cluster/cf-5-36-asb60-50-Id-CLTL32.txt", 2)</f>
        <v>2</v>
      </c>
      <c r="DZ217" s="4">
        <f>HYPERLINK("http://exon.niaid.nih.gov/transcriptome/C_felis/S1/links/cluster/cf-5-36-asb65-50-Id-CLU26.txt", 26)</f>
        <v>26</v>
      </c>
      <c r="EA217">
        <f>HYPERLINK("http://exon.niaid.nih.gov/transcriptome/C_felis/S1/links/cluster/cf-5-36-asb65-50-Id-CLTL26.txt", 2)</f>
        <v>2</v>
      </c>
      <c r="EB217" s="4">
        <f>HYPERLINK("http://exon.niaid.nih.gov/transcriptome/C_felis/S1/links/cluster/cf-5-36-asb70-50-Id-CLU21.txt", 21)</f>
        <v>21</v>
      </c>
      <c r="EC217">
        <f>HYPERLINK("http://exon.niaid.nih.gov/transcriptome/C_felis/S1/links/cluster/cf-5-36-asb70-50-Id-CLTL21.txt", 2)</f>
        <v>2</v>
      </c>
      <c r="ED217" s="4">
        <v>309</v>
      </c>
      <c r="EE217">
        <v>1</v>
      </c>
      <c r="EF217" s="4">
        <v>313</v>
      </c>
      <c r="EG217">
        <v>1</v>
      </c>
      <c r="EH217" s="4">
        <v>315</v>
      </c>
      <c r="EI217">
        <v>1</v>
      </c>
      <c r="EJ217" s="4">
        <v>320</v>
      </c>
      <c r="EK217">
        <v>1</v>
      </c>
    </row>
    <row r="218" spans="1:141" x14ac:dyDescent="0.2">
      <c r="A218" t="str">
        <f>HYPERLINK("http://exon.niaid.nih.gov/transcriptome/C_felis/S1/links/cf/cf-contig_721.txt","cf-contig_721")</f>
        <v>cf-contig_721</v>
      </c>
      <c r="B218">
        <v>1</v>
      </c>
      <c r="C218" s="10" t="s">
        <v>4731</v>
      </c>
      <c r="D218">
        <v>1</v>
      </c>
      <c r="E218" t="str">
        <f>HYPERLINK("http://exon.niaid.nih.gov/transcriptome/C_felis/S1/links/cf/cf-5-36-asb-721.txt","Contig-721")</f>
        <v>Contig-721</v>
      </c>
      <c r="F218" t="str">
        <f>HYPERLINK("http://exon.niaid.nih.gov/transcriptome/C_felis/S1/links/cf/cf-5-36-721-CLU.txt","Contig721")</f>
        <v>Contig721</v>
      </c>
      <c r="G218" t="str">
        <f>HYPERLINK("http://exon.niaid.nih.gov/transcriptome/C_felis/S1/links/cf/cf-5-36-721-qual.txt","58.6")</f>
        <v>58.6</v>
      </c>
      <c r="H218" t="s">
        <v>11</v>
      </c>
      <c r="I218">
        <v>60.8</v>
      </c>
      <c r="J218">
        <v>259</v>
      </c>
      <c r="K218" t="s">
        <v>12</v>
      </c>
      <c r="L218">
        <v>1</v>
      </c>
      <c r="M218" t="s">
        <v>734</v>
      </c>
      <c r="N218">
        <v>259</v>
      </c>
      <c r="O218">
        <v>278</v>
      </c>
      <c r="P218">
        <v>171</v>
      </c>
      <c r="Q218" t="s">
        <v>1540</v>
      </c>
      <c r="R218">
        <v>3</v>
      </c>
      <c r="S218" s="7" t="s">
        <v>4585</v>
      </c>
      <c r="U218">
        <v>1</v>
      </c>
      <c r="V218" s="4">
        <f>HYPERLINK("http://exon.niaid.nih.gov/transcriptome/C_felis/S1/links/cluster/cf-5-36-asb30-50-Id-CLU66.txt", 66)</f>
        <v>66</v>
      </c>
      <c r="W218">
        <f>HYPERLINK("http://exon.niaid.nih.gov/transcriptome/C_felis/S1/links/cluster/cf-5-36-asb30-50-Id-CLTL66.txt", 2)</f>
        <v>2</v>
      </c>
      <c r="X218" s="4">
        <f>HYPERLINK("http://exon.niaid.nih.gov/transcriptome/C_felis/S1/links/cluster/cf-5-36-asb35-50-Id-CLU58.txt", 58)</f>
        <v>58</v>
      </c>
      <c r="Y218">
        <f>HYPERLINK("http://exon.niaid.nih.gov/transcriptome/C_felis/S1/links/cluster/cf-5-36-asb35-50-Id-CLTL58.txt", 2)</f>
        <v>2</v>
      </c>
      <c r="Z218" s="4">
        <f>HYPERLINK("http://exon.niaid.nih.gov/transcriptome/C_felis/S1/links/cluster/cf-5-36-asb40-50-Id-CLU55.txt", 55)</f>
        <v>55</v>
      </c>
      <c r="AA218">
        <f>HYPERLINK("http://exon.niaid.nih.gov/transcriptome/C_felis/S1/links/cluster/cf-5-36-asb40-50-Id-CLTL55.txt", 2)</f>
        <v>2</v>
      </c>
      <c r="AB218" s="4" t="str">
        <f>HYPERLINK("http://exon.niaid.nih.gov/transcriptome/C_felis/S1/links/XC-ASB/cf-contig_721-XC-ASB.txt","XC-contig_154")</f>
        <v>XC-contig_154</v>
      </c>
      <c r="AC218">
        <v>2.0000000000000001E-26</v>
      </c>
      <c r="AD218" s="10" t="s">
        <v>4731</v>
      </c>
      <c r="AE218" t="s">
        <v>4605</v>
      </c>
      <c r="AF218" t="str">
        <f>HYPERLINK("http://exon.niaid.nih.gov/transcriptome/C_felis/S1/links/KOG/cf-contig_721-KOG.txt","KOG")</f>
        <v>KOG</v>
      </c>
      <c r="AG218" s="5">
        <v>9.9999999999999995E-21</v>
      </c>
      <c r="AH218">
        <v>32.799999999999997</v>
      </c>
      <c r="AI218" s="4" t="str">
        <f>HYPERLINK("http://exon.niaid.nih.gov/transcriptome/C_felis/S1/links/NR/cf-contig_721-NR.txt","ribosomal protein S23")</f>
        <v>ribosomal protein S23</v>
      </c>
      <c r="AJ218" t="str">
        <f>HYPERLINK("http://www.ncbi.nlm.nih.gov/sutils/blink.cgi?pid=224924402","3E-017")</f>
        <v>3E-017</v>
      </c>
      <c r="AK218" t="str">
        <f>HYPERLINK("http://www.ncbi.nlm.nih.gov/protein/224924402","gi|224924402")</f>
        <v>gi|224924402</v>
      </c>
      <c r="AL218">
        <v>92</v>
      </c>
      <c r="AM218">
        <v>47</v>
      </c>
      <c r="AN218">
        <v>143</v>
      </c>
      <c r="AO218">
        <v>93</v>
      </c>
      <c r="AP218">
        <v>34</v>
      </c>
      <c r="AQ218">
        <v>3</v>
      </c>
      <c r="AR218">
        <v>0</v>
      </c>
      <c r="AS218">
        <v>96</v>
      </c>
      <c r="AT218">
        <v>30</v>
      </c>
      <c r="AU218">
        <v>1</v>
      </c>
      <c r="AV218">
        <v>3</v>
      </c>
      <c r="AW218" t="s">
        <v>12</v>
      </c>
      <c r="AY218" t="s">
        <v>1676</v>
      </c>
      <c r="AZ218" t="s">
        <v>4282</v>
      </c>
      <c r="BA218" s="4" t="str">
        <f>HYPERLINK("http://exon.niaid.nih.gov/transcriptome/C_felis/S1/links/SWISSP/cf-contig_721-SWISSP.txt","40S ribosomal protein S23")</f>
        <v>40S ribosomal protein S23</v>
      </c>
      <c r="BB218" t="str">
        <f>HYPERLINK("http://www.uniprot.org/uniprot/Q962Q7","5E-018")</f>
        <v>5E-018</v>
      </c>
      <c r="BC218" t="s">
        <v>2817</v>
      </c>
      <c r="BD218">
        <v>89.7</v>
      </c>
      <c r="BE218">
        <v>46</v>
      </c>
      <c r="BF218">
        <v>143</v>
      </c>
      <c r="BG218">
        <v>93</v>
      </c>
      <c r="BH218">
        <v>33</v>
      </c>
      <c r="BI218">
        <v>3</v>
      </c>
      <c r="BJ218">
        <v>0</v>
      </c>
      <c r="BK218">
        <v>97</v>
      </c>
      <c r="BL218">
        <v>33</v>
      </c>
      <c r="BM218">
        <v>1</v>
      </c>
      <c r="BN218">
        <v>3</v>
      </c>
      <c r="BO218" t="s">
        <v>12</v>
      </c>
      <c r="BQ218" t="s">
        <v>1676</v>
      </c>
      <c r="BR218" t="s">
        <v>2031</v>
      </c>
      <c r="BS218" s="4" t="str">
        <f>HYPERLINK("http://exon.niaid.nih.gov/transcriptome/C_felis/S1/links/CDD/cf-contig_721-CDD.txt","PTZ00067")</f>
        <v>PTZ00067</v>
      </c>
      <c r="BT218" t="str">
        <f>HYPERLINK("http://www.ncbi.nlm.nih.gov/Structure/cdd/cddsrv.cgi?uid=PTZ00067&amp;version=v4.0","2E-022")</f>
        <v>2E-022</v>
      </c>
      <c r="BU218" t="s">
        <v>4283</v>
      </c>
      <c r="BV218" s="4" t="s">
        <v>2819</v>
      </c>
      <c r="BW218">
        <f>HYPERLINK("http://exon.niaid.nih.gov/transcriptome/C_felis/S1/links/GO/cf-contig_721-GO.txt",0.000000000000000004)</f>
        <v>4.0000000000000003E-18</v>
      </c>
      <c r="BX218" t="str">
        <f>HYPERLINK("http://amigo.geneontology.org/cgi-bin/amigo/term_details?term=GO:0003735","GO:0003735")</f>
        <v>GO:0003735</v>
      </c>
      <c r="BY218" t="s">
        <v>1929</v>
      </c>
      <c r="BZ218" t="s">
        <v>1930</v>
      </c>
      <c r="CA218" t="s">
        <v>1931</v>
      </c>
      <c r="CB218" t="s">
        <v>42</v>
      </c>
      <c r="CD218" s="5">
        <v>4.0000000000000003E-18</v>
      </c>
      <c r="CE218" t="str">
        <f>HYPERLINK("http://amigo.geneontology.org/cgi-bin/amigo/term_details?term=GO:0022627","GO:0022627")</f>
        <v>GO:0022627</v>
      </c>
      <c r="CF218" t="s">
        <v>2034</v>
      </c>
      <c r="CG218" t="s">
        <v>2035</v>
      </c>
      <c r="CH218" t="s">
        <v>2036</v>
      </c>
      <c r="CI218" t="s">
        <v>42</v>
      </c>
      <c r="CK218" s="5">
        <v>4.0000000000000003E-18</v>
      </c>
      <c r="CL218" t="str">
        <f t="shared" si="22"/>
        <v>GO:0006412</v>
      </c>
      <c r="CM218" t="s">
        <v>1935</v>
      </c>
      <c r="CN218" t="s">
        <v>1936</v>
      </c>
      <c r="CO218" t="s">
        <v>1937</v>
      </c>
      <c r="CP218" t="s">
        <v>42</v>
      </c>
      <c r="CR218" s="5">
        <v>4.0000000000000003E-18</v>
      </c>
      <c r="CS218" s="4" t="str">
        <f>HYPERLINK("http://exon.niaid.nih.gov/transcriptome/C_felis/S1/links/KOG/cf-contig_721-KOG.txt","40S ribosomal protein S23")</f>
        <v>40S ribosomal protein S23</v>
      </c>
      <c r="CT218" t="str">
        <f>HYPERLINK("http://www.ncbi.nlm.nih.gov/COG/grace/shokog.cgi?KOG1749","1E-020")</f>
        <v>1E-020</v>
      </c>
      <c r="CU218" t="s">
        <v>1707</v>
      </c>
      <c r="CV218" s="4" t="str">
        <f>HYPERLINK("http://exon.niaid.nih.gov/transcriptome/C_felis/S1/links/PFAM/cf-contig_721-PFAM.txt","Ribosomal_S12")</f>
        <v>Ribosomal_S12</v>
      </c>
      <c r="CW218" t="str">
        <f>HYPERLINK("http://pfam.sanger.ac.uk/family?acc=PF00164","6E-009")</f>
        <v>6E-009</v>
      </c>
      <c r="CX218" s="4" t="str">
        <f>HYPERLINK("http://exon.niaid.nih.gov/transcriptome/C_felis/S1/links/SMART/cf-contig_721-SMART.txt","DM6")</f>
        <v>DM6</v>
      </c>
      <c r="CY218" t="str">
        <f>HYPERLINK("http://smart.embl-heidelberg.de/smart/do_annotation.pl?DOMAIN=DM6&amp;BLAST=DUMMY","0.14")</f>
        <v>0.14</v>
      </c>
      <c r="CZ218" s="4" t="s">
        <v>42</v>
      </c>
      <c r="DA218" t="s">
        <v>42</v>
      </c>
      <c r="DB218" t="s">
        <v>42</v>
      </c>
      <c r="DC218" t="s">
        <v>42</v>
      </c>
      <c r="DD218" t="s">
        <v>42</v>
      </c>
      <c r="DE218" t="s">
        <v>42</v>
      </c>
      <c r="DF218" t="s">
        <v>42</v>
      </c>
      <c r="DG218" t="s">
        <v>42</v>
      </c>
      <c r="DH218" s="4" t="s">
        <v>42</v>
      </c>
      <c r="DI218" t="s">
        <v>42</v>
      </c>
      <c r="DJ218" s="4" t="s">
        <v>42</v>
      </c>
      <c r="DK218" t="s">
        <v>42</v>
      </c>
      <c r="DL218" s="4">
        <f>HYPERLINK("http://exon.niaid.nih.gov/transcriptome/C_felis/S1/links/cluster/cf-5-36-asb30-50-Id-CLU66.txt", 66)</f>
        <v>66</v>
      </c>
      <c r="DM218">
        <f>HYPERLINK("http://exon.niaid.nih.gov/transcriptome/C_felis/S1/links/cluster/cf-5-36-asb30-50-Id-CLTL66.txt", 2)</f>
        <v>2</v>
      </c>
      <c r="DN218" s="4">
        <f>HYPERLINK("http://exon.niaid.nih.gov/transcriptome/C_felis/S1/links/cluster/cf-5-36-asb35-50-Id-CLU58.txt", 58)</f>
        <v>58</v>
      </c>
      <c r="DO218">
        <f>HYPERLINK("http://exon.niaid.nih.gov/transcriptome/C_felis/S1/links/cluster/cf-5-36-asb35-50-Id-CLTL58.txt", 2)</f>
        <v>2</v>
      </c>
      <c r="DP218" s="4">
        <f>HYPERLINK("http://exon.niaid.nih.gov/transcriptome/C_felis/S1/links/cluster/cf-5-36-asb40-50-Id-CLU55.txt", 55)</f>
        <v>55</v>
      </c>
      <c r="DQ218">
        <f>HYPERLINK("http://exon.niaid.nih.gov/transcriptome/C_felis/S1/links/cluster/cf-5-36-asb40-50-Id-CLTL55.txt", 2)</f>
        <v>2</v>
      </c>
      <c r="DR218" s="4">
        <f>HYPERLINK("http://exon.niaid.nih.gov/transcriptome/C_felis/S1/links/cluster/cf-5-36-asb45-50-Id-CLU46.txt", 46)</f>
        <v>46</v>
      </c>
      <c r="DS218">
        <f>HYPERLINK("http://exon.niaid.nih.gov/transcriptome/C_felis/S1/links/cluster/cf-5-36-asb45-50-Id-CLTL46.txt", 2)</f>
        <v>2</v>
      </c>
      <c r="DT218" s="4">
        <f>HYPERLINK("http://exon.niaid.nih.gov/transcriptome/C_felis/S1/links/cluster/cf-5-36-asb50-50-Id-CLU38.txt", 38)</f>
        <v>38</v>
      </c>
      <c r="DU218">
        <f>HYPERLINK("http://exon.niaid.nih.gov/transcriptome/C_felis/S1/links/cluster/cf-5-36-asb50-50-Id-CLTL38.txt", 2)</f>
        <v>2</v>
      </c>
      <c r="DV218" s="4">
        <f>HYPERLINK("http://exon.niaid.nih.gov/transcriptome/C_felis/S1/links/cluster/cf-5-36-asb55-50-Id-CLU35.txt", 35)</f>
        <v>35</v>
      </c>
      <c r="DW218">
        <f>HYPERLINK("http://exon.niaid.nih.gov/transcriptome/C_felis/S1/links/cluster/cf-5-36-asb55-50-Id-CLTL35.txt", 2)</f>
        <v>2</v>
      </c>
      <c r="DX218" s="4">
        <f>HYPERLINK("http://exon.niaid.nih.gov/transcriptome/C_felis/S1/links/cluster/cf-5-36-asb60-50-Id-CLU32.txt", 32)</f>
        <v>32</v>
      </c>
      <c r="DY218">
        <f>HYPERLINK("http://exon.niaid.nih.gov/transcriptome/C_felis/S1/links/cluster/cf-5-36-asb60-50-Id-CLTL32.txt", 2)</f>
        <v>2</v>
      </c>
      <c r="DZ218" s="4">
        <f>HYPERLINK("http://exon.niaid.nih.gov/transcriptome/C_felis/S1/links/cluster/cf-5-36-asb65-50-Id-CLU26.txt", 26)</f>
        <v>26</v>
      </c>
      <c r="EA218">
        <f>HYPERLINK("http://exon.niaid.nih.gov/transcriptome/C_felis/S1/links/cluster/cf-5-36-asb65-50-Id-CLTL26.txt", 2)</f>
        <v>2</v>
      </c>
      <c r="EB218" s="4">
        <f>HYPERLINK("http://exon.niaid.nih.gov/transcriptome/C_felis/S1/links/cluster/cf-5-36-asb70-50-Id-CLU21.txt", 21)</f>
        <v>21</v>
      </c>
      <c r="EC218">
        <f>HYPERLINK("http://exon.niaid.nih.gov/transcriptome/C_felis/S1/links/cluster/cf-5-36-asb70-50-Id-CLTL21.txt", 2)</f>
        <v>2</v>
      </c>
      <c r="ED218" s="4">
        <v>696</v>
      </c>
      <c r="EE218">
        <v>1</v>
      </c>
      <c r="EF218" s="4">
        <v>702</v>
      </c>
      <c r="EG218">
        <v>1</v>
      </c>
      <c r="EH218" s="4">
        <v>712</v>
      </c>
      <c r="EI218">
        <v>1</v>
      </c>
      <c r="EJ218" s="4">
        <v>721</v>
      </c>
      <c r="EK218">
        <v>1</v>
      </c>
    </row>
    <row r="219" spans="1:141" x14ac:dyDescent="0.2">
      <c r="A219" t="str">
        <f>HYPERLINK("http://exon.niaid.nih.gov/transcriptome/C_felis/S1/links/cf/cf-contig_221.txt","cf-contig_221")</f>
        <v>cf-contig_221</v>
      </c>
      <c r="B219">
        <v>3</v>
      </c>
      <c r="C219" s="10" t="s">
        <v>4696</v>
      </c>
      <c r="D219">
        <v>3</v>
      </c>
      <c r="E219" t="str">
        <f>HYPERLINK("http://exon.niaid.nih.gov/transcriptome/C_felis/S1/links/cf/cf-5-36-asb-221.txt","Contig-221")</f>
        <v>Contig-221</v>
      </c>
      <c r="F219" t="str">
        <f>HYPERLINK("http://exon.niaid.nih.gov/transcriptome/C_felis/S1/links/cf/cf-5-36-221-CLU.txt","Contig221")</f>
        <v>Contig221</v>
      </c>
      <c r="G219" t="str">
        <f>HYPERLINK("http://exon.niaid.nih.gov/transcriptome/C_felis/S1/links/cf/cf-5-36-221-qual.txt","89.8")</f>
        <v>89.8</v>
      </c>
      <c r="H219" t="s">
        <v>11</v>
      </c>
      <c r="I219">
        <v>59.6</v>
      </c>
      <c r="J219">
        <v>365</v>
      </c>
      <c r="K219" t="s">
        <v>12</v>
      </c>
      <c r="L219">
        <v>3</v>
      </c>
      <c r="M219" t="s">
        <v>234</v>
      </c>
      <c r="N219">
        <v>365</v>
      </c>
      <c r="O219">
        <v>384</v>
      </c>
      <c r="P219">
        <v>306</v>
      </c>
      <c r="Q219" t="s">
        <v>1041</v>
      </c>
      <c r="R219">
        <v>2</v>
      </c>
      <c r="S219" s="7" t="str">
        <f>HYPERLINK("http://exon.niaid.nih.gov/transcriptome/C_felis/S1/links/Sigp/CF-CONTIG_221-SigP.txt","Cyt")</f>
        <v>Cyt</v>
      </c>
      <c r="U219">
        <v>3</v>
      </c>
      <c r="V219" s="4">
        <v>179</v>
      </c>
      <c r="W219">
        <v>1</v>
      </c>
      <c r="X219" s="4">
        <v>182</v>
      </c>
      <c r="Y219">
        <v>1</v>
      </c>
      <c r="Z219" s="4">
        <v>180</v>
      </c>
      <c r="AA219">
        <v>1</v>
      </c>
      <c r="AB219" s="4" t="str">
        <f>HYPERLINK("http://exon.niaid.nih.gov/transcriptome/C_felis/S1/links/XC-ASB/cf-contig_221-XC-ASB.txt","XC-contig_103")</f>
        <v>XC-contig_103</v>
      </c>
      <c r="AC219">
        <v>7.0000000000000001E-66</v>
      </c>
      <c r="AD219" s="10" t="s">
        <v>4696</v>
      </c>
      <c r="AE219" t="s">
        <v>4605</v>
      </c>
      <c r="AF219" t="str">
        <f>HYPERLINK("http://exon.niaid.nih.gov/transcriptome/C_felis/S1/links/NR/cf-contig_221-NR.txt","NR")</f>
        <v>NR</v>
      </c>
      <c r="AG219" s="5">
        <v>2E-50</v>
      </c>
      <c r="AH219">
        <v>41.5</v>
      </c>
      <c r="AI219" s="4" t="str">
        <f>HYPERLINK("http://exon.niaid.nih.gov/transcriptome/C_felis/S1/links/NR/cf-contig_221-NR.txt","40S ribosomal protein S3")</f>
        <v>40S ribosomal protein S3</v>
      </c>
      <c r="AJ219" t="str">
        <f>HYPERLINK("http://www.ncbi.nlm.nih.gov/sutils/blink.cgi?pid=121511934","2E-050")</f>
        <v>2E-050</v>
      </c>
      <c r="AK219" t="str">
        <f>HYPERLINK("http://www.ncbi.nlm.nih.gov/protein/121511934","gi|121511934")</f>
        <v>gi|121511934</v>
      </c>
      <c r="AL219">
        <v>202</v>
      </c>
      <c r="AM219">
        <v>100</v>
      </c>
      <c r="AN219">
        <v>243</v>
      </c>
      <c r="AO219">
        <v>96</v>
      </c>
      <c r="AP219">
        <v>42</v>
      </c>
      <c r="AQ219">
        <v>4</v>
      </c>
      <c r="AR219">
        <v>0</v>
      </c>
      <c r="AS219">
        <v>143</v>
      </c>
      <c r="AT219">
        <v>5</v>
      </c>
      <c r="AU219">
        <v>1</v>
      </c>
      <c r="AV219">
        <v>2</v>
      </c>
      <c r="AW219" t="s">
        <v>12</v>
      </c>
      <c r="AY219" t="s">
        <v>1676</v>
      </c>
      <c r="AZ219" t="s">
        <v>1717</v>
      </c>
      <c r="BA219" s="4" t="str">
        <f>HYPERLINK("http://exon.niaid.nih.gov/transcriptome/C_felis/S1/links/SWISSP/cf-contig_221-SWISSP.txt","40S ribosomal protein S3")</f>
        <v>40S ribosomal protein S3</v>
      </c>
      <c r="BB219" t="str">
        <f>HYPERLINK("http://www.uniprot.org/uniprot/Q90YS2","1E-037")</f>
        <v>1E-037</v>
      </c>
      <c r="BC219" t="s">
        <v>2484</v>
      </c>
      <c r="BD219">
        <v>155</v>
      </c>
      <c r="BE219">
        <v>94</v>
      </c>
      <c r="BF219">
        <v>245</v>
      </c>
      <c r="BG219">
        <v>80</v>
      </c>
      <c r="BH219">
        <v>39</v>
      </c>
      <c r="BI219">
        <v>19</v>
      </c>
      <c r="BJ219">
        <v>0</v>
      </c>
      <c r="BK219">
        <v>143</v>
      </c>
      <c r="BL219">
        <v>5</v>
      </c>
      <c r="BM219">
        <v>1</v>
      </c>
      <c r="BN219">
        <v>2</v>
      </c>
      <c r="BO219" t="s">
        <v>12</v>
      </c>
      <c r="BQ219" t="s">
        <v>1676</v>
      </c>
      <c r="BR219" t="s">
        <v>2485</v>
      </c>
      <c r="BS219" s="4" t="str">
        <f>HYPERLINK("http://exon.niaid.nih.gov/transcriptome/C_felis/S1/links/CDD/cf-contig_221-CDD.txt","PTZ00084")</f>
        <v>PTZ00084</v>
      </c>
      <c r="BT219" t="str">
        <f>HYPERLINK("http://www.ncbi.nlm.nih.gov/Structure/cdd/cddsrv.cgi?uid=PTZ00084&amp;version=v4.0","2E-031")</f>
        <v>2E-031</v>
      </c>
      <c r="BU219" t="s">
        <v>2486</v>
      </c>
      <c r="BV219" s="4" t="s">
        <v>2487</v>
      </c>
      <c r="BW219">
        <f>HYPERLINK("http://exon.niaid.nih.gov/transcriptome/C_felis/S1/links/GO/cf-contig_221-GO.txt",2E-37)</f>
        <v>2.0000000000000001E-37</v>
      </c>
      <c r="BX219" t="str">
        <f>HYPERLINK("http://amigo.geneontology.org/cgi-bin/amigo/term_details?term=GO:0003906","GO:0003906")</f>
        <v>GO:0003906</v>
      </c>
      <c r="BY219" t="s">
        <v>2488</v>
      </c>
      <c r="BZ219" t="s">
        <v>2489</v>
      </c>
      <c r="CA219" t="s">
        <v>2490</v>
      </c>
      <c r="CB219" t="str">
        <f>HYPERLINK("http://www.genome.jp/dbget-bin/www_bfind_sub?mode=bfind&amp;max_hit=1000&amp;dbkey=kegg&amp;keywords=EC:4.2.99.18","EC:4.2.99.18")</f>
        <v>EC:4.2.99.18</v>
      </c>
      <c r="CD219" s="5">
        <v>2.0000000000000001E-37</v>
      </c>
      <c r="CE219" t="str">
        <f>HYPERLINK("http://amigo.geneontology.org/cgi-bin/amigo/term_details?term=GO:0016363","GO:0016363")</f>
        <v>GO:0016363</v>
      </c>
      <c r="CF219" t="s">
        <v>2491</v>
      </c>
      <c r="CG219" t="s">
        <v>2492</v>
      </c>
      <c r="CH219" t="s">
        <v>2493</v>
      </c>
      <c r="CI219" t="s">
        <v>42</v>
      </c>
      <c r="CK219" s="5">
        <v>2.0000000000000001E-37</v>
      </c>
      <c r="CL219" t="str">
        <f>HYPERLINK("http://amigo.geneontology.org/cgi-bin/amigo/term_details?term=GO:0006281","GO:0006281")</f>
        <v>GO:0006281</v>
      </c>
      <c r="CM219" t="s">
        <v>2494</v>
      </c>
      <c r="CN219" t="s">
        <v>2495</v>
      </c>
      <c r="CO219" t="s">
        <v>42</v>
      </c>
      <c r="CP219" t="s">
        <v>42</v>
      </c>
      <c r="CR219" s="5">
        <v>2.0000000000000001E-37</v>
      </c>
      <c r="CS219" s="4" t="str">
        <f>HYPERLINK("http://exon.niaid.nih.gov/transcriptome/C_felis/S1/links/KOG/cf-contig_221-KOG.txt","40S ribosomal protein S3")</f>
        <v>40S ribosomal protein S3</v>
      </c>
      <c r="CT219" t="str">
        <f>HYPERLINK("http://www.ncbi.nlm.nih.gov/COG/grace/shokog.cgi?KOG3181","2E-040")</f>
        <v>2E-040</v>
      </c>
      <c r="CU219" t="s">
        <v>1707</v>
      </c>
      <c r="CV219" s="4" t="str">
        <f>HYPERLINK("http://exon.niaid.nih.gov/transcriptome/C_felis/S1/links/PFAM/cf-contig_221-PFAM.txt","Ribosomal_S3_C")</f>
        <v>Ribosomal_S3_C</v>
      </c>
      <c r="CW219" t="str">
        <f>HYPERLINK("http://pfam.sanger.ac.uk/family?acc=PF00189","2E-008")</f>
        <v>2E-008</v>
      </c>
      <c r="CX219" s="4" t="str">
        <f>HYPERLINK("http://exon.niaid.nih.gov/transcriptome/C_felis/S1/links/SMART/cf-contig_221-SMART.txt","AP2Ec")</f>
        <v>AP2Ec</v>
      </c>
      <c r="CY219" t="str">
        <f>HYPERLINK("http://smart.embl-heidelberg.de/smart/do_annotation.pl?DOMAIN=AP2Ec&amp;BLAST=DUMMY","0.084")</f>
        <v>0.084</v>
      </c>
      <c r="CZ219" s="4" t="s">
        <v>42</v>
      </c>
      <c r="DA219" t="s">
        <v>42</v>
      </c>
      <c r="DB219" t="s">
        <v>42</v>
      </c>
      <c r="DC219" t="s">
        <v>42</v>
      </c>
      <c r="DD219" t="s">
        <v>42</v>
      </c>
      <c r="DE219" t="s">
        <v>42</v>
      </c>
      <c r="DF219" t="s">
        <v>42</v>
      </c>
      <c r="DG219" t="s">
        <v>42</v>
      </c>
      <c r="DH219" s="4" t="s">
        <v>42</v>
      </c>
      <c r="DI219" t="s">
        <v>42</v>
      </c>
      <c r="DJ219" s="4" t="s">
        <v>42</v>
      </c>
      <c r="DK219" t="s">
        <v>42</v>
      </c>
      <c r="DL219" s="4">
        <v>179</v>
      </c>
      <c r="DM219">
        <v>1</v>
      </c>
      <c r="DN219" s="4">
        <v>182</v>
      </c>
      <c r="DO219">
        <v>1</v>
      </c>
      <c r="DP219" s="4">
        <v>180</v>
      </c>
      <c r="DQ219">
        <v>1</v>
      </c>
      <c r="DR219" s="4">
        <v>183</v>
      </c>
      <c r="DS219">
        <v>1</v>
      </c>
      <c r="DT219" s="4">
        <v>187</v>
      </c>
      <c r="DU219">
        <v>1</v>
      </c>
      <c r="DV219" s="4">
        <v>199</v>
      </c>
      <c r="DW219">
        <v>1</v>
      </c>
      <c r="DX219" s="4">
        <v>201</v>
      </c>
      <c r="DY219">
        <v>1</v>
      </c>
      <c r="DZ219" s="4">
        <v>203</v>
      </c>
      <c r="EA219">
        <v>1</v>
      </c>
      <c r="EB219" s="4">
        <v>208</v>
      </c>
      <c r="EC219">
        <v>1</v>
      </c>
      <c r="ED219" s="4">
        <v>211</v>
      </c>
      <c r="EE219">
        <v>1</v>
      </c>
      <c r="EF219" s="4">
        <v>214</v>
      </c>
      <c r="EG219">
        <v>1</v>
      </c>
      <c r="EH219" s="4">
        <v>216</v>
      </c>
      <c r="EI219">
        <v>1</v>
      </c>
      <c r="EJ219" s="4">
        <v>221</v>
      </c>
      <c r="EK219">
        <v>1</v>
      </c>
    </row>
    <row r="220" spans="1:141" x14ac:dyDescent="0.2">
      <c r="A220" t="str">
        <f>HYPERLINK("http://exon.niaid.nih.gov/transcriptome/C_felis/S1/links/cf/cf-contig_128.txt","cf-contig_128")</f>
        <v>cf-contig_128</v>
      </c>
      <c r="B220">
        <v>6</v>
      </c>
      <c r="C220" s="10" t="s">
        <v>4644</v>
      </c>
      <c r="D220">
        <v>6</v>
      </c>
      <c r="E220" t="str">
        <f>HYPERLINK("http://exon.niaid.nih.gov/transcriptome/C_felis/S1/links/cf/cf-5-36-asb-128.txt","Contig-128")</f>
        <v>Contig-128</v>
      </c>
      <c r="F220" t="str">
        <f>HYPERLINK("http://exon.niaid.nih.gov/transcriptome/C_felis/S1/links/cf/cf-5-36-128-CLU.txt","Contig128")</f>
        <v>Contig128</v>
      </c>
      <c r="G220" t="str">
        <f>HYPERLINK("http://exon.niaid.nih.gov/transcriptome/C_felis/S1/links/cf/cf-5-36-128-qual.txt","94.")</f>
        <v>94.</v>
      </c>
      <c r="H220" t="s">
        <v>11</v>
      </c>
      <c r="I220">
        <v>61.1</v>
      </c>
      <c r="J220">
        <v>789</v>
      </c>
      <c r="K220" t="s">
        <v>12</v>
      </c>
      <c r="L220">
        <v>6</v>
      </c>
      <c r="M220" t="s">
        <v>141</v>
      </c>
      <c r="N220">
        <v>823</v>
      </c>
      <c r="O220">
        <v>815</v>
      </c>
      <c r="P220">
        <v>753</v>
      </c>
      <c r="Q220" t="s">
        <v>948</v>
      </c>
      <c r="R220">
        <v>2</v>
      </c>
      <c r="S220" s="7" t="str">
        <f>HYPERLINK("http://exon.niaid.nih.gov/transcriptome/C_felis/S1/links/Sigp/CF-CONTIG_128-SigP.txt","Cyt")</f>
        <v>Cyt</v>
      </c>
      <c r="U220">
        <v>6</v>
      </c>
      <c r="V220" s="4">
        <v>133</v>
      </c>
      <c r="W220">
        <v>1</v>
      </c>
      <c r="X220" s="4">
        <v>129</v>
      </c>
      <c r="Y220">
        <v>1</v>
      </c>
      <c r="Z220" s="4">
        <v>126</v>
      </c>
      <c r="AA220">
        <v>1</v>
      </c>
      <c r="AB220" s="4" t="str">
        <f>HYPERLINK("http://exon.niaid.nih.gov/transcriptome/C_felis/S1/links/XC-ASB/cf-contig_128-XC-ASB.txt","XC-contig_230")</f>
        <v>XC-contig_230</v>
      </c>
      <c r="AC220">
        <v>8.0000000000000001E-87</v>
      </c>
      <c r="AD220" s="10" t="s">
        <v>4644</v>
      </c>
      <c r="AE220" t="s">
        <v>4605</v>
      </c>
      <c r="AF220" t="str">
        <f>HYPERLINK("http://exon.niaid.nih.gov/transcriptome/C_felis/S1/links/KOG/cf-contig_128-KOG.txt","KOG")</f>
        <v>KOG</v>
      </c>
      <c r="AG220" s="5">
        <v>9.9999999999999994E-99</v>
      </c>
      <c r="AH220">
        <v>96.3</v>
      </c>
      <c r="AI220" s="4" t="str">
        <f>HYPERLINK("http://exon.niaid.nih.gov/transcriptome/C_felis/S1/links/NR/cf-contig_128-NR.txt","40S ribosomal protein S3a gi|57869784|gb|AAW57773.1| Parcxpwex01")</f>
        <v>40S ribosomal protein S3a gi|57869784|gb|AAW57773.1| Parcxpwex01</v>
      </c>
      <c r="AJ220" t="str">
        <f>HYPERLINK("http://www.ncbi.nlm.nih.gov/sutils/blink.cgi?pid=74901606","1E-124")</f>
        <v>1E-124</v>
      </c>
      <c r="AK220" t="str">
        <f>HYPERLINK("http://www.ncbi.nlm.nih.gov/protein/74901606","gi|74901606")</f>
        <v>gi|74901606</v>
      </c>
      <c r="AL220">
        <v>448</v>
      </c>
      <c r="AM220">
        <v>247</v>
      </c>
      <c r="AN220">
        <v>263</v>
      </c>
      <c r="AO220">
        <v>88</v>
      </c>
      <c r="AP220">
        <v>94</v>
      </c>
      <c r="AQ220">
        <v>30</v>
      </c>
      <c r="AR220">
        <v>0</v>
      </c>
      <c r="AS220">
        <v>16</v>
      </c>
      <c r="AT220">
        <v>5</v>
      </c>
      <c r="AU220">
        <v>1</v>
      </c>
      <c r="AV220">
        <v>2</v>
      </c>
      <c r="AW220" t="s">
        <v>12</v>
      </c>
      <c r="AY220" t="s">
        <v>1676</v>
      </c>
      <c r="AZ220" t="s">
        <v>2150</v>
      </c>
      <c r="BA220" s="4" t="str">
        <f>HYPERLINK("http://exon.niaid.nih.gov/transcriptome/C_felis/S1/links/SWISSP/cf-contig_128-SWISSP.txt","40S ribosomal protein S3a")</f>
        <v>40S ribosomal protein S3a</v>
      </c>
      <c r="BB220" t="str">
        <f>HYPERLINK("http://www.uniprot.org/uniprot/Q5G5C4","1E-125")</f>
        <v>1E-125</v>
      </c>
      <c r="BC220" t="s">
        <v>2151</v>
      </c>
      <c r="BD220">
        <v>448</v>
      </c>
      <c r="BE220">
        <v>247</v>
      </c>
      <c r="BF220">
        <v>263</v>
      </c>
      <c r="BG220">
        <v>88</v>
      </c>
      <c r="BH220">
        <v>94</v>
      </c>
      <c r="BI220">
        <v>30</v>
      </c>
      <c r="BJ220">
        <v>0</v>
      </c>
      <c r="BK220">
        <v>16</v>
      </c>
      <c r="BL220">
        <v>5</v>
      </c>
      <c r="BM220">
        <v>1</v>
      </c>
      <c r="BN220">
        <v>2</v>
      </c>
      <c r="BO220" t="s">
        <v>12</v>
      </c>
      <c r="BQ220" t="s">
        <v>1676</v>
      </c>
      <c r="BR220" t="s">
        <v>2150</v>
      </c>
      <c r="BS220" s="4" t="str">
        <f>HYPERLINK("http://exon.niaid.nih.gov/transcriptome/C_felis/S1/links/CDD/cf-contig_128-CDD.txt","Ribosomal_S3Ae")</f>
        <v>Ribosomal_S3Ae</v>
      </c>
      <c r="BT220" t="str">
        <f>HYPERLINK("http://www.ncbi.nlm.nih.gov/Structure/cdd/cddsrv.cgi?uid=pfam01015&amp;version=v4.0","1E-089")</f>
        <v>1E-089</v>
      </c>
      <c r="BU220" t="s">
        <v>2152</v>
      </c>
      <c r="BV220" s="4" t="s">
        <v>2153</v>
      </c>
      <c r="BW220">
        <f>HYPERLINK("http://exon.niaid.nih.gov/transcriptome/C_felis/S1/links/GO/cf-contig_128-GO.txt",0)</f>
        <v>0</v>
      </c>
      <c r="BX220" t="str">
        <f t="shared" ref="BX220:BX232" si="23">HYPERLINK("http://amigo.geneontology.org/cgi-bin/amigo/term_details?term=GO:0003735","GO:0003735")</f>
        <v>GO:0003735</v>
      </c>
      <c r="BY220" t="s">
        <v>1929</v>
      </c>
      <c r="BZ220" t="s">
        <v>1930</v>
      </c>
      <c r="CA220" t="s">
        <v>1931</v>
      </c>
      <c r="CB220" t="s">
        <v>42</v>
      </c>
      <c r="CD220" s="5">
        <v>1E-108</v>
      </c>
      <c r="CE220" t="str">
        <f t="shared" ref="CE220:CE225" si="24">HYPERLINK("http://amigo.geneontology.org/cgi-bin/amigo/term_details?term=GO:0022627","GO:0022627")</f>
        <v>GO:0022627</v>
      </c>
      <c r="CF220" t="s">
        <v>2034</v>
      </c>
      <c r="CG220" t="s">
        <v>2035</v>
      </c>
      <c r="CH220" t="s">
        <v>2036</v>
      </c>
      <c r="CI220" t="s">
        <v>42</v>
      </c>
      <c r="CK220" s="5">
        <v>1E-108</v>
      </c>
      <c r="CL220" t="str">
        <f t="shared" ref="CL220:CL232" si="25">HYPERLINK("http://amigo.geneontology.org/cgi-bin/amigo/term_details?term=GO:0006412","GO:0006412")</f>
        <v>GO:0006412</v>
      </c>
      <c r="CM220" t="s">
        <v>1935</v>
      </c>
      <c r="CN220" t="s">
        <v>1936</v>
      </c>
      <c r="CO220" t="s">
        <v>1937</v>
      </c>
      <c r="CP220" t="s">
        <v>42</v>
      </c>
      <c r="CR220" s="5">
        <v>1E-108</v>
      </c>
      <c r="CS220" s="4" t="str">
        <f>HYPERLINK("http://exon.niaid.nih.gov/transcriptome/C_felis/S1/links/KOG/cf-contig_128-KOG.txt","40S ribosomal protein S3A")</f>
        <v>40S ribosomal protein S3A</v>
      </c>
      <c r="CT220" t="str">
        <f>HYPERLINK("http://www.ncbi.nlm.nih.gov/COG/grace/shokog.cgi?KOG1628","1E-098")</f>
        <v>1E-098</v>
      </c>
      <c r="CU220" t="s">
        <v>1707</v>
      </c>
      <c r="CV220" s="4" t="str">
        <f>HYPERLINK("http://exon.niaid.nih.gov/transcriptome/C_felis/S1/links/PFAM/cf-contig_128-PFAM.txt","Ribosomal_S3Ae")</f>
        <v>Ribosomal_S3Ae</v>
      </c>
      <c r="CW220" t="str">
        <f>HYPERLINK("http://pfam.sanger.ac.uk/family?acc=PF01015","2E-090")</f>
        <v>2E-090</v>
      </c>
      <c r="CX220" s="4" t="str">
        <f>HYPERLINK("http://exon.niaid.nih.gov/transcriptome/C_felis/S1/links/SMART/cf-contig_128-SMART.txt","RhoGAP")</f>
        <v>RhoGAP</v>
      </c>
      <c r="CY220" t="str">
        <f>HYPERLINK("http://smart.embl-heidelberg.de/smart/do_annotation.pl?DOMAIN=RhoGAP&amp;BLAST=DUMMY","0.22")</f>
        <v>0.22</v>
      </c>
      <c r="CZ220" s="4" t="s">
        <v>42</v>
      </c>
      <c r="DA220" t="s">
        <v>42</v>
      </c>
      <c r="DB220" t="s">
        <v>42</v>
      </c>
      <c r="DC220" t="s">
        <v>42</v>
      </c>
      <c r="DD220" t="s">
        <v>42</v>
      </c>
      <c r="DE220" t="s">
        <v>42</v>
      </c>
      <c r="DF220" t="s">
        <v>42</v>
      </c>
      <c r="DG220" t="s">
        <v>42</v>
      </c>
      <c r="DH220" s="4" t="s">
        <v>42</v>
      </c>
      <c r="DI220" t="s">
        <v>42</v>
      </c>
      <c r="DJ220" s="4" t="s">
        <v>42</v>
      </c>
      <c r="DK220" t="s">
        <v>42</v>
      </c>
      <c r="DL220" s="4">
        <v>133</v>
      </c>
      <c r="DM220">
        <v>1</v>
      </c>
      <c r="DN220" s="4">
        <v>129</v>
      </c>
      <c r="DO220">
        <v>1</v>
      </c>
      <c r="DP220" s="4">
        <v>126</v>
      </c>
      <c r="DQ220">
        <v>1</v>
      </c>
      <c r="DR220" s="4">
        <v>120</v>
      </c>
      <c r="DS220">
        <v>1</v>
      </c>
      <c r="DT220" s="4">
        <v>118</v>
      </c>
      <c r="DU220">
        <v>1</v>
      </c>
      <c r="DV220" s="4">
        <v>127</v>
      </c>
      <c r="DW220">
        <v>1</v>
      </c>
      <c r="DX220" s="4">
        <v>129</v>
      </c>
      <c r="DY220">
        <v>1</v>
      </c>
      <c r="DZ220" s="4">
        <v>129</v>
      </c>
      <c r="EA220">
        <v>1</v>
      </c>
      <c r="EB220" s="4">
        <v>132</v>
      </c>
      <c r="EC220">
        <v>1</v>
      </c>
      <c r="ED220" s="4">
        <v>133</v>
      </c>
      <c r="EE220">
        <v>1</v>
      </c>
      <c r="EF220" s="4">
        <v>130</v>
      </c>
      <c r="EG220">
        <v>1</v>
      </c>
      <c r="EH220" s="4">
        <v>127</v>
      </c>
      <c r="EI220">
        <v>1</v>
      </c>
      <c r="EJ220" s="4">
        <v>128</v>
      </c>
      <c r="EK220">
        <v>1</v>
      </c>
    </row>
    <row r="221" spans="1:141" x14ac:dyDescent="0.2">
      <c r="A221" t="str">
        <f>HYPERLINK("http://exon.niaid.nih.gov/transcriptome/C_felis/S1/links/cf/cf-contig_194.txt","cf-contig_194")</f>
        <v>cf-contig_194</v>
      </c>
      <c r="B221">
        <v>4</v>
      </c>
      <c r="C221" s="10" t="s">
        <v>4680</v>
      </c>
      <c r="D221">
        <v>4</v>
      </c>
      <c r="E221" t="str">
        <f>HYPERLINK("http://exon.niaid.nih.gov/transcriptome/C_felis/S1/links/cf/cf-5-36-asb-194.txt","Contig-194")</f>
        <v>Contig-194</v>
      </c>
      <c r="F221" t="str">
        <f>HYPERLINK("http://exon.niaid.nih.gov/transcriptome/C_felis/S1/links/cf/cf-5-36-194-CLU.txt","Contig194")</f>
        <v>Contig194</v>
      </c>
      <c r="G221" t="str">
        <f>HYPERLINK("http://exon.niaid.nih.gov/transcriptome/C_felis/S1/links/cf/cf-5-36-194-qual.txt","87.4")</f>
        <v>87.4</v>
      </c>
      <c r="H221" t="s">
        <v>11</v>
      </c>
      <c r="I221">
        <v>63.4</v>
      </c>
      <c r="J221">
        <v>250</v>
      </c>
      <c r="K221" t="s">
        <v>12</v>
      </c>
      <c r="L221">
        <v>4</v>
      </c>
      <c r="M221" t="s">
        <v>207</v>
      </c>
      <c r="N221">
        <v>259</v>
      </c>
      <c r="O221">
        <v>276</v>
      </c>
      <c r="P221">
        <v>219</v>
      </c>
      <c r="Q221" t="s">
        <v>1014</v>
      </c>
      <c r="R221">
        <v>3</v>
      </c>
      <c r="S221" s="7" t="s">
        <v>4585</v>
      </c>
      <c r="U221">
        <v>4</v>
      </c>
      <c r="V221" s="4">
        <v>165</v>
      </c>
      <c r="W221">
        <v>1</v>
      </c>
      <c r="X221" s="4">
        <v>167</v>
      </c>
      <c r="Y221">
        <v>1</v>
      </c>
      <c r="Z221" s="4">
        <v>165</v>
      </c>
      <c r="AA221">
        <v>1</v>
      </c>
      <c r="AB221" s="4" t="str">
        <f>HYPERLINK("http://exon.niaid.nih.gov/transcriptome/C_felis/S1/links/XC-ASB/cf-contig_194-XC-ASB.txt","XC-contig_208")</f>
        <v>XC-contig_208</v>
      </c>
      <c r="AC221">
        <v>8.9999999999999997E-45</v>
      </c>
      <c r="AD221" s="10" t="s">
        <v>4680</v>
      </c>
      <c r="AE221" t="s">
        <v>4605</v>
      </c>
      <c r="AF221" t="str">
        <f>HYPERLINK("http://exon.niaid.nih.gov/transcriptome/C_felis/S1/links/SWISSP/cf-contig_194-SWISSP.txt","SWISSP")</f>
        <v>SWISSP</v>
      </c>
      <c r="AG221" s="5">
        <v>6.0000000000000001E-32</v>
      </c>
      <c r="AH221">
        <v>26.4</v>
      </c>
      <c r="AI221" s="4" t="str">
        <f>HYPERLINK("http://exon.niaid.nih.gov/transcriptome/C_felis/S1/links/NR/cf-contig_194-NR.txt","ribosomal protein S4e")</f>
        <v>ribosomal protein S4e</v>
      </c>
      <c r="AJ221" t="str">
        <f>HYPERLINK("http://www.ncbi.nlm.nih.gov/sutils/blink.cgi?pid=70909489","9E-032")</f>
        <v>9E-032</v>
      </c>
      <c r="AK221" t="str">
        <f>HYPERLINK("http://www.ncbi.nlm.nih.gov/protein/70909489","gi|70909489")</f>
        <v>gi|70909489</v>
      </c>
      <c r="AL221">
        <v>140</v>
      </c>
      <c r="AM221">
        <v>70</v>
      </c>
      <c r="AN221">
        <v>262</v>
      </c>
      <c r="AO221">
        <v>97</v>
      </c>
      <c r="AP221">
        <v>27</v>
      </c>
      <c r="AQ221">
        <v>2</v>
      </c>
      <c r="AR221">
        <v>0</v>
      </c>
      <c r="AS221">
        <v>192</v>
      </c>
      <c r="AT221">
        <v>9</v>
      </c>
      <c r="AU221">
        <v>1</v>
      </c>
      <c r="AV221">
        <v>3</v>
      </c>
      <c r="AW221" t="s">
        <v>12</v>
      </c>
      <c r="AY221" t="s">
        <v>1676</v>
      </c>
      <c r="AZ221" t="s">
        <v>2120</v>
      </c>
      <c r="BA221" s="4" t="str">
        <f>HYPERLINK("http://exon.niaid.nih.gov/transcriptome/C_felis/S1/links/SWISSP/cf-contig_194-SWISSP.txt","40S ribosomal protein S4")</f>
        <v>40S ribosomal protein S4</v>
      </c>
      <c r="BB221" t="str">
        <f>HYPERLINK("http://www.uniprot.org/uniprot/Q4GXU6","6E-032")</f>
        <v>6E-032</v>
      </c>
      <c r="BC221" t="s">
        <v>2381</v>
      </c>
      <c r="BD221">
        <v>135</v>
      </c>
      <c r="BE221">
        <v>68</v>
      </c>
      <c r="BF221">
        <v>261</v>
      </c>
      <c r="BG221">
        <v>97</v>
      </c>
      <c r="BH221">
        <v>26</v>
      </c>
      <c r="BI221">
        <v>2</v>
      </c>
      <c r="BJ221">
        <v>0</v>
      </c>
      <c r="BK221">
        <v>192</v>
      </c>
      <c r="BL221">
        <v>9</v>
      </c>
      <c r="BM221">
        <v>1</v>
      </c>
      <c r="BN221">
        <v>3</v>
      </c>
      <c r="BO221" t="s">
        <v>12</v>
      </c>
      <c r="BQ221" t="s">
        <v>1676</v>
      </c>
      <c r="BR221" t="s">
        <v>2029</v>
      </c>
      <c r="BS221" s="4" t="str">
        <f>HYPERLINK("http://exon.niaid.nih.gov/transcriptome/C_felis/S1/links/CDD/cf-contig_194-CDD.txt","PLN00036")</f>
        <v>PLN00036</v>
      </c>
      <c r="BT221" t="str">
        <f>HYPERLINK("http://www.ncbi.nlm.nih.gov/Structure/cdd/cddsrv.cgi?uid=PLN00036&amp;version=v4.0","4E-026")</f>
        <v>4E-026</v>
      </c>
      <c r="BU221" t="s">
        <v>2382</v>
      </c>
      <c r="BV221" s="4" t="s">
        <v>2383</v>
      </c>
      <c r="BW221">
        <f>HYPERLINK("http://exon.niaid.nih.gov/transcriptome/C_felis/S1/links/GO/cf-contig_194-GO.txt",5E-30)</f>
        <v>4.9999999999999997E-30</v>
      </c>
      <c r="BX221" t="str">
        <f t="shared" si="23"/>
        <v>GO:0003735</v>
      </c>
      <c r="BY221" t="s">
        <v>1929</v>
      </c>
      <c r="BZ221" t="s">
        <v>1930</v>
      </c>
      <c r="CA221" t="s">
        <v>1931</v>
      </c>
      <c r="CB221" t="s">
        <v>42</v>
      </c>
      <c r="CD221" s="5">
        <v>4.9999999999999997E-30</v>
      </c>
      <c r="CE221" t="str">
        <f t="shared" si="24"/>
        <v>GO:0022627</v>
      </c>
      <c r="CF221" t="s">
        <v>2034</v>
      </c>
      <c r="CG221" t="s">
        <v>2035</v>
      </c>
      <c r="CH221" t="s">
        <v>2036</v>
      </c>
      <c r="CI221" t="s">
        <v>42</v>
      </c>
      <c r="CK221" s="5">
        <v>4.9999999999999997E-30</v>
      </c>
      <c r="CL221" t="str">
        <f t="shared" si="25"/>
        <v>GO:0006412</v>
      </c>
      <c r="CM221" t="s">
        <v>1935</v>
      </c>
      <c r="CN221" t="s">
        <v>1936</v>
      </c>
      <c r="CO221" t="s">
        <v>1937</v>
      </c>
      <c r="CP221" t="s">
        <v>42</v>
      </c>
      <c r="CR221" s="5">
        <v>4.9999999999999997E-30</v>
      </c>
      <c r="CS221" s="4" t="str">
        <f>HYPERLINK("http://exon.niaid.nih.gov/transcriptome/C_felis/S1/links/KOG/cf-contig_194-KOG.txt","40S ribosomal protein S4")</f>
        <v>40S ribosomal protein S4</v>
      </c>
      <c r="CT221" t="str">
        <f>HYPERLINK("http://www.ncbi.nlm.nih.gov/COG/grace/shokog.cgi?KOG0378","1E-028")</f>
        <v>1E-028</v>
      </c>
      <c r="CU221" t="s">
        <v>1707</v>
      </c>
      <c r="CV221" s="4" t="str">
        <f>HYPERLINK("http://exon.niaid.nih.gov/transcriptome/C_felis/S1/links/PFAM/cf-contig_194-PFAM.txt","Peptidase_M64")</f>
        <v>Peptidase_M64</v>
      </c>
      <c r="CW221" t="str">
        <f>HYPERLINK("http://pfam.sanger.ac.uk/family?acc=PF09471","0.21")</f>
        <v>0.21</v>
      </c>
      <c r="CX221" s="4" t="str">
        <f>HYPERLINK("http://exon.niaid.nih.gov/transcriptome/C_felis/S1/links/SMART/cf-contig_194-SMART.txt","CASc")</f>
        <v>CASc</v>
      </c>
      <c r="CY221" t="str">
        <f>HYPERLINK("http://smart.embl-heidelberg.de/smart/do_annotation.pl?DOMAIN=CASc&amp;BLAST=DUMMY","0.18")</f>
        <v>0.18</v>
      </c>
      <c r="CZ221" s="4" t="s">
        <v>42</v>
      </c>
      <c r="DA221" t="s">
        <v>42</v>
      </c>
      <c r="DB221" t="s">
        <v>42</v>
      </c>
      <c r="DC221" t="s">
        <v>42</v>
      </c>
      <c r="DD221" t="s">
        <v>42</v>
      </c>
      <c r="DE221" t="s">
        <v>42</v>
      </c>
      <c r="DF221" t="s">
        <v>42</v>
      </c>
      <c r="DG221" t="s">
        <v>42</v>
      </c>
      <c r="DH221" s="4" t="s">
        <v>42</v>
      </c>
      <c r="DI221" t="s">
        <v>42</v>
      </c>
      <c r="DJ221" s="4" t="s">
        <v>42</v>
      </c>
      <c r="DK221" t="s">
        <v>42</v>
      </c>
      <c r="DL221" s="4">
        <v>165</v>
      </c>
      <c r="DM221">
        <v>1</v>
      </c>
      <c r="DN221" s="4">
        <v>167</v>
      </c>
      <c r="DO221">
        <v>1</v>
      </c>
      <c r="DP221" s="4">
        <v>165</v>
      </c>
      <c r="DQ221">
        <v>1</v>
      </c>
      <c r="DR221" s="4">
        <v>164</v>
      </c>
      <c r="DS221">
        <v>1</v>
      </c>
      <c r="DT221" s="4">
        <v>168</v>
      </c>
      <c r="DU221">
        <v>1</v>
      </c>
      <c r="DV221" s="4">
        <v>178</v>
      </c>
      <c r="DW221">
        <v>1</v>
      </c>
      <c r="DX221" s="4">
        <v>180</v>
      </c>
      <c r="DY221">
        <v>1</v>
      </c>
      <c r="DZ221" s="4">
        <v>182</v>
      </c>
      <c r="EA221">
        <v>1</v>
      </c>
      <c r="EB221" s="4">
        <v>187</v>
      </c>
      <c r="EC221">
        <v>1</v>
      </c>
      <c r="ED221" s="4">
        <v>188</v>
      </c>
      <c r="EE221">
        <v>1</v>
      </c>
      <c r="EF221" s="4">
        <v>189</v>
      </c>
      <c r="EG221">
        <v>1</v>
      </c>
      <c r="EH221" s="4">
        <v>189</v>
      </c>
      <c r="EI221">
        <v>1</v>
      </c>
      <c r="EJ221" s="4">
        <v>194</v>
      </c>
      <c r="EK221">
        <v>1</v>
      </c>
    </row>
    <row r="222" spans="1:141" x14ac:dyDescent="0.2">
      <c r="A222" t="str">
        <f>HYPERLINK("http://exon.niaid.nih.gov/transcriptome/C_felis/S1/links/cf/cf-contig_97.txt","cf-contig_97")</f>
        <v>cf-contig_97</v>
      </c>
      <c r="B222">
        <v>5</v>
      </c>
      <c r="C222" s="10" t="s">
        <v>4624</v>
      </c>
      <c r="D222">
        <v>5</v>
      </c>
      <c r="E222" t="str">
        <f>HYPERLINK("http://exon.niaid.nih.gov/transcriptome/C_felis/S1/links/cf/cf-5-36-asb-97.txt","Contig-97")</f>
        <v>Contig-97</v>
      </c>
      <c r="F222" t="str">
        <f>HYPERLINK("http://exon.niaid.nih.gov/transcriptome/C_felis/S1/links/cf/cf-5-36-97-CLU.txt","Contig97")</f>
        <v>Contig97</v>
      </c>
      <c r="G222" t="str">
        <f>HYPERLINK("http://exon.niaid.nih.gov/transcriptome/C_felis/S1/links/cf/cf-5-36-97-qual.txt","80.8")</f>
        <v>80.8</v>
      </c>
      <c r="H222" t="s">
        <v>11</v>
      </c>
      <c r="I222">
        <v>55</v>
      </c>
      <c r="J222">
        <v>507</v>
      </c>
      <c r="K222" t="s">
        <v>12</v>
      </c>
      <c r="L222">
        <v>5</v>
      </c>
      <c r="M222" t="s">
        <v>110</v>
      </c>
      <c r="N222">
        <v>532</v>
      </c>
      <c r="O222">
        <v>527</v>
      </c>
      <c r="P222">
        <v>465</v>
      </c>
      <c r="Q222" t="s">
        <v>917</v>
      </c>
      <c r="R222">
        <v>2</v>
      </c>
      <c r="S222" s="7" t="s">
        <v>4585</v>
      </c>
      <c r="U222">
        <v>5</v>
      </c>
      <c r="V222" s="4">
        <f>HYPERLINK("http://exon.niaid.nih.gov/transcriptome/C_felis/S1/links/cluster/cf-5-36-asb30-50-Id-CLU39.txt", 39)</f>
        <v>39</v>
      </c>
      <c r="W222">
        <f>HYPERLINK("http://exon.niaid.nih.gov/transcriptome/C_felis/S1/links/cluster/cf-5-36-asb30-50-Id-CLTL39.txt", 2)</f>
        <v>2</v>
      </c>
      <c r="X222" s="4">
        <f>HYPERLINK("http://exon.niaid.nih.gov/transcriptome/C_felis/S1/links/cluster/cf-5-36-asb35-50-Id-CLU32.txt", 32)</f>
        <v>32</v>
      </c>
      <c r="Y222">
        <f>HYPERLINK("http://exon.niaid.nih.gov/transcriptome/C_felis/S1/links/cluster/cf-5-36-asb35-50-Id-CLTL32.txt", 2)</f>
        <v>2</v>
      </c>
      <c r="Z222" s="4">
        <f>HYPERLINK("http://exon.niaid.nih.gov/transcriptome/C_felis/S1/links/cluster/cf-5-36-asb40-50-Id-CLU30.txt", 30)</f>
        <v>30</v>
      </c>
      <c r="AA222">
        <f>HYPERLINK("http://exon.niaid.nih.gov/transcriptome/C_felis/S1/links/cluster/cf-5-36-asb40-50-Id-CLTL30.txt", 2)</f>
        <v>2</v>
      </c>
      <c r="AB222" s="4" t="str">
        <f>HYPERLINK("http://exon.niaid.nih.gov/transcriptome/C_felis/S1/links/XC-ASB/cf-contig_97-XC-ASB.txt","XC-contig_137")</f>
        <v>XC-contig_137</v>
      </c>
      <c r="AC222">
        <v>3.0000000000000001E-95</v>
      </c>
      <c r="AD222" s="10" t="s">
        <v>4624</v>
      </c>
      <c r="AE222" t="s">
        <v>4605</v>
      </c>
      <c r="AF222" t="str">
        <f>HYPERLINK("http://exon.niaid.nih.gov/transcriptome/C_felis/S1/links/KOG/cf-contig_97-KOG.txt","KOG")</f>
        <v>KOG</v>
      </c>
      <c r="AG222" s="5">
        <v>6.0000000000000003E-55</v>
      </c>
      <c r="AH222">
        <v>59</v>
      </c>
      <c r="AI222" s="4" t="str">
        <f>HYPERLINK("http://exon.niaid.nih.gov/transcriptome/C_felis/S1/links/NR/cf-contig_97-NR.txt","ribosomal protein S6")</f>
        <v>ribosomal protein S6</v>
      </c>
      <c r="AJ222" t="str">
        <f>HYPERLINK("http://www.ncbi.nlm.nih.gov/sutils/blink.cgi?pid=112982661","2E-065")</f>
        <v>2E-065</v>
      </c>
      <c r="AK222" t="str">
        <f>HYPERLINK("http://www.ncbi.nlm.nih.gov/protein/112982661","gi|112982661")</f>
        <v>gi|112982661</v>
      </c>
      <c r="AL222">
        <v>252</v>
      </c>
      <c r="AM222">
        <v>154</v>
      </c>
      <c r="AN222">
        <v>253</v>
      </c>
      <c r="AO222">
        <v>84</v>
      </c>
      <c r="AP222">
        <v>61</v>
      </c>
      <c r="AQ222">
        <v>24</v>
      </c>
      <c r="AR222">
        <v>3</v>
      </c>
      <c r="AS222">
        <v>99</v>
      </c>
      <c r="AT222">
        <v>11</v>
      </c>
      <c r="AU222">
        <v>1</v>
      </c>
      <c r="AV222">
        <v>2</v>
      </c>
      <c r="AW222" t="s">
        <v>12</v>
      </c>
      <c r="AY222" t="s">
        <v>1676</v>
      </c>
      <c r="AZ222" t="s">
        <v>2037</v>
      </c>
      <c r="BA222" s="4" t="str">
        <f>HYPERLINK("http://exon.niaid.nih.gov/transcriptome/C_felis/S1/links/SWISSP/cf-contig_97-SWISSP.txt","40S ribosomal protein S6")</f>
        <v>40S ribosomal protein S6</v>
      </c>
      <c r="BB222" t="str">
        <f>HYPERLINK("http://www.uniprot.org/uniprot/Q95V32","1E-066")</f>
        <v>1E-066</v>
      </c>
      <c r="BC222" t="s">
        <v>2030</v>
      </c>
      <c r="BD222">
        <v>252</v>
      </c>
      <c r="BE222">
        <v>154</v>
      </c>
      <c r="BF222">
        <v>253</v>
      </c>
      <c r="BG222">
        <v>85</v>
      </c>
      <c r="BH222">
        <v>61</v>
      </c>
      <c r="BI222">
        <v>22</v>
      </c>
      <c r="BJ222">
        <v>3</v>
      </c>
      <c r="BK222">
        <v>99</v>
      </c>
      <c r="BL222">
        <v>11</v>
      </c>
      <c r="BM222">
        <v>1</v>
      </c>
      <c r="BN222">
        <v>2</v>
      </c>
      <c r="BO222" t="s">
        <v>12</v>
      </c>
      <c r="BQ222" t="s">
        <v>1676</v>
      </c>
      <c r="BR222" t="s">
        <v>2031</v>
      </c>
      <c r="BS222" s="4" t="str">
        <f>HYPERLINK("http://exon.niaid.nih.gov/transcriptome/C_felis/S1/links/CDD/cf-contig_97-CDD.txt","PTZ00028")</f>
        <v>PTZ00028</v>
      </c>
      <c r="BT222" t="str">
        <f>HYPERLINK("http://www.ncbi.nlm.nih.gov/Structure/cdd/cddsrv.cgi?uid=PTZ00028&amp;version=v4.0","1E-044")</f>
        <v>1E-044</v>
      </c>
      <c r="BU222" t="s">
        <v>2038</v>
      </c>
      <c r="BV222" s="4" t="s">
        <v>2033</v>
      </c>
      <c r="BW222">
        <f>HYPERLINK("http://exon.niaid.nih.gov/transcriptome/C_felis/S1/links/GO/cf-contig_97-GO.txt",9E-56)</f>
        <v>9.0000000000000001E-56</v>
      </c>
      <c r="BX222" t="str">
        <f t="shared" si="23"/>
        <v>GO:0003735</v>
      </c>
      <c r="BY222" t="s">
        <v>1929</v>
      </c>
      <c r="BZ222" t="s">
        <v>1930</v>
      </c>
      <c r="CA222" t="s">
        <v>1931</v>
      </c>
      <c r="CB222" t="s">
        <v>42</v>
      </c>
      <c r="CD222" s="5">
        <v>9.0000000000000001E-56</v>
      </c>
      <c r="CE222" t="str">
        <f t="shared" si="24"/>
        <v>GO:0022627</v>
      </c>
      <c r="CF222" t="s">
        <v>2034</v>
      </c>
      <c r="CG222" t="s">
        <v>2035</v>
      </c>
      <c r="CH222" t="s">
        <v>2036</v>
      </c>
      <c r="CI222" t="s">
        <v>42</v>
      </c>
      <c r="CK222" s="5">
        <v>9.0000000000000001E-56</v>
      </c>
      <c r="CL222" t="str">
        <f t="shared" si="25"/>
        <v>GO:0006412</v>
      </c>
      <c r="CM222" t="s">
        <v>1935</v>
      </c>
      <c r="CN222" t="s">
        <v>1936</v>
      </c>
      <c r="CO222" t="s">
        <v>1937</v>
      </c>
      <c r="CP222" t="s">
        <v>42</v>
      </c>
      <c r="CR222" s="5">
        <v>9.0000000000000001E-56</v>
      </c>
      <c r="CS222" s="4" t="str">
        <f>HYPERLINK("http://exon.niaid.nih.gov/transcriptome/C_felis/S1/links/KOG/cf-contig_97-KOG.txt","40S ribosomal protein S6")</f>
        <v>40S ribosomal protein S6</v>
      </c>
      <c r="CT222" t="str">
        <f>HYPERLINK("http://www.ncbi.nlm.nih.gov/COG/grace/shokog.cgi?KOG1646","6E-055")</f>
        <v>6E-055</v>
      </c>
      <c r="CU222" t="s">
        <v>1707</v>
      </c>
      <c r="CV222" s="4" t="str">
        <f>HYPERLINK("http://exon.niaid.nih.gov/transcriptome/C_felis/S1/links/PFAM/cf-contig_97-PFAM.txt","Ribosomal_S6e")</f>
        <v>Ribosomal_S6e</v>
      </c>
      <c r="CW222" t="str">
        <f>HYPERLINK("http://pfam.sanger.ac.uk/family?acc=PF01092","5E-007")</f>
        <v>5E-007</v>
      </c>
      <c r="CX222" s="4" t="str">
        <f>HYPERLINK("http://exon.niaid.nih.gov/transcriptome/C_felis/S1/links/SMART/cf-contig_97-SMART.txt","CaM_binding")</f>
        <v>CaM_binding</v>
      </c>
      <c r="CY222" t="str">
        <f>HYPERLINK("http://smart.embl-heidelberg.de/smart/do_annotation.pl?DOMAIN=CaM_binding&amp;BLAST=DUMMY","0.020")</f>
        <v>0.020</v>
      </c>
      <c r="CZ222" s="4" t="s">
        <v>42</v>
      </c>
      <c r="DA222" t="s">
        <v>42</v>
      </c>
      <c r="DB222" t="s">
        <v>42</v>
      </c>
      <c r="DC222" t="s">
        <v>42</v>
      </c>
      <c r="DD222" t="s">
        <v>42</v>
      </c>
      <c r="DE222" t="s">
        <v>42</v>
      </c>
      <c r="DF222" t="s">
        <v>42</v>
      </c>
      <c r="DG222" t="s">
        <v>42</v>
      </c>
      <c r="DH222" s="4" t="s">
        <v>42</v>
      </c>
      <c r="DI222" t="s">
        <v>42</v>
      </c>
      <c r="DJ222" s="4" t="s">
        <v>42</v>
      </c>
      <c r="DK222" t="s">
        <v>42</v>
      </c>
      <c r="DL222" s="4">
        <f>HYPERLINK("http://exon.niaid.nih.gov/transcriptome/C_felis/S1/links/cluster/cf-5-36-asb30-50-Id-CLU39.txt", 39)</f>
        <v>39</v>
      </c>
      <c r="DM222">
        <f>HYPERLINK("http://exon.niaid.nih.gov/transcriptome/C_felis/S1/links/cluster/cf-5-36-asb30-50-Id-CLTL39.txt", 2)</f>
        <v>2</v>
      </c>
      <c r="DN222" s="4">
        <f>HYPERLINK("http://exon.niaid.nih.gov/transcriptome/C_felis/S1/links/cluster/cf-5-36-asb35-50-Id-CLU32.txt", 32)</f>
        <v>32</v>
      </c>
      <c r="DO222">
        <f>HYPERLINK("http://exon.niaid.nih.gov/transcriptome/C_felis/S1/links/cluster/cf-5-36-asb35-50-Id-CLTL32.txt", 2)</f>
        <v>2</v>
      </c>
      <c r="DP222" s="4">
        <f>HYPERLINK("http://exon.niaid.nih.gov/transcriptome/C_felis/S1/links/cluster/cf-5-36-asb40-50-Id-CLU30.txt", 30)</f>
        <v>30</v>
      </c>
      <c r="DQ222">
        <f>HYPERLINK("http://exon.niaid.nih.gov/transcriptome/C_felis/S1/links/cluster/cf-5-36-asb40-50-Id-CLTL30.txt", 2)</f>
        <v>2</v>
      </c>
      <c r="DR222" s="4">
        <f>HYPERLINK("http://exon.niaid.nih.gov/transcriptome/C_felis/S1/links/cluster/cf-5-36-asb45-50-Id-CLU28.txt", 28)</f>
        <v>28</v>
      </c>
      <c r="DS222">
        <f>HYPERLINK("http://exon.niaid.nih.gov/transcriptome/C_felis/S1/links/cluster/cf-5-36-asb45-50-Id-CLTL28.txt", 2)</f>
        <v>2</v>
      </c>
      <c r="DT222" s="4">
        <f>HYPERLINK("http://exon.niaid.nih.gov/transcriptome/C_felis/S1/links/cluster/cf-5-36-asb50-50-Id-CLU24.txt", 24)</f>
        <v>24</v>
      </c>
      <c r="DU222">
        <f>HYPERLINK("http://exon.niaid.nih.gov/transcriptome/C_felis/S1/links/cluster/cf-5-36-asb50-50-Id-CLTL24.txt", 2)</f>
        <v>2</v>
      </c>
      <c r="DV222" s="4">
        <f>HYPERLINK("http://exon.niaid.nih.gov/transcriptome/C_felis/S1/links/cluster/cf-5-36-asb55-50-Id-CLU21.txt", 21)</f>
        <v>21</v>
      </c>
      <c r="DW222">
        <f>HYPERLINK("http://exon.niaid.nih.gov/transcriptome/C_felis/S1/links/cluster/cf-5-36-asb55-50-Id-CLTL21.txt", 2)</f>
        <v>2</v>
      </c>
      <c r="DX222" s="4">
        <f>HYPERLINK("http://exon.niaid.nih.gov/transcriptome/C_felis/S1/links/cluster/cf-5-36-asb60-50-Id-CLU19.txt", 19)</f>
        <v>19</v>
      </c>
      <c r="DY222">
        <f>HYPERLINK("http://exon.niaid.nih.gov/transcriptome/C_felis/S1/links/cluster/cf-5-36-asb60-50-Id-CLTL19.txt", 2)</f>
        <v>2</v>
      </c>
      <c r="DZ222" s="4">
        <v>104</v>
      </c>
      <c r="EA222">
        <v>1</v>
      </c>
      <c r="EB222" s="4">
        <v>104</v>
      </c>
      <c r="EC222">
        <v>1</v>
      </c>
      <c r="ED222" s="4">
        <v>105</v>
      </c>
      <c r="EE222">
        <v>1</v>
      </c>
      <c r="EF222" s="4">
        <v>102</v>
      </c>
      <c r="EG222">
        <v>1</v>
      </c>
      <c r="EH222" s="4">
        <v>99</v>
      </c>
      <c r="EI222">
        <v>1</v>
      </c>
      <c r="EJ222" s="4">
        <v>97</v>
      </c>
      <c r="EK222">
        <v>1</v>
      </c>
    </row>
    <row r="223" spans="1:141" x14ac:dyDescent="0.2">
      <c r="A223" t="str">
        <f>HYPERLINK("http://exon.niaid.nih.gov/transcriptome/C_felis/S1/links/cf/cf-contig_170.txt","cf-contig_170")</f>
        <v>cf-contig_170</v>
      </c>
      <c r="B223">
        <v>3</v>
      </c>
      <c r="C223" s="10" t="s">
        <v>4668</v>
      </c>
      <c r="D223">
        <v>3</v>
      </c>
      <c r="E223" t="str">
        <f>HYPERLINK("http://exon.niaid.nih.gov/transcriptome/C_felis/S1/links/cf/cf-5-36-asb-170.txt","Contig-170")</f>
        <v>Contig-170</v>
      </c>
      <c r="F223" t="str">
        <f>HYPERLINK("http://exon.niaid.nih.gov/transcriptome/C_felis/S1/links/cf/cf-5-36-170-CLU.txt","Contig170")</f>
        <v>Contig170</v>
      </c>
      <c r="G223" t="str">
        <f>HYPERLINK("http://exon.niaid.nih.gov/transcriptome/C_felis/S1/links/cf/cf-5-36-170-qual.txt","92.4")</f>
        <v>92.4</v>
      </c>
      <c r="H223" t="s">
        <v>11</v>
      </c>
      <c r="I223">
        <v>65</v>
      </c>
      <c r="J223">
        <v>541</v>
      </c>
      <c r="K223" t="s">
        <v>12</v>
      </c>
      <c r="L223">
        <v>3</v>
      </c>
      <c r="M223" t="s">
        <v>183</v>
      </c>
      <c r="N223">
        <v>541</v>
      </c>
      <c r="O223">
        <v>560</v>
      </c>
      <c r="P223">
        <v>510</v>
      </c>
      <c r="Q223" t="s">
        <v>990</v>
      </c>
      <c r="R223">
        <v>1</v>
      </c>
      <c r="S223" s="7" t="str">
        <f>HYPERLINK("http://exon.niaid.nih.gov/transcriptome/C_felis/S1/links/Sigp/CF-CONTIG_170-SigP.txt","Cyt")</f>
        <v>Cyt</v>
      </c>
      <c r="U223">
        <v>3</v>
      </c>
      <c r="V223" s="4">
        <f>HYPERLINK("http://exon.niaid.nih.gov/transcriptome/C_felis/S1/links/cluster/cf-5-36-asb30-50-Id-CLU23.txt", 23)</f>
        <v>23</v>
      </c>
      <c r="W223">
        <f>HYPERLINK("http://exon.niaid.nih.gov/transcriptome/C_felis/S1/links/cluster/cf-5-36-asb30-50-Id-CLTL23.txt", 3)</f>
        <v>3</v>
      </c>
      <c r="X223" s="4">
        <f>HYPERLINK("http://exon.niaid.nih.gov/transcriptome/C_felis/S1/links/cluster/cf-5-36-asb35-50-Id-CLU20.txt", 20)</f>
        <v>20</v>
      </c>
      <c r="Y223">
        <f>HYPERLINK("http://exon.niaid.nih.gov/transcriptome/C_felis/S1/links/cluster/cf-5-36-asb35-50-Id-CLTL20.txt", 3)</f>
        <v>3</v>
      </c>
      <c r="Z223" s="4">
        <f>HYPERLINK("http://exon.niaid.nih.gov/transcriptome/C_felis/S1/links/cluster/cf-5-36-asb40-50-Id-CLU19.txt", 19)</f>
        <v>19</v>
      </c>
      <c r="AA223">
        <f>HYPERLINK("http://exon.niaid.nih.gov/transcriptome/C_felis/S1/links/cluster/cf-5-36-asb40-50-Id-CLTL19.txt", 3)</f>
        <v>3</v>
      </c>
      <c r="AB223" s="4" t="str">
        <f>HYPERLINK("http://exon.niaid.nih.gov/transcriptome/C_felis/S1/links/XC-ASB/cf-contig_170-XC-ASB.txt","XC-contig_81")</f>
        <v>XC-contig_81</v>
      </c>
      <c r="AC223">
        <v>9.9999999999999999E-110</v>
      </c>
      <c r="AD223" s="10" t="s">
        <v>4668</v>
      </c>
      <c r="AE223" t="s">
        <v>4605</v>
      </c>
      <c r="AF223" t="str">
        <f>HYPERLINK("http://exon.niaid.nih.gov/transcriptome/C_felis/S1/links/KOG/cf-contig_170-KOG.txt","KOG")</f>
        <v>KOG</v>
      </c>
      <c r="AG223" s="5">
        <v>6.9999999999999995E-73</v>
      </c>
      <c r="AH223">
        <v>89</v>
      </c>
      <c r="AI223" s="4" t="str">
        <f>HYPERLINK("http://exon.niaid.nih.gov/transcriptome/C_felis/S1/links/NR/cf-contig_170-NR.txt","ribosomal protein S7")</f>
        <v>ribosomal protein S7</v>
      </c>
      <c r="AJ223" t="str">
        <f>HYPERLINK("http://www.ncbi.nlm.nih.gov/sutils/blink.cgi?pid=121512008","2E-087")</f>
        <v>2E-087</v>
      </c>
      <c r="AK223" t="str">
        <f>HYPERLINK("http://www.ncbi.nlm.nih.gov/protein/121512008","gi|121512008")</f>
        <v>gi|121512008</v>
      </c>
      <c r="AL223">
        <v>325</v>
      </c>
      <c r="AM223">
        <v>167</v>
      </c>
      <c r="AN223">
        <v>191</v>
      </c>
      <c r="AO223">
        <v>98</v>
      </c>
      <c r="AP223">
        <v>88</v>
      </c>
      <c r="AQ223">
        <v>2</v>
      </c>
      <c r="AR223">
        <v>0</v>
      </c>
      <c r="AS223">
        <v>24</v>
      </c>
      <c r="AT223">
        <v>7</v>
      </c>
      <c r="AU223">
        <v>1</v>
      </c>
      <c r="AV223">
        <v>1</v>
      </c>
      <c r="AW223" t="s">
        <v>12</v>
      </c>
      <c r="AY223" t="s">
        <v>1676</v>
      </c>
      <c r="AZ223" t="s">
        <v>1717</v>
      </c>
      <c r="BA223" s="4" t="str">
        <f>HYPERLINK("http://exon.niaid.nih.gov/transcriptome/C_felis/S1/links/SWISSP/cf-contig_170-SWISSP.txt","40S ribosomal protein S7")</f>
        <v>40S ribosomal protein S7</v>
      </c>
      <c r="BB223" t="str">
        <f>HYPERLINK("http://www.uniprot.org/uniprot/P48155","6E-080")</f>
        <v>6E-080</v>
      </c>
      <c r="BC223" t="s">
        <v>2313</v>
      </c>
      <c r="BD223">
        <v>296</v>
      </c>
      <c r="BE223">
        <v>167</v>
      </c>
      <c r="BF223">
        <v>190</v>
      </c>
      <c r="BG223">
        <v>88</v>
      </c>
      <c r="BH223">
        <v>88</v>
      </c>
      <c r="BI223">
        <v>19</v>
      </c>
      <c r="BJ223">
        <v>0</v>
      </c>
      <c r="BK223">
        <v>23</v>
      </c>
      <c r="BL223">
        <v>7</v>
      </c>
      <c r="BM223">
        <v>1</v>
      </c>
      <c r="BN223">
        <v>1</v>
      </c>
      <c r="BO223" t="s">
        <v>12</v>
      </c>
      <c r="BQ223" t="s">
        <v>1676</v>
      </c>
      <c r="BR223" t="s">
        <v>2314</v>
      </c>
      <c r="BS223" s="4" t="str">
        <f>HYPERLINK("http://exon.niaid.nih.gov/transcriptome/C_felis/S1/links/CDD/cf-contig_170-CDD.txt","Ribosomal_S7e")</f>
        <v>Ribosomal_S7e</v>
      </c>
      <c r="BT223" t="str">
        <f>HYPERLINK("http://www.ncbi.nlm.nih.gov/Structure/cdd/cddsrv.cgi?uid=pfam01251&amp;version=v4.0","1E-087")</f>
        <v>1E-087</v>
      </c>
      <c r="BU223" t="s">
        <v>2315</v>
      </c>
      <c r="BV223" s="4" t="s">
        <v>2316</v>
      </c>
      <c r="BW223">
        <f>HYPERLINK("http://exon.niaid.nih.gov/transcriptome/C_felis/S1/links/GO/cf-contig_170-GO.txt",3E-78)</f>
        <v>2.9999999999999999E-78</v>
      </c>
      <c r="BX223" t="str">
        <f t="shared" si="23"/>
        <v>GO:0003735</v>
      </c>
      <c r="BY223" t="s">
        <v>1929</v>
      </c>
      <c r="BZ223" t="s">
        <v>1930</v>
      </c>
      <c r="CA223" t="s">
        <v>1931</v>
      </c>
      <c r="CB223" t="s">
        <v>42</v>
      </c>
      <c r="CD223" s="5">
        <v>5E-74</v>
      </c>
      <c r="CE223" t="str">
        <f t="shared" si="24"/>
        <v>GO:0022627</v>
      </c>
      <c r="CF223" t="s">
        <v>2034</v>
      </c>
      <c r="CG223" t="s">
        <v>2035</v>
      </c>
      <c r="CH223" t="s">
        <v>2036</v>
      </c>
      <c r="CI223" t="s">
        <v>42</v>
      </c>
      <c r="CK223" s="5">
        <v>5E-74</v>
      </c>
      <c r="CL223" t="str">
        <f t="shared" si="25"/>
        <v>GO:0006412</v>
      </c>
      <c r="CM223" t="s">
        <v>1935</v>
      </c>
      <c r="CN223" t="s">
        <v>1936</v>
      </c>
      <c r="CO223" t="s">
        <v>1937</v>
      </c>
      <c r="CP223" t="s">
        <v>42</v>
      </c>
      <c r="CR223" s="5">
        <v>5E-74</v>
      </c>
      <c r="CS223" s="4" t="str">
        <f>HYPERLINK("http://exon.niaid.nih.gov/transcriptome/C_felis/S1/links/KOG/cf-contig_170-KOG.txt","40S ribosomal protein S7")</f>
        <v>40S ribosomal protein S7</v>
      </c>
      <c r="CT223" t="str">
        <f>HYPERLINK("http://www.ncbi.nlm.nih.gov/COG/grace/shokog.cgi?KOG3320","7E-073")</f>
        <v>7E-073</v>
      </c>
      <c r="CU223" t="s">
        <v>1707</v>
      </c>
      <c r="CV223" s="4" t="str">
        <f>HYPERLINK("http://exon.niaid.nih.gov/transcriptome/C_felis/S1/links/PFAM/cf-contig_170-PFAM.txt","Ribosomal_S7e")</f>
        <v>Ribosomal_S7e</v>
      </c>
      <c r="CW223" t="str">
        <f>HYPERLINK("http://pfam.sanger.ac.uk/family?acc=PF01251","2E-088")</f>
        <v>2E-088</v>
      </c>
      <c r="CX223" s="4" t="str">
        <f>HYPERLINK("http://exon.niaid.nih.gov/transcriptome/C_felis/S1/links/SMART/cf-contig_170-SMART.txt","RNAse_Pc")</f>
        <v>RNAse_Pc</v>
      </c>
      <c r="CY223" t="str">
        <f>HYPERLINK("http://smart.embl-heidelberg.de/smart/do_annotation.pl?DOMAIN=RNAse_Pc&amp;BLAST=DUMMY","0.049")</f>
        <v>0.049</v>
      </c>
      <c r="CZ223" s="4" t="s">
        <v>42</v>
      </c>
      <c r="DA223" t="s">
        <v>42</v>
      </c>
      <c r="DB223" t="s">
        <v>42</v>
      </c>
      <c r="DC223" t="s">
        <v>42</v>
      </c>
      <c r="DD223" t="s">
        <v>42</v>
      </c>
      <c r="DE223" t="s">
        <v>42</v>
      </c>
      <c r="DF223" t="s">
        <v>42</v>
      </c>
      <c r="DG223" t="s">
        <v>42</v>
      </c>
      <c r="DH223" s="4" t="s">
        <v>42</v>
      </c>
      <c r="DI223" t="s">
        <v>42</v>
      </c>
      <c r="DJ223" s="4" t="s">
        <v>42</v>
      </c>
      <c r="DK223" t="s">
        <v>42</v>
      </c>
      <c r="DL223" s="4">
        <f>HYPERLINK("http://exon.niaid.nih.gov/transcriptome/C_felis/S1/links/cluster/cf-5-36-asb30-50-Id-CLU23.txt", 23)</f>
        <v>23</v>
      </c>
      <c r="DM223">
        <f>HYPERLINK("http://exon.niaid.nih.gov/transcriptome/C_felis/S1/links/cluster/cf-5-36-asb30-50-Id-CLTL23.txt", 3)</f>
        <v>3</v>
      </c>
      <c r="DN223" s="4">
        <f>HYPERLINK("http://exon.niaid.nih.gov/transcriptome/C_felis/S1/links/cluster/cf-5-36-asb35-50-Id-CLU20.txt", 20)</f>
        <v>20</v>
      </c>
      <c r="DO223">
        <f>HYPERLINK("http://exon.niaid.nih.gov/transcriptome/C_felis/S1/links/cluster/cf-5-36-asb35-50-Id-CLTL20.txt", 3)</f>
        <v>3</v>
      </c>
      <c r="DP223" s="4">
        <f>HYPERLINK("http://exon.niaid.nih.gov/transcriptome/C_felis/S1/links/cluster/cf-5-36-asb40-50-Id-CLU19.txt", 19)</f>
        <v>19</v>
      </c>
      <c r="DQ223">
        <f>HYPERLINK("http://exon.niaid.nih.gov/transcriptome/C_felis/S1/links/cluster/cf-5-36-asb40-50-Id-CLTL19.txt", 3)</f>
        <v>3</v>
      </c>
      <c r="DR223" s="4">
        <f>HYPERLINK("http://exon.niaid.nih.gov/transcriptome/C_felis/S1/links/cluster/cf-5-36-asb45-50-Id-CLU15.txt", 15)</f>
        <v>15</v>
      </c>
      <c r="DS223">
        <f>HYPERLINK("http://exon.niaid.nih.gov/transcriptome/C_felis/S1/links/cluster/cf-5-36-asb45-50-Id-CLTL15.txt", 3)</f>
        <v>3</v>
      </c>
      <c r="DT223" s="4">
        <f>HYPERLINK("http://exon.niaid.nih.gov/transcriptome/C_felis/S1/links/cluster/cf-5-36-asb50-50-Id-CLU11.txt", 11)</f>
        <v>11</v>
      </c>
      <c r="DU223">
        <f>HYPERLINK("http://exon.niaid.nih.gov/transcriptome/C_felis/S1/links/cluster/cf-5-36-asb50-50-Id-CLTL11.txt", 3)</f>
        <v>3</v>
      </c>
      <c r="DV223" s="4">
        <f>HYPERLINK("http://exon.niaid.nih.gov/transcriptome/C_felis/S1/links/cluster/cf-5-36-asb55-50-Id-CLU10.txt", 10)</f>
        <v>10</v>
      </c>
      <c r="DW223">
        <f>HYPERLINK("http://exon.niaid.nih.gov/transcriptome/C_felis/S1/links/cluster/cf-5-36-asb55-50-Id-CLTL10.txt", 3)</f>
        <v>3</v>
      </c>
      <c r="DX223" s="4">
        <f>HYPERLINK("http://exon.niaid.nih.gov/transcriptome/C_felis/S1/links/cluster/cf-5-36-asb60-50-Id-CLU8.txt", 8)</f>
        <v>8</v>
      </c>
      <c r="DY223">
        <f>HYPERLINK("http://exon.niaid.nih.gov/transcriptome/C_felis/S1/links/cluster/cf-5-36-asb60-50-Id-CLTL8.txt", 3)</f>
        <v>3</v>
      </c>
      <c r="DZ223" s="4">
        <f>HYPERLINK("http://exon.niaid.nih.gov/transcriptome/C_felis/S1/links/cluster/cf-5-36-asb65-50-Id-CLU5.txt", 5)</f>
        <v>5</v>
      </c>
      <c r="EA223">
        <f>HYPERLINK("http://exon.niaid.nih.gov/transcriptome/C_felis/S1/links/cluster/cf-5-36-asb65-50-Id-CLTL5.txt", 3)</f>
        <v>3</v>
      </c>
      <c r="EB223" s="4">
        <f>HYPERLINK("http://exon.niaid.nih.gov/transcriptome/C_felis/S1/links/cluster/cf-5-36-asb70-50-Id-CLU4.txt", 4)</f>
        <v>4</v>
      </c>
      <c r="EC223">
        <f>HYPERLINK("http://exon.niaid.nih.gov/transcriptome/C_felis/S1/links/cluster/cf-5-36-asb70-50-Id-CLTL4.txt", 3)</f>
        <v>3</v>
      </c>
      <c r="ED223" s="4">
        <f>HYPERLINK("http://exon.niaid.nih.gov/transcriptome/C_felis/S1/links/cluster/cf-5-36-asb75-50-Id-CLU4.txt", 4)</f>
        <v>4</v>
      </c>
      <c r="EE223">
        <f>HYPERLINK("http://exon.niaid.nih.gov/transcriptome/C_felis/S1/links/cluster/cf-5-36-asb75-50-Id-CLTL4.txt", 3)</f>
        <v>3</v>
      </c>
      <c r="EF223" s="4">
        <f>HYPERLINK("http://exon.niaid.nih.gov/transcriptome/C_felis/S1/links/cluster/cf-5-36-asb80-50-Id-CLU4.txt", 4)</f>
        <v>4</v>
      </c>
      <c r="EG223">
        <f>HYPERLINK("http://exon.niaid.nih.gov/transcriptome/C_felis/S1/links/cluster/cf-5-36-asb80-50-Id-CLTL4.txt", 3)</f>
        <v>3</v>
      </c>
      <c r="EH223" s="4">
        <f>HYPERLINK("http://exon.niaid.nih.gov/transcriptome/C_felis/S1/links/cluster/cf-5-36-asb90-50-Id-CLU5.txt", 5)</f>
        <v>5</v>
      </c>
      <c r="EI223">
        <f>HYPERLINK("http://exon.niaid.nih.gov/transcriptome/C_felis/S1/links/cluster/cf-5-36-asb90-50-Id-CLTL5.txt", 2)</f>
        <v>2</v>
      </c>
      <c r="EJ223" s="4">
        <v>170</v>
      </c>
      <c r="EK223">
        <v>1</v>
      </c>
    </row>
    <row r="224" spans="1:141" x14ac:dyDescent="0.2">
      <c r="A224" t="str">
        <f>HYPERLINK("http://exon.niaid.nih.gov/transcriptome/C_felis/S1/links/cf/cf-contig_171.txt","cf-contig_171")</f>
        <v>cf-contig_171</v>
      </c>
      <c r="B224">
        <v>1</v>
      </c>
      <c r="C224" s="10" t="s">
        <v>4668</v>
      </c>
      <c r="D224">
        <v>1</v>
      </c>
      <c r="E224" t="str">
        <f>HYPERLINK("http://exon.niaid.nih.gov/transcriptome/C_felis/S1/links/cf/cf-5-36-asb-171.txt","Contig-171")</f>
        <v>Contig-171</v>
      </c>
      <c r="F224" t="str">
        <f>HYPERLINK("http://exon.niaid.nih.gov/transcriptome/C_felis/S1/links/cf/cf-5-36-171-CLU.txt","Contig171")</f>
        <v>Contig171</v>
      </c>
      <c r="G224" t="str">
        <f>HYPERLINK("http://exon.niaid.nih.gov/transcriptome/C_felis/S1/links/cf/cf-5-36-171-qual.txt","64.9")</f>
        <v>64.9</v>
      </c>
      <c r="H224" t="s">
        <v>11</v>
      </c>
      <c r="I224">
        <v>65.099999999999994</v>
      </c>
      <c r="J224">
        <v>534</v>
      </c>
      <c r="K224" t="s">
        <v>12</v>
      </c>
      <c r="L224">
        <v>1</v>
      </c>
      <c r="M224" t="s">
        <v>184</v>
      </c>
      <c r="N224">
        <v>534</v>
      </c>
      <c r="O224">
        <v>553</v>
      </c>
      <c r="P224">
        <v>501</v>
      </c>
      <c r="Q224" t="s">
        <v>991</v>
      </c>
      <c r="R224">
        <v>3</v>
      </c>
      <c r="S224" s="7" t="str">
        <f>HYPERLINK("http://exon.niaid.nih.gov/transcriptome/C_felis/S1/links/Sigp/CF-CONTIG_171-SigP.txt","Cyt")</f>
        <v>Cyt</v>
      </c>
      <c r="U224">
        <v>1</v>
      </c>
      <c r="V224" s="4">
        <f>HYPERLINK("http://exon.niaid.nih.gov/transcriptome/C_felis/S1/links/cluster/cf-5-36-asb30-50-Id-CLU23.txt", 23)</f>
        <v>23</v>
      </c>
      <c r="W224">
        <f>HYPERLINK("http://exon.niaid.nih.gov/transcriptome/C_felis/S1/links/cluster/cf-5-36-asb30-50-Id-CLTL23.txt", 3)</f>
        <v>3</v>
      </c>
      <c r="X224" s="4">
        <f>HYPERLINK("http://exon.niaid.nih.gov/transcriptome/C_felis/S1/links/cluster/cf-5-36-asb35-50-Id-CLU20.txt", 20)</f>
        <v>20</v>
      </c>
      <c r="Y224">
        <f>HYPERLINK("http://exon.niaid.nih.gov/transcriptome/C_felis/S1/links/cluster/cf-5-36-asb35-50-Id-CLTL20.txt", 3)</f>
        <v>3</v>
      </c>
      <c r="Z224" s="4">
        <f>HYPERLINK("http://exon.niaid.nih.gov/transcriptome/C_felis/S1/links/cluster/cf-5-36-asb40-50-Id-CLU19.txt", 19)</f>
        <v>19</v>
      </c>
      <c r="AA224">
        <f>HYPERLINK("http://exon.niaid.nih.gov/transcriptome/C_felis/S1/links/cluster/cf-5-36-asb40-50-Id-CLTL19.txt", 3)</f>
        <v>3</v>
      </c>
      <c r="AB224" s="4" t="str">
        <f>HYPERLINK("http://exon.niaid.nih.gov/transcriptome/C_felis/S1/links/XC-ASB/cf-contig_171-XC-ASB.txt","XC-contig_81")</f>
        <v>XC-contig_81</v>
      </c>
      <c r="AC224">
        <v>1E-107</v>
      </c>
      <c r="AD224" s="10" t="s">
        <v>4668</v>
      </c>
      <c r="AE224" t="s">
        <v>4605</v>
      </c>
      <c r="AF224" t="str">
        <f>HYPERLINK("http://exon.niaid.nih.gov/transcriptome/C_felis/S1/links/KOG/cf-contig_171-KOG.txt","KOG")</f>
        <v>KOG</v>
      </c>
      <c r="AG224" s="5">
        <v>1.9999999999999998E-71</v>
      </c>
      <c r="AH224">
        <v>86.9</v>
      </c>
      <c r="AI224" s="4" t="str">
        <f>HYPERLINK("http://exon.niaid.nih.gov/transcriptome/C_felis/S1/links/NR/cf-contig_171-NR.txt","ribosomal protein S7")</f>
        <v>ribosomal protein S7</v>
      </c>
      <c r="AJ224" t="str">
        <f>HYPERLINK("http://www.ncbi.nlm.nih.gov/sutils/blink.cgi?pid=121512008","1E-085")</f>
        <v>1E-085</v>
      </c>
      <c r="AK224" t="str">
        <f>HYPERLINK("http://www.ncbi.nlm.nih.gov/protein/121512008","gi|121512008")</f>
        <v>gi|121512008</v>
      </c>
      <c r="AL224">
        <v>319</v>
      </c>
      <c r="AM224">
        <v>164</v>
      </c>
      <c r="AN224">
        <v>191</v>
      </c>
      <c r="AO224">
        <v>98</v>
      </c>
      <c r="AP224">
        <v>86</v>
      </c>
      <c r="AQ224">
        <v>3</v>
      </c>
      <c r="AR224">
        <v>0</v>
      </c>
      <c r="AS224">
        <v>27</v>
      </c>
      <c r="AT224">
        <v>9</v>
      </c>
      <c r="AU224">
        <v>1</v>
      </c>
      <c r="AV224">
        <v>3</v>
      </c>
      <c r="AW224" t="s">
        <v>12</v>
      </c>
      <c r="AY224" t="s">
        <v>1676</v>
      </c>
      <c r="AZ224" t="s">
        <v>1717</v>
      </c>
      <c r="BA224" s="4" t="str">
        <f>HYPERLINK("http://exon.niaid.nih.gov/transcriptome/C_felis/S1/links/SWISSP/cf-contig_171-SWISSP.txt","40S ribosomal protein S7")</f>
        <v>40S ribosomal protein S7</v>
      </c>
      <c r="BB224" t="str">
        <f>HYPERLINK("http://www.uniprot.org/uniprot/P48155","8E-079")</f>
        <v>8E-079</v>
      </c>
      <c r="BC224" t="s">
        <v>2313</v>
      </c>
      <c r="BD224">
        <v>292</v>
      </c>
      <c r="BE224">
        <v>164</v>
      </c>
      <c r="BF224">
        <v>190</v>
      </c>
      <c r="BG224">
        <v>89</v>
      </c>
      <c r="BH224">
        <v>87</v>
      </c>
      <c r="BI224">
        <v>18</v>
      </c>
      <c r="BJ224">
        <v>0</v>
      </c>
      <c r="BK224">
        <v>26</v>
      </c>
      <c r="BL224">
        <v>9</v>
      </c>
      <c r="BM224">
        <v>1</v>
      </c>
      <c r="BN224">
        <v>3</v>
      </c>
      <c r="BO224" t="s">
        <v>12</v>
      </c>
      <c r="BQ224" t="s">
        <v>1676</v>
      </c>
      <c r="BR224" t="s">
        <v>2314</v>
      </c>
      <c r="BS224" s="4" t="str">
        <f>HYPERLINK("http://exon.niaid.nih.gov/transcriptome/C_felis/S1/links/CDD/cf-contig_171-CDD.txt","Ribosomal_S7e")</f>
        <v>Ribosomal_S7e</v>
      </c>
      <c r="BT224" t="str">
        <f>HYPERLINK("http://www.ncbi.nlm.nih.gov/Structure/cdd/cddsrv.cgi?uid=pfam01251&amp;version=v4.0","3E-086")</f>
        <v>3E-086</v>
      </c>
      <c r="BU224" t="s">
        <v>2317</v>
      </c>
      <c r="BV224" s="4" t="s">
        <v>2316</v>
      </c>
      <c r="BW224">
        <f>HYPERLINK("http://exon.niaid.nih.gov/transcriptome/C_felis/S1/links/GO/cf-contig_171-GO.txt",1E-76)</f>
        <v>9.9999999999999993E-77</v>
      </c>
      <c r="BX224" t="str">
        <f t="shared" si="23"/>
        <v>GO:0003735</v>
      </c>
      <c r="BY224" t="s">
        <v>1929</v>
      </c>
      <c r="BZ224" t="s">
        <v>1930</v>
      </c>
      <c r="CA224" t="s">
        <v>1931</v>
      </c>
      <c r="CB224" t="s">
        <v>42</v>
      </c>
      <c r="CD224" s="5">
        <v>6.9999999999999995E-73</v>
      </c>
      <c r="CE224" t="str">
        <f t="shared" si="24"/>
        <v>GO:0022627</v>
      </c>
      <c r="CF224" t="s">
        <v>2034</v>
      </c>
      <c r="CG224" t="s">
        <v>2035</v>
      </c>
      <c r="CH224" t="s">
        <v>2036</v>
      </c>
      <c r="CI224" t="s">
        <v>42</v>
      </c>
      <c r="CK224" s="5">
        <v>6.9999999999999995E-73</v>
      </c>
      <c r="CL224" t="str">
        <f t="shared" si="25"/>
        <v>GO:0006412</v>
      </c>
      <c r="CM224" t="s">
        <v>1935</v>
      </c>
      <c r="CN224" t="s">
        <v>1936</v>
      </c>
      <c r="CO224" t="s">
        <v>1937</v>
      </c>
      <c r="CP224" t="s">
        <v>42</v>
      </c>
      <c r="CR224" s="5">
        <v>6.9999999999999995E-73</v>
      </c>
      <c r="CS224" s="4" t="str">
        <f>HYPERLINK("http://exon.niaid.nih.gov/transcriptome/C_felis/S1/links/KOG/cf-contig_171-KOG.txt","40S ribosomal protein S7")</f>
        <v>40S ribosomal protein S7</v>
      </c>
      <c r="CT224" t="str">
        <f>HYPERLINK("http://www.ncbi.nlm.nih.gov/COG/grace/shokog.cgi?KOG3320","2E-071")</f>
        <v>2E-071</v>
      </c>
      <c r="CU224" t="s">
        <v>1707</v>
      </c>
      <c r="CV224" s="4" t="str">
        <f>HYPERLINK("http://exon.niaid.nih.gov/transcriptome/C_felis/S1/links/PFAM/cf-contig_171-PFAM.txt","Ribosomal_S7e")</f>
        <v>Ribosomal_S7e</v>
      </c>
      <c r="CW224" t="str">
        <f>HYPERLINK("http://pfam.sanger.ac.uk/family?acc=PF01251","5E-087")</f>
        <v>5E-087</v>
      </c>
      <c r="CX224" s="4" t="str">
        <f>HYPERLINK("http://exon.niaid.nih.gov/transcriptome/C_felis/S1/links/SMART/cf-contig_171-SMART.txt","RNAse_Pc")</f>
        <v>RNAse_Pc</v>
      </c>
      <c r="CY224" t="str">
        <f>HYPERLINK("http://smart.embl-heidelberg.de/smart/do_annotation.pl?DOMAIN=RNAse_Pc&amp;BLAST=DUMMY","0.048")</f>
        <v>0.048</v>
      </c>
      <c r="CZ224" s="4" t="s">
        <v>42</v>
      </c>
      <c r="DA224" t="s">
        <v>42</v>
      </c>
      <c r="DB224" t="s">
        <v>42</v>
      </c>
      <c r="DC224" t="s">
        <v>42</v>
      </c>
      <c r="DD224" t="s">
        <v>42</v>
      </c>
      <c r="DE224" t="s">
        <v>42</v>
      </c>
      <c r="DF224" t="s">
        <v>42</v>
      </c>
      <c r="DG224" t="s">
        <v>42</v>
      </c>
      <c r="DH224" s="4" t="s">
        <v>42</v>
      </c>
      <c r="DI224" t="s">
        <v>42</v>
      </c>
      <c r="DJ224" s="4" t="s">
        <v>42</v>
      </c>
      <c r="DK224" t="s">
        <v>42</v>
      </c>
      <c r="DL224" s="4">
        <f>HYPERLINK("http://exon.niaid.nih.gov/transcriptome/C_felis/S1/links/cluster/cf-5-36-asb30-50-Id-CLU23.txt", 23)</f>
        <v>23</v>
      </c>
      <c r="DM224">
        <f>HYPERLINK("http://exon.niaid.nih.gov/transcriptome/C_felis/S1/links/cluster/cf-5-36-asb30-50-Id-CLTL23.txt", 3)</f>
        <v>3</v>
      </c>
      <c r="DN224" s="4">
        <f>HYPERLINK("http://exon.niaid.nih.gov/transcriptome/C_felis/S1/links/cluster/cf-5-36-asb35-50-Id-CLU20.txt", 20)</f>
        <v>20</v>
      </c>
      <c r="DO224">
        <f>HYPERLINK("http://exon.niaid.nih.gov/transcriptome/C_felis/S1/links/cluster/cf-5-36-asb35-50-Id-CLTL20.txt", 3)</f>
        <v>3</v>
      </c>
      <c r="DP224" s="4">
        <f>HYPERLINK("http://exon.niaid.nih.gov/transcriptome/C_felis/S1/links/cluster/cf-5-36-asb40-50-Id-CLU19.txt", 19)</f>
        <v>19</v>
      </c>
      <c r="DQ224">
        <f>HYPERLINK("http://exon.niaid.nih.gov/transcriptome/C_felis/S1/links/cluster/cf-5-36-asb40-50-Id-CLTL19.txt", 3)</f>
        <v>3</v>
      </c>
      <c r="DR224" s="4">
        <f>HYPERLINK("http://exon.niaid.nih.gov/transcriptome/C_felis/S1/links/cluster/cf-5-36-asb45-50-Id-CLU15.txt", 15)</f>
        <v>15</v>
      </c>
      <c r="DS224">
        <f>HYPERLINK("http://exon.niaid.nih.gov/transcriptome/C_felis/S1/links/cluster/cf-5-36-asb45-50-Id-CLTL15.txt", 3)</f>
        <v>3</v>
      </c>
      <c r="DT224" s="4">
        <f>HYPERLINK("http://exon.niaid.nih.gov/transcriptome/C_felis/S1/links/cluster/cf-5-36-asb50-50-Id-CLU11.txt", 11)</f>
        <v>11</v>
      </c>
      <c r="DU224">
        <f>HYPERLINK("http://exon.niaid.nih.gov/transcriptome/C_felis/S1/links/cluster/cf-5-36-asb50-50-Id-CLTL11.txt", 3)</f>
        <v>3</v>
      </c>
      <c r="DV224" s="4">
        <f>HYPERLINK("http://exon.niaid.nih.gov/transcriptome/C_felis/S1/links/cluster/cf-5-36-asb55-50-Id-CLU10.txt", 10)</f>
        <v>10</v>
      </c>
      <c r="DW224">
        <f>HYPERLINK("http://exon.niaid.nih.gov/transcriptome/C_felis/S1/links/cluster/cf-5-36-asb55-50-Id-CLTL10.txt", 3)</f>
        <v>3</v>
      </c>
      <c r="DX224" s="4">
        <f>HYPERLINK("http://exon.niaid.nih.gov/transcriptome/C_felis/S1/links/cluster/cf-5-36-asb60-50-Id-CLU8.txt", 8)</f>
        <v>8</v>
      </c>
      <c r="DY224">
        <f>HYPERLINK("http://exon.niaid.nih.gov/transcriptome/C_felis/S1/links/cluster/cf-5-36-asb60-50-Id-CLTL8.txt", 3)</f>
        <v>3</v>
      </c>
      <c r="DZ224" s="4">
        <f>HYPERLINK("http://exon.niaid.nih.gov/transcriptome/C_felis/S1/links/cluster/cf-5-36-asb65-50-Id-CLU5.txt", 5)</f>
        <v>5</v>
      </c>
      <c r="EA224">
        <f>HYPERLINK("http://exon.niaid.nih.gov/transcriptome/C_felis/S1/links/cluster/cf-5-36-asb65-50-Id-CLTL5.txt", 3)</f>
        <v>3</v>
      </c>
      <c r="EB224" s="4">
        <f>HYPERLINK("http://exon.niaid.nih.gov/transcriptome/C_felis/S1/links/cluster/cf-5-36-asb70-50-Id-CLU4.txt", 4)</f>
        <v>4</v>
      </c>
      <c r="EC224">
        <f>HYPERLINK("http://exon.niaid.nih.gov/transcriptome/C_felis/S1/links/cluster/cf-5-36-asb70-50-Id-CLTL4.txt", 3)</f>
        <v>3</v>
      </c>
      <c r="ED224" s="4">
        <f>HYPERLINK("http://exon.niaid.nih.gov/transcriptome/C_felis/S1/links/cluster/cf-5-36-asb75-50-Id-CLU4.txt", 4)</f>
        <v>4</v>
      </c>
      <c r="EE224">
        <f>HYPERLINK("http://exon.niaid.nih.gov/transcriptome/C_felis/S1/links/cluster/cf-5-36-asb75-50-Id-CLTL4.txt", 3)</f>
        <v>3</v>
      </c>
      <c r="EF224" s="4">
        <f>HYPERLINK("http://exon.niaid.nih.gov/transcriptome/C_felis/S1/links/cluster/cf-5-36-asb80-50-Id-CLU4.txt", 4)</f>
        <v>4</v>
      </c>
      <c r="EG224">
        <f>HYPERLINK("http://exon.niaid.nih.gov/transcriptome/C_felis/S1/links/cluster/cf-5-36-asb80-50-Id-CLTL4.txt", 3)</f>
        <v>3</v>
      </c>
      <c r="EH224" s="4">
        <f>HYPERLINK("http://exon.niaid.nih.gov/transcriptome/C_felis/S1/links/cluster/cf-5-36-asb90-50-Id-CLU5.txt", 5)</f>
        <v>5</v>
      </c>
      <c r="EI224">
        <f>HYPERLINK("http://exon.niaid.nih.gov/transcriptome/C_felis/S1/links/cluster/cf-5-36-asb90-50-Id-CLTL5.txt", 2)</f>
        <v>2</v>
      </c>
      <c r="EJ224" s="4">
        <v>171</v>
      </c>
      <c r="EK224">
        <v>1</v>
      </c>
    </row>
    <row r="225" spans="1:141" x14ac:dyDescent="0.2">
      <c r="A225" t="str">
        <f>HYPERLINK("http://exon.niaid.nih.gov/transcriptome/C_felis/S1/links/cf/cf-contig_172.txt","cf-contig_172")</f>
        <v>cf-contig_172</v>
      </c>
      <c r="B225">
        <v>1</v>
      </c>
      <c r="C225" s="10" t="s">
        <v>4668</v>
      </c>
      <c r="D225">
        <v>1</v>
      </c>
      <c r="E225" t="str">
        <f>HYPERLINK("http://exon.niaid.nih.gov/transcriptome/C_felis/S1/links/cf/cf-5-36-asb-172.txt","Contig-172")</f>
        <v>Contig-172</v>
      </c>
      <c r="F225" t="str">
        <f>HYPERLINK("http://exon.niaid.nih.gov/transcriptome/C_felis/S1/links/cf/cf-5-36-172-CLU.txt","Contig172")</f>
        <v>Contig172</v>
      </c>
      <c r="G225" t="str">
        <f>HYPERLINK("http://exon.niaid.nih.gov/transcriptome/C_felis/S1/links/cf/cf-5-36-172-qual.txt","65.8")</f>
        <v>65.8</v>
      </c>
      <c r="H225" t="s">
        <v>11</v>
      </c>
      <c r="I225">
        <v>63.6</v>
      </c>
      <c r="J225">
        <v>577</v>
      </c>
      <c r="K225" t="s">
        <v>12</v>
      </c>
      <c r="L225">
        <v>1</v>
      </c>
      <c r="M225" t="s">
        <v>185</v>
      </c>
      <c r="N225">
        <v>577</v>
      </c>
      <c r="O225">
        <v>596</v>
      </c>
      <c r="P225">
        <v>543</v>
      </c>
      <c r="Q225" t="s">
        <v>992</v>
      </c>
      <c r="R225">
        <v>3</v>
      </c>
      <c r="S225" s="7" t="str">
        <f>HYPERLINK("http://exon.niaid.nih.gov/transcriptome/C_felis/S1/links/Sigp/CF-CONTIG_172-SigP.txt","Cyt")</f>
        <v>Cyt</v>
      </c>
      <c r="U225">
        <v>1</v>
      </c>
      <c r="V225" s="4">
        <f>HYPERLINK("http://exon.niaid.nih.gov/transcriptome/C_felis/S1/links/cluster/cf-5-36-asb30-50-Id-CLU23.txt", 23)</f>
        <v>23</v>
      </c>
      <c r="W225">
        <f>HYPERLINK("http://exon.niaid.nih.gov/transcriptome/C_felis/S1/links/cluster/cf-5-36-asb30-50-Id-CLTL23.txt", 3)</f>
        <v>3</v>
      </c>
      <c r="X225" s="4">
        <f>HYPERLINK("http://exon.niaid.nih.gov/transcriptome/C_felis/S1/links/cluster/cf-5-36-asb35-50-Id-CLU20.txt", 20)</f>
        <v>20</v>
      </c>
      <c r="Y225">
        <f>HYPERLINK("http://exon.niaid.nih.gov/transcriptome/C_felis/S1/links/cluster/cf-5-36-asb35-50-Id-CLTL20.txt", 3)</f>
        <v>3</v>
      </c>
      <c r="Z225" s="4">
        <f>HYPERLINK("http://exon.niaid.nih.gov/transcriptome/C_felis/S1/links/cluster/cf-5-36-asb40-50-Id-CLU19.txt", 19)</f>
        <v>19</v>
      </c>
      <c r="AA225">
        <f>HYPERLINK("http://exon.niaid.nih.gov/transcriptome/C_felis/S1/links/cluster/cf-5-36-asb40-50-Id-CLTL19.txt", 3)</f>
        <v>3</v>
      </c>
      <c r="AB225" s="4" t="str">
        <f>HYPERLINK("http://exon.niaid.nih.gov/transcriptome/C_felis/S1/links/XC-ASB/cf-contig_172-XC-ASB.txt","XC-contig_81")</f>
        <v>XC-contig_81</v>
      </c>
      <c r="AC225">
        <v>1.0000000000000001E-115</v>
      </c>
      <c r="AD225" s="10" t="s">
        <v>4668</v>
      </c>
      <c r="AE225" t="s">
        <v>4605</v>
      </c>
      <c r="AF225" t="str">
        <f>HYPERLINK("http://exon.niaid.nih.gov/transcriptome/C_felis/S1/links/KOG/cf-contig_172-KOG.txt","KOG")</f>
        <v>KOG</v>
      </c>
      <c r="AG225" s="5">
        <v>3.9999999999999997E-76</v>
      </c>
      <c r="AH225">
        <v>94.2</v>
      </c>
      <c r="AI225" s="4" t="str">
        <f>HYPERLINK("http://exon.niaid.nih.gov/transcriptome/C_felis/S1/links/NR/cf-contig_172-NR.txt","ribosomal protein S7")</f>
        <v>ribosomal protein S7</v>
      </c>
      <c r="AJ225" t="str">
        <f>HYPERLINK("http://www.ncbi.nlm.nih.gov/sutils/blink.cgi?pid=121512008","3E-092")</f>
        <v>3E-092</v>
      </c>
      <c r="AK225" t="str">
        <f>HYPERLINK("http://www.ncbi.nlm.nih.gov/protein/121512008","gi|121512008")</f>
        <v>gi|121512008</v>
      </c>
      <c r="AL225">
        <v>342</v>
      </c>
      <c r="AM225">
        <v>178</v>
      </c>
      <c r="AN225">
        <v>191</v>
      </c>
      <c r="AO225">
        <v>97</v>
      </c>
      <c r="AP225">
        <v>94</v>
      </c>
      <c r="AQ225">
        <v>4</v>
      </c>
      <c r="AR225">
        <v>0</v>
      </c>
      <c r="AS225">
        <v>13</v>
      </c>
      <c r="AT225">
        <v>9</v>
      </c>
      <c r="AU225">
        <v>1</v>
      </c>
      <c r="AV225">
        <v>3</v>
      </c>
      <c r="AW225" t="s">
        <v>12</v>
      </c>
      <c r="AY225" t="s">
        <v>1676</v>
      </c>
      <c r="AZ225" t="s">
        <v>1717</v>
      </c>
      <c r="BA225" s="4" t="str">
        <f>HYPERLINK("http://exon.niaid.nih.gov/transcriptome/C_felis/S1/links/SWISSP/cf-contig_172-SWISSP.txt","40S ribosomal protein S7")</f>
        <v>40S ribosomal protein S7</v>
      </c>
      <c r="BB225" t="str">
        <f>HYPERLINK("http://www.uniprot.org/uniprot/Q962S0","2E-084")</f>
        <v>2E-084</v>
      </c>
      <c r="BC225" t="s">
        <v>2318</v>
      </c>
      <c r="BD225">
        <v>311</v>
      </c>
      <c r="BE225">
        <v>178</v>
      </c>
      <c r="BF225">
        <v>190</v>
      </c>
      <c r="BG225">
        <v>87</v>
      </c>
      <c r="BH225">
        <v>94</v>
      </c>
      <c r="BI225">
        <v>23</v>
      </c>
      <c r="BJ225">
        <v>0</v>
      </c>
      <c r="BK225">
        <v>12</v>
      </c>
      <c r="BL225">
        <v>9</v>
      </c>
      <c r="BM225">
        <v>1</v>
      </c>
      <c r="BN225">
        <v>3</v>
      </c>
      <c r="BO225" t="s">
        <v>12</v>
      </c>
      <c r="BQ225" t="s">
        <v>1676</v>
      </c>
      <c r="BR225" t="s">
        <v>2031</v>
      </c>
      <c r="BS225" s="4" t="str">
        <f>HYPERLINK("http://exon.niaid.nih.gov/transcriptome/C_felis/S1/links/CDD/cf-contig_172-CDD.txt","Ribosomal_S7e")</f>
        <v>Ribosomal_S7e</v>
      </c>
      <c r="BT225" t="str">
        <f>HYPERLINK("http://www.ncbi.nlm.nih.gov/Structure/cdd/cddsrv.cgi?uid=pfam01251&amp;version=v4.0","2E-091")</f>
        <v>2E-091</v>
      </c>
      <c r="BU225" t="s">
        <v>2319</v>
      </c>
      <c r="BV225" s="4" t="s">
        <v>2316</v>
      </c>
      <c r="BW225">
        <f>HYPERLINK("http://exon.niaid.nih.gov/transcriptome/C_felis/S1/links/GO/cf-contig_172-GO.txt",2E-83)</f>
        <v>2.0000000000000001E-83</v>
      </c>
      <c r="BX225" t="str">
        <f t="shared" si="23"/>
        <v>GO:0003735</v>
      </c>
      <c r="BY225" t="s">
        <v>1929</v>
      </c>
      <c r="BZ225" t="s">
        <v>1930</v>
      </c>
      <c r="CA225" t="s">
        <v>1931</v>
      </c>
      <c r="CB225" t="s">
        <v>42</v>
      </c>
      <c r="CD225" s="5">
        <v>9.9999999999999993E-78</v>
      </c>
      <c r="CE225" t="str">
        <f t="shared" si="24"/>
        <v>GO:0022627</v>
      </c>
      <c r="CF225" t="s">
        <v>2034</v>
      </c>
      <c r="CG225" t="s">
        <v>2035</v>
      </c>
      <c r="CH225" t="s">
        <v>2036</v>
      </c>
      <c r="CI225" t="s">
        <v>42</v>
      </c>
      <c r="CK225" s="5">
        <v>9.9999999999999993E-78</v>
      </c>
      <c r="CL225" t="str">
        <f t="shared" si="25"/>
        <v>GO:0006412</v>
      </c>
      <c r="CM225" t="s">
        <v>1935</v>
      </c>
      <c r="CN225" t="s">
        <v>1936</v>
      </c>
      <c r="CO225" t="s">
        <v>1937</v>
      </c>
      <c r="CP225" t="s">
        <v>42</v>
      </c>
      <c r="CR225" s="5">
        <v>9.9999999999999993E-78</v>
      </c>
      <c r="CS225" s="4" t="str">
        <f>HYPERLINK("http://exon.niaid.nih.gov/transcriptome/C_felis/S1/links/KOG/cf-contig_172-KOG.txt","40S ribosomal protein S7")</f>
        <v>40S ribosomal protein S7</v>
      </c>
      <c r="CT225" t="str">
        <f>HYPERLINK("http://www.ncbi.nlm.nih.gov/COG/grace/shokog.cgi?KOG3320","4E-076")</f>
        <v>4E-076</v>
      </c>
      <c r="CU225" t="s">
        <v>1707</v>
      </c>
      <c r="CV225" s="4" t="str">
        <f>HYPERLINK("http://exon.niaid.nih.gov/transcriptome/C_felis/S1/links/PFAM/cf-contig_172-PFAM.txt","Ribosomal_S7e")</f>
        <v>Ribosomal_S7e</v>
      </c>
      <c r="CW225" t="str">
        <f>HYPERLINK("http://pfam.sanger.ac.uk/family?acc=PF01251","4E-092")</f>
        <v>4E-092</v>
      </c>
      <c r="CX225" s="4" t="str">
        <f>HYPERLINK("http://exon.niaid.nih.gov/transcriptome/C_felis/S1/links/SMART/cf-contig_172-SMART.txt","RNAse_Pc")</f>
        <v>RNAse_Pc</v>
      </c>
      <c r="CY225" t="str">
        <f>HYPERLINK("http://smart.embl-heidelberg.de/smart/do_annotation.pl?DOMAIN=RNAse_Pc&amp;BLAST=DUMMY","0.054")</f>
        <v>0.054</v>
      </c>
      <c r="CZ225" s="4" t="s">
        <v>42</v>
      </c>
      <c r="DA225" t="s">
        <v>42</v>
      </c>
      <c r="DB225" t="s">
        <v>42</v>
      </c>
      <c r="DC225" t="s">
        <v>42</v>
      </c>
      <c r="DD225" t="s">
        <v>42</v>
      </c>
      <c r="DE225" t="s">
        <v>42</v>
      </c>
      <c r="DF225" t="s">
        <v>42</v>
      </c>
      <c r="DG225" t="s">
        <v>42</v>
      </c>
      <c r="DH225" s="4" t="s">
        <v>42</v>
      </c>
      <c r="DI225" t="s">
        <v>42</v>
      </c>
      <c r="DJ225" s="4" t="s">
        <v>42</v>
      </c>
      <c r="DK225" t="s">
        <v>42</v>
      </c>
      <c r="DL225" s="4">
        <f>HYPERLINK("http://exon.niaid.nih.gov/transcriptome/C_felis/S1/links/cluster/cf-5-36-asb30-50-Id-CLU23.txt", 23)</f>
        <v>23</v>
      </c>
      <c r="DM225">
        <f>HYPERLINK("http://exon.niaid.nih.gov/transcriptome/C_felis/S1/links/cluster/cf-5-36-asb30-50-Id-CLTL23.txt", 3)</f>
        <v>3</v>
      </c>
      <c r="DN225" s="4">
        <f>HYPERLINK("http://exon.niaid.nih.gov/transcriptome/C_felis/S1/links/cluster/cf-5-36-asb35-50-Id-CLU20.txt", 20)</f>
        <v>20</v>
      </c>
      <c r="DO225">
        <f>HYPERLINK("http://exon.niaid.nih.gov/transcriptome/C_felis/S1/links/cluster/cf-5-36-asb35-50-Id-CLTL20.txt", 3)</f>
        <v>3</v>
      </c>
      <c r="DP225" s="4">
        <f>HYPERLINK("http://exon.niaid.nih.gov/transcriptome/C_felis/S1/links/cluster/cf-5-36-asb40-50-Id-CLU19.txt", 19)</f>
        <v>19</v>
      </c>
      <c r="DQ225">
        <f>HYPERLINK("http://exon.niaid.nih.gov/transcriptome/C_felis/S1/links/cluster/cf-5-36-asb40-50-Id-CLTL19.txt", 3)</f>
        <v>3</v>
      </c>
      <c r="DR225" s="4">
        <f>HYPERLINK("http://exon.niaid.nih.gov/transcriptome/C_felis/S1/links/cluster/cf-5-36-asb45-50-Id-CLU15.txt", 15)</f>
        <v>15</v>
      </c>
      <c r="DS225">
        <f>HYPERLINK("http://exon.niaid.nih.gov/transcriptome/C_felis/S1/links/cluster/cf-5-36-asb45-50-Id-CLTL15.txt", 3)</f>
        <v>3</v>
      </c>
      <c r="DT225" s="4">
        <f>HYPERLINK("http://exon.niaid.nih.gov/transcriptome/C_felis/S1/links/cluster/cf-5-36-asb50-50-Id-CLU11.txt", 11)</f>
        <v>11</v>
      </c>
      <c r="DU225">
        <f>HYPERLINK("http://exon.niaid.nih.gov/transcriptome/C_felis/S1/links/cluster/cf-5-36-asb50-50-Id-CLTL11.txt", 3)</f>
        <v>3</v>
      </c>
      <c r="DV225" s="4">
        <f>HYPERLINK("http://exon.niaid.nih.gov/transcriptome/C_felis/S1/links/cluster/cf-5-36-asb55-50-Id-CLU10.txt", 10)</f>
        <v>10</v>
      </c>
      <c r="DW225">
        <f>HYPERLINK("http://exon.niaid.nih.gov/transcriptome/C_felis/S1/links/cluster/cf-5-36-asb55-50-Id-CLTL10.txt", 3)</f>
        <v>3</v>
      </c>
      <c r="DX225" s="4">
        <f>HYPERLINK("http://exon.niaid.nih.gov/transcriptome/C_felis/S1/links/cluster/cf-5-36-asb60-50-Id-CLU8.txt", 8)</f>
        <v>8</v>
      </c>
      <c r="DY225">
        <f>HYPERLINK("http://exon.niaid.nih.gov/transcriptome/C_felis/S1/links/cluster/cf-5-36-asb60-50-Id-CLTL8.txt", 3)</f>
        <v>3</v>
      </c>
      <c r="DZ225" s="4">
        <f>HYPERLINK("http://exon.niaid.nih.gov/transcriptome/C_felis/S1/links/cluster/cf-5-36-asb65-50-Id-CLU5.txt", 5)</f>
        <v>5</v>
      </c>
      <c r="EA225">
        <f>HYPERLINK("http://exon.niaid.nih.gov/transcriptome/C_felis/S1/links/cluster/cf-5-36-asb65-50-Id-CLTL5.txt", 3)</f>
        <v>3</v>
      </c>
      <c r="EB225" s="4">
        <f>HYPERLINK("http://exon.niaid.nih.gov/transcriptome/C_felis/S1/links/cluster/cf-5-36-asb70-50-Id-CLU4.txt", 4)</f>
        <v>4</v>
      </c>
      <c r="EC225">
        <f>HYPERLINK("http://exon.niaid.nih.gov/transcriptome/C_felis/S1/links/cluster/cf-5-36-asb70-50-Id-CLTL4.txt", 3)</f>
        <v>3</v>
      </c>
      <c r="ED225" s="4">
        <f>HYPERLINK("http://exon.niaid.nih.gov/transcriptome/C_felis/S1/links/cluster/cf-5-36-asb75-50-Id-CLU4.txt", 4)</f>
        <v>4</v>
      </c>
      <c r="EE225">
        <f>HYPERLINK("http://exon.niaid.nih.gov/transcriptome/C_felis/S1/links/cluster/cf-5-36-asb75-50-Id-CLTL4.txt", 3)</f>
        <v>3</v>
      </c>
      <c r="EF225" s="4">
        <f>HYPERLINK("http://exon.niaid.nih.gov/transcriptome/C_felis/S1/links/cluster/cf-5-36-asb80-50-Id-CLU4.txt", 4)</f>
        <v>4</v>
      </c>
      <c r="EG225">
        <f>HYPERLINK("http://exon.niaid.nih.gov/transcriptome/C_felis/S1/links/cluster/cf-5-36-asb80-50-Id-CLTL4.txt", 3)</f>
        <v>3</v>
      </c>
      <c r="EH225" s="4">
        <v>167</v>
      </c>
      <c r="EI225">
        <v>1</v>
      </c>
      <c r="EJ225" s="4">
        <v>172</v>
      </c>
      <c r="EK225">
        <v>1</v>
      </c>
    </row>
    <row r="226" spans="1:141" x14ac:dyDescent="0.2">
      <c r="A226" t="str">
        <f>HYPERLINK("http://exon.niaid.nih.gov/transcriptome/C_felis/S1/links/cf/cf-contig_104.txt","cf-contig_104")</f>
        <v>cf-contig_104</v>
      </c>
      <c r="B226">
        <v>2</v>
      </c>
      <c r="C226" s="10" t="s">
        <v>4628</v>
      </c>
      <c r="D226">
        <v>2</v>
      </c>
      <c r="E226" t="str">
        <f>HYPERLINK("http://exon.niaid.nih.gov/transcriptome/C_felis/S1/links/cf/cf-5-36-asb-104.txt","Contig-104")</f>
        <v>Contig-104</v>
      </c>
      <c r="F226" t="str">
        <f>HYPERLINK("http://exon.niaid.nih.gov/transcriptome/C_felis/S1/links/cf/cf-5-36-104-CLU.txt","Contig104")</f>
        <v>Contig104</v>
      </c>
      <c r="G226" t="str">
        <f>HYPERLINK("http://exon.niaid.nih.gov/transcriptome/C_felis/S1/links/cf/cf-5-36-104-qual.txt","93.")</f>
        <v>93.</v>
      </c>
      <c r="H226" t="s">
        <v>11</v>
      </c>
      <c r="I226">
        <v>60.8</v>
      </c>
      <c r="J226">
        <v>619</v>
      </c>
      <c r="K226" t="s">
        <v>12</v>
      </c>
      <c r="L226">
        <v>2</v>
      </c>
      <c r="M226" t="s">
        <v>117</v>
      </c>
      <c r="N226">
        <v>645</v>
      </c>
      <c r="O226">
        <v>638</v>
      </c>
      <c r="P226">
        <v>561</v>
      </c>
      <c r="Q226" t="s">
        <v>924</v>
      </c>
      <c r="R226">
        <v>2</v>
      </c>
      <c r="S226" s="7" t="str">
        <f>HYPERLINK("http://exon.niaid.nih.gov/transcriptome/C_felis/S1/links/Sigp/CF-CONTIG_104-SigP.txt","Cyt")</f>
        <v>Cyt</v>
      </c>
      <c r="U226">
        <v>2</v>
      </c>
      <c r="V226" s="4">
        <f>HYPERLINK("http://exon.niaid.nih.gov/transcriptome/C_felis/S1/links/cluster/cf-5-36-asb30-50-Id-CLU17.txt", 17)</f>
        <v>17</v>
      </c>
      <c r="W226">
        <f>HYPERLINK("http://exon.niaid.nih.gov/transcriptome/C_felis/S1/links/cluster/cf-5-36-asb30-50-Id-CLTL17.txt", 3)</f>
        <v>3</v>
      </c>
      <c r="X226" s="4">
        <f>HYPERLINK("http://exon.niaid.nih.gov/transcriptome/C_felis/S1/links/cluster/cf-5-36-asb35-50-Id-CLU16.txt", 16)</f>
        <v>16</v>
      </c>
      <c r="Y226">
        <f>HYPERLINK("http://exon.niaid.nih.gov/transcriptome/C_felis/S1/links/cluster/cf-5-36-asb35-50-Id-CLTL16.txt", 3)</f>
        <v>3</v>
      </c>
      <c r="Z226" s="4">
        <f>HYPERLINK("http://exon.niaid.nih.gov/transcriptome/C_felis/S1/links/cluster/cf-5-36-asb40-50-Id-CLU15.txt", 15)</f>
        <v>15</v>
      </c>
      <c r="AA226">
        <f>HYPERLINK("http://exon.niaid.nih.gov/transcriptome/C_felis/S1/links/cluster/cf-5-36-asb40-50-Id-CLTL15.txt", 3)</f>
        <v>3</v>
      </c>
      <c r="AB226" s="4" t="str">
        <f>HYPERLINK("http://exon.niaid.nih.gov/transcriptome/C_felis/S1/links/XC-ASB/cf-contig_104-XC-ASB.txt","XC-contig_181")</f>
        <v>XC-contig_181</v>
      </c>
      <c r="AC226">
        <v>4.9999999999999998E-73</v>
      </c>
      <c r="AD226" s="10" t="s">
        <v>4628</v>
      </c>
      <c r="AE226" t="s">
        <v>4605</v>
      </c>
      <c r="AF226" t="str">
        <f>HYPERLINK("http://exon.niaid.nih.gov/transcriptome/C_felis/S1/links/KOG/cf-contig_104-KOG.txt","KOG")</f>
        <v>KOG</v>
      </c>
      <c r="AG226" s="5">
        <v>9.9999999999999996E-82</v>
      </c>
      <c r="AH226">
        <v>92</v>
      </c>
      <c r="AI226" s="4" t="str">
        <f>HYPERLINK("http://exon.niaid.nih.gov/transcriptome/C_felis/S1/links/NR/cf-contig_104-NR.txt","40S ribosomal protein S8 gi|18253055|gb|AAL62472.1| ribosomal protein S8")</f>
        <v>40S ribosomal protein S8 gi|18253055|gb|AAL62472.1| ribosomal protein S8</v>
      </c>
      <c r="AJ226" t="str">
        <f>HYPERLINK("http://www.ncbi.nlm.nih.gov/sutils/blink.cgi?pid=54039568","4E-087")</f>
        <v>4E-087</v>
      </c>
      <c r="AK226" t="str">
        <f>HYPERLINK("http://www.ncbi.nlm.nih.gov/protein/54039568","gi|54039568")</f>
        <v>gi|54039568</v>
      </c>
      <c r="AL226">
        <v>325</v>
      </c>
      <c r="AM226">
        <v>184</v>
      </c>
      <c r="AN226">
        <v>208</v>
      </c>
      <c r="AO226">
        <v>84</v>
      </c>
      <c r="AP226">
        <v>89</v>
      </c>
      <c r="AQ226">
        <v>28</v>
      </c>
      <c r="AR226">
        <v>0</v>
      </c>
      <c r="AS226">
        <v>24</v>
      </c>
      <c r="AT226">
        <v>8</v>
      </c>
      <c r="AU226">
        <v>1</v>
      </c>
      <c r="AV226">
        <v>2</v>
      </c>
      <c r="AW226" t="s">
        <v>12</v>
      </c>
      <c r="AY226" t="s">
        <v>1676</v>
      </c>
      <c r="AZ226" t="s">
        <v>2031</v>
      </c>
      <c r="BA226" s="4" t="str">
        <f>HYPERLINK("http://exon.niaid.nih.gov/transcriptome/C_felis/S1/links/SWISSP/cf-contig_104-SWISSP.txt","40S ribosomal protein S8")</f>
        <v>40S ribosomal protein S8</v>
      </c>
      <c r="BB226" t="str">
        <f>HYPERLINK("http://www.uniprot.org/uniprot/Q8WQI5","2E-088")</f>
        <v>2E-088</v>
      </c>
      <c r="BC226" t="s">
        <v>2067</v>
      </c>
      <c r="BD226">
        <v>325</v>
      </c>
      <c r="BE226">
        <v>184</v>
      </c>
      <c r="BF226">
        <v>208</v>
      </c>
      <c r="BG226">
        <v>84</v>
      </c>
      <c r="BH226">
        <v>89</v>
      </c>
      <c r="BI226">
        <v>28</v>
      </c>
      <c r="BJ226">
        <v>0</v>
      </c>
      <c r="BK226">
        <v>24</v>
      </c>
      <c r="BL226">
        <v>8</v>
      </c>
      <c r="BM226">
        <v>1</v>
      </c>
      <c r="BN226">
        <v>2</v>
      </c>
      <c r="BO226" t="s">
        <v>12</v>
      </c>
      <c r="BQ226" t="s">
        <v>1676</v>
      </c>
      <c r="BR226" t="s">
        <v>2031</v>
      </c>
      <c r="BS226" s="4" t="str">
        <f>HYPERLINK("http://exon.niaid.nih.gov/transcriptome/C_felis/S1/links/CDD/cf-contig_104-CDD.txt","PTZ00148")</f>
        <v>PTZ00148</v>
      </c>
      <c r="BT226" t="str">
        <f>HYPERLINK("http://www.ncbi.nlm.nih.gov/Structure/cdd/cddsrv.cgi?uid=PTZ00148&amp;version=v4.0","2E-088")</f>
        <v>2E-088</v>
      </c>
      <c r="BU226" t="s">
        <v>2068</v>
      </c>
      <c r="BV226" s="4" t="s">
        <v>2069</v>
      </c>
      <c r="BW226">
        <f>HYPERLINK("http://exon.niaid.nih.gov/transcriptome/C_felis/S1/links/GO/cf-contig_104-GO.txt",2E-82)</f>
        <v>1.9999999999999999E-82</v>
      </c>
      <c r="BX226" t="str">
        <f t="shared" si="23"/>
        <v>GO:0003735</v>
      </c>
      <c r="BY226" t="s">
        <v>1929</v>
      </c>
      <c r="BZ226" t="s">
        <v>1930</v>
      </c>
      <c r="CA226" t="s">
        <v>1931</v>
      </c>
      <c r="CB226" t="s">
        <v>42</v>
      </c>
      <c r="CD226" s="5">
        <v>1.9999999999999999E-82</v>
      </c>
      <c r="CE226" t="str">
        <f>HYPERLINK("http://amigo.geneontology.org/cgi-bin/amigo/term_details?term=GO:0005840","GO:0005840")</f>
        <v>GO:0005840</v>
      </c>
      <c r="CF226" t="s">
        <v>2070</v>
      </c>
      <c r="CG226" t="s">
        <v>2071</v>
      </c>
      <c r="CH226" t="s">
        <v>2072</v>
      </c>
      <c r="CI226" t="s">
        <v>42</v>
      </c>
      <c r="CK226" s="5">
        <v>1.9999999999999999E-82</v>
      </c>
      <c r="CL226" t="str">
        <f t="shared" si="25"/>
        <v>GO:0006412</v>
      </c>
      <c r="CM226" t="s">
        <v>1935</v>
      </c>
      <c r="CN226" t="s">
        <v>1936</v>
      </c>
      <c r="CO226" t="s">
        <v>1937</v>
      </c>
      <c r="CP226" t="s">
        <v>42</v>
      </c>
      <c r="CR226" s="5">
        <v>1.9999999999999999E-82</v>
      </c>
      <c r="CS226" s="4" t="str">
        <f>HYPERLINK("http://exon.niaid.nih.gov/transcriptome/C_felis/S1/links/KOG/cf-contig_104-KOG.txt","40S ribosomal protein S8")</f>
        <v>40S ribosomal protein S8</v>
      </c>
      <c r="CT226" t="str">
        <f>HYPERLINK("http://www.ncbi.nlm.nih.gov/COG/grace/shokog.cgi?KOG3283","1E-081")</f>
        <v>1E-081</v>
      </c>
      <c r="CU226" t="s">
        <v>1707</v>
      </c>
      <c r="CV226" s="4" t="str">
        <f>HYPERLINK("http://exon.niaid.nih.gov/transcriptome/C_felis/S1/links/PFAM/cf-contig_104-PFAM.txt","Ribosomal_S8e")</f>
        <v>Ribosomal_S8e</v>
      </c>
      <c r="CW226" t="str">
        <f>HYPERLINK("http://pfam.sanger.ac.uk/family?acc=PF01201","1E-042")</f>
        <v>1E-042</v>
      </c>
      <c r="CX226" s="4" t="str">
        <f>HYPERLINK("http://exon.niaid.nih.gov/transcriptome/C_felis/S1/links/SMART/cf-contig_104-SMART.txt","ArfGap")</f>
        <v>ArfGap</v>
      </c>
      <c r="CY226" t="str">
        <f>HYPERLINK("http://smart.embl-heidelberg.de/smart/do_annotation.pl?DOMAIN=ArfGap&amp;BLAST=DUMMY","0.32")</f>
        <v>0.32</v>
      </c>
      <c r="CZ226" s="4" t="s">
        <v>42</v>
      </c>
      <c r="DA226" t="s">
        <v>42</v>
      </c>
      <c r="DB226" t="s">
        <v>42</v>
      </c>
      <c r="DC226" t="s">
        <v>42</v>
      </c>
      <c r="DD226" t="s">
        <v>42</v>
      </c>
      <c r="DE226" t="s">
        <v>42</v>
      </c>
      <c r="DF226" t="s">
        <v>42</v>
      </c>
      <c r="DG226" t="s">
        <v>42</v>
      </c>
      <c r="DH226" s="4" t="s">
        <v>42</v>
      </c>
      <c r="DI226" t="s">
        <v>42</v>
      </c>
      <c r="DJ226" s="4" t="s">
        <v>42</v>
      </c>
      <c r="DK226" t="s">
        <v>42</v>
      </c>
      <c r="DL226" s="4">
        <f>HYPERLINK("http://exon.niaid.nih.gov/transcriptome/C_felis/S1/links/cluster/cf-5-36-asb30-50-Id-CLU17.txt", 17)</f>
        <v>17</v>
      </c>
      <c r="DM226">
        <f>HYPERLINK("http://exon.niaid.nih.gov/transcriptome/C_felis/S1/links/cluster/cf-5-36-asb30-50-Id-CLTL17.txt", 3)</f>
        <v>3</v>
      </c>
      <c r="DN226" s="4">
        <f>HYPERLINK("http://exon.niaid.nih.gov/transcriptome/C_felis/S1/links/cluster/cf-5-36-asb35-50-Id-CLU16.txt", 16)</f>
        <v>16</v>
      </c>
      <c r="DO226">
        <f>HYPERLINK("http://exon.niaid.nih.gov/transcriptome/C_felis/S1/links/cluster/cf-5-36-asb35-50-Id-CLTL16.txt", 3)</f>
        <v>3</v>
      </c>
      <c r="DP226" s="4">
        <f>HYPERLINK("http://exon.niaid.nih.gov/transcriptome/C_felis/S1/links/cluster/cf-5-36-asb40-50-Id-CLU15.txt", 15)</f>
        <v>15</v>
      </c>
      <c r="DQ226">
        <f>HYPERLINK("http://exon.niaid.nih.gov/transcriptome/C_felis/S1/links/cluster/cf-5-36-asb40-50-Id-CLTL15.txt", 3)</f>
        <v>3</v>
      </c>
      <c r="DR226" s="4">
        <f>HYPERLINK("http://exon.niaid.nih.gov/transcriptome/C_felis/S1/links/cluster/cf-5-36-asb45-50-Id-CLU13.txt", 13)</f>
        <v>13</v>
      </c>
      <c r="DS226">
        <f>HYPERLINK("http://exon.niaid.nih.gov/transcriptome/C_felis/S1/links/cluster/cf-5-36-asb45-50-Id-CLTL13.txt", 3)</f>
        <v>3</v>
      </c>
      <c r="DT226" s="4">
        <f>HYPERLINK("http://exon.niaid.nih.gov/transcriptome/C_felis/S1/links/cluster/cf-5-36-asb50-50-Id-CLU9.txt", 9)</f>
        <v>9</v>
      </c>
      <c r="DU226">
        <f>HYPERLINK("http://exon.niaid.nih.gov/transcriptome/C_felis/S1/links/cluster/cf-5-36-asb50-50-Id-CLTL9.txt", 3)</f>
        <v>3</v>
      </c>
      <c r="DV226" s="4">
        <f>HYPERLINK("http://exon.niaid.nih.gov/transcriptome/C_felis/S1/links/cluster/cf-5-36-asb55-50-Id-CLU9.txt", 9)</f>
        <v>9</v>
      </c>
      <c r="DW226">
        <f>HYPERLINK("http://exon.niaid.nih.gov/transcriptome/C_felis/S1/links/cluster/cf-5-36-asb55-50-Id-CLTL9.txt", 3)</f>
        <v>3</v>
      </c>
      <c r="DX226" s="4">
        <f>HYPERLINK("http://exon.niaid.nih.gov/transcriptome/C_felis/S1/links/cluster/cf-5-36-asb60-50-Id-CLU7.txt", 7)</f>
        <v>7</v>
      </c>
      <c r="DY226">
        <f>HYPERLINK("http://exon.niaid.nih.gov/transcriptome/C_felis/S1/links/cluster/cf-5-36-asb60-50-Id-CLTL7.txt", 3)</f>
        <v>3</v>
      </c>
      <c r="DZ226" s="4">
        <f>HYPERLINK("http://exon.niaid.nih.gov/transcriptome/C_felis/S1/links/cluster/cf-5-36-asb65-50-Id-CLU3.txt", 3)</f>
        <v>3</v>
      </c>
      <c r="EA226">
        <f>HYPERLINK("http://exon.niaid.nih.gov/transcriptome/C_felis/S1/links/cluster/cf-5-36-asb65-50-Id-CLTL3.txt", 3)</f>
        <v>3</v>
      </c>
      <c r="EB226" s="4">
        <f>HYPERLINK("http://exon.niaid.nih.gov/transcriptome/C_felis/S1/links/cluster/cf-5-36-asb70-50-Id-CLU3.txt", 3)</f>
        <v>3</v>
      </c>
      <c r="EC226">
        <f>HYPERLINK("http://exon.niaid.nih.gov/transcriptome/C_felis/S1/links/cluster/cf-5-36-asb70-50-Id-CLTL3.txt", 3)</f>
        <v>3</v>
      </c>
      <c r="ED226" s="4">
        <f>HYPERLINK("http://exon.niaid.nih.gov/transcriptome/C_felis/S1/links/cluster/cf-5-36-asb75-50-Id-CLU3.txt", 3)</f>
        <v>3</v>
      </c>
      <c r="EE226">
        <f>HYPERLINK("http://exon.niaid.nih.gov/transcriptome/C_felis/S1/links/cluster/cf-5-36-asb75-50-Id-CLTL3.txt", 3)</f>
        <v>3</v>
      </c>
      <c r="EF226" s="4">
        <f>HYPERLINK("http://exon.niaid.nih.gov/transcriptome/C_felis/S1/links/cluster/cf-5-36-asb80-50-Id-CLU3.txt", 3)</f>
        <v>3</v>
      </c>
      <c r="EG226">
        <f>HYPERLINK("http://exon.niaid.nih.gov/transcriptome/C_felis/S1/links/cluster/cf-5-36-asb80-50-Id-CLTL3.txt", 3)</f>
        <v>3</v>
      </c>
      <c r="EH226" s="4">
        <f>HYPERLINK("http://exon.niaid.nih.gov/transcriptome/C_felis/S1/links/cluster/cf-5-36-asb90-50-Id-CLU2.txt", 2)</f>
        <v>2</v>
      </c>
      <c r="EI226">
        <f>HYPERLINK("http://exon.niaid.nih.gov/transcriptome/C_felis/S1/links/cluster/cf-5-36-asb90-50-Id-CLTL2.txt", 3)</f>
        <v>3</v>
      </c>
      <c r="EJ226" s="4">
        <v>104</v>
      </c>
      <c r="EK226">
        <v>1</v>
      </c>
    </row>
    <row r="227" spans="1:141" x14ac:dyDescent="0.2">
      <c r="A227" t="str">
        <f>HYPERLINK("http://exon.niaid.nih.gov/transcriptome/C_felis/S1/links/cf/cf-contig_105.txt","cf-contig_105")</f>
        <v>cf-contig_105</v>
      </c>
      <c r="B227">
        <v>4</v>
      </c>
      <c r="C227" s="10" t="s">
        <v>4628</v>
      </c>
      <c r="D227">
        <v>4</v>
      </c>
      <c r="E227" t="str">
        <f>HYPERLINK("http://exon.niaid.nih.gov/transcriptome/C_felis/S1/links/cf/cf-5-36-asb-105.txt","Contig-105")</f>
        <v>Contig-105</v>
      </c>
      <c r="F227" t="str">
        <f>HYPERLINK("http://exon.niaid.nih.gov/transcriptome/C_felis/S1/links/cf/cf-5-36-105-CLU.txt","Contig105")</f>
        <v>Contig105</v>
      </c>
      <c r="G227" t="str">
        <f>HYPERLINK("http://exon.niaid.nih.gov/transcriptome/C_felis/S1/links/cf/cf-5-36-105-qual.txt","87.6")</f>
        <v>87.6</v>
      </c>
      <c r="H227" t="s">
        <v>11</v>
      </c>
      <c r="I227">
        <v>60.4</v>
      </c>
      <c r="J227">
        <v>647</v>
      </c>
      <c r="K227" t="s">
        <v>12</v>
      </c>
      <c r="L227">
        <v>4</v>
      </c>
      <c r="M227" t="s">
        <v>118</v>
      </c>
      <c r="N227">
        <v>656</v>
      </c>
      <c r="O227">
        <v>666</v>
      </c>
      <c r="P227">
        <v>588</v>
      </c>
      <c r="Q227" t="s">
        <v>925</v>
      </c>
      <c r="R227">
        <v>3</v>
      </c>
      <c r="S227" s="7" t="str">
        <f>HYPERLINK("http://exon.niaid.nih.gov/transcriptome/C_felis/S1/links/Sigp/CF-CONTIG_105-SigP.txt","Cyt")</f>
        <v>Cyt</v>
      </c>
      <c r="U227">
        <v>4</v>
      </c>
      <c r="V227" s="4">
        <f>HYPERLINK("http://exon.niaid.nih.gov/transcriptome/C_felis/S1/links/cluster/cf-5-36-asb30-50-Id-CLU17.txt", 17)</f>
        <v>17</v>
      </c>
      <c r="W227">
        <f>HYPERLINK("http://exon.niaid.nih.gov/transcriptome/C_felis/S1/links/cluster/cf-5-36-asb30-50-Id-CLTL17.txt", 3)</f>
        <v>3</v>
      </c>
      <c r="X227" s="4">
        <f>HYPERLINK("http://exon.niaid.nih.gov/transcriptome/C_felis/S1/links/cluster/cf-5-36-asb35-50-Id-CLU16.txt", 16)</f>
        <v>16</v>
      </c>
      <c r="Y227">
        <f>HYPERLINK("http://exon.niaid.nih.gov/transcriptome/C_felis/S1/links/cluster/cf-5-36-asb35-50-Id-CLTL16.txt", 3)</f>
        <v>3</v>
      </c>
      <c r="Z227" s="4">
        <f>HYPERLINK("http://exon.niaid.nih.gov/transcriptome/C_felis/S1/links/cluster/cf-5-36-asb40-50-Id-CLU15.txt", 15)</f>
        <v>15</v>
      </c>
      <c r="AA227">
        <f>HYPERLINK("http://exon.niaid.nih.gov/transcriptome/C_felis/S1/links/cluster/cf-5-36-asb40-50-Id-CLTL15.txt", 3)</f>
        <v>3</v>
      </c>
      <c r="AB227" s="4" t="str">
        <f>HYPERLINK("http://exon.niaid.nih.gov/transcriptome/C_felis/S1/links/XC-ASB/cf-contig_105-XC-ASB.txt","XC-contig_181")</f>
        <v>XC-contig_181</v>
      </c>
      <c r="AC227">
        <v>3.0000000000000001E-74</v>
      </c>
      <c r="AD227" s="10" t="s">
        <v>4628</v>
      </c>
      <c r="AE227" t="s">
        <v>4605</v>
      </c>
      <c r="AF227" t="str">
        <f>HYPERLINK("http://exon.niaid.nih.gov/transcriptome/C_felis/S1/links/KOG/cf-contig_105-KOG.txt","KOG")</f>
        <v>KOG</v>
      </c>
      <c r="AG227" s="5">
        <v>7.0000000000000002E-87</v>
      </c>
      <c r="AH227">
        <v>97</v>
      </c>
      <c r="AI227" s="4" t="str">
        <f>HYPERLINK("http://exon.niaid.nih.gov/transcriptome/C_felis/S1/links/NR/cf-contig_105-NR.txt","40S ribosomal protein S8")</f>
        <v>40S ribosomal protein S8</v>
      </c>
      <c r="AJ227" t="str">
        <f>HYPERLINK("http://www.ncbi.nlm.nih.gov/sutils/blink.cgi?pid=307203914","1E-093")</f>
        <v>1E-093</v>
      </c>
      <c r="AK227" t="str">
        <f>HYPERLINK("http://www.ncbi.nlm.nih.gov/protein/307203914","gi|307203914")</f>
        <v>gi|307203914</v>
      </c>
      <c r="AL227">
        <v>347</v>
      </c>
      <c r="AM227">
        <v>193</v>
      </c>
      <c r="AN227">
        <v>202</v>
      </c>
      <c r="AO227">
        <v>88</v>
      </c>
      <c r="AP227">
        <v>96</v>
      </c>
      <c r="AQ227">
        <v>23</v>
      </c>
      <c r="AR227">
        <v>0</v>
      </c>
      <c r="AS227">
        <v>9</v>
      </c>
      <c r="AT227">
        <v>9</v>
      </c>
      <c r="AU227">
        <v>1</v>
      </c>
      <c r="AV227">
        <v>3</v>
      </c>
      <c r="AW227" t="s">
        <v>12</v>
      </c>
      <c r="AY227" t="s">
        <v>1676</v>
      </c>
      <c r="AZ227" t="s">
        <v>1712</v>
      </c>
      <c r="BA227" s="4" t="str">
        <f>HYPERLINK("http://exon.niaid.nih.gov/transcriptome/C_felis/S1/links/SWISSP/cf-contig_105-SWISSP.txt","40S ribosomal protein S8")</f>
        <v>40S ribosomal protein S8</v>
      </c>
      <c r="BB227" t="str">
        <f>HYPERLINK("http://www.uniprot.org/uniprot/Q8WQI5","9E-095")</f>
        <v>9E-095</v>
      </c>
      <c r="BC227" t="s">
        <v>2067</v>
      </c>
      <c r="BD227">
        <v>346</v>
      </c>
      <c r="BE227">
        <v>193</v>
      </c>
      <c r="BF227">
        <v>208</v>
      </c>
      <c r="BG227">
        <v>86</v>
      </c>
      <c r="BH227">
        <v>93</v>
      </c>
      <c r="BI227">
        <v>27</v>
      </c>
      <c r="BJ227">
        <v>0</v>
      </c>
      <c r="BK227">
        <v>15</v>
      </c>
      <c r="BL227">
        <v>9</v>
      </c>
      <c r="BM227">
        <v>1</v>
      </c>
      <c r="BN227">
        <v>3</v>
      </c>
      <c r="BO227" t="s">
        <v>12</v>
      </c>
      <c r="BQ227" t="s">
        <v>1676</v>
      </c>
      <c r="BR227" t="s">
        <v>2031</v>
      </c>
      <c r="BS227" s="4" t="str">
        <f>HYPERLINK("http://exon.niaid.nih.gov/transcriptome/C_felis/S1/links/CDD/cf-contig_105-CDD.txt","PTZ00148")</f>
        <v>PTZ00148</v>
      </c>
      <c r="BT227" t="str">
        <f>HYPERLINK("http://www.ncbi.nlm.nih.gov/Structure/cdd/cddsrv.cgi?uid=PTZ00148&amp;version=v4.0","1E-093")</f>
        <v>1E-093</v>
      </c>
      <c r="BU227" t="s">
        <v>2073</v>
      </c>
      <c r="BV227" s="4" t="s">
        <v>2069</v>
      </c>
      <c r="BW227">
        <f>HYPERLINK("http://exon.niaid.nih.gov/transcriptome/C_felis/S1/links/GO/cf-contig_105-GO.txt",1E-88)</f>
        <v>9.9999999999999993E-89</v>
      </c>
      <c r="BX227" t="str">
        <f t="shared" si="23"/>
        <v>GO:0003735</v>
      </c>
      <c r="BY227" t="s">
        <v>1929</v>
      </c>
      <c r="BZ227" t="s">
        <v>1930</v>
      </c>
      <c r="CA227" t="s">
        <v>1931</v>
      </c>
      <c r="CB227" t="s">
        <v>42</v>
      </c>
      <c r="CD227" s="5">
        <v>9.9999999999999993E-89</v>
      </c>
      <c r="CE227" t="str">
        <f>HYPERLINK("http://amigo.geneontology.org/cgi-bin/amigo/term_details?term=GO:0005840","GO:0005840")</f>
        <v>GO:0005840</v>
      </c>
      <c r="CF227" t="s">
        <v>2070</v>
      </c>
      <c r="CG227" t="s">
        <v>2071</v>
      </c>
      <c r="CH227" t="s">
        <v>2072</v>
      </c>
      <c r="CI227" t="s">
        <v>42</v>
      </c>
      <c r="CK227" s="5">
        <v>9.9999999999999993E-89</v>
      </c>
      <c r="CL227" t="str">
        <f t="shared" si="25"/>
        <v>GO:0006412</v>
      </c>
      <c r="CM227" t="s">
        <v>1935</v>
      </c>
      <c r="CN227" t="s">
        <v>1936</v>
      </c>
      <c r="CO227" t="s">
        <v>1937</v>
      </c>
      <c r="CP227" t="s">
        <v>42</v>
      </c>
      <c r="CR227" s="5">
        <v>9.9999999999999993E-89</v>
      </c>
      <c r="CS227" s="4" t="str">
        <f>HYPERLINK("http://exon.niaid.nih.gov/transcriptome/C_felis/S1/links/KOG/cf-contig_105-KOG.txt","40S ribosomal protein S8")</f>
        <v>40S ribosomal protein S8</v>
      </c>
      <c r="CT227" t="str">
        <f>HYPERLINK("http://www.ncbi.nlm.nih.gov/COG/grace/shokog.cgi?KOG3283","7E-087")</f>
        <v>7E-087</v>
      </c>
      <c r="CU227" t="s">
        <v>1707</v>
      </c>
      <c r="CV227" s="4" t="str">
        <f>HYPERLINK("http://exon.niaid.nih.gov/transcriptome/C_felis/S1/links/PFAM/cf-contig_105-PFAM.txt","Ribosomal_S8e")</f>
        <v>Ribosomal_S8e</v>
      </c>
      <c r="CW227" t="str">
        <f>HYPERLINK("http://pfam.sanger.ac.uk/family?acc=PF01201","8E-048")</f>
        <v>8E-048</v>
      </c>
      <c r="CX227" s="4" t="str">
        <f>HYPERLINK("http://exon.niaid.nih.gov/transcriptome/C_felis/S1/links/SMART/cf-contig_105-SMART.txt","ArfGap")</f>
        <v>ArfGap</v>
      </c>
      <c r="CY227" t="str">
        <f>HYPERLINK("http://smart.embl-heidelberg.de/smart/do_annotation.pl?DOMAIN=ArfGap&amp;BLAST=DUMMY","0.13")</f>
        <v>0.13</v>
      </c>
      <c r="CZ227" s="4" t="s">
        <v>42</v>
      </c>
      <c r="DA227" t="s">
        <v>42</v>
      </c>
      <c r="DB227" t="s">
        <v>42</v>
      </c>
      <c r="DC227" t="s">
        <v>42</v>
      </c>
      <c r="DD227" t="s">
        <v>42</v>
      </c>
      <c r="DE227" t="s">
        <v>42</v>
      </c>
      <c r="DF227" t="s">
        <v>42</v>
      </c>
      <c r="DG227" t="s">
        <v>42</v>
      </c>
      <c r="DH227" s="4" t="s">
        <v>42</v>
      </c>
      <c r="DI227" t="s">
        <v>42</v>
      </c>
      <c r="DJ227" s="4" t="s">
        <v>42</v>
      </c>
      <c r="DK227" t="s">
        <v>42</v>
      </c>
      <c r="DL227" s="4">
        <f>HYPERLINK("http://exon.niaid.nih.gov/transcriptome/C_felis/S1/links/cluster/cf-5-36-asb30-50-Id-CLU17.txt", 17)</f>
        <v>17</v>
      </c>
      <c r="DM227">
        <f>HYPERLINK("http://exon.niaid.nih.gov/transcriptome/C_felis/S1/links/cluster/cf-5-36-asb30-50-Id-CLTL17.txt", 3)</f>
        <v>3</v>
      </c>
      <c r="DN227" s="4">
        <f>HYPERLINK("http://exon.niaid.nih.gov/transcriptome/C_felis/S1/links/cluster/cf-5-36-asb35-50-Id-CLU16.txt", 16)</f>
        <v>16</v>
      </c>
      <c r="DO227">
        <f>HYPERLINK("http://exon.niaid.nih.gov/transcriptome/C_felis/S1/links/cluster/cf-5-36-asb35-50-Id-CLTL16.txt", 3)</f>
        <v>3</v>
      </c>
      <c r="DP227" s="4">
        <f>HYPERLINK("http://exon.niaid.nih.gov/transcriptome/C_felis/S1/links/cluster/cf-5-36-asb40-50-Id-CLU15.txt", 15)</f>
        <v>15</v>
      </c>
      <c r="DQ227">
        <f>HYPERLINK("http://exon.niaid.nih.gov/transcriptome/C_felis/S1/links/cluster/cf-5-36-asb40-50-Id-CLTL15.txt", 3)</f>
        <v>3</v>
      </c>
      <c r="DR227" s="4">
        <f>HYPERLINK("http://exon.niaid.nih.gov/transcriptome/C_felis/S1/links/cluster/cf-5-36-asb45-50-Id-CLU13.txt", 13)</f>
        <v>13</v>
      </c>
      <c r="DS227">
        <f>HYPERLINK("http://exon.niaid.nih.gov/transcriptome/C_felis/S1/links/cluster/cf-5-36-asb45-50-Id-CLTL13.txt", 3)</f>
        <v>3</v>
      </c>
      <c r="DT227" s="4">
        <f>HYPERLINK("http://exon.niaid.nih.gov/transcriptome/C_felis/S1/links/cluster/cf-5-36-asb50-50-Id-CLU9.txt", 9)</f>
        <v>9</v>
      </c>
      <c r="DU227">
        <f>HYPERLINK("http://exon.niaid.nih.gov/transcriptome/C_felis/S1/links/cluster/cf-5-36-asb50-50-Id-CLTL9.txt", 3)</f>
        <v>3</v>
      </c>
      <c r="DV227" s="4">
        <f>HYPERLINK("http://exon.niaid.nih.gov/transcriptome/C_felis/S1/links/cluster/cf-5-36-asb55-50-Id-CLU9.txt", 9)</f>
        <v>9</v>
      </c>
      <c r="DW227">
        <f>HYPERLINK("http://exon.niaid.nih.gov/transcriptome/C_felis/S1/links/cluster/cf-5-36-asb55-50-Id-CLTL9.txt", 3)</f>
        <v>3</v>
      </c>
      <c r="DX227" s="4">
        <f>HYPERLINK("http://exon.niaid.nih.gov/transcriptome/C_felis/S1/links/cluster/cf-5-36-asb60-50-Id-CLU7.txt", 7)</f>
        <v>7</v>
      </c>
      <c r="DY227">
        <f>HYPERLINK("http://exon.niaid.nih.gov/transcriptome/C_felis/S1/links/cluster/cf-5-36-asb60-50-Id-CLTL7.txt", 3)</f>
        <v>3</v>
      </c>
      <c r="DZ227" s="4">
        <f>HYPERLINK("http://exon.niaid.nih.gov/transcriptome/C_felis/S1/links/cluster/cf-5-36-asb65-50-Id-CLU3.txt", 3)</f>
        <v>3</v>
      </c>
      <c r="EA227">
        <f>HYPERLINK("http://exon.niaid.nih.gov/transcriptome/C_felis/S1/links/cluster/cf-5-36-asb65-50-Id-CLTL3.txt", 3)</f>
        <v>3</v>
      </c>
      <c r="EB227" s="4">
        <f>HYPERLINK("http://exon.niaid.nih.gov/transcriptome/C_felis/S1/links/cluster/cf-5-36-asb70-50-Id-CLU3.txt", 3)</f>
        <v>3</v>
      </c>
      <c r="EC227">
        <f>HYPERLINK("http://exon.niaid.nih.gov/transcriptome/C_felis/S1/links/cluster/cf-5-36-asb70-50-Id-CLTL3.txt", 3)</f>
        <v>3</v>
      </c>
      <c r="ED227" s="4">
        <f>HYPERLINK("http://exon.niaid.nih.gov/transcriptome/C_felis/S1/links/cluster/cf-5-36-asb75-50-Id-CLU3.txt", 3)</f>
        <v>3</v>
      </c>
      <c r="EE227">
        <f>HYPERLINK("http://exon.niaid.nih.gov/transcriptome/C_felis/S1/links/cluster/cf-5-36-asb75-50-Id-CLTL3.txt", 3)</f>
        <v>3</v>
      </c>
      <c r="EF227" s="4">
        <f>HYPERLINK("http://exon.niaid.nih.gov/transcriptome/C_felis/S1/links/cluster/cf-5-36-asb80-50-Id-CLU3.txt", 3)</f>
        <v>3</v>
      </c>
      <c r="EG227">
        <f>HYPERLINK("http://exon.niaid.nih.gov/transcriptome/C_felis/S1/links/cluster/cf-5-36-asb80-50-Id-CLTL3.txt", 3)</f>
        <v>3</v>
      </c>
      <c r="EH227" s="4">
        <f>HYPERLINK("http://exon.niaid.nih.gov/transcriptome/C_felis/S1/links/cluster/cf-5-36-asb90-50-Id-CLU2.txt", 2)</f>
        <v>2</v>
      </c>
      <c r="EI227">
        <f>HYPERLINK("http://exon.niaid.nih.gov/transcriptome/C_felis/S1/links/cluster/cf-5-36-asb90-50-Id-CLTL2.txt", 3)</f>
        <v>3</v>
      </c>
      <c r="EJ227" s="4">
        <v>105</v>
      </c>
      <c r="EK227">
        <v>1</v>
      </c>
    </row>
    <row r="228" spans="1:141" x14ac:dyDescent="0.2">
      <c r="A228" t="str">
        <f>HYPERLINK("http://exon.niaid.nih.gov/transcriptome/C_felis/S1/links/cf/cf-contig_106.txt","cf-contig_106")</f>
        <v>cf-contig_106</v>
      </c>
      <c r="B228">
        <v>1</v>
      </c>
      <c r="C228" s="10" t="s">
        <v>4628</v>
      </c>
      <c r="D228">
        <v>1</v>
      </c>
      <c r="E228" t="str">
        <f>HYPERLINK("http://exon.niaid.nih.gov/transcriptome/C_felis/S1/links/cf/cf-5-36-asb-106.txt","Contig-106")</f>
        <v>Contig-106</v>
      </c>
      <c r="F228" t="str">
        <f>HYPERLINK("http://exon.niaid.nih.gov/transcriptome/C_felis/S1/links/cf/cf-5-36-106-CLU.txt","Contig106")</f>
        <v>Contig106</v>
      </c>
      <c r="G228" t="str">
        <f>HYPERLINK("http://exon.niaid.nih.gov/transcriptome/C_felis/S1/links/cf/cf-5-36-106-qual.txt","65.7")</f>
        <v>65.7</v>
      </c>
      <c r="H228" t="s">
        <v>11</v>
      </c>
      <c r="I228">
        <v>60.2</v>
      </c>
      <c r="J228">
        <v>642</v>
      </c>
      <c r="K228" t="s">
        <v>12</v>
      </c>
      <c r="L228">
        <v>1</v>
      </c>
      <c r="M228" t="s">
        <v>119</v>
      </c>
      <c r="N228">
        <v>642</v>
      </c>
      <c r="O228">
        <v>661</v>
      </c>
      <c r="P228">
        <v>585</v>
      </c>
      <c r="Q228" t="s">
        <v>926</v>
      </c>
      <c r="R228">
        <v>2</v>
      </c>
      <c r="S228" s="7" t="str">
        <f>HYPERLINK("http://exon.niaid.nih.gov/transcriptome/C_felis/S1/links/Sigp/CF-CONTIG_106-SigP.txt","Cyt")</f>
        <v>Cyt</v>
      </c>
      <c r="U228">
        <v>1</v>
      </c>
      <c r="V228" s="4">
        <f>HYPERLINK("http://exon.niaid.nih.gov/transcriptome/C_felis/S1/links/cluster/cf-5-36-asb30-50-Id-CLU17.txt", 17)</f>
        <v>17</v>
      </c>
      <c r="W228">
        <f>HYPERLINK("http://exon.niaid.nih.gov/transcriptome/C_felis/S1/links/cluster/cf-5-36-asb30-50-Id-CLTL17.txt", 3)</f>
        <v>3</v>
      </c>
      <c r="X228" s="4">
        <f>HYPERLINK("http://exon.niaid.nih.gov/transcriptome/C_felis/S1/links/cluster/cf-5-36-asb35-50-Id-CLU16.txt", 16)</f>
        <v>16</v>
      </c>
      <c r="Y228">
        <f>HYPERLINK("http://exon.niaid.nih.gov/transcriptome/C_felis/S1/links/cluster/cf-5-36-asb35-50-Id-CLTL16.txt", 3)</f>
        <v>3</v>
      </c>
      <c r="Z228" s="4">
        <f>HYPERLINK("http://exon.niaid.nih.gov/transcriptome/C_felis/S1/links/cluster/cf-5-36-asb40-50-Id-CLU15.txt", 15)</f>
        <v>15</v>
      </c>
      <c r="AA228">
        <f>HYPERLINK("http://exon.niaid.nih.gov/transcriptome/C_felis/S1/links/cluster/cf-5-36-asb40-50-Id-CLTL15.txt", 3)</f>
        <v>3</v>
      </c>
      <c r="AB228" s="4" t="str">
        <f>HYPERLINK("http://exon.niaid.nih.gov/transcriptome/C_felis/S1/links/XC-ASB/cf-contig_106-XC-ASB.txt","XC-contig_181")</f>
        <v>XC-contig_181</v>
      </c>
      <c r="AC228">
        <v>4.9999999999999998E-73</v>
      </c>
      <c r="AD228" s="10" t="s">
        <v>4628</v>
      </c>
      <c r="AE228" t="s">
        <v>4605</v>
      </c>
      <c r="AF228" t="str">
        <f>HYPERLINK("http://exon.niaid.nih.gov/transcriptome/C_felis/S1/links/KOG/cf-contig_106-KOG.txt","KOG")</f>
        <v>KOG</v>
      </c>
      <c r="AG228" s="5">
        <v>2.0000000000000001E-83</v>
      </c>
      <c r="AH228">
        <v>97</v>
      </c>
      <c r="AI228" s="4" t="str">
        <f>HYPERLINK("http://exon.niaid.nih.gov/transcriptome/C_felis/S1/links/NR/cf-contig_106-NR.txt","ribosomal protein S8e")</f>
        <v>ribosomal protein S8e</v>
      </c>
      <c r="AJ228" t="str">
        <f>HYPERLINK("http://www.ncbi.nlm.nih.gov/sutils/blink.cgi?pid=70909499","8E-091")</f>
        <v>8E-091</v>
      </c>
      <c r="AK228" t="str">
        <f>HYPERLINK("http://www.ncbi.nlm.nih.gov/protein/70909499","gi|70909499")</f>
        <v>gi|70909499</v>
      </c>
      <c r="AL228">
        <v>337</v>
      </c>
      <c r="AM228">
        <v>193</v>
      </c>
      <c r="AN228">
        <v>201</v>
      </c>
      <c r="AO228">
        <v>85</v>
      </c>
      <c r="AP228">
        <v>97</v>
      </c>
      <c r="AQ228">
        <v>28</v>
      </c>
      <c r="AR228">
        <v>0</v>
      </c>
      <c r="AS228">
        <v>8</v>
      </c>
      <c r="AT228">
        <v>5</v>
      </c>
      <c r="AU228">
        <v>1</v>
      </c>
      <c r="AV228">
        <v>2</v>
      </c>
      <c r="AW228" t="s">
        <v>12</v>
      </c>
      <c r="AY228" t="s">
        <v>1676</v>
      </c>
      <c r="AZ228" t="s">
        <v>2029</v>
      </c>
      <c r="BA228" s="4" t="str">
        <f>HYPERLINK("http://exon.niaid.nih.gov/transcriptome/C_felis/S1/links/SWISSP/cf-contig_106-SWISSP.txt","40S ribosomal protein S8")</f>
        <v>40S ribosomal protein S8</v>
      </c>
      <c r="BB228" t="str">
        <f>HYPERLINK("http://www.uniprot.org/uniprot/Q8WQI5","6E-091")</f>
        <v>6E-091</v>
      </c>
      <c r="BC228" t="s">
        <v>2067</v>
      </c>
      <c r="BD228">
        <v>333</v>
      </c>
      <c r="BE228">
        <v>193</v>
      </c>
      <c r="BF228">
        <v>208</v>
      </c>
      <c r="BG228">
        <v>83</v>
      </c>
      <c r="BH228">
        <v>93</v>
      </c>
      <c r="BI228">
        <v>32</v>
      </c>
      <c r="BJ228">
        <v>0</v>
      </c>
      <c r="BK228">
        <v>15</v>
      </c>
      <c r="BL228">
        <v>5</v>
      </c>
      <c r="BM228">
        <v>1</v>
      </c>
      <c r="BN228">
        <v>2</v>
      </c>
      <c r="BO228" t="s">
        <v>12</v>
      </c>
      <c r="BQ228" t="s">
        <v>1676</v>
      </c>
      <c r="BR228" t="s">
        <v>2031</v>
      </c>
      <c r="BS228" s="4" t="str">
        <f>HYPERLINK("http://exon.niaid.nih.gov/transcriptome/C_felis/S1/links/CDD/cf-contig_106-CDD.txt","PTZ00148")</f>
        <v>PTZ00148</v>
      </c>
      <c r="BT228" t="str">
        <f>HYPERLINK("http://www.ncbi.nlm.nih.gov/Structure/cdd/cddsrv.cgi?uid=PTZ00148&amp;version=v4.0","1E-089")</f>
        <v>1E-089</v>
      </c>
      <c r="BU228" t="s">
        <v>2074</v>
      </c>
      <c r="BV228" s="4" t="s">
        <v>2069</v>
      </c>
      <c r="BW228">
        <f>HYPERLINK("http://exon.niaid.nih.gov/transcriptome/C_felis/S1/links/GO/cf-contig_106-GO.txt",7E-85)</f>
        <v>6.9999999999999996E-85</v>
      </c>
      <c r="BX228" t="str">
        <f t="shared" si="23"/>
        <v>GO:0003735</v>
      </c>
      <c r="BY228" t="s">
        <v>1929</v>
      </c>
      <c r="BZ228" t="s">
        <v>1930</v>
      </c>
      <c r="CA228" t="s">
        <v>1931</v>
      </c>
      <c r="CB228" t="s">
        <v>42</v>
      </c>
      <c r="CD228" s="5">
        <v>6.9999999999999996E-85</v>
      </c>
      <c r="CE228" t="str">
        <f>HYPERLINK("http://amigo.geneontology.org/cgi-bin/amigo/term_details?term=GO:0005840","GO:0005840")</f>
        <v>GO:0005840</v>
      </c>
      <c r="CF228" t="s">
        <v>2070</v>
      </c>
      <c r="CG228" t="s">
        <v>2071</v>
      </c>
      <c r="CH228" t="s">
        <v>2072</v>
      </c>
      <c r="CI228" t="s">
        <v>42</v>
      </c>
      <c r="CK228" s="5">
        <v>6.9999999999999996E-85</v>
      </c>
      <c r="CL228" t="str">
        <f t="shared" si="25"/>
        <v>GO:0006412</v>
      </c>
      <c r="CM228" t="s">
        <v>1935</v>
      </c>
      <c r="CN228" t="s">
        <v>1936</v>
      </c>
      <c r="CO228" t="s">
        <v>1937</v>
      </c>
      <c r="CP228" t="s">
        <v>42</v>
      </c>
      <c r="CR228" s="5">
        <v>6.9999999999999996E-85</v>
      </c>
      <c r="CS228" s="4" t="str">
        <f>HYPERLINK("http://exon.niaid.nih.gov/transcriptome/C_felis/S1/links/KOG/cf-contig_106-KOG.txt","40S ribosomal protein S8")</f>
        <v>40S ribosomal protein S8</v>
      </c>
      <c r="CT228" t="str">
        <f>HYPERLINK("http://www.ncbi.nlm.nih.gov/COG/grace/shokog.cgi?KOG3283","2E-083")</f>
        <v>2E-083</v>
      </c>
      <c r="CU228" t="s">
        <v>1707</v>
      </c>
      <c r="CV228" s="4" t="str">
        <f>HYPERLINK("http://exon.niaid.nih.gov/transcriptome/C_felis/S1/links/PFAM/cf-contig_106-PFAM.txt","Ribosomal_S8e")</f>
        <v>Ribosomal_S8e</v>
      </c>
      <c r="CW228" t="str">
        <f>HYPERLINK("http://pfam.sanger.ac.uk/family?acc=PF01201","2E-044")</f>
        <v>2E-044</v>
      </c>
      <c r="CX228" s="4" t="str">
        <f>HYPERLINK("http://exon.niaid.nih.gov/transcriptome/C_felis/S1/links/SMART/cf-contig_106-SMART.txt","ArfGap")</f>
        <v>ArfGap</v>
      </c>
      <c r="CY228" t="str">
        <f>HYPERLINK("http://smart.embl-heidelberg.de/smart/do_annotation.pl?DOMAIN=ArfGap&amp;BLAST=DUMMY","0.13")</f>
        <v>0.13</v>
      </c>
      <c r="CZ228" s="4" t="s">
        <v>42</v>
      </c>
      <c r="DA228" t="s">
        <v>42</v>
      </c>
      <c r="DB228" t="s">
        <v>42</v>
      </c>
      <c r="DC228" t="s">
        <v>42</v>
      </c>
      <c r="DD228" t="s">
        <v>42</v>
      </c>
      <c r="DE228" t="s">
        <v>42</v>
      </c>
      <c r="DF228" t="s">
        <v>42</v>
      </c>
      <c r="DG228" t="s">
        <v>42</v>
      </c>
      <c r="DH228" s="4" t="s">
        <v>42</v>
      </c>
      <c r="DI228" t="s">
        <v>42</v>
      </c>
      <c r="DJ228" s="4" t="s">
        <v>42</v>
      </c>
      <c r="DK228" t="s">
        <v>42</v>
      </c>
      <c r="DL228" s="4">
        <f>HYPERLINK("http://exon.niaid.nih.gov/transcriptome/C_felis/S1/links/cluster/cf-5-36-asb30-50-Id-CLU17.txt", 17)</f>
        <v>17</v>
      </c>
      <c r="DM228">
        <f>HYPERLINK("http://exon.niaid.nih.gov/transcriptome/C_felis/S1/links/cluster/cf-5-36-asb30-50-Id-CLTL17.txt", 3)</f>
        <v>3</v>
      </c>
      <c r="DN228" s="4">
        <f>HYPERLINK("http://exon.niaid.nih.gov/transcriptome/C_felis/S1/links/cluster/cf-5-36-asb35-50-Id-CLU16.txt", 16)</f>
        <v>16</v>
      </c>
      <c r="DO228">
        <f>HYPERLINK("http://exon.niaid.nih.gov/transcriptome/C_felis/S1/links/cluster/cf-5-36-asb35-50-Id-CLTL16.txt", 3)</f>
        <v>3</v>
      </c>
      <c r="DP228" s="4">
        <f>HYPERLINK("http://exon.niaid.nih.gov/transcriptome/C_felis/S1/links/cluster/cf-5-36-asb40-50-Id-CLU15.txt", 15)</f>
        <v>15</v>
      </c>
      <c r="DQ228">
        <f>HYPERLINK("http://exon.niaid.nih.gov/transcriptome/C_felis/S1/links/cluster/cf-5-36-asb40-50-Id-CLTL15.txt", 3)</f>
        <v>3</v>
      </c>
      <c r="DR228" s="4">
        <f>HYPERLINK("http://exon.niaid.nih.gov/transcriptome/C_felis/S1/links/cluster/cf-5-36-asb45-50-Id-CLU13.txt", 13)</f>
        <v>13</v>
      </c>
      <c r="DS228">
        <f>HYPERLINK("http://exon.niaid.nih.gov/transcriptome/C_felis/S1/links/cluster/cf-5-36-asb45-50-Id-CLTL13.txt", 3)</f>
        <v>3</v>
      </c>
      <c r="DT228" s="4">
        <f>HYPERLINK("http://exon.niaid.nih.gov/transcriptome/C_felis/S1/links/cluster/cf-5-36-asb50-50-Id-CLU9.txt", 9)</f>
        <v>9</v>
      </c>
      <c r="DU228">
        <f>HYPERLINK("http://exon.niaid.nih.gov/transcriptome/C_felis/S1/links/cluster/cf-5-36-asb50-50-Id-CLTL9.txt", 3)</f>
        <v>3</v>
      </c>
      <c r="DV228" s="4">
        <f>HYPERLINK("http://exon.niaid.nih.gov/transcriptome/C_felis/S1/links/cluster/cf-5-36-asb55-50-Id-CLU9.txt", 9)</f>
        <v>9</v>
      </c>
      <c r="DW228">
        <f>HYPERLINK("http://exon.niaid.nih.gov/transcriptome/C_felis/S1/links/cluster/cf-5-36-asb55-50-Id-CLTL9.txt", 3)</f>
        <v>3</v>
      </c>
      <c r="DX228" s="4">
        <f>HYPERLINK("http://exon.niaid.nih.gov/transcriptome/C_felis/S1/links/cluster/cf-5-36-asb60-50-Id-CLU7.txt", 7)</f>
        <v>7</v>
      </c>
      <c r="DY228">
        <f>HYPERLINK("http://exon.niaid.nih.gov/transcriptome/C_felis/S1/links/cluster/cf-5-36-asb60-50-Id-CLTL7.txt", 3)</f>
        <v>3</v>
      </c>
      <c r="DZ228" s="4">
        <f>HYPERLINK("http://exon.niaid.nih.gov/transcriptome/C_felis/S1/links/cluster/cf-5-36-asb65-50-Id-CLU3.txt", 3)</f>
        <v>3</v>
      </c>
      <c r="EA228">
        <f>HYPERLINK("http://exon.niaid.nih.gov/transcriptome/C_felis/S1/links/cluster/cf-5-36-asb65-50-Id-CLTL3.txt", 3)</f>
        <v>3</v>
      </c>
      <c r="EB228" s="4">
        <f>HYPERLINK("http://exon.niaid.nih.gov/transcriptome/C_felis/S1/links/cluster/cf-5-36-asb70-50-Id-CLU3.txt", 3)</f>
        <v>3</v>
      </c>
      <c r="EC228">
        <f>HYPERLINK("http://exon.niaid.nih.gov/transcriptome/C_felis/S1/links/cluster/cf-5-36-asb70-50-Id-CLTL3.txt", 3)</f>
        <v>3</v>
      </c>
      <c r="ED228" s="4">
        <f>HYPERLINK("http://exon.niaid.nih.gov/transcriptome/C_felis/S1/links/cluster/cf-5-36-asb75-50-Id-CLU3.txt", 3)</f>
        <v>3</v>
      </c>
      <c r="EE228">
        <f>HYPERLINK("http://exon.niaid.nih.gov/transcriptome/C_felis/S1/links/cluster/cf-5-36-asb75-50-Id-CLTL3.txt", 3)</f>
        <v>3</v>
      </c>
      <c r="EF228" s="4">
        <f>HYPERLINK("http://exon.niaid.nih.gov/transcriptome/C_felis/S1/links/cluster/cf-5-36-asb80-50-Id-CLU3.txt", 3)</f>
        <v>3</v>
      </c>
      <c r="EG228">
        <f>HYPERLINK("http://exon.niaid.nih.gov/transcriptome/C_felis/S1/links/cluster/cf-5-36-asb80-50-Id-CLTL3.txt", 3)</f>
        <v>3</v>
      </c>
      <c r="EH228" s="4">
        <f>HYPERLINK("http://exon.niaid.nih.gov/transcriptome/C_felis/S1/links/cluster/cf-5-36-asb90-50-Id-CLU2.txt", 2)</f>
        <v>2</v>
      </c>
      <c r="EI228">
        <f>HYPERLINK("http://exon.niaid.nih.gov/transcriptome/C_felis/S1/links/cluster/cf-5-36-asb90-50-Id-CLTL2.txt", 3)</f>
        <v>3</v>
      </c>
      <c r="EJ228" s="4">
        <v>106</v>
      </c>
      <c r="EK228">
        <v>1</v>
      </c>
    </row>
    <row r="229" spans="1:141" x14ac:dyDescent="0.2">
      <c r="A229" t="str">
        <f>HYPERLINK("http://exon.niaid.nih.gov/transcriptome/C_felis/S1/links/cf/cf-contig_249.txt","cf-contig_249")</f>
        <v>cf-contig_249</v>
      </c>
      <c r="B229">
        <v>1</v>
      </c>
      <c r="C229" s="10" t="s">
        <v>4716</v>
      </c>
      <c r="D229">
        <v>1</v>
      </c>
      <c r="E229" t="str">
        <f>HYPERLINK("http://exon.niaid.nih.gov/transcriptome/C_felis/S1/links/cf/cf-5-36-asb-249.txt","Contig-249")</f>
        <v>Contig-249</v>
      </c>
      <c r="F229" t="str">
        <f>HYPERLINK("http://exon.niaid.nih.gov/transcriptome/C_felis/S1/links/cf/cf-5-36-249-CLU.txt","Contig249")</f>
        <v>Contig249</v>
      </c>
      <c r="G229" t="str">
        <f>HYPERLINK("http://exon.niaid.nih.gov/transcriptome/C_felis/S1/links/cf/cf-5-36-249-qual.txt","33.2")</f>
        <v>33.2</v>
      </c>
      <c r="H229" t="s">
        <v>11</v>
      </c>
      <c r="I229">
        <v>50.8</v>
      </c>
      <c r="J229">
        <v>836</v>
      </c>
      <c r="K229" t="s">
        <v>12</v>
      </c>
      <c r="L229">
        <v>1</v>
      </c>
      <c r="M229" t="s">
        <v>262</v>
      </c>
      <c r="N229">
        <v>836</v>
      </c>
      <c r="O229">
        <v>855</v>
      </c>
      <c r="P229">
        <v>732</v>
      </c>
      <c r="Q229" t="s">
        <v>1069</v>
      </c>
      <c r="R229">
        <v>1</v>
      </c>
      <c r="S229" s="7" t="str">
        <f>HYPERLINK("http://exon.niaid.nih.gov/transcriptome/C_felis/S1/links/Sigp/CF-CONTIG_249-SigP.txt","Cyt")</f>
        <v>Cyt</v>
      </c>
      <c r="U229">
        <v>1</v>
      </c>
      <c r="V229" s="4">
        <v>197</v>
      </c>
      <c r="W229">
        <v>1</v>
      </c>
      <c r="X229" s="4">
        <v>200</v>
      </c>
      <c r="Y229">
        <v>1</v>
      </c>
      <c r="Z229" s="4">
        <v>198</v>
      </c>
      <c r="AA229">
        <v>1</v>
      </c>
      <c r="AB229" s="4" t="str">
        <f>HYPERLINK("http://exon.niaid.nih.gov/transcriptome/C_felis/S1/links/XC-ASB/cf-contig_249-XC-ASB.txt","XC-contig_115")</f>
        <v>XC-contig_115</v>
      </c>
      <c r="AC229">
        <v>2.0000000000000001E-89</v>
      </c>
      <c r="AD229" s="10" t="s">
        <v>4716</v>
      </c>
      <c r="AE229" t="s">
        <v>4605</v>
      </c>
      <c r="AF229" t="str">
        <f>HYPERLINK("http://exon.niaid.nih.gov/transcriptome/C_felis/S1/links/KOG/cf-contig_249-KOG.txt","KOG")</f>
        <v>KOG</v>
      </c>
      <c r="AG229" s="5">
        <v>9.9999999999999996E-70</v>
      </c>
      <c r="AH229">
        <v>91.3</v>
      </c>
      <c r="AI229" s="4" t="str">
        <f>HYPERLINK("http://exon.niaid.nih.gov/transcriptome/C_felis/S1/links/NR/cf-contig_249-NR.txt","40S ribosomal protein SA gi|121543783|gb|ABM55561.1| putative ribosomal protein")</f>
        <v>40S ribosomal protein SA gi|121543783|gb|ABM55561.1| putative ribosomal protein</v>
      </c>
      <c r="AJ229" t="str">
        <f>HYPERLINK("http://www.ncbi.nlm.nih.gov/sutils/blink.cgi?pid=229891590","8E-081")</f>
        <v>8E-081</v>
      </c>
      <c r="AK229" t="str">
        <f>HYPERLINK("http://www.ncbi.nlm.nih.gov/protein/229891590","gi|229891590")</f>
        <v>gi|229891590</v>
      </c>
      <c r="AL229">
        <v>294</v>
      </c>
      <c r="AM229">
        <v>266</v>
      </c>
      <c r="AN229">
        <v>308</v>
      </c>
      <c r="AO229">
        <v>63</v>
      </c>
      <c r="AP229">
        <v>87</v>
      </c>
      <c r="AQ229">
        <v>93</v>
      </c>
      <c r="AR229">
        <v>15</v>
      </c>
      <c r="AS229">
        <v>34</v>
      </c>
      <c r="AT229">
        <v>8</v>
      </c>
      <c r="AU229">
        <v>2</v>
      </c>
      <c r="AV229">
        <v>1</v>
      </c>
      <c r="AW229" t="s">
        <v>1689</v>
      </c>
      <c r="AY229" t="s">
        <v>1676</v>
      </c>
      <c r="AZ229" t="s">
        <v>2604</v>
      </c>
      <c r="BA229" s="4" t="str">
        <f>HYPERLINK("http://exon.niaid.nih.gov/transcriptome/C_felis/S1/links/SWISSP/cf-contig_249-SWISSP.txt","40S ribosomal protein SA")</f>
        <v>40S ribosomal protein SA</v>
      </c>
      <c r="BB229" t="str">
        <f>HYPERLINK("http://www.uniprot.org/uniprot/A2I3Z2","3E-082")</f>
        <v>3E-082</v>
      </c>
      <c r="BC229" t="s">
        <v>2605</v>
      </c>
      <c r="BD229">
        <v>294</v>
      </c>
      <c r="BE229">
        <v>266</v>
      </c>
      <c r="BF229">
        <v>308</v>
      </c>
      <c r="BG229">
        <v>63</v>
      </c>
      <c r="BH229">
        <v>87</v>
      </c>
      <c r="BI229">
        <v>93</v>
      </c>
      <c r="BJ229">
        <v>15</v>
      </c>
      <c r="BK229">
        <v>34</v>
      </c>
      <c r="BL229">
        <v>8</v>
      </c>
      <c r="BM229">
        <v>2</v>
      </c>
      <c r="BN229">
        <v>1</v>
      </c>
      <c r="BO229" t="s">
        <v>1689</v>
      </c>
      <c r="BQ229" t="s">
        <v>1676</v>
      </c>
      <c r="BR229" t="s">
        <v>2604</v>
      </c>
      <c r="BS229" s="4" t="str">
        <f>HYPERLINK("http://exon.niaid.nih.gov/transcriptome/C_felis/S1/links/CDD/cf-contig_249-CDD.txt","PTZ00254")</f>
        <v>PTZ00254</v>
      </c>
      <c r="BT229" t="str">
        <f>HYPERLINK("http://www.ncbi.nlm.nih.gov/Structure/cdd/cddsrv.cgi?uid=PTZ00254&amp;version=v4.0","1E-080")</f>
        <v>1E-080</v>
      </c>
      <c r="BU229" t="s">
        <v>2606</v>
      </c>
      <c r="BV229" s="4" t="s">
        <v>2607</v>
      </c>
      <c r="BW229">
        <f>HYPERLINK("http://exon.niaid.nih.gov/transcriptome/C_felis/S1/links/GO/cf-contig_249-GO.txt",1E-71)</f>
        <v>9.9999999999999992E-72</v>
      </c>
      <c r="BX229" t="str">
        <f t="shared" si="23"/>
        <v>GO:0003735</v>
      </c>
      <c r="BY229" t="s">
        <v>1929</v>
      </c>
      <c r="BZ229" t="s">
        <v>1930</v>
      </c>
      <c r="CA229" t="s">
        <v>1931</v>
      </c>
      <c r="CB229" t="s">
        <v>42</v>
      </c>
      <c r="CD229" s="5">
        <v>9.9999999999999992E-72</v>
      </c>
      <c r="CE229" t="str">
        <f>HYPERLINK("http://amigo.geneontology.org/cgi-bin/amigo/term_details?term=GO:0005840","GO:0005840")</f>
        <v>GO:0005840</v>
      </c>
      <c r="CF229" t="s">
        <v>2070</v>
      </c>
      <c r="CG229" t="s">
        <v>2071</v>
      </c>
      <c r="CH229" t="s">
        <v>2072</v>
      </c>
      <c r="CI229" t="s">
        <v>42</v>
      </c>
      <c r="CK229" s="5">
        <v>9.9999999999999992E-72</v>
      </c>
      <c r="CL229" t="str">
        <f t="shared" si="25"/>
        <v>GO:0006412</v>
      </c>
      <c r="CM229" t="s">
        <v>1935</v>
      </c>
      <c r="CN229" t="s">
        <v>1936</v>
      </c>
      <c r="CO229" t="s">
        <v>1937</v>
      </c>
      <c r="CP229" t="s">
        <v>42</v>
      </c>
      <c r="CR229" s="5">
        <v>9.9999999999999992E-72</v>
      </c>
      <c r="CS229" s="4" t="str">
        <f>HYPERLINK("http://exon.niaid.nih.gov/transcriptome/C_felis/S1/links/KOG/cf-contig_249-KOG.txt","40S ribosomal protein SA (P40)/Laminin receptor 1")</f>
        <v>40S ribosomal protein SA (P40)/Laminin receptor 1</v>
      </c>
      <c r="CT229" t="str">
        <f>HYPERLINK("http://www.ncbi.nlm.nih.gov/COG/grace/shokog.cgi?KOG0830","1E-069")</f>
        <v>1E-069</v>
      </c>
      <c r="CU229" t="s">
        <v>1707</v>
      </c>
      <c r="CV229" s="4" t="str">
        <f>HYPERLINK("http://exon.niaid.nih.gov/transcriptome/C_felis/S1/links/PFAM/cf-contig_249-PFAM.txt","Ribosomal_S2")</f>
        <v>Ribosomal_S2</v>
      </c>
      <c r="CW229" t="str">
        <f>HYPERLINK("http://pfam.sanger.ac.uk/family?acc=PF00318","1E-038")</f>
        <v>1E-038</v>
      </c>
      <c r="CX229" s="4" t="str">
        <f>HYPERLINK("http://exon.niaid.nih.gov/transcriptome/C_felis/S1/links/SMART/cf-contig_249-SMART.txt","Sema")</f>
        <v>Sema</v>
      </c>
      <c r="CY229" t="str">
        <f>HYPERLINK("http://smart.embl-heidelberg.de/smart/do_annotation.pl?DOMAIN=Sema&amp;BLAST=DUMMY","0.042")</f>
        <v>0.042</v>
      </c>
      <c r="CZ229" s="4" t="s">
        <v>42</v>
      </c>
      <c r="DA229" t="s">
        <v>42</v>
      </c>
      <c r="DB229" t="s">
        <v>42</v>
      </c>
      <c r="DC229" t="s">
        <v>42</v>
      </c>
      <c r="DD229" t="s">
        <v>42</v>
      </c>
      <c r="DE229" t="s">
        <v>42</v>
      </c>
      <c r="DF229" t="s">
        <v>42</v>
      </c>
      <c r="DG229" t="s">
        <v>42</v>
      </c>
      <c r="DH229" s="4" t="s">
        <v>42</v>
      </c>
      <c r="DI229" t="s">
        <v>42</v>
      </c>
      <c r="DJ229" s="4" t="s">
        <v>42</v>
      </c>
      <c r="DK229" t="s">
        <v>42</v>
      </c>
      <c r="DL229" s="4">
        <v>197</v>
      </c>
      <c r="DM229">
        <v>1</v>
      </c>
      <c r="DN229" s="4">
        <v>200</v>
      </c>
      <c r="DO229">
        <v>1</v>
      </c>
      <c r="DP229" s="4">
        <v>198</v>
      </c>
      <c r="DQ229">
        <v>1</v>
      </c>
      <c r="DR229" s="4">
        <v>207</v>
      </c>
      <c r="DS229">
        <v>1</v>
      </c>
      <c r="DT229" s="4">
        <v>213</v>
      </c>
      <c r="DU229">
        <v>1</v>
      </c>
      <c r="DV229" s="4">
        <v>225</v>
      </c>
      <c r="DW229">
        <v>1</v>
      </c>
      <c r="DX229" s="4">
        <v>227</v>
      </c>
      <c r="DY229">
        <v>1</v>
      </c>
      <c r="DZ229" s="4">
        <v>231</v>
      </c>
      <c r="EA229">
        <v>1</v>
      </c>
      <c r="EB229" s="4">
        <v>236</v>
      </c>
      <c r="EC229">
        <v>1</v>
      </c>
      <c r="ED229" s="4">
        <v>239</v>
      </c>
      <c r="EE229">
        <v>1</v>
      </c>
      <c r="EF229" s="4">
        <v>242</v>
      </c>
      <c r="EG229">
        <v>1</v>
      </c>
      <c r="EH229" s="4">
        <v>244</v>
      </c>
      <c r="EI229">
        <v>1</v>
      </c>
      <c r="EJ229" s="4">
        <v>249</v>
      </c>
      <c r="EK229">
        <v>1</v>
      </c>
    </row>
    <row r="230" spans="1:141" x14ac:dyDescent="0.2">
      <c r="A230" t="str">
        <f>HYPERLINK("http://exon.niaid.nih.gov/transcriptome/C_felis/S1/links/cf/cf-contig_113.txt","cf-contig_113")</f>
        <v>cf-contig_113</v>
      </c>
      <c r="B230">
        <v>7</v>
      </c>
      <c r="C230" s="10" t="s">
        <v>4634</v>
      </c>
      <c r="D230">
        <v>7</v>
      </c>
      <c r="E230" t="str">
        <f>HYPERLINK("http://exon.niaid.nih.gov/transcriptome/C_felis/S1/links/cf/cf-5-36-asb-113.txt","Contig-113")</f>
        <v>Contig-113</v>
      </c>
      <c r="F230" t="str">
        <f>HYPERLINK("http://exon.niaid.nih.gov/transcriptome/C_felis/S1/links/cf/cf-5-36-113-CLU.txt","Contig113")</f>
        <v>Contig113</v>
      </c>
      <c r="G230" t="str">
        <f>HYPERLINK("http://exon.niaid.nih.gov/transcriptome/C_felis/S1/links/cf/cf-5-36-113-qual.txt","81.4")</f>
        <v>81.4</v>
      </c>
      <c r="H230" t="s">
        <v>11</v>
      </c>
      <c r="I230">
        <v>64.3</v>
      </c>
      <c r="J230">
        <v>380</v>
      </c>
      <c r="K230" t="s">
        <v>12</v>
      </c>
      <c r="L230">
        <v>7</v>
      </c>
      <c r="M230" t="s">
        <v>126</v>
      </c>
      <c r="N230">
        <v>380</v>
      </c>
      <c r="O230">
        <v>400</v>
      </c>
      <c r="P230">
        <v>273</v>
      </c>
      <c r="Q230" t="s">
        <v>933</v>
      </c>
      <c r="R230">
        <v>2</v>
      </c>
      <c r="S230" s="7" t="s">
        <v>4585</v>
      </c>
      <c r="U230">
        <v>7</v>
      </c>
      <c r="V230" s="4">
        <v>126</v>
      </c>
      <c r="W230">
        <v>1</v>
      </c>
      <c r="X230" s="4">
        <v>121</v>
      </c>
      <c r="Y230">
        <v>1</v>
      </c>
      <c r="Z230" s="4">
        <v>118</v>
      </c>
      <c r="AA230">
        <v>1</v>
      </c>
      <c r="AB230" s="4" t="str">
        <f>HYPERLINK("http://exon.niaid.nih.gov/transcriptome/C_felis/S1/links/XC-ASB/cf-contig_113-XC-ASB.txt","XC-contig_70")</f>
        <v>XC-contig_70</v>
      </c>
      <c r="AC230">
        <v>1E-10</v>
      </c>
      <c r="AD230" s="10" t="s">
        <v>4634</v>
      </c>
      <c r="AE230" t="s">
        <v>4605</v>
      </c>
      <c r="AF230" t="str">
        <f>HYPERLINK("http://exon.niaid.nih.gov/transcriptome/C_felis/S1/links/NR/cf-contig_113-NR.txt","NR")</f>
        <v>NR</v>
      </c>
      <c r="AG230" s="5">
        <v>1.9999999999999998E-21</v>
      </c>
      <c r="AH230">
        <v>20.5</v>
      </c>
      <c r="AI230" s="4" t="str">
        <f>HYPERLINK("http://exon.niaid.nih.gov/transcriptome/C_felis/S1/links/NR/cf-contig_113-NR.txt","60S acidic ribosomal protein P0-like")</f>
        <v>60S acidic ribosomal protein P0-like</v>
      </c>
      <c r="AJ230" t="str">
        <f>HYPERLINK("http://www.ncbi.nlm.nih.gov/sutils/blink.cgi?pid=156543342","2E-021")</f>
        <v>2E-021</v>
      </c>
      <c r="AK230" t="str">
        <f>HYPERLINK("http://www.ncbi.nlm.nih.gov/protein/156543342","gi|156543342")</f>
        <v>gi|156543342</v>
      </c>
      <c r="AL230">
        <v>106</v>
      </c>
      <c r="AM230">
        <v>64</v>
      </c>
      <c r="AN230">
        <v>316</v>
      </c>
      <c r="AO230">
        <v>86</v>
      </c>
      <c r="AP230">
        <v>21</v>
      </c>
      <c r="AQ230">
        <v>9</v>
      </c>
      <c r="AR230">
        <v>1</v>
      </c>
      <c r="AS230">
        <v>252</v>
      </c>
      <c r="AT230">
        <v>7</v>
      </c>
      <c r="AU230">
        <v>1</v>
      </c>
      <c r="AV230">
        <v>1</v>
      </c>
      <c r="AW230" t="s">
        <v>12</v>
      </c>
      <c r="AY230" t="s">
        <v>1676</v>
      </c>
      <c r="AZ230" t="s">
        <v>1897</v>
      </c>
      <c r="BA230" s="4" t="str">
        <f>HYPERLINK("http://exon.niaid.nih.gov/transcriptome/C_felis/S1/links/SWISSP/cf-contig_113-SWISSP.txt","60S acidic ribosomal protein P0")</f>
        <v>60S acidic ribosomal protein P0</v>
      </c>
      <c r="BB230" t="str">
        <f>HYPERLINK("http://www.uniprot.org/uniprot/P19889","5E-020")</f>
        <v>5E-020</v>
      </c>
      <c r="BC230" t="s">
        <v>2097</v>
      </c>
      <c r="BD230">
        <v>96.3</v>
      </c>
      <c r="BE230">
        <v>65</v>
      </c>
      <c r="BF230">
        <v>317</v>
      </c>
      <c r="BG230">
        <v>77</v>
      </c>
      <c r="BH230">
        <v>21</v>
      </c>
      <c r="BI230">
        <v>15</v>
      </c>
      <c r="BJ230">
        <v>2</v>
      </c>
      <c r="BK230">
        <v>252</v>
      </c>
      <c r="BL230">
        <v>7</v>
      </c>
      <c r="BM230">
        <v>1</v>
      </c>
      <c r="BN230">
        <v>1</v>
      </c>
      <c r="BO230" t="s">
        <v>12</v>
      </c>
      <c r="BQ230" t="s">
        <v>1676</v>
      </c>
      <c r="BR230" t="s">
        <v>1804</v>
      </c>
      <c r="BS230" s="4" t="str">
        <f>HYPERLINK("http://exon.niaid.nih.gov/transcriptome/C_felis/S1/links/CDD/cf-contig_113-CDD.txt","Ribosomal_60s")</f>
        <v>Ribosomal_60s</v>
      </c>
      <c r="BT230" t="str">
        <f>HYPERLINK("http://www.ncbi.nlm.nih.gov/Structure/cdd/cddsrv.cgi?uid=pfam00428&amp;version=v4.0","6E-020")</f>
        <v>6E-020</v>
      </c>
      <c r="BU230" t="s">
        <v>2098</v>
      </c>
      <c r="BV230" s="4" t="s">
        <v>2099</v>
      </c>
      <c r="BW230">
        <f>HYPERLINK("http://exon.niaid.nih.gov/transcriptome/C_felis/S1/links/GO/cf-contig_113-GO.txt",4E-20)</f>
        <v>3.9999999999999998E-20</v>
      </c>
      <c r="BX230" t="str">
        <f t="shared" si="23"/>
        <v>GO:0003735</v>
      </c>
      <c r="BY230" t="s">
        <v>1929</v>
      </c>
      <c r="BZ230" t="s">
        <v>1930</v>
      </c>
      <c r="CA230" t="s">
        <v>1931</v>
      </c>
      <c r="CB230" t="s">
        <v>42</v>
      </c>
      <c r="CD230" s="5">
        <v>3.9999999999999998E-20</v>
      </c>
      <c r="CE230" t="str">
        <f>HYPERLINK("http://amigo.geneontology.org/cgi-bin/amigo/term_details?term=GO:0022625","GO:0022625")</f>
        <v>GO:0022625</v>
      </c>
      <c r="CF230" t="s">
        <v>1932</v>
      </c>
      <c r="CG230" t="s">
        <v>1933</v>
      </c>
      <c r="CH230" t="s">
        <v>1934</v>
      </c>
      <c r="CI230" t="s">
        <v>42</v>
      </c>
      <c r="CK230" s="5">
        <v>3.9999999999999998E-20</v>
      </c>
      <c r="CL230" t="str">
        <f t="shared" si="25"/>
        <v>GO:0006412</v>
      </c>
      <c r="CM230" t="s">
        <v>1935</v>
      </c>
      <c r="CN230" t="s">
        <v>1936</v>
      </c>
      <c r="CO230" t="s">
        <v>1937</v>
      </c>
      <c r="CP230" t="s">
        <v>42</v>
      </c>
      <c r="CR230" s="5">
        <v>3.9999999999999998E-20</v>
      </c>
      <c r="CS230" s="4" t="str">
        <f>HYPERLINK("http://exon.niaid.nih.gov/transcriptome/C_felis/S1/links/KOG/cf-contig_113-KOG.txt","60S acidic ribosomal protein P2")</f>
        <v>60S acidic ribosomal protein P2</v>
      </c>
      <c r="CT230" t="str">
        <f>HYPERLINK("http://www.ncbi.nlm.nih.gov/COG/grace/shokog.cgi?KOG3449","4E-012")</f>
        <v>4E-012</v>
      </c>
      <c r="CU230" t="s">
        <v>1707</v>
      </c>
      <c r="CV230" s="4" t="str">
        <f>HYPERLINK("http://exon.niaid.nih.gov/transcriptome/C_felis/S1/links/PFAM/cf-contig_113-PFAM.txt","Ribosomal_60s")</f>
        <v>Ribosomal_60s</v>
      </c>
      <c r="CW230" t="str">
        <f>HYPERLINK("http://pfam.sanger.ac.uk/family?acc=PF00428","1E-020")</f>
        <v>1E-020</v>
      </c>
      <c r="CX230" s="4" t="str">
        <f>HYPERLINK("http://exon.niaid.nih.gov/transcriptome/C_felis/S1/links/SMART/cf-contig_113-SMART.txt","Malic_M")</f>
        <v>Malic_M</v>
      </c>
      <c r="CY230" t="str">
        <f>HYPERLINK("http://smart.embl-heidelberg.de/smart/do_annotation.pl?DOMAIN=Malic_M&amp;BLAST=DUMMY","0.047")</f>
        <v>0.047</v>
      </c>
      <c r="CZ230" s="4" t="s">
        <v>42</v>
      </c>
      <c r="DA230" t="s">
        <v>42</v>
      </c>
      <c r="DB230" t="s">
        <v>42</v>
      </c>
      <c r="DC230" t="s">
        <v>42</v>
      </c>
      <c r="DD230" t="s">
        <v>42</v>
      </c>
      <c r="DE230" t="s">
        <v>42</v>
      </c>
      <c r="DF230" t="s">
        <v>42</v>
      </c>
      <c r="DG230" t="s">
        <v>42</v>
      </c>
      <c r="DH230" s="4" t="s">
        <v>42</v>
      </c>
      <c r="DI230" t="s">
        <v>42</v>
      </c>
      <c r="DJ230" s="4" t="s">
        <v>42</v>
      </c>
      <c r="DK230" t="s">
        <v>42</v>
      </c>
      <c r="DL230" s="4">
        <v>126</v>
      </c>
      <c r="DM230">
        <v>1</v>
      </c>
      <c r="DN230" s="4">
        <v>121</v>
      </c>
      <c r="DO230">
        <v>1</v>
      </c>
      <c r="DP230" s="4">
        <v>118</v>
      </c>
      <c r="DQ230">
        <v>1</v>
      </c>
      <c r="DR230" s="4">
        <v>109</v>
      </c>
      <c r="DS230">
        <v>1</v>
      </c>
      <c r="DT230" s="4">
        <v>107</v>
      </c>
      <c r="DU230">
        <v>1</v>
      </c>
      <c r="DV230" s="4">
        <v>116</v>
      </c>
      <c r="DW230">
        <v>1</v>
      </c>
      <c r="DX230" s="4">
        <v>118</v>
      </c>
      <c r="DY230">
        <v>1</v>
      </c>
      <c r="DZ230" s="4">
        <v>117</v>
      </c>
      <c r="EA230">
        <v>1</v>
      </c>
      <c r="EB230" s="4">
        <v>117</v>
      </c>
      <c r="EC230">
        <v>1</v>
      </c>
      <c r="ED230" s="4">
        <v>118</v>
      </c>
      <c r="EE230">
        <v>1</v>
      </c>
      <c r="EF230" s="4">
        <v>115</v>
      </c>
      <c r="EG230">
        <v>1</v>
      </c>
      <c r="EH230" s="4">
        <v>112</v>
      </c>
      <c r="EI230">
        <v>1</v>
      </c>
      <c r="EJ230" s="4">
        <v>113</v>
      </c>
      <c r="EK230">
        <v>1</v>
      </c>
    </row>
    <row r="231" spans="1:141" x14ac:dyDescent="0.2">
      <c r="A231" t="str">
        <f>HYPERLINK("http://exon.niaid.nih.gov/transcriptome/C_felis/S1/links/cf/cf-contig_73.txt","cf-contig_73")</f>
        <v>cf-contig_73</v>
      </c>
      <c r="B231">
        <v>13</v>
      </c>
      <c r="C231" s="10" t="s">
        <v>4616</v>
      </c>
      <c r="D231">
        <v>13</v>
      </c>
      <c r="E231" t="str">
        <f>HYPERLINK("http://exon.niaid.nih.gov/transcriptome/C_felis/S1/links/cf/cf-5-36-asb-73.txt","Contig-73")</f>
        <v>Contig-73</v>
      </c>
      <c r="F231" t="str">
        <f>HYPERLINK("http://exon.niaid.nih.gov/transcriptome/C_felis/S1/links/cf/cf-5-36-73-CLU.txt","Contig73")</f>
        <v>Contig73</v>
      </c>
      <c r="G231" t="str">
        <f>HYPERLINK("http://exon.niaid.nih.gov/transcriptome/C_felis/S1/links/cf/cf-5-36-73-qual.txt","85.9")</f>
        <v>85.9</v>
      </c>
      <c r="H231" t="s">
        <v>11</v>
      </c>
      <c r="I231">
        <v>55.5</v>
      </c>
      <c r="J231">
        <v>356</v>
      </c>
      <c r="K231" t="s">
        <v>12</v>
      </c>
      <c r="L231">
        <v>13</v>
      </c>
      <c r="M231" t="s">
        <v>86</v>
      </c>
      <c r="N231">
        <v>356</v>
      </c>
      <c r="O231">
        <v>380</v>
      </c>
      <c r="P231">
        <v>207</v>
      </c>
      <c r="Q231" t="s">
        <v>893</v>
      </c>
      <c r="R231">
        <v>1</v>
      </c>
      <c r="S231" s="7" t="s">
        <v>4585</v>
      </c>
      <c r="U231">
        <v>13</v>
      </c>
      <c r="V231" s="4">
        <f>HYPERLINK("http://exon.niaid.nih.gov/transcriptome/C_felis/S1/links/cluster/cf-5-36-asb30-50-Id-CLU32.txt", 32)</f>
        <v>32</v>
      </c>
      <c r="W231">
        <f>HYPERLINK("http://exon.niaid.nih.gov/transcriptome/C_felis/S1/links/cluster/cf-5-36-asb30-50-Id-CLTL32.txt", 2)</f>
        <v>2</v>
      </c>
      <c r="X231" s="4">
        <f>HYPERLINK("http://exon.niaid.nih.gov/transcriptome/C_felis/S1/links/cluster/cf-5-36-asb35-50-Id-CLU26.txt", 26)</f>
        <v>26</v>
      </c>
      <c r="Y231">
        <f>HYPERLINK("http://exon.niaid.nih.gov/transcriptome/C_felis/S1/links/cluster/cf-5-36-asb35-50-Id-CLTL26.txt", 2)</f>
        <v>2</v>
      </c>
      <c r="Z231" s="4">
        <f>HYPERLINK("http://exon.niaid.nih.gov/transcriptome/C_felis/S1/links/cluster/cf-5-36-asb40-50-Id-CLU24.txt", 24)</f>
        <v>24</v>
      </c>
      <c r="AA231">
        <f>HYPERLINK("http://exon.niaid.nih.gov/transcriptome/C_felis/S1/links/cluster/cf-5-36-asb40-50-Id-CLTL24.txt", 2)</f>
        <v>2</v>
      </c>
      <c r="AB231" s="4" t="str">
        <f>HYPERLINK("http://exon.niaid.nih.gov/transcriptome/C_felis/S1/links/XC-ASB/cf-contig_73-XC-ASB.txt","XC-contig_70")</f>
        <v>XC-contig_70</v>
      </c>
      <c r="AC231">
        <v>9.9999999999999994E-50</v>
      </c>
      <c r="AD231" s="10" t="s">
        <v>4616</v>
      </c>
      <c r="AE231" t="s">
        <v>4605</v>
      </c>
      <c r="AF231" t="str">
        <f>HYPERLINK("http://exon.niaid.nih.gov/transcriptome/C_felis/S1/links/NR/cf-contig_73-NR.txt","NR")</f>
        <v>NR</v>
      </c>
      <c r="AG231" s="5">
        <v>1.9999999999999999E-39</v>
      </c>
      <c r="AH231">
        <v>82</v>
      </c>
      <c r="AI231" s="4" t="str">
        <f>HYPERLINK("http://exon.niaid.nih.gov/transcriptome/C_felis/S1/links/NR/cf-contig_73-NR.txt","60S acidic ribosomal protein P1")</f>
        <v>60S acidic ribosomal protein P1</v>
      </c>
      <c r="AJ231" t="str">
        <f>HYPERLINK("http://www.ncbi.nlm.nih.gov/sutils/blink.cgi?pid=121511986","2E-039")</f>
        <v>2E-039</v>
      </c>
      <c r="AK231" t="str">
        <f>HYPERLINK("http://www.ncbi.nlm.nih.gov/protein/121511986","gi|121511986")</f>
        <v>gi|121511986</v>
      </c>
      <c r="AL231">
        <v>166</v>
      </c>
      <c r="AM231">
        <v>92</v>
      </c>
      <c r="AN231">
        <v>113</v>
      </c>
      <c r="AO231">
        <v>94</v>
      </c>
      <c r="AP231">
        <v>82</v>
      </c>
      <c r="AQ231">
        <v>5</v>
      </c>
      <c r="AR231">
        <v>1</v>
      </c>
      <c r="AS231">
        <v>21</v>
      </c>
      <c r="AT231">
        <v>7</v>
      </c>
      <c r="AU231">
        <v>1</v>
      </c>
      <c r="AV231">
        <v>1</v>
      </c>
      <c r="AW231" t="s">
        <v>12</v>
      </c>
      <c r="AX231">
        <v>1.087</v>
      </c>
      <c r="AY231" t="s">
        <v>1676</v>
      </c>
      <c r="AZ231" t="s">
        <v>1717</v>
      </c>
      <c r="BA231" s="4" t="str">
        <f>HYPERLINK("http://exon.niaid.nih.gov/transcriptome/C_felis/S1/links/SWISSP/cf-contig_73-SWISSP.txt","60S acidic ribosomal protein P1")</f>
        <v>60S acidic ribosomal protein P1</v>
      </c>
      <c r="BB231" t="str">
        <f>HYPERLINK("http://www.uniprot.org/uniprot/P08570","6E-032")</f>
        <v>6E-032</v>
      </c>
      <c r="BC231" t="s">
        <v>1926</v>
      </c>
      <c r="BD231">
        <v>135</v>
      </c>
      <c r="BE231">
        <v>91</v>
      </c>
      <c r="BF231">
        <v>112</v>
      </c>
      <c r="BG231">
        <v>75</v>
      </c>
      <c r="BH231">
        <v>82</v>
      </c>
      <c r="BI231">
        <v>23</v>
      </c>
      <c r="BJ231">
        <v>0</v>
      </c>
      <c r="BK231">
        <v>21</v>
      </c>
      <c r="BL231">
        <v>7</v>
      </c>
      <c r="BM231">
        <v>1</v>
      </c>
      <c r="BN231">
        <v>1</v>
      </c>
      <c r="BO231" t="s">
        <v>12</v>
      </c>
      <c r="BP231">
        <v>1.099</v>
      </c>
      <c r="BQ231" t="s">
        <v>1676</v>
      </c>
      <c r="BR231" t="s">
        <v>1804</v>
      </c>
      <c r="BS231" s="4" t="str">
        <f>HYPERLINK("http://exon.niaid.nih.gov/transcriptome/C_felis/S1/links/CDD/cf-contig_73-CDD.txt","Ribosomal_P1")</f>
        <v>Ribosomal_P1</v>
      </c>
      <c r="BT231" t="str">
        <f>HYPERLINK("http://www.ncbi.nlm.nih.gov/Structure/cdd/cddsrv.cgi?uid=cd05831&amp;version=v4.0","7E-036")</f>
        <v>7E-036</v>
      </c>
      <c r="BU231" t="s">
        <v>1927</v>
      </c>
      <c r="BV231" s="4" t="s">
        <v>1928</v>
      </c>
      <c r="BW231">
        <f>HYPERLINK("http://exon.niaid.nih.gov/transcriptome/C_felis/S1/links/GO/cf-contig_73-GO.txt",4E-32)</f>
        <v>4.0000000000000002E-32</v>
      </c>
      <c r="BX231" t="str">
        <f t="shared" si="23"/>
        <v>GO:0003735</v>
      </c>
      <c r="BY231" t="s">
        <v>1929</v>
      </c>
      <c r="BZ231" t="s">
        <v>1930</v>
      </c>
      <c r="CA231" t="s">
        <v>1931</v>
      </c>
      <c r="CB231" t="s">
        <v>42</v>
      </c>
      <c r="CD231" s="5">
        <v>4.0000000000000002E-32</v>
      </c>
      <c r="CE231" t="str">
        <f>HYPERLINK("http://amigo.geneontology.org/cgi-bin/amigo/term_details?term=GO:0022625","GO:0022625")</f>
        <v>GO:0022625</v>
      </c>
      <c r="CF231" t="s">
        <v>1932</v>
      </c>
      <c r="CG231" t="s">
        <v>1933</v>
      </c>
      <c r="CH231" t="s">
        <v>1934</v>
      </c>
      <c r="CI231" t="s">
        <v>42</v>
      </c>
      <c r="CK231" s="5">
        <v>4.0000000000000002E-32</v>
      </c>
      <c r="CL231" t="str">
        <f t="shared" si="25"/>
        <v>GO:0006412</v>
      </c>
      <c r="CM231" t="s">
        <v>1935</v>
      </c>
      <c r="CN231" t="s">
        <v>1936</v>
      </c>
      <c r="CO231" t="s">
        <v>1937</v>
      </c>
      <c r="CP231" t="s">
        <v>42</v>
      </c>
      <c r="CR231" s="5">
        <v>4.0000000000000002E-32</v>
      </c>
      <c r="CS231" s="4" t="str">
        <f>HYPERLINK("http://exon.niaid.nih.gov/transcriptome/C_felis/S1/links/KOG/cf-contig_73-KOG.txt","60s acidic ribosomal protein P1")</f>
        <v>60s acidic ribosomal protein P1</v>
      </c>
      <c r="CT231" t="str">
        <f>HYPERLINK("http://www.ncbi.nlm.nih.gov/COG/grace/shokog.cgi?KOG1762","1E-028")</f>
        <v>1E-028</v>
      </c>
      <c r="CU231" t="s">
        <v>1707</v>
      </c>
      <c r="CV231" s="4" t="str">
        <f>HYPERLINK("http://exon.niaid.nih.gov/transcriptome/C_felis/S1/links/PFAM/cf-contig_73-PFAM.txt","Ribosomal_60s")</f>
        <v>Ribosomal_60s</v>
      </c>
      <c r="CW231" t="str">
        <f>HYPERLINK("http://pfam.sanger.ac.uk/family?acc=PF00428","4E-030")</f>
        <v>4E-030</v>
      </c>
      <c r="CX231" s="4" t="str">
        <f>HYPERLINK("http://exon.niaid.nih.gov/transcriptome/C_felis/S1/links/SMART/cf-contig_73-SMART.txt","PreSET")</f>
        <v>PreSET</v>
      </c>
      <c r="CY231" t="str">
        <f>HYPERLINK("http://smart.embl-heidelberg.de/smart/do_annotation.pl?DOMAIN=PreSET&amp;BLAST=DUMMY","0.12")</f>
        <v>0.12</v>
      </c>
      <c r="CZ231" s="4" t="s">
        <v>42</v>
      </c>
      <c r="DA231" t="s">
        <v>42</v>
      </c>
      <c r="DB231" t="s">
        <v>42</v>
      </c>
      <c r="DC231" t="s">
        <v>42</v>
      </c>
      <c r="DD231" t="s">
        <v>42</v>
      </c>
      <c r="DE231" t="s">
        <v>42</v>
      </c>
      <c r="DF231" t="s">
        <v>42</v>
      </c>
      <c r="DG231" t="s">
        <v>42</v>
      </c>
      <c r="DH231" s="4" t="s">
        <v>42</v>
      </c>
      <c r="DI231" t="s">
        <v>42</v>
      </c>
      <c r="DJ231" s="4" t="s">
        <v>42</v>
      </c>
      <c r="DK231" t="s">
        <v>42</v>
      </c>
      <c r="DL231" s="4">
        <f>HYPERLINK("http://exon.niaid.nih.gov/transcriptome/C_felis/S1/links/cluster/cf-5-36-asb30-50-Id-CLU32.txt", 32)</f>
        <v>32</v>
      </c>
      <c r="DM231">
        <f>HYPERLINK("http://exon.niaid.nih.gov/transcriptome/C_felis/S1/links/cluster/cf-5-36-asb30-50-Id-CLTL32.txt", 2)</f>
        <v>2</v>
      </c>
      <c r="DN231" s="4">
        <f>HYPERLINK("http://exon.niaid.nih.gov/transcriptome/C_felis/S1/links/cluster/cf-5-36-asb35-50-Id-CLU26.txt", 26)</f>
        <v>26</v>
      </c>
      <c r="DO231">
        <f>HYPERLINK("http://exon.niaid.nih.gov/transcriptome/C_felis/S1/links/cluster/cf-5-36-asb35-50-Id-CLTL26.txt", 2)</f>
        <v>2</v>
      </c>
      <c r="DP231" s="4">
        <f>HYPERLINK("http://exon.niaid.nih.gov/transcriptome/C_felis/S1/links/cluster/cf-5-36-asb40-50-Id-CLU24.txt", 24)</f>
        <v>24</v>
      </c>
      <c r="DQ231">
        <f>HYPERLINK("http://exon.niaid.nih.gov/transcriptome/C_felis/S1/links/cluster/cf-5-36-asb40-50-Id-CLTL24.txt", 2)</f>
        <v>2</v>
      </c>
      <c r="DR231" s="4">
        <f>HYPERLINK("http://exon.niaid.nih.gov/transcriptome/C_felis/S1/links/cluster/cf-5-36-asb45-50-Id-CLU22.txt", 22)</f>
        <v>22</v>
      </c>
      <c r="DS231">
        <f>HYPERLINK("http://exon.niaid.nih.gov/transcriptome/C_felis/S1/links/cluster/cf-5-36-asb45-50-Id-CLTL22.txt", 2)</f>
        <v>2</v>
      </c>
      <c r="DT231" s="4">
        <f>HYPERLINK("http://exon.niaid.nih.gov/transcriptome/C_felis/S1/links/cluster/cf-5-36-asb50-50-Id-CLU19.txt", 19)</f>
        <v>19</v>
      </c>
      <c r="DU231">
        <f>HYPERLINK("http://exon.niaid.nih.gov/transcriptome/C_felis/S1/links/cluster/cf-5-36-asb50-50-Id-CLTL19.txt", 2)</f>
        <v>2</v>
      </c>
      <c r="DV231" s="4">
        <f>HYPERLINK("http://exon.niaid.nih.gov/transcriptome/C_felis/S1/links/cluster/cf-5-36-asb55-50-Id-CLU19.txt", 19)</f>
        <v>19</v>
      </c>
      <c r="DW231">
        <f>HYPERLINK("http://exon.niaid.nih.gov/transcriptome/C_felis/S1/links/cluster/cf-5-36-asb55-50-Id-CLTL19.txt", 2)</f>
        <v>2</v>
      </c>
      <c r="DX231" s="4">
        <f>HYPERLINK("http://exon.niaid.nih.gov/transcriptome/C_felis/S1/links/cluster/cf-5-36-asb60-50-Id-CLU17.txt", 17)</f>
        <v>17</v>
      </c>
      <c r="DY231">
        <f>HYPERLINK("http://exon.niaid.nih.gov/transcriptome/C_felis/S1/links/cluster/cf-5-36-asb60-50-Id-CLTL17.txt", 2)</f>
        <v>2</v>
      </c>
      <c r="DZ231" s="4">
        <f>HYPERLINK("http://exon.niaid.nih.gov/transcriptome/C_felis/S1/links/cluster/cf-5-36-asb65-50-Id-CLU15.txt", 15)</f>
        <v>15</v>
      </c>
      <c r="EA231">
        <f>HYPERLINK("http://exon.niaid.nih.gov/transcriptome/C_felis/S1/links/cluster/cf-5-36-asb65-50-Id-CLTL15.txt", 2)</f>
        <v>2</v>
      </c>
      <c r="EB231" s="4">
        <f>HYPERLINK("http://exon.niaid.nih.gov/transcriptome/C_felis/S1/links/cluster/cf-5-36-asb70-50-Id-CLU11.txt", 11)</f>
        <v>11</v>
      </c>
      <c r="EC231">
        <f>HYPERLINK("http://exon.niaid.nih.gov/transcriptome/C_felis/S1/links/cluster/cf-5-36-asb70-50-Id-CLTL11.txt", 2)</f>
        <v>2</v>
      </c>
      <c r="ED231" s="4">
        <f>HYPERLINK("http://exon.niaid.nih.gov/transcriptome/C_felis/S1/links/cluster/cf-5-36-asb75-50-Id-CLU9.txt", 9)</f>
        <v>9</v>
      </c>
      <c r="EE231">
        <f>HYPERLINK("http://exon.niaid.nih.gov/transcriptome/C_felis/S1/links/cluster/cf-5-36-asb75-50-Id-CLTL9.txt", 2)</f>
        <v>2</v>
      </c>
      <c r="EF231" s="4">
        <v>80</v>
      </c>
      <c r="EG231">
        <v>1</v>
      </c>
      <c r="EH231" s="4">
        <v>75</v>
      </c>
      <c r="EI231">
        <v>1</v>
      </c>
      <c r="EJ231" s="4">
        <v>73</v>
      </c>
      <c r="EK231">
        <v>1</v>
      </c>
    </row>
    <row r="232" spans="1:141" x14ac:dyDescent="0.2">
      <c r="A232" t="str">
        <f>HYPERLINK("http://exon.niaid.nih.gov/transcriptome/C_felis/S1/links/cf/cf-contig_74.txt","cf-contig_74")</f>
        <v>cf-contig_74</v>
      </c>
      <c r="B232">
        <v>1</v>
      </c>
      <c r="C232" s="10" t="s">
        <v>4616</v>
      </c>
      <c r="D232">
        <v>1</v>
      </c>
      <c r="E232" t="str">
        <f>HYPERLINK("http://exon.niaid.nih.gov/transcriptome/C_felis/S1/links/cf/cf-5-36-asb-74.txt","Contig-74")</f>
        <v>Contig-74</v>
      </c>
      <c r="F232" t="str">
        <f>HYPERLINK("http://exon.niaid.nih.gov/transcriptome/C_felis/S1/links/cf/cf-5-36-74-CLU.txt","Contig74")</f>
        <v>Contig74</v>
      </c>
      <c r="G232" t="str">
        <f>HYPERLINK("http://exon.niaid.nih.gov/transcriptome/C_felis/S1/links/cf/cf-5-36-74-qual.txt","65.")</f>
        <v>65.</v>
      </c>
      <c r="H232" t="s">
        <v>11</v>
      </c>
      <c r="I232">
        <v>53.9</v>
      </c>
      <c r="J232">
        <v>413</v>
      </c>
      <c r="K232" t="s">
        <v>12</v>
      </c>
      <c r="L232">
        <v>1</v>
      </c>
      <c r="M232" t="s">
        <v>87</v>
      </c>
      <c r="N232">
        <v>413</v>
      </c>
      <c r="O232">
        <v>432</v>
      </c>
      <c r="P232">
        <v>339</v>
      </c>
      <c r="Q232" t="s">
        <v>894</v>
      </c>
      <c r="R232">
        <v>1</v>
      </c>
      <c r="S232" s="7" t="s">
        <v>4585</v>
      </c>
      <c r="U232">
        <v>1</v>
      </c>
      <c r="V232" s="4">
        <f>HYPERLINK("http://exon.niaid.nih.gov/transcriptome/C_felis/S1/links/cluster/cf-5-36-asb30-50-Id-CLU32.txt", 32)</f>
        <v>32</v>
      </c>
      <c r="W232">
        <f>HYPERLINK("http://exon.niaid.nih.gov/transcriptome/C_felis/S1/links/cluster/cf-5-36-asb30-50-Id-CLTL32.txt", 2)</f>
        <v>2</v>
      </c>
      <c r="X232" s="4">
        <f>HYPERLINK("http://exon.niaid.nih.gov/transcriptome/C_felis/S1/links/cluster/cf-5-36-asb35-50-Id-CLU26.txt", 26)</f>
        <v>26</v>
      </c>
      <c r="Y232">
        <f>HYPERLINK("http://exon.niaid.nih.gov/transcriptome/C_felis/S1/links/cluster/cf-5-36-asb35-50-Id-CLTL26.txt", 2)</f>
        <v>2</v>
      </c>
      <c r="Z232" s="4">
        <f>HYPERLINK("http://exon.niaid.nih.gov/transcriptome/C_felis/S1/links/cluster/cf-5-36-asb40-50-Id-CLU24.txt", 24)</f>
        <v>24</v>
      </c>
      <c r="AA232">
        <f>HYPERLINK("http://exon.niaid.nih.gov/transcriptome/C_felis/S1/links/cluster/cf-5-36-asb40-50-Id-CLTL24.txt", 2)</f>
        <v>2</v>
      </c>
      <c r="AB232" s="4" t="str">
        <f>HYPERLINK("http://exon.niaid.nih.gov/transcriptome/C_felis/S1/links/XC-ASB/cf-contig_74-XC-ASB.txt","XC-contig_70")</f>
        <v>XC-contig_70</v>
      </c>
      <c r="AC232">
        <v>2.0000000000000001E-62</v>
      </c>
      <c r="AD232" s="10" t="s">
        <v>4616</v>
      </c>
      <c r="AE232" t="s">
        <v>4605</v>
      </c>
      <c r="AF232" t="str">
        <f>HYPERLINK("http://exon.niaid.nih.gov/transcriptome/C_felis/S1/links/NR/cf-contig_74-NR.txt","NR")</f>
        <v>NR</v>
      </c>
      <c r="AG232" s="5">
        <v>5E-51</v>
      </c>
      <c r="AH232">
        <v>97.3</v>
      </c>
      <c r="AI232" s="4" t="str">
        <f>HYPERLINK("http://exon.niaid.nih.gov/transcriptome/C_felis/S1/links/NR/cf-contig_74-NR.txt","60S acidic ribosomal protein P1")</f>
        <v>60S acidic ribosomal protein P1</v>
      </c>
      <c r="AJ232" t="str">
        <f>HYPERLINK("http://www.ncbi.nlm.nih.gov/sutils/blink.cgi?pid=121511986","5E-051")</f>
        <v>5E-051</v>
      </c>
      <c r="AK232" t="str">
        <f>HYPERLINK("http://www.ncbi.nlm.nih.gov/protein/121511986","gi|121511986")</f>
        <v>gi|121511986</v>
      </c>
      <c r="AL232">
        <v>204</v>
      </c>
      <c r="AM232">
        <v>109</v>
      </c>
      <c r="AN232">
        <v>113</v>
      </c>
      <c r="AO232">
        <v>96</v>
      </c>
      <c r="AP232">
        <v>97</v>
      </c>
      <c r="AQ232">
        <v>4</v>
      </c>
      <c r="AR232">
        <v>1</v>
      </c>
      <c r="AS232">
        <v>4</v>
      </c>
      <c r="AT232">
        <v>13</v>
      </c>
      <c r="AU232">
        <v>1</v>
      </c>
      <c r="AV232">
        <v>1</v>
      </c>
      <c r="AW232" t="s">
        <v>12</v>
      </c>
      <c r="AY232" t="s">
        <v>1676</v>
      </c>
      <c r="AZ232" t="s">
        <v>1717</v>
      </c>
      <c r="BA232" s="4" t="str">
        <f>HYPERLINK("http://exon.niaid.nih.gov/transcriptome/C_felis/S1/links/SWISSP/cf-contig_74-SWISSP.txt","60S acidic ribosomal protein P1")</f>
        <v>60S acidic ribosomal protein P1</v>
      </c>
      <c r="BB232" t="str">
        <f>HYPERLINK("http://www.uniprot.org/uniprot/P08570","1E-042")</f>
        <v>1E-042</v>
      </c>
      <c r="BC232" t="s">
        <v>1926</v>
      </c>
      <c r="BD232">
        <v>171</v>
      </c>
      <c r="BE232">
        <v>108</v>
      </c>
      <c r="BF232">
        <v>112</v>
      </c>
      <c r="BG232">
        <v>77</v>
      </c>
      <c r="BH232">
        <v>97</v>
      </c>
      <c r="BI232">
        <v>24</v>
      </c>
      <c r="BJ232">
        <v>0</v>
      </c>
      <c r="BK232">
        <v>4</v>
      </c>
      <c r="BL232">
        <v>13</v>
      </c>
      <c r="BM232">
        <v>1</v>
      </c>
      <c r="BN232">
        <v>1</v>
      </c>
      <c r="BO232" t="s">
        <v>12</v>
      </c>
      <c r="BQ232" t="s">
        <v>1676</v>
      </c>
      <c r="BR232" t="s">
        <v>1804</v>
      </c>
      <c r="BS232" s="4" t="str">
        <f>HYPERLINK("http://exon.niaid.nih.gov/transcriptome/C_felis/S1/links/CDD/cf-contig_74-CDD.txt","Ribosomal_P1")</f>
        <v>Ribosomal_P1</v>
      </c>
      <c r="BT232" t="str">
        <f>HYPERLINK("http://www.ncbi.nlm.nih.gov/Structure/cdd/cddsrv.cgi?uid=cd05831&amp;version=v4.0","3E-046")</f>
        <v>3E-046</v>
      </c>
      <c r="BU232" t="s">
        <v>1938</v>
      </c>
      <c r="BV232" s="4" t="s">
        <v>1928</v>
      </c>
      <c r="BW232">
        <f>HYPERLINK("http://exon.niaid.nih.gov/transcriptome/C_felis/S1/links/GO/cf-contig_74-GO.txt",9E-43)</f>
        <v>9.0000000000000005E-43</v>
      </c>
      <c r="BX232" t="str">
        <f t="shared" si="23"/>
        <v>GO:0003735</v>
      </c>
      <c r="BY232" t="s">
        <v>1929</v>
      </c>
      <c r="BZ232" t="s">
        <v>1930</v>
      </c>
      <c r="CA232" t="s">
        <v>1931</v>
      </c>
      <c r="CB232" t="s">
        <v>42</v>
      </c>
      <c r="CD232" s="5">
        <v>9.0000000000000005E-43</v>
      </c>
      <c r="CE232" t="str">
        <f>HYPERLINK("http://amigo.geneontology.org/cgi-bin/amigo/term_details?term=GO:0022625","GO:0022625")</f>
        <v>GO:0022625</v>
      </c>
      <c r="CF232" t="s">
        <v>1932</v>
      </c>
      <c r="CG232" t="s">
        <v>1933</v>
      </c>
      <c r="CH232" t="s">
        <v>1934</v>
      </c>
      <c r="CI232" t="s">
        <v>42</v>
      </c>
      <c r="CK232" s="5">
        <v>9.0000000000000005E-43</v>
      </c>
      <c r="CL232" t="str">
        <f t="shared" si="25"/>
        <v>GO:0006412</v>
      </c>
      <c r="CM232" t="s">
        <v>1935</v>
      </c>
      <c r="CN232" t="s">
        <v>1936</v>
      </c>
      <c r="CO232" t="s">
        <v>1937</v>
      </c>
      <c r="CP232" t="s">
        <v>42</v>
      </c>
      <c r="CR232" s="5">
        <v>9.0000000000000005E-43</v>
      </c>
      <c r="CS232" s="4" t="str">
        <f>HYPERLINK("http://exon.niaid.nih.gov/transcriptome/C_felis/S1/links/KOG/cf-contig_74-KOG.txt","60s acidic ribosomal protein P1")</f>
        <v>60s acidic ribosomal protein P1</v>
      </c>
      <c r="CT232" t="str">
        <f>HYPERLINK("http://www.ncbi.nlm.nih.gov/COG/grace/shokog.cgi?KOG1762","2E-037")</f>
        <v>2E-037</v>
      </c>
      <c r="CU232" t="s">
        <v>1707</v>
      </c>
      <c r="CV232" s="4" t="str">
        <f>HYPERLINK("http://exon.niaid.nih.gov/transcriptome/C_felis/S1/links/PFAM/cf-contig_74-PFAM.txt","Ribosomal_60s")</f>
        <v>Ribosomal_60s</v>
      </c>
      <c r="CW232" t="str">
        <f>HYPERLINK("http://pfam.sanger.ac.uk/family?acc=PF00428","3E-031")</f>
        <v>3E-031</v>
      </c>
      <c r="CX232" s="4" t="str">
        <f>HYPERLINK("http://exon.niaid.nih.gov/transcriptome/C_felis/S1/links/SMART/cf-contig_74-SMART.txt","Telomerase_RBD")</f>
        <v>Telomerase_RBD</v>
      </c>
      <c r="CY232" t="str">
        <f>HYPERLINK("http://smart.embl-heidelberg.de/smart/do_annotation.pl?DOMAIN=Telomerase_RBD&amp;BLAST=DUMMY","0.14")</f>
        <v>0.14</v>
      </c>
      <c r="CZ232" s="4" t="s">
        <v>42</v>
      </c>
      <c r="DA232" t="s">
        <v>42</v>
      </c>
      <c r="DB232" t="s">
        <v>42</v>
      </c>
      <c r="DC232" t="s">
        <v>42</v>
      </c>
      <c r="DD232" t="s">
        <v>42</v>
      </c>
      <c r="DE232" t="s">
        <v>42</v>
      </c>
      <c r="DF232" t="s">
        <v>42</v>
      </c>
      <c r="DG232" t="s">
        <v>42</v>
      </c>
      <c r="DH232" s="4" t="s">
        <v>42</v>
      </c>
      <c r="DI232" t="s">
        <v>42</v>
      </c>
      <c r="DJ232" s="4" t="s">
        <v>42</v>
      </c>
      <c r="DK232" t="s">
        <v>42</v>
      </c>
      <c r="DL232" s="4">
        <f>HYPERLINK("http://exon.niaid.nih.gov/transcriptome/C_felis/S1/links/cluster/cf-5-36-asb30-50-Id-CLU32.txt", 32)</f>
        <v>32</v>
      </c>
      <c r="DM232">
        <f>HYPERLINK("http://exon.niaid.nih.gov/transcriptome/C_felis/S1/links/cluster/cf-5-36-asb30-50-Id-CLTL32.txt", 2)</f>
        <v>2</v>
      </c>
      <c r="DN232" s="4">
        <f>HYPERLINK("http://exon.niaid.nih.gov/transcriptome/C_felis/S1/links/cluster/cf-5-36-asb35-50-Id-CLU26.txt", 26)</f>
        <v>26</v>
      </c>
      <c r="DO232">
        <f>HYPERLINK("http://exon.niaid.nih.gov/transcriptome/C_felis/S1/links/cluster/cf-5-36-asb35-50-Id-CLTL26.txt", 2)</f>
        <v>2</v>
      </c>
      <c r="DP232" s="4">
        <f>HYPERLINK("http://exon.niaid.nih.gov/transcriptome/C_felis/S1/links/cluster/cf-5-36-asb40-50-Id-CLU24.txt", 24)</f>
        <v>24</v>
      </c>
      <c r="DQ232">
        <f>HYPERLINK("http://exon.niaid.nih.gov/transcriptome/C_felis/S1/links/cluster/cf-5-36-asb40-50-Id-CLTL24.txt", 2)</f>
        <v>2</v>
      </c>
      <c r="DR232" s="4">
        <f>HYPERLINK("http://exon.niaid.nih.gov/transcriptome/C_felis/S1/links/cluster/cf-5-36-asb45-50-Id-CLU22.txt", 22)</f>
        <v>22</v>
      </c>
      <c r="DS232">
        <f>HYPERLINK("http://exon.niaid.nih.gov/transcriptome/C_felis/S1/links/cluster/cf-5-36-asb45-50-Id-CLTL22.txt", 2)</f>
        <v>2</v>
      </c>
      <c r="DT232" s="4">
        <f>HYPERLINK("http://exon.niaid.nih.gov/transcriptome/C_felis/S1/links/cluster/cf-5-36-asb50-50-Id-CLU19.txt", 19)</f>
        <v>19</v>
      </c>
      <c r="DU232">
        <f>HYPERLINK("http://exon.niaid.nih.gov/transcriptome/C_felis/S1/links/cluster/cf-5-36-asb50-50-Id-CLTL19.txt", 2)</f>
        <v>2</v>
      </c>
      <c r="DV232" s="4">
        <f>HYPERLINK("http://exon.niaid.nih.gov/transcriptome/C_felis/S1/links/cluster/cf-5-36-asb55-50-Id-CLU19.txt", 19)</f>
        <v>19</v>
      </c>
      <c r="DW232">
        <f>HYPERLINK("http://exon.niaid.nih.gov/transcriptome/C_felis/S1/links/cluster/cf-5-36-asb55-50-Id-CLTL19.txt", 2)</f>
        <v>2</v>
      </c>
      <c r="DX232" s="4">
        <f>HYPERLINK("http://exon.niaid.nih.gov/transcriptome/C_felis/S1/links/cluster/cf-5-36-asb60-50-Id-CLU17.txt", 17)</f>
        <v>17</v>
      </c>
      <c r="DY232">
        <f>HYPERLINK("http://exon.niaid.nih.gov/transcriptome/C_felis/S1/links/cluster/cf-5-36-asb60-50-Id-CLTL17.txt", 2)</f>
        <v>2</v>
      </c>
      <c r="DZ232" s="4">
        <f>HYPERLINK("http://exon.niaid.nih.gov/transcriptome/C_felis/S1/links/cluster/cf-5-36-asb65-50-Id-CLU15.txt", 15)</f>
        <v>15</v>
      </c>
      <c r="EA232">
        <f>HYPERLINK("http://exon.niaid.nih.gov/transcriptome/C_felis/S1/links/cluster/cf-5-36-asb65-50-Id-CLTL15.txt", 2)</f>
        <v>2</v>
      </c>
      <c r="EB232" s="4">
        <f>HYPERLINK("http://exon.niaid.nih.gov/transcriptome/C_felis/S1/links/cluster/cf-5-36-asb70-50-Id-CLU11.txt", 11)</f>
        <v>11</v>
      </c>
      <c r="EC232">
        <f>HYPERLINK("http://exon.niaid.nih.gov/transcriptome/C_felis/S1/links/cluster/cf-5-36-asb70-50-Id-CLTL11.txt", 2)</f>
        <v>2</v>
      </c>
      <c r="ED232" s="4">
        <f>HYPERLINK("http://exon.niaid.nih.gov/transcriptome/C_felis/S1/links/cluster/cf-5-36-asb75-50-Id-CLU9.txt", 9)</f>
        <v>9</v>
      </c>
      <c r="EE232">
        <f>HYPERLINK("http://exon.niaid.nih.gov/transcriptome/C_felis/S1/links/cluster/cf-5-36-asb75-50-Id-CLTL9.txt", 2)</f>
        <v>2</v>
      </c>
      <c r="EF232" s="4">
        <v>81</v>
      </c>
      <c r="EG232">
        <v>1</v>
      </c>
      <c r="EH232" s="4">
        <v>76</v>
      </c>
      <c r="EI232">
        <v>1</v>
      </c>
      <c r="EJ232" s="4">
        <v>74</v>
      </c>
      <c r="EK232">
        <v>1</v>
      </c>
    </row>
    <row r="233" spans="1:141" x14ac:dyDescent="0.2">
      <c r="A233" t="str">
        <f>HYPERLINK("http://exon.niaid.nih.gov/transcriptome/C_felis/S1/links/cf/cf-contig_630.txt","cf-contig_630")</f>
        <v>cf-contig_630</v>
      </c>
      <c r="B233">
        <v>1</v>
      </c>
      <c r="C233" s="10" t="s">
        <v>4829</v>
      </c>
      <c r="D233">
        <v>1</v>
      </c>
      <c r="E233" t="str">
        <f>HYPERLINK("http://exon.niaid.nih.gov/transcriptome/C_felis/S1/links/cf/cf-5-36-asb-630.txt","Contig-630")</f>
        <v>Contig-630</v>
      </c>
      <c r="F233" t="str">
        <f>HYPERLINK("http://exon.niaid.nih.gov/transcriptome/C_felis/S1/links/cf/cf-5-36-630-CLU.txt","Contig630")</f>
        <v>Contig630</v>
      </c>
      <c r="G233" t="str">
        <f>HYPERLINK("http://exon.niaid.nih.gov/transcriptome/C_felis/S1/links/cf/cf-5-36-630-qual.txt","63.8")</f>
        <v>63.8</v>
      </c>
      <c r="H233" t="s">
        <v>11</v>
      </c>
      <c r="I233">
        <v>70.8</v>
      </c>
      <c r="J233">
        <v>354</v>
      </c>
      <c r="K233" t="s">
        <v>12</v>
      </c>
      <c r="L233">
        <v>1</v>
      </c>
      <c r="M233" t="s">
        <v>643</v>
      </c>
      <c r="N233">
        <v>354</v>
      </c>
      <c r="O233">
        <v>373</v>
      </c>
      <c r="P233">
        <v>246</v>
      </c>
      <c r="Q233" t="s">
        <v>1449</v>
      </c>
      <c r="R233">
        <v>2</v>
      </c>
      <c r="S233" s="7" t="str">
        <f>HYPERLINK("http://exon.niaid.nih.gov/transcriptome/C_felis/S1/links/Sigp/CF-CONTIG_630-SigP.txt","Cyt")</f>
        <v>Cyt</v>
      </c>
      <c r="U233">
        <v>1</v>
      </c>
      <c r="V233" s="4">
        <v>515</v>
      </c>
      <c r="W233">
        <v>1</v>
      </c>
      <c r="X233" s="4">
        <v>527</v>
      </c>
      <c r="Y233">
        <v>1</v>
      </c>
      <c r="Z233" s="4">
        <v>537</v>
      </c>
      <c r="AA233">
        <v>1</v>
      </c>
      <c r="AB233" s="4" t="str">
        <f>HYPERLINK("http://exon.niaid.nih.gov/transcriptome/C_felis/S1/links/XC-ASB/cf-contig_630-XC-ASB.txt","XC-contig_57")</f>
        <v>XC-contig_57</v>
      </c>
      <c r="AC233">
        <v>5.9999999999999995E-4</v>
      </c>
      <c r="AD233" s="10" t="s">
        <v>4829</v>
      </c>
      <c r="AE233" t="s">
        <v>4605</v>
      </c>
      <c r="AF233" t="str">
        <f>HYPERLINK("http://exon.niaid.nih.gov/transcriptome/C_felis/S1/links/NR/cf-contig_630-NR.txt","NR")</f>
        <v>NR</v>
      </c>
      <c r="AG233" s="5">
        <v>2.9999999999999999E-22</v>
      </c>
      <c r="AH233">
        <v>16</v>
      </c>
      <c r="AI233" s="4" t="str">
        <f>HYPERLINK("http://exon.niaid.nih.gov/transcriptome/C_felis/S1/links/NR/cf-contig_630-NR.txt","similar to nonsense-mediated mrna decay protein")</f>
        <v>similar to nonsense-mediated mrna decay protein</v>
      </c>
      <c r="AJ233" t="str">
        <f>HYPERLINK("http://www.ncbi.nlm.nih.gov/sutils/blink.cgi?pid=91091920","2E-022")</f>
        <v>2E-022</v>
      </c>
      <c r="AK233" t="str">
        <f>HYPERLINK("http://www.ncbi.nlm.nih.gov/protein/91091920","gi|91091920")</f>
        <v>gi|91091920</v>
      </c>
      <c r="AL233">
        <v>108</v>
      </c>
      <c r="AM233">
        <v>80</v>
      </c>
      <c r="AN233">
        <v>503</v>
      </c>
      <c r="AO233">
        <v>69</v>
      </c>
      <c r="AP233">
        <v>16</v>
      </c>
      <c r="AQ233">
        <v>25</v>
      </c>
      <c r="AR233">
        <v>2</v>
      </c>
      <c r="AS233">
        <v>422</v>
      </c>
      <c r="AT233">
        <v>11</v>
      </c>
      <c r="AU233">
        <v>1</v>
      </c>
      <c r="AV233">
        <v>2</v>
      </c>
      <c r="AW233" t="s">
        <v>12</v>
      </c>
      <c r="AY233" t="s">
        <v>1676</v>
      </c>
      <c r="AZ233" t="s">
        <v>1878</v>
      </c>
      <c r="BA233" s="4" t="str">
        <f>HYPERLINK("http://exon.niaid.nih.gov/transcriptome/C_felis/S1/links/SWISSP/cf-contig_630-SWISSP.txt","60S ribosomal export protein NMD3")</f>
        <v>60S ribosomal export protein NMD3</v>
      </c>
      <c r="BB233" t="str">
        <f>HYPERLINK("http://www.uniprot.org/uniprot/Q5RC82","3E-015")</f>
        <v>3E-015</v>
      </c>
      <c r="BC233" t="s">
        <v>3989</v>
      </c>
      <c r="BD233">
        <v>80.5</v>
      </c>
      <c r="BE233">
        <v>77</v>
      </c>
      <c r="BF233">
        <v>503</v>
      </c>
      <c r="BG233">
        <v>51</v>
      </c>
      <c r="BH233">
        <v>16</v>
      </c>
      <c r="BI233">
        <v>38</v>
      </c>
      <c r="BJ233">
        <v>1</v>
      </c>
      <c r="BK233">
        <v>419</v>
      </c>
      <c r="BL233">
        <v>14</v>
      </c>
      <c r="BM233">
        <v>1</v>
      </c>
      <c r="BN233">
        <v>2</v>
      </c>
      <c r="BO233" t="s">
        <v>12</v>
      </c>
      <c r="BQ233" t="s">
        <v>1676</v>
      </c>
      <c r="BR233" t="s">
        <v>2347</v>
      </c>
      <c r="BS233" s="4" t="str">
        <f>HYPERLINK("http://exon.niaid.nih.gov/transcriptome/C_felis/S1/links/CDD/cf-contig_630-CDD.txt","QcrB")</f>
        <v>QcrB</v>
      </c>
      <c r="BT233" t="str">
        <f>HYPERLINK("http://www.ncbi.nlm.nih.gov/Structure/cdd/cddsrv.cgi?uid=COG1290&amp;version=v4.0","0.17")</f>
        <v>0.17</v>
      </c>
      <c r="BU233" t="s">
        <v>3990</v>
      </c>
      <c r="BV233" s="4" t="s">
        <v>3991</v>
      </c>
      <c r="BW233">
        <f>HYPERLINK("http://exon.niaid.nih.gov/transcriptome/C_felis/S1/links/GO/cf-contig_630-GO.txt",0.000000000000001)</f>
        <v>1.0000000000000001E-15</v>
      </c>
      <c r="BX233" t="str">
        <f>HYPERLINK("http://amigo.geneontology.org/cgi-bin/amigo/term_details?term=GO:0043023","GO:0043023")</f>
        <v>GO:0043023</v>
      </c>
      <c r="BY233" t="s">
        <v>3992</v>
      </c>
      <c r="BZ233" t="s">
        <v>3993</v>
      </c>
      <c r="CA233" t="s">
        <v>42</v>
      </c>
      <c r="CB233" t="s">
        <v>42</v>
      </c>
      <c r="CD233">
        <v>2.9999999999999997E-8</v>
      </c>
      <c r="CE233" t="str">
        <f>HYPERLINK("http://amigo.geneontology.org/cgi-bin/amigo/term_details?term=GO:0005654","GO:0005654")</f>
        <v>GO:0005654</v>
      </c>
      <c r="CF233" t="s">
        <v>3994</v>
      </c>
      <c r="CG233" t="s">
        <v>3995</v>
      </c>
      <c r="CH233" t="s">
        <v>42</v>
      </c>
      <c r="CI233" t="s">
        <v>42</v>
      </c>
      <c r="CK233">
        <v>2.9999999999999997E-8</v>
      </c>
      <c r="CL233" t="str">
        <f>HYPERLINK("http://amigo.geneontology.org/cgi-bin/amigo/term_details?term=GO:0000055","GO:0000055")</f>
        <v>GO:0000055</v>
      </c>
      <c r="CM233" t="s">
        <v>3996</v>
      </c>
      <c r="CN233" t="s">
        <v>3997</v>
      </c>
      <c r="CO233" t="s">
        <v>3998</v>
      </c>
      <c r="CP233" t="s">
        <v>42</v>
      </c>
      <c r="CR233">
        <v>2.9999999999999997E-8</v>
      </c>
      <c r="CS233" s="4" t="str">
        <f>HYPERLINK("http://exon.niaid.nih.gov/transcriptome/C_felis/S1/links/KOG/cf-contig_630-KOG.txt","NMD protein affecting ribosome stability and mRNA decay")</f>
        <v>NMD protein affecting ribosome stability and mRNA decay</v>
      </c>
      <c r="CT233" t="str">
        <f>HYPERLINK("http://www.ncbi.nlm.nih.gov/COG/grace/shokog.cgi?KOG2613","3E-020")</f>
        <v>3E-020</v>
      </c>
      <c r="CU233" t="s">
        <v>1707</v>
      </c>
      <c r="CV233" s="4" t="str">
        <f>HYPERLINK("http://exon.niaid.nih.gov/transcriptome/C_felis/S1/links/PFAM/cf-contig_630-PFAM.txt","SUR7")</f>
        <v>SUR7</v>
      </c>
      <c r="CW233" t="str">
        <f>HYPERLINK("http://pfam.sanger.ac.uk/family?acc=PF06687","0.26")</f>
        <v>0.26</v>
      </c>
      <c r="CX233" s="4" t="str">
        <f>HYPERLINK("http://exon.niaid.nih.gov/transcriptome/C_felis/S1/links/SMART/cf-contig_630-SMART.txt","TIR")</f>
        <v>TIR</v>
      </c>
      <c r="CY233" t="str">
        <f>HYPERLINK("http://smart.embl-heidelberg.de/smart/do_annotation.pl?DOMAIN=TIR&amp;BLAST=DUMMY","0.050")</f>
        <v>0.050</v>
      </c>
      <c r="CZ233" s="4" t="s">
        <v>42</v>
      </c>
      <c r="DA233" t="s">
        <v>42</v>
      </c>
      <c r="DB233" t="s">
        <v>42</v>
      </c>
      <c r="DC233" t="s">
        <v>42</v>
      </c>
      <c r="DD233" t="s">
        <v>42</v>
      </c>
      <c r="DE233" t="s">
        <v>42</v>
      </c>
      <c r="DF233" t="s">
        <v>42</v>
      </c>
      <c r="DG233" t="s">
        <v>42</v>
      </c>
      <c r="DH233" s="4" t="s">
        <v>42</v>
      </c>
      <c r="DI233" t="s">
        <v>42</v>
      </c>
      <c r="DJ233" s="4" t="s">
        <v>42</v>
      </c>
      <c r="DK233" t="s">
        <v>42</v>
      </c>
      <c r="DL233" s="4">
        <v>515</v>
      </c>
      <c r="DM233">
        <v>1</v>
      </c>
      <c r="DN233" s="4">
        <v>527</v>
      </c>
      <c r="DO233">
        <v>1</v>
      </c>
      <c r="DP233" s="4">
        <v>537</v>
      </c>
      <c r="DQ233">
        <v>1</v>
      </c>
      <c r="DR233" s="4">
        <v>556</v>
      </c>
      <c r="DS233">
        <v>1</v>
      </c>
      <c r="DT233" s="4">
        <v>569</v>
      </c>
      <c r="DU233">
        <v>1</v>
      </c>
      <c r="DV233" s="4">
        <v>583</v>
      </c>
      <c r="DW233">
        <v>1</v>
      </c>
      <c r="DX233" s="4">
        <v>592</v>
      </c>
      <c r="DY233">
        <v>1</v>
      </c>
      <c r="DZ233" s="4">
        <v>600</v>
      </c>
      <c r="EA233">
        <v>1</v>
      </c>
      <c r="EB233" s="4">
        <v>605</v>
      </c>
      <c r="EC233">
        <v>1</v>
      </c>
      <c r="ED233" s="4">
        <v>609</v>
      </c>
      <c r="EE233">
        <v>1</v>
      </c>
      <c r="EF233" s="4">
        <v>615</v>
      </c>
      <c r="EG233">
        <v>1</v>
      </c>
      <c r="EH233" s="4">
        <v>623</v>
      </c>
      <c r="EI233">
        <v>1</v>
      </c>
      <c r="EJ233" s="4">
        <v>630</v>
      </c>
      <c r="EK233">
        <v>1</v>
      </c>
    </row>
    <row r="234" spans="1:141" x14ac:dyDescent="0.2">
      <c r="A234" t="str">
        <f>HYPERLINK("http://exon.niaid.nih.gov/transcriptome/C_felis/S1/links/cf/cf-contig_203.txt","cf-contig_203")</f>
        <v>cf-contig_203</v>
      </c>
      <c r="B234">
        <v>3</v>
      </c>
      <c r="C234" s="10" t="s">
        <v>4687</v>
      </c>
      <c r="D234">
        <v>3</v>
      </c>
      <c r="E234" t="str">
        <f>HYPERLINK("http://exon.niaid.nih.gov/transcriptome/C_felis/S1/links/cf/cf-5-36-asb-203.txt","Contig-203")</f>
        <v>Contig-203</v>
      </c>
      <c r="F234" t="str">
        <f>HYPERLINK("http://exon.niaid.nih.gov/transcriptome/C_felis/S1/links/cf/cf-5-36-203-CLU.txt","Contig203")</f>
        <v>Contig203</v>
      </c>
      <c r="G234" t="str">
        <f>HYPERLINK("http://exon.niaid.nih.gov/transcriptome/C_felis/S1/links/cf/cf-5-36-203-qual.txt","86.5")</f>
        <v>86.5</v>
      </c>
      <c r="H234" t="s">
        <v>11</v>
      </c>
      <c r="I234">
        <v>57.9</v>
      </c>
      <c r="J234">
        <v>654</v>
      </c>
      <c r="K234" t="s">
        <v>12</v>
      </c>
      <c r="L234">
        <v>3</v>
      </c>
      <c r="M234" t="s">
        <v>216</v>
      </c>
      <c r="N234">
        <v>654</v>
      </c>
      <c r="O234">
        <v>673</v>
      </c>
      <c r="P234">
        <v>603</v>
      </c>
      <c r="Q234" t="s">
        <v>1023</v>
      </c>
      <c r="R234">
        <v>1</v>
      </c>
      <c r="S234" s="7" t="str">
        <f>HYPERLINK("http://exon.niaid.nih.gov/transcriptome/C_felis/S1/links/Sigp/CF-CONTIG_203-SigP.txt","Cyt")</f>
        <v>Cyt</v>
      </c>
      <c r="U234">
        <v>3</v>
      </c>
      <c r="V234" s="4">
        <v>170</v>
      </c>
      <c r="W234">
        <v>1</v>
      </c>
      <c r="X234" s="4">
        <v>172</v>
      </c>
      <c r="Y234">
        <v>1</v>
      </c>
      <c r="Z234" s="4">
        <v>170</v>
      </c>
      <c r="AA234">
        <v>1</v>
      </c>
      <c r="AB234" s="4" t="str">
        <f>HYPERLINK("http://exon.niaid.nih.gov/transcriptome/C_felis/S1/links/XC-ASB/cf-contig_203-XC-ASB.txt","XC-contig_125")</f>
        <v>XC-contig_125</v>
      </c>
      <c r="AC234">
        <v>7.9999999999999999E-45</v>
      </c>
      <c r="AD234" s="10" t="s">
        <v>4687</v>
      </c>
      <c r="AE234" t="s">
        <v>4605</v>
      </c>
      <c r="AF234" t="str">
        <f>HYPERLINK("http://exon.niaid.nih.gov/transcriptome/C_felis/S1/links/KOG/cf-contig_203-KOG.txt","KOG")</f>
        <v>KOG</v>
      </c>
      <c r="AG234" s="5">
        <v>9.9999999999999996E-82</v>
      </c>
      <c r="AH234">
        <v>90.5</v>
      </c>
      <c r="AI234" s="4" t="str">
        <f>HYPERLINK("http://exon.niaid.nih.gov/transcriptome/C_felis/S1/links/NR/cf-contig_203-NR.txt","ribosomal protein L10e")</f>
        <v>ribosomal protein L10e</v>
      </c>
      <c r="AJ234" t="str">
        <f>HYPERLINK("http://www.ncbi.nlm.nih.gov/sutils/blink.cgi?pid=70909659","1E-104")</f>
        <v>1E-104</v>
      </c>
      <c r="AK234" t="str">
        <f>HYPERLINK("http://www.ncbi.nlm.nih.gov/protein/70909659","gi|70909659")</f>
        <v>gi|70909659</v>
      </c>
      <c r="AL234">
        <v>380</v>
      </c>
      <c r="AM234">
        <v>196</v>
      </c>
      <c r="AN234">
        <v>218</v>
      </c>
      <c r="AO234">
        <v>90</v>
      </c>
      <c r="AP234">
        <v>90</v>
      </c>
      <c r="AQ234">
        <v>18</v>
      </c>
      <c r="AR234">
        <v>0</v>
      </c>
      <c r="AS234">
        <v>22</v>
      </c>
      <c r="AT234">
        <v>10</v>
      </c>
      <c r="AU234">
        <v>1</v>
      </c>
      <c r="AV234">
        <v>1</v>
      </c>
      <c r="AW234" t="s">
        <v>12</v>
      </c>
      <c r="AY234" t="s">
        <v>1676</v>
      </c>
      <c r="AZ234" t="s">
        <v>2088</v>
      </c>
      <c r="BA234" s="4" t="str">
        <f>HYPERLINK("http://exon.niaid.nih.gov/transcriptome/C_felis/S1/links/SWISSP/cf-contig_203-SWISSP.txt","60S ribosomal protein L10")</f>
        <v>60S ribosomal protein L10</v>
      </c>
      <c r="BB234" t="str">
        <f>HYPERLINK("http://www.uniprot.org/uniprot/O96647","1E-103")</f>
        <v>1E-103</v>
      </c>
      <c r="BC234" t="s">
        <v>2428</v>
      </c>
      <c r="BD234">
        <v>373</v>
      </c>
      <c r="BE234">
        <v>194</v>
      </c>
      <c r="BF234">
        <v>219</v>
      </c>
      <c r="BG234">
        <v>90</v>
      </c>
      <c r="BH234">
        <v>89</v>
      </c>
      <c r="BI234">
        <v>18</v>
      </c>
      <c r="BJ234">
        <v>0</v>
      </c>
      <c r="BK234">
        <v>22</v>
      </c>
      <c r="BL234">
        <v>10</v>
      </c>
      <c r="BM234">
        <v>1</v>
      </c>
      <c r="BN234">
        <v>1</v>
      </c>
      <c r="BO234" t="s">
        <v>12</v>
      </c>
      <c r="BQ234" t="s">
        <v>1676</v>
      </c>
      <c r="BR234" t="s">
        <v>2429</v>
      </c>
      <c r="BS234" s="4" t="str">
        <f>HYPERLINK("http://exon.niaid.nih.gov/transcriptome/C_felis/S1/links/CDD/cf-contig_203-CDD.txt","PTZ00173")</f>
        <v>PTZ00173</v>
      </c>
      <c r="BT234" t="str">
        <f>HYPERLINK("http://www.ncbi.nlm.nih.gov/Structure/cdd/cddsrv.cgi?uid=PTZ00173&amp;version=v4.0","1E-105")</f>
        <v>1E-105</v>
      </c>
      <c r="BU234" t="s">
        <v>2430</v>
      </c>
      <c r="BV234" s="4" t="s">
        <v>2431</v>
      </c>
      <c r="BW234">
        <f>HYPERLINK("http://exon.niaid.nih.gov/transcriptome/C_felis/S1/links/GO/cf-contig_203-GO.txt",0)</f>
        <v>0</v>
      </c>
      <c r="BX234" t="str">
        <f>HYPERLINK("http://amigo.geneontology.org/cgi-bin/amigo/term_details?term=GO:0003735","GO:0003735")</f>
        <v>GO:0003735</v>
      </c>
      <c r="BY234" t="s">
        <v>1929</v>
      </c>
      <c r="BZ234" t="s">
        <v>1930</v>
      </c>
      <c r="CA234" t="s">
        <v>1931</v>
      </c>
      <c r="CB234" t="s">
        <v>42</v>
      </c>
      <c r="CD234" s="5">
        <v>9.9999999999999993E-103</v>
      </c>
      <c r="CE234" t="str">
        <f>HYPERLINK("http://amigo.geneontology.org/cgi-bin/amigo/term_details?term=GO:0022625","GO:0022625")</f>
        <v>GO:0022625</v>
      </c>
      <c r="CF234" t="s">
        <v>1932</v>
      </c>
      <c r="CG234" t="s">
        <v>1933</v>
      </c>
      <c r="CH234" t="s">
        <v>1934</v>
      </c>
      <c r="CI234" t="s">
        <v>42</v>
      </c>
      <c r="CK234" s="5">
        <v>9.9999999999999993E-103</v>
      </c>
      <c r="CL234" t="str">
        <f t="shared" ref="CL234:CL256" si="26">HYPERLINK("http://amigo.geneontology.org/cgi-bin/amigo/term_details?term=GO:0006412","GO:0006412")</f>
        <v>GO:0006412</v>
      </c>
      <c r="CM234" t="s">
        <v>1935</v>
      </c>
      <c r="CN234" t="s">
        <v>1936</v>
      </c>
      <c r="CO234" t="s">
        <v>1937</v>
      </c>
      <c r="CP234" t="s">
        <v>42</v>
      </c>
      <c r="CR234" s="5">
        <v>9.9999999999999993E-103</v>
      </c>
      <c r="CS234" s="4" t="str">
        <f>HYPERLINK("http://exon.niaid.nih.gov/transcriptome/C_felis/S1/links/KOG/cf-contig_203-KOG.txt","60s ribosomal protein L10")</f>
        <v>60s ribosomal protein L10</v>
      </c>
      <c r="CT234" t="str">
        <f>HYPERLINK("http://www.ncbi.nlm.nih.gov/COG/grace/shokog.cgi?KOG0857","1E-081")</f>
        <v>1E-081</v>
      </c>
      <c r="CU234" t="s">
        <v>1707</v>
      </c>
      <c r="CV234" s="4" t="str">
        <f>HYPERLINK("http://exon.niaid.nih.gov/transcriptome/C_felis/S1/links/PFAM/cf-contig_203-PFAM.txt","Ribosomal_L16")</f>
        <v>Ribosomal_L16</v>
      </c>
      <c r="CW234" t="str">
        <f>HYPERLINK("http://pfam.sanger.ac.uk/family?acc=PF00252","2E-026")</f>
        <v>2E-026</v>
      </c>
      <c r="CX234" s="4" t="str">
        <f>HYPERLINK("http://exon.niaid.nih.gov/transcriptome/C_felis/S1/links/SMART/cf-contig_203-SMART.txt","DoH")</f>
        <v>DoH</v>
      </c>
      <c r="CY234" t="str">
        <f>HYPERLINK("http://smart.embl-heidelberg.de/smart/do_annotation.pl?DOMAIN=DoH&amp;BLAST=DUMMY","0.002")</f>
        <v>0.002</v>
      </c>
      <c r="CZ234" s="4" t="s">
        <v>42</v>
      </c>
      <c r="DA234" t="s">
        <v>42</v>
      </c>
      <c r="DB234" t="s">
        <v>42</v>
      </c>
      <c r="DC234" t="s">
        <v>42</v>
      </c>
      <c r="DD234" t="s">
        <v>42</v>
      </c>
      <c r="DE234" t="s">
        <v>42</v>
      </c>
      <c r="DF234" t="s">
        <v>42</v>
      </c>
      <c r="DG234" t="s">
        <v>42</v>
      </c>
      <c r="DH234" s="4" t="s">
        <v>42</v>
      </c>
      <c r="DI234" t="s">
        <v>42</v>
      </c>
      <c r="DJ234" s="4" t="s">
        <v>42</v>
      </c>
      <c r="DK234" t="s">
        <v>42</v>
      </c>
      <c r="DL234" s="4">
        <v>170</v>
      </c>
      <c r="DM234">
        <v>1</v>
      </c>
      <c r="DN234" s="4">
        <v>172</v>
      </c>
      <c r="DO234">
        <v>1</v>
      </c>
      <c r="DP234" s="4">
        <v>170</v>
      </c>
      <c r="DQ234">
        <v>1</v>
      </c>
      <c r="DR234" s="4">
        <v>169</v>
      </c>
      <c r="DS234">
        <v>1</v>
      </c>
      <c r="DT234" s="4">
        <v>173</v>
      </c>
      <c r="DU234">
        <v>1</v>
      </c>
      <c r="DV234" s="4">
        <v>185</v>
      </c>
      <c r="DW234">
        <v>1</v>
      </c>
      <c r="DX234" s="4">
        <v>187</v>
      </c>
      <c r="DY234">
        <v>1</v>
      </c>
      <c r="DZ234" s="4">
        <v>189</v>
      </c>
      <c r="EA234">
        <v>1</v>
      </c>
      <c r="EB234" s="4">
        <v>194</v>
      </c>
      <c r="EC234">
        <v>1</v>
      </c>
      <c r="ED234" s="4">
        <v>197</v>
      </c>
      <c r="EE234">
        <v>1</v>
      </c>
      <c r="EF234" s="4">
        <v>198</v>
      </c>
      <c r="EG234">
        <v>1</v>
      </c>
      <c r="EH234" s="4">
        <v>198</v>
      </c>
      <c r="EI234">
        <v>1</v>
      </c>
      <c r="EJ234" s="4">
        <v>203</v>
      </c>
      <c r="EK234">
        <v>1</v>
      </c>
    </row>
    <row r="235" spans="1:141" x14ac:dyDescent="0.2">
      <c r="A235" t="str">
        <f>HYPERLINK("http://exon.niaid.nih.gov/transcriptome/C_felis/S1/links/cf/cf-contig_232.txt","cf-contig_232")</f>
        <v>cf-contig_232</v>
      </c>
      <c r="B235">
        <v>2</v>
      </c>
      <c r="C235" s="10" t="s">
        <v>4701</v>
      </c>
      <c r="D235">
        <v>2</v>
      </c>
      <c r="E235" t="str">
        <f>HYPERLINK("http://exon.niaid.nih.gov/transcriptome/C_felis/S1/links/cf/cf-5-36-asb-232.txt","Contig-232")</f>
        <v>Contig-232</v>
      </c>
      <c r="F235" t="str">
        <f>HYPERLINK("http://exon.niaid.nih.gov/transcriptome/C_felis/S1/links/cf/cf-5-36-232-CLU.txt","Contig232")</f>
        <v>Contig232</v>
      </c>
      <c r="G235" t="str">
        <f>HYPERLINK("http://exon.niaid.nih.gov/transcriptome/C_felis/S1/links/cf/cf-5-36-232-qual.txt","81.2")</f>
        <v>81.2</v>
      </c>
      <c r="H235">
        <v>0.2</v>
      </c>
      <c r="I235">
        <v>61.5</v>
      </c>
      <c r="J235">
        <v>597</v>
      </c>
      <c r="K235" t="s">
        <v>12</v>
      </c>
      <c r="L235">
        <v>2</v>
      </c>
      <c r="M235" t="s">
        <v>245</v>
      </c>
      <c r="N235">
        <v>597</v>
      </c>
      <c r="O235">
        <v>616</v>
      </c>
      <c r="P235">
        <v>381</v>
      </c>
      <c r="Q235" t="s">
        <v>1052</v>
      </c>
      <c r="R235">
        <v>1</v>
      </c>
      <c r="S235" s="7" t="str">
        <f>HYPERLINK("http://exon.niaid.nih.gov/transcriptome/C_felis/S1/links/Sigp/CF-CONTIG_232-SigP.txt","Cyt")</f>
        <v>Cyt</v>
      </c>
      <c r="U235">
        <v>2</v>
      </c>
      <c r="V235" s="4">
        <f>HYPERLINK("http://exon.niaid.nih.gov/transcriptome/C_felis/S1/links/cluster/cf-5-36-asb30-50-Id-CLU57.txt", 57)</f>
        <v>57</v>
      </c>
      <c r="W235">
        <f>HYPERLINK("http://exon.niaid.nih.gov/transcriptome/C_felis/S1/links/cluster/cf-5-36-asb30-50-Id-CLTL57.txt", 2)</f>
        <v>2</v>
      </c>
      <c r="X235" s="4">
        <f>HYPERLINK("http://exon.niaid.nih.gov/transcriptome/C_felis/S1/links/cluster/cf-5-36-asb35-50-Id-CLU50.txt", 50)</f>
        <v>50</v>
      </c>
      <c r="Y235">
        <f>HYPERLINK("http://exon.niaid.nih.gov/transcriptome/C_felis/S1/links/cluster/cf-5-36-asb35-50-Id-CLTL50.txt", 2)</f>
        <v>2</v>
      </c>
      <c r="Z235" s="4">
        <f>HYPERLINK("http://exon.niaid.nih.gov/transcriptome/C_felis/S1/links/cluster/cf-5-36-asb40-50-Id-CLU47.txt", 47)</f>
        <v>47</v>
      </c>
      <c r="AA235">
        <f>HYPERLINK("http://exon.niaid.nih.gov/transcriptome/C_felis/S1/links/cluster/cf-5-36-asb40-50-Id-CLTL47.txt", 2)</f>
        <v>2</v>
      </c>
      <c r="AB235" s="4" t="str">
        <f>HYPERLINK("http://exon.niaid.nih.gov/transcriptome/C_felis/S1/links/XC-ASB/cf-contig_232-XC-ASB.txt","XC-contig_181")</f>
        <v>XC-contig_181</v>
      </c>
      <c r="AC235">
        <v>0.02</v>
      </c>
      <c r="AD235" s="10" t="s">
        <v>4701</v>
      </c>
      <c r="AE235" t="s">
        <v>4605</v>
      </c>
      <c r="AF235" t="str">
        <f>HYPERLINK("http://exon.niaid.nih.gov/transcriptome/C_felis/S1/links/KOG/cf-contig_232-KOG.txt","KOG")</f>
        <v>KOG</v>
      </c>
      <c r="AG235" s="5">
        <v>3.0000000000000001E-58</v>
      </c>
      <c r="AH235">
        <v>58.2</v>
      </c>
      <c r="AI235" s="4" t="str">
        <f>HYPERLINK("http://exon.niaid.nih.gov/transcriptome/C_felis/S1/links/NR/cf-contig_232-NR.txt","60S ribosomal protein L10a")</f>
        <v>60S ribosomal protein L10a</v>
      </c>
      <c r="AJ235" t="str">
        <f>HYPERLINK("http://www.ncbi.nlm.nih.gov/sutils/blink.cgi?pid=170571798","6E-074")</f>
        <v>6E-074</v>
      </c>
      <c r="AK235" t="str">
        <f>HYPERLINK("http://www.ncbi.nlm.nih.gov/protein/170571798","gi|170571798")</f>
        <v>gi|170571798</v>
      </c>
      <c r="AL235">
        <v>213</v>
      </c>
      <c r="AM235">
        <v>178</v>
      </c>
      <c r="AN235">
        <v>284</v>
      </c>
      <c r="AO235">
        <v>78</v>
      </c>
      <c r="AP235">
        <v>63</v>
      </c>
      <c r="AQ235">
        <v>27</v>
      </c>
      <c r="AR235">
        <v>0</v>
      </c>
      <c r="AS235">
        <v>106</v>
      </c>
      <c r="AT235">
        <v>18</v>
      </c>
      <c r="AU235">
        <v>2</v>
      </c>
      <c r="AV235">
        <v>1</v>
      </c>
      <c r="AW235" t="s">
        <v>1689</v>
      </c>
      <c r="AY235" t="s">
        <v>1676</v>
      </c>
      <c r="AZ235" t="s">
        <v>2538</v>
      </c>
      <c r="BA235" s="4" t="str">
        <f>HYPERLINK("http://exon.niaid.nih.gov/transcriptome/C_felis/S1/links/SWISSP/cf-contig_232-SWISSP.txt","60S ribosomal protein L10a")</f>
        <v>60S ribosomal protein L10a</v>
      </c>
      <c r="BB235" t="str">
        <f>HYPERLINK("http://www.uniprot.org/uniprot/Q9N4I4","6E-069")</f>
        <v>6E-069</v>
      </c>
      <c r="BC235" t="s">
        <v>2539</v>
      </c>
      <c r="BD235">
        <v>199</v>
      </c>
      <c r="BE235">
        <v>178</v>
      </c>
      <c r="BF235">
        <v>216</v>
      </c>
      <c r="BG235">
        <v>74</v>
      </c>
      <c r="BH235">
        <v>83</v>
      </c>
      <c r="BI235">
        <v>32</v>
      </c>
      <c r="BJ235">
        <v>0</v>
      </c>
      <c r="BK235">
        <v>38</v>
      </c>
      <c r="BL235">
        <v>18</v>
      </c>
      <c r="BM235">
        <v>2</v>
      </c>
      <c r="BN235">
        <v>1</v>
      </c>
      <c r="BO235" t="s">
        <v>1689</v>
      </c>
      <c r="BQ235" t="s">
        <v>1676</v>
      </c>
      <c r="BR235" t="s">
        <v>1735</v>
      </c>
      <c r="BS235" s="4" t="str">
        <f>HYPERLINK("http://exon.niaid.nih.gov/transcriptome/C_felis/S1/links/CDD/cf-contig_232-CDD.txt","PTZ00029")</f>
        <v>PTZ00029</v>
      </c>
      <c r="BT235" t="str">
        <f>HYPERLINK("http://www.ncbi.nlm.nih.gov/Structure/cdd/cddsrv.cgi?uid=PTZ00029&amp;version=v4.0","1E-063")</f>
        <v>1E-063</v>
      </c>
      <c r="BU235" t="s">
        <v>2540</v>
      </c>
      <c r="BV235" s="4" t="s">
        <v>2541</v>
      </c>
      <c r="BW235">
        <f>HYPERLINK("http://exon.niaid.nih.gov/transcriptome/C_felis/S1/links/GO/cf-contig_232-GO.txt",6E-73)</f>
        <v>6.0000000000000003E-73</v>
      </c>
      <c r="BX235" t="str">
        <f>HYPERLINK("http://amigo.geneontology.org/cgi-bin/amigo/term_details?term=GO:0003723","GO:0003723")</f>
        <v>GO:0003723</v>
      </c>
      <c r="BY235" t="s">
        <v>2062</v>
      </c>
      <c r="BZ235" t="s">
        <v>2063</v>
      </c>
      <c r="CA235" t="s">
        <v>42</v>
      </c>
      <c r="CB235" t="s">
        <v>42</v>
      </c>
      <c r="CD235" s="5">
        <v>6.0000000000000003E-73</v>
      </c>
      <c r="CE235" t="str">
        <f>HYPERLINK("http://amigo.geneontology.org/cgi-bin/amigo/term_details?term=GO:0005622","GO:0005622")</f>
        <v>GO:0005622</v>
      </c>
      <c r="CF235" t="s">
        <v>2085</v>
      </c>
      <c r="CG235" t="s">
        <v>2086</v>
      </c>
      <c r="CH235" t="s">
        <v>2087</v>
      </c>
      <c r="CI235" t="s">
        <v>42</v>
      </c>
      <c r="CK235" s="5">
        <v>6.0000000000000003E-73</v>
      </c>
      <c r="CL235" t="str">
        <f t="shared" si="26"/>
        <v>GO:0006412</v>
      </c>
      <c r="CM235" t="s">
        <v>1935</v>
      </c>
      <c r="CN235" t="s">
        <v>1936</v>
      </c>
      <c r="CO235" t="s">
        <v>1937</v>
      </c>
      <c r="CP235" t="s">
        <v>42</v>
      </c>
      <c r="CR235" s="5">
        <v>6.0000000000000003E-73</v>
      </c>
      <c r="CS235" s="4" t="str">
        <f>HYPERLINK("http://exon.niaid.nih.gov/transcriptome/C_felis/S1/links/KOG/cf-contig_232-KOG.txt","60S ribosomal protein L10A")</f>
        <v>60S ribosomal protein L10A</v>
      </c>
      <c r="CT235" t="str">
        <f>HYPERLINK("http://www.ncbi.nlm.nih.gov/COG/grace/shokog.cgi?KOG1570","3E-058")</f>
        <v>3E-058</v>
      </c>
      <c r="CU235" t="s">
        <v>1707</v>
      </c>
      <c r="CV235" s="4" t="str">
        <f>HYPERLINK("http://exon.niaid.nih.gov/transcriptome/C_felis/S1/links/PFAM/cf-contig_232-PFAM.txt","Ribosomal_L1")</f>
        <v>Ribosomal_L1</v>
      </c>
      <c r="CW235" t="str">
        <f>HYPERLINK("http://pfam.sanger.ac.uk/family?acc=PF00687","6E-039")</f>
        <v>6E-039</v>
      </c>
      <c r="CX235" s="4" t="str">
        <f>HYPERLINK("http://exon.niaid.nih.gov/transcriptome/C_felis/S1/links/SMART/cf-contig_232-SMART.txt","BPI2")</f>
        <v>BPI2</v>
      </c>
      <c r="CY235" t="str">
        <f>HYPERLINK("http://smart.embl-heidelberg.de/smart/do_annotation.pl?DOMAIN=BPI2&amp;BLAST=DUMMY","0.13")</f>
        <v>0.13</v>
      </c>
      <c r="CZ235" s="4" t="s">
        <v>42</v>
      </c>
      <c r="DA235" t="s">
        <v>42</v>
      </c>
      <c r="DB235" t="s">
        <v>42</v>
      </c>
      <c r="DC235" t="s">
        <v>42</v>
      </c>
      <c r="DD235" t="s">
        <v>42</v>
      </c>
      <c r="DE235" t="s">
        <v>42</v>
      </c>
      <c r="DF235" t="s">
        <v>42</v>
      </c>
      <c r="DG235" t="s">
        <v>42</v>
      </c>
      <c r="DH235" s="4" t="s">
        <v>42</v>
      </c>
      <c r="DI235" t="s">
        <v>42</v>
      </c>
      <c r="DJ235" s="4" t="s">
        <v>42</v>
      </c>
      <c r="DK235" t="s">
        <v>42</v>
      </c>
      <c r="DL235" s="4">
        <f>HYPERLINK("http://exon.niaid.nih.gov/transcriptome/C_felis/S1/links/cluster/cf-5-36-asb30-50-Id-CLU57.txt", 57)</f>
        <v>57</v>
      </c>
      <c r="DM235">
        <f>HYPERLINK("http://exon.niaid.nih.gov/transcriptome/C_felis/S1/links/cluster/cf-5-36-asb30-50-Id-CLTL57.txt", 2)</f>
        <v>2</v>
      </c>
      <c r="DN235" s="4">
        <f>HYPERLINK("http://exon.niaid.nih.gov/transcriptome/C_felis/S1/links/cluster/cf-5-36-asb35-50-Id-CLU50.txt", 50)</f>
        <v>50</v>
      </c>
      <c r="DO235">
        <f>HYPERLINK("http://exon.niaid.nih.gov/transcriptome/C_felis/S1/links/cluster/cf-5-36-asb35-50-Id-CLTL50.txt", 2)</f>
        <v>2</v>
      </c>
      <c r="DP235" s="4">
        <f>HYPERLINK("http://exon.niaid.nih.gov/transcriptome/C_felis/S1/links/cluster/cf-5-36-asb40-50-Id-CLU47.txt", 47)</f>
        <v>47</v>
      </c>
      <c r="DQ235">
        <f>HYPERLINK("http://exon.niaid.nih.gov/transcriptome/C_felis/S1/links/cluster/cf-5-36-asb40-50-Id-CLTL47.txt", 2)</f>
        <v>2</v>
      </c>
      <c r="DR235" s="4">
        <v>190</v>
      </c>
      <c r="DS235">
        <v>1</v>
      </c>
      <c r="DT235" s="4">
        <v>196</v>
      </c>
      <c r="DU235">
        <v>1</v>
      </c>
      <c r="DV235" s="4">
        <v>208</v>
      </c>
      <c r="DW235">
        <v>1</v>
      </c>
      <c r="DX235" s="4">
        <v>210</v>
      </c>
      <c r="DY235">
        <v>1</v>
      </c>
      <c r="DZ235" s="4">
        <v>214</v>
      </c>
      <c r="EA235">
        <v>1</v>
      </c>
      <c r="EB235" s="4">
        <v>219</v>
      </c>
      <c r="EC235">
        <v>1</v>
      </c>
      <c r="ED235" s="4">
        <v>222</v>
      </c>
      <c r="EE235">
        <v>1</v>
      </c>
      <c r="EF235" s="4">
        <v>225</v>
      </c>
      <c r="EG235">
        <v>1</v>
      </c>
      <c r="EH235" s="4">
        <v>227</v>
      </c>
      <c r="EI235">
        <v>1</v>
      </c>
      <c r="EJ235" s="4">
        <v>232</v>
      </c>
      <c r="EK235">
        <v>1</v>
      </c>
    </row>
    <row r="236" spans="1:141" x14ac:dyDescent="0.2">
      <c r="A236" t="str">
        <f>HYPERLINK("http://exon.niaid.nih.gov/transcriptome/C_felis/S1/links/cf/cf-contig_698.txt","cf-contig_698")</f>
        <v>cf-contig_698</v>
      </c>
      <c r="B236">
        <v>1</v>
      </c>
      <c r="C236" s="10" t="s">
        <v>4849</v>
      </c>
      <c r="D236">
        <v>1</v>
      </c>
      <c r="E236" t="str">
        <f>HYPERLINK("http://exon.niaid.nih.gov/transcriptome/C_felis/S1/links/cf/cf-5-36-asb-698.txt","Contig-698")</f>
        <v>Contig-698</v>
      </c>
      <c r="F236" t="str">
        <f>HYPERLINK("http://exon.niaid.nih.gov/transcriptome/C_felis/S1/links/cf/cf-5-36-698-CLU.txt","Contig698")</f>
        <v>Contig698</v>
      </c>
      <c r="G236" t="str">
        <f>HYPERLINK("http://exon.niaid.nih.gov/transcriptome/C_felis/S1/links/cf/cf-5-36-698-qual.txt","63.4")</f>
        <v>63.4</v>
      </c>
      <c r="H236" t="s">
        <v>11</v>
      </c>
      <c r="I236">
        <v>64.400000000000006</v>
      </c>
      <c r="J236">
        <v>287</v>
      </c>
      <c r="K236" t="s">
        <v>12</v>
      </c>
      <c r="L236">
        <v>1</v>
      </c>
      <c r="M236" t="s">
        <v>711</v>
      </c>
      <c r="N236">
        <v>287</v>
      </c>
      <c r="O236">
        <v>306</v>
      </c>
      <c r="P236">
        <v>243</v>
      </c>
      <c r="Q236" t="s">
        <v>1517</v>
      </c>
      <c r="R236">
        <v>1</v>
      </c>
      <c r="S236" s="7" t="s">
        <v>4585</v>
      </c>
      <c r="U236">
        <v>1</v>
      </c>
      <c r="V236" s="4">
        <f>HYPERLINK("http://exon.niaid.nih.gov/transcriptome/C_felis/S1/links/cluster/cf-5-36-asb30-50-Id-CLU94.txt", 94)</f>
        <v>94</v>
      </c>
      <c r="W236">
        <f>HYPERLINK("http://exon.niaid.nih.gov/transcriptome/C_felis/S1/links/cluster/cf-5-36-asb30-50-Id-CLTL94.txt", 2)</f>
        <v>2</v>
      </c>
      <c r="X236" s="4">
        <f>HYPERLINK("http://exon.niaid.nih.gov/transcriptome/C_felis/S1/links/cluster/cf-5-36-asb35-50-Id-CLU86.txt", 86)</f>
        <v>86</v>
      </c>
      <c r="Y236">
        <f>HYPERLINK("http://exon.niaid.nih.gov/transcriptome/C_felis/S1/links/cluster/cf-5-36-asb35-50-Id-CLTL86.txt", 2)</f>
        <v>2</v>
      </c>
      <c r="Z236" s="4">
        <f>HYPERLINK("http://exon.niaid.nih.gov/transcriptome/C_felis/S1/links/cluster/cf-5-36-asb40-50-Id-CLU77.txt", 77)</f>
        <v>77</v>
      </c>
      <c r="AA236">
        <f>HYPERLINK("http://exon.niaid.nih.gov/transcriptome/C_felis/S1/links/cluster/cf-5-36-asb40-50-Id-CLTL77.txt", 2)</f>
        <v>2</v>
      </c>
      <c r="AB236" s="4" t="str">
        <f>HYPERLINK("http://exon.niaid.nih.gov/transcriptome/C_felis/S1/links/XC-ASB/cf-contig_698-XC-ASB.txt","XC-contig_236")</f>
        <v>XC-contig_236</v>
      </c>
      <c r="AC236">
        <v>3.0000000000000002E-53</v>
      </c>
      <c r="AD236" s="10" t="s">
        <v>4849</v>
      </c>
      <c r="AE236" t="s">
        <v>4605</v>
      </c>
      <c r="AF236" t="str">
        <f>HYPERLINK("http://exon.niaid.nih.gov/transcriptome/C_felis/S1/links/KOG/cf-contig_698-KOG.txt","KOG")</f>
        <v>KOG</v>
      </c>
      <c r="AG236" s="5">
        <v>1.9999999999999999E-40</v>
      </c>
      <c r="AH236">
        <v>43.7</v>
      </c>
      <c r="AI236" s="4" t="str">
        <f>HYPERLINK("http://exon.niaid.nih.gov/transcriptome/C_felis/S1/links/NR/cf-contig_698-NR.txt","ribosomal protein L11")</f>
        <v>ribosomal protein L11</v>
      </c>
      <c r="AJ236" t="str">
        <f>HYPERLINK("http://www.ncbi.nlm.nih.gov/sutils/blink.cgi?pid=342356337","7E-040")</f>
        <v>7E-040</v>
      </c>
      <c r="AK236" t="str">
        <f>HYPERLINK("http://www.ncbi.nlm.nih.gov/protein/342356337","gi|342356337")</f>
        <v>gi|342356337</v>
      </c>
      <c r="AL236">
        <v>167</v>
      </c>
      <c r="AM236">
        <v>77</v>
      </c>
      <c r="AN236">
        <v>197</v>
      </c>
      <c r="AO236">
        <v>100</v>
      </c>
      <c r="AP236">
        <v>40</v>
      </c>
      <c r="AQ236">
        <v>0</v>
      </c>
      <c r="AR236">
        <v>0</v>
      </c>
      <c r="AS236">
        <v>120</v>
      </c>
      <c r="AT236">
        <v>10</v>
      </c>
      <c r="AU236">
        <v>1</v>
      </c>
      <c r="AV236">
        <v>1</v>
      </c>
      <c r="AW236" t="s">
        <v>12</v>
      </c>
      <c r="AY236" t="s">
        <v>1676</v>
      </c>
      <c r="AZ236" t="s">
        <v>2242</v>
      </c>
      <c r="BA236" s="4" t="str">
        <f>HYPERLINK("http://exon.niaid.nih.gov/transcriptome/C_felis/S1/links/SWISSP/cf-contig_698-SWISSP.txt","60S ribosomal protein L11")</f>
        <v>60S ribosomal protein L11</v>
      </c>
      <c r="BB236" t="str">
        <f>HYPERLINK("http://www.uniprot.org/uniprot/P46222","2E-038")</f>
        <v>2E-038</v>
      </c>
      <c r="BC236" t="s">
        <v>4203</v>
      </c>
      <c r="BD236">
        <v>157</v>
      </c>
      <c r="BE236">
        <v>77</v>
      </c>
      <c r="BF236">
        <v>184</v>
      </c>
      <c r="BG236">
        <v>92</v>
      </c>
      <c r="BH236">
        <v>42</v>
      </c>
      <c r="BI236">
        <v>6</v>
      </c>
      <c r="BJ236">
        <v>0</v>
      </c>
      <c r="BK236">
        <v>107</v>
      </c>
      <c r="BL236">
        <v>10</v>
      </c>
      <c r="BM236">
        <v>1</v>
      </c>
      <c r="BN236">
        <v>1</v>
      </c>
      <c r="BO236" t="s">
        <v>12</v>
      </c>
      <c r="BQ236" t="s">
        <v>1676</v>
      </c>
      <c r="BR236" t="s">
        <v>1804</v>
      </c>
      <c r="BS236" s="4" t="str">
        <f>HYPERLINK("http://exon.niaid.nih.gov/transcriptome/C_felis/S1/links/CDD/cf-contig_698-CDD.txt","PTZ00156")</f>
        <v>PTZ00156</v>
      </c>
      <c r="BT236" t="str">
        <f>HYPERLINK("http://www.ncbi.nlm.nih.gov/Structure/cdd/cddsrv.cgi?uid=PTZ00156&amp;version=v4.0","1E-042")</f>
        <v>1E-042</v>
      </c>
      <c r="BU236" t="s">
        <v>4204</v>
      </c>
      <c r="BV236" s="4" t="s">
        <v>4205</v>
      </c>
      <c r="BW236">
        <f>HYPERLINK("http://exon.niaid.nih.gov/transcriptome/C_felis/S1/links/GO/cf-contig_698-GO.txt",1E-38)</f>
        <v>9.9999999999999996E-39</v>
      </c>
      <c r="BX236" t="str">
        <f t="shared" ref="BX236:BX256" si="27">HYPERLINK("http://amigo.geneontology.org/cgi-bin/amigo/term_details?term=GO:0003735","GO:0003735")</f>
        <v>GO:0003735</v>
      </c>
      <c r="BY236" t="s">
        <v>1929</v>
      </c>
      <c r="BZ236" t="s">
        <v>1930</v>
      </c>
      <c r="CA236" t="s">
        <v>1931</v>
      </c>
      <c r="CB236" t="s">
        <v>42</v>
      </c>
      <c r="CD236" s="5">
        <v>9.9999999999999996E-39</v>
      </c>
      <c r="CE236" t="str">
        <f>HYPERLINK("http://amigo.geneontology.org/cgi-bin/amigo/term_details?term=GO:0022625","GO:0022625")</f>
        <v>GO:0022625</v>
      </c>
      <c r="CF236" t="s">
        <v>1932</v>
      </c>
      <c r="CG236" t="s">
        <v>1933</v>
      </c>
      <c r="CH236" t="s">
        <v>1934</v>
      </c>
      <c r="CI236" t="s">
        <v>42</v>
      </c>
      <c r="CK236" s="5">
        <v>9.9999999999999996E-39</v>
      </c>
      <c r="CL236" t="str">
        <f t="shared" si="26"/>
        <v>GO:0006412</v>
      </c>
      <c r="CM236" t="s">
        <v>1935</v>
      </c>
      <c r="CN236" t="s">
        <v>1936</v>
      </c>
      <c r="CO236" t="s">
        <v>1937</v>
      </c>
      <c r="CP236" t="s">
        <v>42</v>
      </c>
      <c r="CR236" s="5">
        <v>9.9999999999999996E-39</v>
      </c>
      <c r="CS236" s="4" t="str">
        <f>HYPERLINK("http://exon.niaid.nih.gov/transcriptome/C_felis/S1/links/KOG/cf-contig_698-KOG.txt","60S ribosomal protein L11")</f>
        <v>60S ribosomal protein L11</v>
      </c>
      <c r="CT236" t="str">
        <f>HYPERLINK("http://www.ncbi.nlm.nih.gov/COG/grace/shokog.cgi?KOG0397","2E-040")</f>
        <v>2E-040</v>
      </c>
      <c r="CU236" t="s">
        <v>1707</v>
      </c>
      <c r="CV236" s="4" t="str">
        <f>HYPERLINK("http://exon.niaid.nih.gov/transcriptome/C_felis/S1/links/PFAM/cf-contig_698-PFAM.txt","Ribosomal_L5_C")</f>
        <v>Ribosomal_L5_C</v>
      </c>
      <c r="CW236" t="str">
        <f>HYPERLINK("http://pfam.sanger.ac.uk/family?acc=PF00673","2E-016")</f>
        <v>2E-016</v>
      </c>
      <c r="CX236" s="4" t="str">
        <f>HYPERLINK("http://exon.niaid.nih.gov/transcriptome/C_felis/S1/links/SMART/cf-contig_698-SMART.txt","RAN")</f>
        <v>RAN</v>
      </c>
      <c r="CY236" t="str">
        <f>HYPERLINK("http://smart.embl-heidelberg.de/smart/do_annotation.pl?DOMAIN=RAN&amp;BLAST=DUMMY","0.047")</f>
        <v>0.047</v>
      </c>
      <c r="CZ236" s="4" t="s">
        <v>42</v>
      </c>
      <c r="DA236" t="s">
        <v>42</v>
      </c>
      <c r="DB236" t="s">
        <v>42</v>
      </c>
      <c r="DC236" t="s">
        <v>42</v>
      </c>
      <c r="DD236" t="s">
        <v>42</v>
      </c>
      <c r="DE236" t="s">
        <v>42</v>
      </c>
      <c r="DF236" t="s">
        <v>42</v>
      </c>
      <c r="DG236" t="s">
        <v>42</v>
      </c>
      <c r="DH236" s="4" t="s">
        <v>42</v>
      </c>
      <c r="DI236" t="s">
        <v>42</v>
      </c>
      <c r="DJ236" s="4" t="s">
        <v>42</v>
      </c>
      <c r="DK236" t="s">
        <v>42</v>
      </c>
      <c r="DL236" s="4">
        <f>HYPERLINK("http://exon.niaid.nih.gov/transcriptome/C_felis/S1/links/cluster/cf-5-36-asb30-50-Id-CLU94.txt", 94)</f>
        <v>94</v>
      </c>
      <c r="DM236">
        <f>HYPERLINK("http://exon.niaid.nih.gov/transcriptome/C_felis/S1/links/cluster/cf-5-36-asb30-50-Id-CLTL94.txt", 2)</f>
        <v>2</v>
      </c>
      <c r="DN236" s="4">
        <f>HYPERLINK("http://exon.niaid.nih.gov/transcriptome/C_felis/S1/links/cluster/cf-5-36-asb35-50-Id-CLU86.txt", 86)</f>
        <v>86</v>
      </c>
      <c r="DO236">
        <f>HYPERLINK("http://exon.niaid.nih.gov/transcriptome/C_felis/S1/links/cluster/cf-5-36-asb35-50-Id-CLTL86.txt", 2)</f>
        <v>2</v>
      </c>
      <c r="DP236" s="4">
        <f>HYPERLINK("http://exon.niaid.nih.gov/transcriptome/C_felis/S1/links/cluster/cf-5-36-asb40-50-Id-CLU77.txt", 77)</f>
        <v>77</v>
      </c>
      <c r="DQ236">
        <f>HYPERLINK("http://exon.niaid.nih.gov/transcriptome/C_felis/S1/links/cluster/cf-5-36-asb40-50-Id-CLTL77.txt", 2)</f>
        <v>2</v>
      </c>
      <c r="DR236" s="4">
        <f>HYPERLINK("http://exon.niaid.nih.gov/transcriptome/C_felis/S1/links/cluster/cf-5-36-asb45-50-Id-CLU63.txt", 63)</f>
        <v>63</v>
      </c>
      <c r="DS236">
        <f>HYPERLINK("http://exon.niaid.nih.gov/transcriptome/C_felis/S1/links/cluster/cf-5-36-asb45-50-Id-CLTL63.txt", 2)</f>
        <v>2</v>
      </c>
      <c r="DT236" s="4">
        <f>HYPERLINK("http://exon.niaid.nih.gov/transcriptome/C_felis/S1/links/cluster/cf-5-36-asb50-50-Id-CLU55.txt", 55)</f>
        <v>55</v>
      </c>
      <c r="DU236">
        <f>HYPERLINK("http://exon.niaid.nih.gov/transcriptome/C_felis/S1/links/cluster/cf-5-36-asb50-50-Id-CLTL55.txt", 2)</f>
        <v>2</v>
      </c>
      <c r="DV236" s="4">
        <f>HYPERLINK("http://exon.niaid.nih.gov/transcriptome/C_felis/S1/links/cluster/cf-5-36-asb55-50-Id-CLU50.txt", 50)</f>
        <v>50</v>
      </c>
      <c r="DW236">
        <f>HYPERLINK("http://exon.niaid.nih.gov/transcriptome/C_felis/S1/links/cluster/cf-5-36-asb55-50-Id-CLTL50.txt", 2)</f>
        <v>2</v>
      </c>
      <c r="DX236" s="4">
        <v>655</v>
      </c>
      <c r="DY236">
        <v>1</v>
      </c>
      <c r="DZ236" s="4">
        <v>665</v>
      </c>
      <c r="EA236">
        <v>1</v>
      </c>
      <c r="EB236" s="4">
        <v>670</v>
      </c>
      <c r="EC236">
        <v>1</v>
      </c>
      <c r="ED236" s="4">
        <v>674</v>
      </c>
      <c r="EE236">
        <v>1</v>
      </c>
      <c r="EF236" s="4">
        <v>680</v>
      </c>
      <c r="EG236">
        <v>1</v>
      </c>
      <c r="EH236" s="4">
        <v>689</v>
      </c>
      <c r="EI236">
        <v>1</v>
      </c>
      <c r="EJ236" s="4">
        <v>698</v>
      </c>
      <c r="EK236">
        <v>1</v>
      </c>
    </row>
    <row r="237" spans="1:141" x14ac:dyDescent="0.2">
      <c r="A237" t="str">
        <f>HYPERLINK("http://exon.niaid.nih.gov/transcriptome/C_felis/S1/links/cf/cf-contig_753.txt","cf-contig_753")</f>
        <v>cf-contig_753</v>
      </c>
      <c r="B237">
        <v>1</v>
      </c>
      <c r="C237" s="10" t="s">
        <v>4849</v>
      </c>
      <c r="D237">
        <v>1</v>
      </c>
      <c r="E237" t="str">
        <f>HYPERLINK("http://exon.niaid.nih.gov/transcriptome/C_felis/S1/links/cf/cf-5-36-asb-753.txt","Contig-753")</f>
        <v>Contig-753</v>
      </c>
      <c r="F237" t="str">
        <f>HYPERLINK("http://exon.niaid.nih.gov/transcriptome/C_felis/S1/links/cf/cf-5-36-753-CLU.txt","Contig753")</f>
        <v>Contig753</v>
      </c>
      <c r="G237" t="str">
        <f>HYPERLINK("http://exon.niaid.nih.gov/transcriptome/C_felis/S1/links/cf/cf-5-36-753-qual.txt","64.9")</f>
        <v>64.9</v>
      </c>
      <c r="H237" t="s">
        <v>11</v>
      </c>
      <c r="I237">
        <v>61.3</v>
      </c>
      <c r="J237">
        <v>474</v>
      </c>
      <c r="K237" t="s">
        <v>12</v>
      </c>
      <c r="L237">
        <v>1</v>
      </c>
      <c r="M237" t="s">
        <v>766</v>
      </c>
      <c r="N237">
        <v>474</v>
      </c>
      <c r="O237">
        <v>493</v>
      </c>
      <c r="P237">
        <v>429</v>
      </c>
      <c r="Q237" t="s">
        <v>1572</v>
      </c>
      <c r="R237">
        <v>3</v>
      </c>
      <c r="S237" s="7" t="str">
        <f>HYPERLINK("http://exon.niaid.nih.gov/transcriptome/C_felis/S1/links/Sigp/CF-CONTIG_753-SigP.txt","Cyt")</f>
        <v>Cyt</v>
      </c>
      <c r="U237">
        <v>1</v>
      </c>
      <c r="V237" s="4">
        <f>HYPERLINK("http://exon.niaid.nih.gov/transcriptome/C_felis/S1/links/cluster/cf-5-36-asb30-50-Id-CLU94.txt", 94)</f>
        <v>94</v>
      </c>
      <c r="W237">
        <f>HYPERLINK("http://exon.niaid.nih.gov/transcriptome/C_felis/S1/links/cluster/cf-5-36-asb30-50-Id-CLTL94.txt", 2)</f>
        <v>2</v>
      </c>
      <c r="X237" s="4">
        <f>HYPERLINK("http://exon.niaid.nih.gov/transcriptome/C_felis/S1/links/cluster/cf-5-36-asb35-50-Id-CLU86.txt", 86)</f>
        <v>86</v>
      </c>
      <c r="Y237">
        <f>HYPERLINK("http://exon.niaid.nih.gov/transcriptome/C_felis/S1/links/cluster/cf-5-36-asb35-50-Id-CLTL86.txt", 2)</f>
        <v>2</v>
      </c>
      <c r="Z237" s="4">
        <f>HYPERLINK("http://exon.niaid.nih.gov/transcriptome/C_felis/S1/links/cluster/cf-5-36-asb40-50-Id-CLU77.txt", 77)</f>
        <v>77</v>
      </c>
      <c r="AA237">
        <f>HYPERLINK("http://exon.niaid.nih.gov/transcriptome/C_felis/S1/links/cluster/cf-5-36-asb40-50-Id-CLTL77.txt", 2)</f>
        <v>2</v>
      </c>
      <c r="AB237" s="4" t="str">
        <f>HYPERLINK("http://exon.niaid.nih.gov/transcriptome/C_felis/S1/links/XC-ASB/cf-contig_753-XC-ASB.txt","XC-contig_236")</f>
        <v>XC-contig_236</v>
      </c>
      <c r="AC237">
        <v>2.0000000000000001E-84</v>
      </c>
      <c r="AD237" s="10" t="s">
        <v>4849</v>
      </c>
      <c r="AE237" t="s">
        <v>4605</v>
      </c>
      <c r="AF237" t="str">
        <f>HYPERLINK("http://exon.niaid.nih.gov/transcriptome/C_felis/S1/links/KOG/cf-contig_753-KOG.txt","KOG")</f>
        <v>KOG</v>
      </c>
      <c r="AG237" s="5">
        <v>3.9999999999999997E-65</v>
      </c>
      <c r="AH237">
        <v>79.5</v>
      </c>
      <c r="AI237" s="4" t="str">
        <f>HYPERLINK("http://exon.niaid.nih.gov/transcriptome/C_felis/S1/links/NR/cf-contig_753-NR.txt","ribosomal protein L11")</f>
        <v>ribosomal protein L11</v>
      </c>
      <c r="AJ237" t="str">
        <f>HYPERLINK("http://www.ncbi.nlm.nih.gov/sutils/blink.cgi?pid=342356337","8E-065")</f>
        <v>8E-065</v>
      </c>
      <c r="AK237" t="str">
        <f>HYPERLINK("http://www.ncbi.nlm.nih.gov/protein/342356337","gi|342356337")</f>
        <v>gi|342356337</v>
      </c>
      <c r="AL237">
        <v>249</v>
      </c>
      <c r="AM237">
        <v>140</v>
      </c>
      <c r="AN237">
        <v>197</v>
      </c>
      <c r="AO237">
        <v>89</v>
      </c>
      <c r="AP237">
        <v>72</v>
      </c>
      <c r="AQ237">
        <v>15</v>
      </c>
      <c r="AR237">
        <v>0</v>
      </c>
      <c r="AS237">
        <v>57</v>
      </c>
      <c r="AT237">
        <v>9</v>
      </c>
      <c r="AU237">
        <v>1</v>
      </c>
      <c r="AV237">
        <v>3</v>
      </c>
      <c r="AW237" t="s">
        <v>12</v>
      </c>
      <c r="AY237" t="s">
        <v>1676</v>
      </c>
      <c r="AZ237" t="s">
        <v>2242</v>
      </c>
      <c r="BA237" s="4" t="str">
        <f>HYPERLINK("http://exon.niaid.nih.gov/transcriptome/C_felis/S1/links/SWISSP/cf-contig_753-SWISSP.txt","60S ribosomal protein L11")</f>
        <v>60S ribosomal protein L11</v>
      </c>
      <c r="BB237" t="str">
        <f>HYPERLINK("http://www.uniprot.org/uniprot/P46222","1E-062")</f>
        <v>1E-062</v>
      </c>
      <c r="BC237" t="s">
        <v>4203</v>
      </c>
      <c r="BD237">
        <v>238</v>
      </c>
      <c r="BE237">
        <v>140</v>
      </c>
      <c r="BF237">
        <v>184</v>
      </c>
      <c r="BG237">
        <v>84</v>
      </c>
      <c r="BH237">
        <v>77</v>
      </c>
      <c r="BI237">
        <v>22</v>
      </c>
      <c r="BJ237">
        <v>0</v>
      </c>
      <c r="BK237">
        <v>44</v>
      </c>
      <c r="BL237">
        <v>9</v>
      </c>
      <c r="BM237">
        <v>1</v>
      </c>
      <c r="BN237">
        <v>3</v>
      </c>
      <c r="BO237" t="s">
        <v>12</v>
      </c>
      <c r="BQ237" t="s">
        <v>1676</v>
      </c>
      <c r="BR237" t="s">
        <v>1804</v>
      </c>
      <c r="BS237" s="4" t="str">
        <f>HYPERLINK("http://exon.niaid.nih.gov/transcriptome/C_felis/S1/links/CDD/cf-contig_753-CDD.txt","PTZ00156")</f>
        <v>PTZ00156</v>
      </c>
      <c r="BT237" t="str">
        <f>HYPERLINK("http://www.ncbi.nlm.nih.gov/Structure/cdd/cddsrv.cgi?uid=PTZ00156&amp;version=v4.0","4E-069")</f>
        <v>4E-069</v>
      </c>
      <c r="BU237" t="s">
        <v>4399</v>
      </c>
      <c r="BV237" s="4" t="s">
        <v>4205</v>
      </c>
      <c r="BW237">
        <f>HYPERLINK("http://exon.niaid.nih.gov/transcriptome/C_felis/S1/links/GO/cf-contig_753-GO.txt",8E-63)</f>
        <v>8.0000000000000005E-63</v>
      </c>
      <c r="BX237" t="str">
        <f t="shared" si="27"/>
        <v>GO:0003735</v>
      </c>
      <c r="BY237" t="s">
        <v>1929</v>
      </c>
      <c r="BZ237" t="s">
        <v>1930</v>
      </c>
      <c r="CA237" t="s">
        <v>1931</v>
      </c>
      <c r="CB237" t="s">
        <v>42</v>
      </c>
      <c r="CD237" s="5">
        <v>8.0000000000000005E-63</v>
      </c>
      <c r="CE237" t="str">
        <f>HYPERLINK("http://amigo.geneontology.org/cgi-bin/amigo/term_details?term=GO:0022625","GO:0022625")</f>
        <v>GO:0022625</v>
      </c>
      <c r="CF237" t="s">
        <v>1932</v>
      </c>
      <c r="CG237" t="s">
        <v>1933</v>
      </c>
      <c r="CH237" t="s">
        <v>1934</v>
      </c>
      <c r="CI237" t="s">
        <v>42</v>
      </c>
      <c r="CK237" s="5">
        <v>8.0000000000000005E-63</v>
      </c>
      <c r="CL237" t="str">
        <f t="shared" si="26"/>
        <v>GO:0006412</v>
      </c>
      <c r="CM237" t="s">
        <v>1935</v>
      </c>
      <c r="CN237" t="s">
        <v>1936</v>
      </c>
      <c r="CO237" t="s">
        <v>1937</v>
      </c>
      <c r="CP237" t="s">
        <v>42</v>
      </c>
      <c r="CR237" s="5">
        <v>8.0000000000000005E-63</v>
      </c>
      <c r="CS237" s="4" t="str">
        <f>HYPERLINK("http://exon.niaid.nih.gov/transcriptome/C_felis/S1/links/KOG/cf-contig_753-KOG.txt","60S ribosomal protein L11")</f>
        <v>60S ribosomal protein L11</v>
      </c>
      <c r="CT237" t="str">
        <f>HYPERLINK("http://www.ncbi.nlm.nih.gov/COG/grace/shokog.cgi?KOG0397","4E-065")</f>
        <v>4E-065</v>
      </c>
      <c r="CU237" t="s">
        <v>1707</v>
      </c>
      <c r="CV237" s="4" t="str">
        <f>HYPERLINK("http://exon.niaid.nih.gov/transcriptome/C_felis/S1/links/PFAM/cf-contig_753-PFAM.txt","Ribosomal_L5_C")</f>
        <v>Ribosomal_L5_C</v>
      </c>
      <c r="CW237" t="str">
        <f>HYPERLINK("http://pfam.sanger.ac.uk/family?acc=PF00673","3E-027")</f>
        <v>3E-027</v>
      </c>
      <c r="CX237" s="4" t="str">
        <f>HYPERLINK("http://exon.niaid.nih.gov/transcriptome/C_felis/S1/links/SMART/cf-contig_753-SMART.txt","TLC")</f>
        <v>TLC</v>
      </c>
      <c r="CY237" t="str">
        <f>HYPERLINK("http://smart.embl-heidelberg.de/smart/do_annotation.pl?DOMAIN=TLC&amp;BLAST=DUMMY","0.17")</f>
        <v>0.17</v>
      </c>
      <c r="CZ237" s="4" t="s">
        <v>42</v>
      </c>
      <c r="DA237" t="s">
        <v>42</v>
      </c>
      <c r="DB237" t="s">
        <v>42</v>
      </c>
      <c r="DC237" t="s">
        <v>42</v>
      </c>
      <c r="DD237" t="s">
        <v>42</v>
      </c>
      <c r="DE237" t="s">
        <v>42</v>
      </c>
      <c r="DF237" t="s">
        <v>42</v>
      </c>
      <c r="DG237" t="s">
        <v>42</v>
      </c>
      <c r="DH237" s="4" t="s">
        <v>42</v>
      </c>
      <c r="DI237" t="s">
        <v>42</v>
      </c>
      <c r="DJ237" s="4" t="s">
        <v>42</v>
      </c>
      <c r="DK237" t="s">
        <v>42</v>
      </c>
      <c r="DL237" s="4">
        <f>HYPERLINK("http://exon.niaid.nih.gov/transcriptome/C_felis/S1/links/cluster/cf-5-36-asb30-50-Id-CLU94.txt", 94)</f>
        <v>94</v>
      </c>
      <c r="DM237">
        <f>HYPERLINK("http://exon.niaid.nih.gov/transcriptome/C_felis/S1/links/cluster/cf-5-36-asb30-50-Id-CLTL94.txt", 2)</f>
        <v>2</v>
      </c>
      <c r="DN237" s="4">
        <f>HYPERLINK("http://exon.niaid.nih.gov/transcriptome/C_felis/S1/links/cluster/cf-5-36-asb35-50-Id-CLU86.txt", 86)</f>
        <v>86</v>
      </c>
      <c r="DO237">
        <f>HYPERLINK("http://exon.niaid.nih.gov/transcriptome/C_felis/S1/links/cluster/cf-5-36-asb35-50-Id-CLTL86.txt", 2)</f>
        <v>2</v>
      </c>
      <c r="DP237" s="4">
        <f>HYPERLINK("http://exon.niaid.nih.gov/transcriptome/C_felis/S1/links/cluster/cf-5-36-asb40-50-Id-CLU77.txt", 77)</f>
        <v>77</v>
      </c>
      <c r="DQ237">
        <f>HYPERLINK("http://exon.niaid.nih.gov/transcriptome/C_felis/S1/links/cluster/cf-5-36-asb40-50-Id-CLTL77.txt", 2)</f>
        <v>2</v>
      </c>
      <c r="DR237" s="4">
        <f>HYPERLINK("http://exon.niaid.nih.gov/transcriptome/C_felis/S1/links/cluster/cf-5-36-asb45-50-Id-CLU63.txt", 63)</f>
        <v>63</v>
      </c>
      <c r="DS237">
        <f>HYPERLINK("http://exon.niaid.nih.gov/transcriptome/C_felis/S1/links/cluster/cf-5-36-asb45-50-Id-CLTL63.txt", 2)</f>
        <v>2</v>
      </c>
      <c r="DT237" s="4">
        <f>HYPERLINK("http://exon.niaid.nih.gov/transcriptome/C_felis/S1/links/cluster/cf-5-36-asb50-50-Id-CLU55.txt", 55)</f>
        <v>55</v>
      </c>
      <c r="DU237">
        <f>HYPERLINK("http://exon.niaid.nih.gov/transcriptome/C_felis/S1/links/cluster/cf-5-36-asb50-50-Id-CLTL55.txt", 2)</f>
        <v>2</v>
      </c>
      <c r="DV237" s="4">
        <f>HYPERLINK("http://exon.niaid.nih.gov/transcriptome/C_felis/S1/links/cluster/cf-5-36-asb55-50-Id-CLU50.txt", 50)</f>
        <v>50</v>
      </c>
      <c r="DW237">
        <f>HYPERLINK("http://exon.niaid.nih.gov/transcriptome/C_felis/S1/links/cluster/cf-5-36-asb55-50-Id-CLTL50.txt", 2)</f>
        <v>2</v>
      </c>
      <c r="DX237" s="4">
        <v>704</v>
      </c>
      <c r="DY237">
        <v>1</v>
      </c>
      <c r="DZ237" s="4">
        <v>715</v>
      </c>
      <c r="EA237">
        <v>1</v>
      </c>
      <c r="EB237" s="4">
        <v>721</v>
      </c>
      <c r="EC237">
        <v>1</v>
      </c>
      <c r="ED237" s="4">
        <v>726</v>
      </c>
      <c r="EE237">
        <v>1</v>
      </c>
      <c r="EF237" s="4">
        <v>732</v>
      </c>
      <c r="EG237">
        <v>1</v>
      </c>
      <c r="EH237" s="4">
        <v>744</v>
      </c>
      <c r="EI237">
        <v>1</v>
      </c>
      <c r="EJ237" s="4">
        <v>753</v>
      </c>
      <c r="EK237">
        <v>1</v>
      </c>
    </row>
    <row r="238" spans="1:141" x14ac:dyDescent="0.2">
      <c r="A238" t="str">
        <f>HYPERLINK("http://exon.niaid.nih.gov/transcriptome/C_felis/S1/links/cf/cf-contig_239.txt","cf-contig_239")</f>
        <v>cf-contig_239</v>
      </c>
      <c r="B238">
        <v>3</v>
      </c>
      <c r="C238" s="10" t="s">
        <v>4706</v>
      </c>
      <c r="D238">
        <v>3</v>
      </c>
      <c r="E238" t="str">
        <f>HYPERLINK("http://exon.niaid.nih.gov/transcriptome/C_felis/S1/links/cf/cf-5-36-asb-239.txt","Contig-239")</f>
        <v>Contig-239</v>
      </c>
      <c r="F238" t="str">
        <f>HYPERLINK("http://exon.niaid.nih.gov/transcriptome/C_felis/S1/links/cf/cf-5-36-239-CLU.txt","Contig239")</f>
        <v>Contig239</v>
      </c>
      <c r="G238" t="str">
        <f>HYPERLINK("http://exon.niaid.nih.gov/transcriptome/C_felis/S1/links/cf/cf-5-36-239-qual.txt","77.1")</f>
        <v>77.1</v>
      </c>
      <c r="H238" t="s">
        <v>11</v>
      </c>
      <c r="I238">
        <v>59.1</v>
      </c>
      <c r="J238">
        <v>734</v>
      </c>
      <c r="K238" t="s">
        <v>12</v>
      </c>
      <c r="L238">
        <v>3</v>
      </c>
      <c r="M238" t="s">
        <v>252</v>
      </c>
      <c r="N238">
        <v>748</v>
      </c>
      <c r="O238">
        <v>753</v>
      </c>
      <c r="P238">
        <v>666</v>
      </c>
      <c r="Q238" t="s">
        <v>1059</v>
      </c>
      <c r="R238">
        <v>1</v>
      </c>
      <c r="S238" s="7" t="str">
        <f>HYPERLINK("http://exon.niaid.nih.gov/transcriptome/C_felis/S1/links/Sigp/CF-CONTIG_239-SigP.txt","Cyt")</f>
        <v>Cyt</v>
      </c>
      <c r="U238">
        <v>3</v>
      </c>
      <c r="V238" s="4">
        <v>188</v>
      </c>
      <c r="W238">
        <v>1</v>
      </c>
      <c r="X238" s="4">
        <v>191</v>
      </c>
      <c r="Y238">
        <v>1</v>
      </c>
      <c r="Z238" s="4">
        <v>189</v>
      </c>
      <c r="AA238">
        <v>1</v>
      </c>
      <c r="AB238" s="4" t="str">
        <f>HYPERLINK("http://exon.niaid.nih.gov/transcriptome/C_felis/S1/links/XC-ASB/cf-contig_239-XC-ASB.txt","XC-contig_71")</f>
        <v>XC-contig_71</v>
      </c>
      <c r="AC238">
        <v>1E-135</v>
      </c>
      <c r="AD238" s="10" t="s">
        <v>4706</v>
      </c>
      <c r="AE238" t="s">
        <v>4605</v>
      </c>
      <c r="AF238" t="str">
        <f>HYPERLINK("http://exon.niaid.nih.gov/transcriptome/C_felis/S1/links/KOG/cf-contig_239-KOG.txt","KOG")</f>
        <v>KOG</v>
      </c>
      <c r="AG238" s="5">
        <v>7.0000000000000006E-83</v>
      </c>
      <c r="AH238">
        <v>98.5</v>
      </c>
      <c r="AI238" s="4" t="str">
        <f>HYPERLINK("http://exon.niaid.nih.gov/transcriptome/C_felis/S1/links/NR/cf-contig_239-NR.txt","ribosomal protein L13")</f>
        <v>ribosomal protein L13</v>
      </c>
      <c r="AJ238" t="str">
        <f>HYPERLINK("http://www.ncbi.nlm.nih.gov/sutils/blink.cgi?pid=121511988","1E-108")</f>
        <v>1E-108</v>
      </c>
      <c r="AK238" t="str">
        <f>HYPERLINK("http://www.ncbi.nlm.nih.gov/protein/121511988","gi|121511988")</f>
        <v>gi|121511988</v>
      </c>
      <c r="AL238">
        <v>396</v>
      </c>
      <c r="AM238">
        <v>220</v>
      </c>
      <c r="AN238">
        <v>221</v>
      </c>
      <c r="AO238">
        <v>88</v>
      </c>
      <c r="AP238">
        <v>100</v>
      </c>
      <c r="AQ238">
        <v>25</v>
      </c>
      <c r="AR238">
        <v>1</v>
      </c>
      <c r="AS238">
        <v>1</v>
      </c>
      <c r="AT238">
        <v>37</v>
      </c>
      <c r="AU238">
        <v>1</v>
      </c>
      <c r="AV238">
        <v>1</v>
      </c>
      <c r="AW238" t="s">
        <v>12</v>
      </c>
      <c r="AY238" t="s">
        <v>1676</v>
      </c>
      <c r="AZ238" t="s">
        <v>1717</v>
      </c>
      <c r="BA238" s="4" t="str">
        <f>HYPERLINK("http://exon.niaid.nih.gov/transcriptome/C_felis/S1/links/SWISSP/cf-contig_239-SWISSP.txt","60S ribosomal protein L13")</f>
        <v>60S ribosomal protein L13</v>
      </c>
      <c r="BB238" t="str">
        <f>HYPERLINK("http://www.uniprot.org/uniprot/Q962U1","3E-088")</f>
        <v>3E-088</v>
      </c>
      <c r="BC238" t="s">
        <v>2566</v>
      </c>
      <c r="BD238">
        <v>324</v>
      </c>
      <c r="BE238">
        <v>217</v>
      </c>
      <c r="BF238">
        <v>219</v>
      </c>
      <c r="BG238">
        <v>73</v>
      </c>
      <c r="BH238">
        <v>100</v>
      </c>
      <c r="BI238">
        <v>58</v>
      </c>
      <c r="BJ238">
        <v>0</v>
      </c>
      <c r="BK238">
        <v>1</v>
      </c>
      <c r="BL238">
        <v>37</v>
      </c>
      <c r="BM238">
        <v>1</v>
      </c>
      <c r="BN238">
        <v>1</v>
      </c>
      <c r="BO238" t="s">
        <v>12</v>
      </c>
      <c r="BQ238" t="s">
        <v>1676</v>
      </c>
      <c r="BR238" t="s">
        <v>2031</v>
      </c>
      <c r="BS238" s="4" t="str">
        <f>HYPERLINK("http://exon.niaid.nih.gov/transcriptome/C_felis/S1/links/CDD/cf-contig_239-CDD.txt","Ribosomal_L13e")</f>
        <v>Ribosomal_L13e</v>
      </c>
      <c r="BT238" t="str">
        <f>HYPERLINK("http://www.ncbi.nlm.nih.gov/Structure/cdd/cddsrv.cgi?uid=pfam01294&amp;version=v4.0","4E-085")</f>
        <v>4E-085</v>
      </c>
      <c r="BU238" t="s">
        <v>2567</v>
      </c>
      <c r="BV238" s="4" t="s">
        <v>2568</v>
      </c>
      <c r="BW238">
        <f>HYPERLINK("http://exon.niaid.nih.gov/transcriptome/C_felis/S1/links/GO/cf-contig_239-GO.txt",1E-80)</f>
        <v>9.9999999999999996E-81</v>
      </c>
      <c r="BX238" t="str">
        <f t="shared" si="27"/>
        <v>GO:0003735</v>
      </c>
      <c r="BY238" t="s">
        <v>1929</v>
      </c>
      <c r="BZ238" t="s">
        <v>1930</v>
      </c>
      <c r="CA238" t="s">
        <v>1931</v>
      </c>
      <c r="CB238" t="s">
        <v>42</v>
      </c>
      <c r="CD238" s="5">
        <v>9.9999999999999996E-81</v>
      </c>
      <c r="CE238" t="str">
        <f>HYPERLINK("http://amigo.geneontology.org/cgi-bin/amigo/term_details?term=GO:0022625","GO:0022625")</f>
        <v>GO:0022625</v>
      </c>
      <c r="CF238" t="s">
        <v>1932</v>
      </c>
      <c r="CG238" t="s">
        <v>1933</v>
      </c>
      <c r="CH238" t="s">
        <v>1934</v>
      </c>
      <c r="CI238" t="s">
        <v>42</v>
      </c>
      <c r="CK238" s="5">
        <v>9.9999999999999996E-81</v>
      </c>
      <c r="CL238" t="str">
        <f t="shared" si="26"/>
        <v>GO:0006412</v>
      </c>
      <c r="CM238" t="s">
        <v>1935</v>
      </c>
      <c r="CN238" t="s">
        <v>1936</v>
      </c>
      <c r="CO238" t="s">
        <v>1937</v>
      </c>
      <c r="CP238" t="s">
        <v>42</v>
      </c>
      <c r="CR238" s="5">
        <v>9.9999999999999996E-81</v>
      </c>
      <c r="CS238" s="4" t="str">
        <f>HYPERLINK("http://exon.niaid.nih.gov/transcriptome/C_felis/S1/links/KOG/cf-contig_239-KOG.txt","60S Ribosomal protein L13")</f>
        <v>60S Ribosomal protein L13</v>
      </c>
      <c r="CT238" t="str">
        <f>HYPERLINK("http://www.ncbi.nlm.nih.gov/COG/grace/shokog.cgi?KOG3295","7E-083")</f>
        <v>7E-083</v>
      </c>
      <c r="CU238" t="s">
        <v>1707</v>
      </c>
      <c r="CV238" s="4" t="str">
        <f>HYPERLINK("http://exon.niaid.nih.gov/transcriptome/C_felis/S1/links/PFAM/cf-contig_239-PFAM.txt","Ribosomal_L13e")</f>
        <v>Ribosomal_L13e</v>
      </c>
      <c r="CW238" t="str">
        <f>HYPERLINK("http://pfam.sanger.ac.uk/family?acc=PF01294","8E-086")</f>
        <v>8E-086</v>
      </c>
      <c r="CX238" s="4" t="str">
        <f>HYPERLINK("http://exon.niaid.nih.gov/transcriptome/C_felis/S1/links/SMART/cf-contig_239-SMART.txt","AP2Ec")</f>
        <v>AP2Ec</v>
      </c>
      <c r="CY238" t="str">
        <f>HYPERLINK("http://smart.embl-heidelberg.de/smart/do_annotation.pl?DOMAIN=AP2Ec&amp;BLAST=DUMMY","0.13")</f>
        <v>0.13</v>
      </c>
      <c r="CZ238" s="4" t="s">
        <v>42</v>
      </c>
      <c r="DA238" t="s">
        <v>42</v>
      </c>
      <c r="DB238" t="s">
        <v>42</v>
      </c>
      <c r="DC238" t="s">
        <v>42</v>
      </c>
      <c r="DD238" t="s">
        <v>42</v>
      </c>
      <c r="DE238" t="s">
        <v>42</v>
      </c>
      <c r="DF238" t="s">
        <v>42</v>
      </c>
      <c r="DG238" t="s">
        <v>42</v>
      </c>
      <c r="DH238" s="4" t="s">
        <v>42</v>
      </c>
      <c r="DI238" t="s">
        <v>42</v>
      </c>
      <c r="DJ238" s="4" t="s">
        <v>42</v>
      </c>
      <c r="DK238" t="s">
        <v>42</v>
      </c>
      <c r="DL238" s="4">
        <v>188</v>
      </c>
      <c r="DM238">
        <v>1</v>
      </c>
      <c r="DN238" s="4">
        <v>191</v>
      </c>
      <c r="DO238">
        <v>1</v>
      </c>
      <c r="DP238" s="4">
        <v>189</v>
      </c>
      <c r="DQ238">
        <v>1</v>
      </c>
      <c r="DR238" s="4">
        <v>197</v>
      </c>
      <c r="DS238">
        <v>1</v>
      </c>
      <c r="DT238" s="4">
        <v>203</v>
      </c>
      <c r="DU238">
        <v>1</v>
      </c>
      <c r="DV238" s="4">
        <v>215</v>
      </c>
      <c r="DW238">
        <v>1</v>
      </c>
      <c r="DX238" s="4">
        <v>217</v>
      </c>
      <c r="DY238">
        <v>1</v>
      </c>
      <c r="DZ238" s="4">
        <v>221</v>
      </c>
      <c r="EA238">
        <v>1</v>
      </c>
      <c r="EB238" s="4">
        <v>226</v>
      </c>
      <c r="EC238">
        <v>1</v>
      </c>
      <c r="ED238" s="4">
        <v>229</v>
      </c>
      <c r="EE238">
        <v>1</v>
      </c>
      <c r="EF238" s="4">
        <v>232</v>
      </c>
      <c r="EG238">
        <v>1</v>
      </c>
      <c r="EH238" s="4">
        <v>234</v>
      </c>
      <c r="EI238">
        <v>1</v>
      </c>
      <c r="EJ238" s="4">
        <v>239</v>
      </c>
      <c r="EK238">
        <v>1</v>
      </c>
    </row>
    <row r="239" spans="1:141" x14ac:dyDescent="0.2">
      <c r="A239" t="str">
        <f>HYPERLINK("http://exon.niaid.nih.gov/transcriptome/C_felis/S1/links/cf/cf-contig_231.txt","cf-contig_231")</f>
        <v>cf-contig_231</v>
      </c>
      <c r="B239">
        <v>3</v>
      </c>
      <c r="C239" s="10" t="s">
        <v>4700</v>
      </c>
      <c r="D239">
        <v>3</v>
      </c>
      <c r="E239" t="str">
        <f>HYPERLINK("http://exon.niaid.nih.gov/transcriptome/C_felis/S1/links/cf/cf-5-36-asb-231.txt","Contig-231")</f>
        <v>Contig-231</v>
      </c>
      <c r="F239" t="str">
        <f>HYPERLINK("http://exon.niaid.nih.gov/transcriptome/C_felis/S1/links/cf/cf-5-36-231-CLU.txt","Contig231")</f>
        <v>Contig231</v>
      </c>
      <c r="G239" t="str">
        <f>HYPERLINK("http://exon.niaid.nih.gov/transcriptome/C_felis/S1/links/cf/cf-5-36-231-qual.txt","87.7")</f>
        <v>87.7</v>
      </c>
      <c r="H239" t="s">
        <v>11</v>
      </c>
      <c r="I239">
        <v>60</v>
      </c>
      <c r="J239">
        <v>419</v>
      </c>
      <c r="K239" t="s">
        <v>12</v>
      </c>
      <c r="L239">
        <v>3</v>
      </c>
      <c r="M239" t="s">
        <v>244</v>
      </c>
      <c r="N239">
        <v>411</v>
      </c>
      <c r="O239">
        <v>438</v>
      </c>
      <c r="P239">
        <v>375</v>
      </c>
      <c r="Q239" t="s">
        <v>1051</v>
      </c>
      <c r="R239">
        <v>3</v>
      </c>
      <c r="S239" s="7" t="str">
        <f>HYPERLINK("http://exon.niaid.nih.gov/transcriptome/C_felis/S1/links/Sigp/CF-CONTIG_231-SigP.txt","Cyt")</f>
        <v>Cyt</v>
      </c>
      <c r="U239">
        <v>3</v>
      </c>
      <c r="V239" s="4">
        <v>183</v>
      </c>
      <c r="W239">
        <v>1</v>
      </c>
      <c r="X239" s="4">
        <v>186</v>
      </c>
      <c r="Y239">
        <v>1</v>
      </c>
      <c r="Z239" s="4">
        <v>184</v>
      </c>
      <c r="AA239">
        <v>1</v>
      </c>
      <c r="AB239" s="4" t="str">
        <f>HYPERLINK("http://exon.niaid.nih.gov/transcriptome/C_felis/S1/links/XC-ASB/cf-contig_231-XC-ASB.txt","XC-contig_28")</f>
        <v>XC-contig_28</v>
      </c>
      <c r="AC239">
        <v>0.17</v>
      </c>
      <c r="AD239" s="10" t="s">
        <v>4700</v>
      </c>
      <c r="AE239" t="s">
        <v>4605</v>
      </c>
      <c r="AF239" t="str">
        <f>HYPERLINK("http://exon.niaid.nih.gov/transcriptome/C_felis/S1/links/NR/cf-contig_231-NR.txt","NR")</f>
        <v>NR</v>
      </c>
      <c r="AG239" s="5">
        <v>1E-54</v>
      </c>
      <c r="AH239">
        <v>59</v>
      </c>
      <c r="AI239" s="4" t="str">
        <f>HYPERLINK("http://exon.niaid.nih.gov/transcriptome/C_felis/S1/links/NR/cf-contig_231-NR.txt","60S ribosomal protein L13a-like")</f>
        <v>60S ribosomal protein L13a-like</v>
      </c>
      <c r="AJ239" t="str">
        <f>HYPERLINK("http://www.ncbi.nlm.nih.gov/sutils/blink.cgi?pid=156544548","1E-054")</f>
        <v>1E-054</v>
      </c>
      <c r="AK239" t="str">
        <f>HYPERLINK("http://www.ncbi.nlm.nih.gov/protein/156544548","gi|156544548")</f>
        <v>gi|156544548</v>
      </c>
      <c r="AL239">
        <v>216</v>
      </c>
      <c r="AM239">
        <v>121</v>
      </c>
      <c r="AN239">
        <v>204</v>
      </c>
      <c r="AO239">
        <v>80</v>
      </c>
      <c r="AP239">
        <v>60</v>
      </c>
      <c r="AQ239">
        <v>24</v>
      </c>
      <c r="AR239">
        <v>0</v>
      </c>
      <c r="AS239">
        <v>83</v>
      </c>
      <c r="AT239">
        <v>12</v>
      </c>
      <c r="AU239">
        <v>1</v>
      </c>
      <c r="AV239">
        <v>3</v>
      </c>
      <c r="AW239" t="s">
        <v>12</v>
      </c>
      <c r="AY239" t="s">
        <v>1676</v>
      </c>
      <c r="AZ239" t="s">
        <v>1897</v>
      </c>
      <c r="BA239" s="4" t="str">
        <f>HYPERLINK("http://exon.niaid.nih.gov/transcriptome/C_felis/S1/links/SWISSP/cf-contig_231-SWISSP.txt","60S ribosomal protein L13a")</f>
        <v>60S ribosomal protein L13a</v>
      </c>
      <c r="BB239" t="str">
        <f>HYPERLINK("http://www.uniprot.org/uniprot/Q962U0","2E-048")</f>
        <v>2E-048</v>
      </c>
      <c r="BC239" t="s">
        <v>2535</v>
      </c>
      <c r="BD239">
        <v>191</v>
      </c>
      <c r="BE239">
        <v>121</v>
      </c>
      <c r="BF239">
        <v>204</v>
      </c>
      <c r="BG239">
        <v>69</v>
      </c>
      <c r="BH239">
        <v>60</v>
      </c>
      <c r="BI239">
        <v>37</v>
      </c>
      <c r="BJ239">
        <v>0</v>
      </c>
      <c r="BK239">
        <v>83</v>
      </c>
      <c r="BL239">
        <v>12</v>
      </c>
      <c r="BM239">
        <v>1</v>
      </c>
      <c r="BN239">
        <v>3</v>
      </c>
      <c r="BO239" t="s">
        <v>12</v>
      </c>
      <c r="BQ239" t="s">
        <v>1676</v>
      </c>
      <c r="BR239" t="s">
        <v>2031</v>
      </c>
      <c r="BS239" s="4" t="str">
        <f>HYPERLINK("http://exon.niaid.nih.gov/transcriptome/C_felis/S1/links/CDD/cf-contig_231-CDD.txt","PTZ00068")</f>
        <v>PTZ00068</v>
      </c>
      <c r="BT239" t="str">
        <f>HYPERLINK("http://www.ncbi.nlm.nih.gov/Structure/cdd/cddsrv.cgi?uid=PTZ00068&amp;version=v4.0","3E-040")</f>
        <v>3E-040</v>
      </c>
      <c r="BU239" t="s">
        <v>2536</v>
      </c>
      <c r="BV239" s="4" t="s">
        <v>2537</v>
      </c>
      <c r="BW239">
        <f>HYPERLINK("http://exon.niaid.nih.gov/transcriptome/C_felis/S1/links/GO/cf-contig_231-GO.txt",2E-36)</f>
        <v>1.9999999999999999E-36</v>
      </c>
      <c r="BX239" t="str">
        <f t="shared" si="27"/>
        <v>GO:0003735</v>
      </c>
      <c r="BY239" t="s">
        <v>1929</v>
      </c>
      <c r="BZ239" t="s">
        <v>1930</v>
      </c>
      <c r="CA239" t="s">
        <v>1931</v>
      </c>
      <c r="CB239" t="s">
        <v>42</v>
      </c>
      <c r="CD239" s="5">
        <v>1.9999999999999999E-36</v>
      </c>
      <c r="CE239" t="str">
        <f>HYPERLINK("http://amigo.geneontology.org/cgi-bin/amigo/term_details?term=GO:0022625","GO:0022625")</f>
        <v>GO:0022625</v>
      </c>
      <c r="CF239" t="s">
        <v>1932</v>
      </c>
      <c r="CG239" t="s">
        <v>1933</v>
      </c>
      <c r="CH239" t="s">
        <v>1934</v>
      </c>
      <c r="CI239" t="s">
        <v>42</v>
      </c>
      <c r="CK239" s="5">
        <v>1.9999999999999999E-36</v>
      </c>
      <c r="CL239" t="str">
        <f t="shared" si="26"/>
        <v>GO:0006412</v>
      </c>
      <c r="CM239" t="s">
        <v>1935</v>
      </c>
      <c r="CN239" t="s">
        <v>1936</v>
      </c>
      <c r="CO239" t="s">
        <v>1937</v>
      </c>
      <c r="CP239" t="s">
        <v>42</v>
      </c>
      <c r="CR239" s="5">
        <v>1.9999999999999999E-36</v>
      </c>
      <c r="CS239" s="4" t="str">
        <f>HYPERLINK("http://exon.niaid.nih.gov/transcriptome/C_felis/S1/links/KOG/cf-contig_231-KOG.txt","60S ribosomal protein L13a")</f>
        <v>60S ribosomal protein L13a</v>
      </c>
      <c r="CT239" t="str">
        <f>HYPERLINK("http://www.ncbi.nlm.nih.gov/COG/grace/shokog.cgi?KOG3204","9E-036")</f>
        <v>9E-036</v>
      </c>
      <c r="CU239" t="s">
        <v>1707</v>
      </c>
      <c r="CV239" s="4" t="str">
        <f>HYPERLINK("http://exon.niaid.nih.gov/transcriptome/C_felis/S1/links/PFAM/cf-contig_231-PFAM.txt","Ribosomal_L13")</f>
        <v>Ribosomal_L13</v>
      </c>
      <c r="CW239" t="str">
        <f>HYPERLINK("http://pfam.sanger.ac.uk/family?acc=PF00572","1E-008")</f>
        <v>1E-008</v>
      </c>
      <c r="CX239" s="4" t="str">
        <f>HYPERLINK("http://exon.niaid.nih.gov/transcriptome/C_felis/S1/links/SMART/cf-contig_231-SMART.txt","YqgFc")</f>
        <v>YqgFc</v>
      </c>
      <c r="CY239" t="str">
        <f>HYPERLINK("http://smart.embl-heidelberg.de/smart/do_annotation.pl?DOMAIN=YqgFc&amp;BLAST=DUMMY","0.045")</f>
        <v>0.045</v>
      </c>
      <c r="CZ239" s="4" t="s">
        <v>42</v>
      </c>
      <c r="DA239" t="s">
        <v>42</v>
      </c>
      <c r="DB239" t="s">
        <v>42</v>
      </c>
      <c r="DC239" t="s">
        <v>42</v>
      </c>
      <c r="DD239" t="s">
        <v>42</v>
      </c>
      <c r="DE239" t="s">
        <v>42</v>
      </c>
      <c r="DF239" t="s">
        <v>42</v>
      </c>
      <c r="DG239" t="s">
        <v>42</v>
      </c>
      <c r="DH239" s="4" t="s">
        <v>42</v>
      </c>
      <c r="DI239" t="s">
        <v>42</v>
      </c>
      <c r="DJ239" s="4" t="s">
        <v>42</v>
      </c>
      <c r="DK239" t="s">
        <v>42</v>
      </c>
      <c r="DL239" s="4">
        <v>183</v>
      </c>
      <c r="DM239">
        <v>1</v>
      </c>
      <c r="DN239" s="4">
        <v>186</v>
      </c>
      <c r="DO239">
        <v>1</v>
      </c>
      <c r="DP239" s="4">
        <v>184</v>
      </c>
      <c r="DQ239">
        <v>1</v>
      </c>
      <c r="DR239" s="4">
        <v>189</v>
      </c>
      <c r="DS239">
        <v>1</v>
      </c>
      <c r="DT239" s="4">
        <v>195</v>
      </c>
      <c r="DU239">
        <v>1</v>
      </c>
      <c r="DV239" s="4">
        <v>207</v>
      </c>
      <c r="DW239">
        <v>1</v>
      </c>
      <c r="DX239" s="4">
        <v>209</v>
      </c>
      <c r="DY239">
        <v>1</v>
      </c>
      <c r="DZ239" s="4">
        <v>213</v>
      </c>
      <c r="EA239">
        <v>1</v>
      </c>
      <c r="EB239" s="4">
        <v>218</v>
      </c>
      <c r="EC239">
        <v>1</v>
      </c>
      <c r="ED239" s="4">
        <v>221</v>
      </c>
      <c r="EE239">
        <v>1</v>
      </c>
      <c r="EF239" s="4">
        <v>224</v>
      </c>
      <c r="EG239">
        <v>1</v>
      </c>
      <c r="EH239" s="4">
        <v>226</v>
      </c>
      <c r="EI239">
        <v>1</v>
      </c>
      <c r="EJ239" s="4">
        <v>231</v>
      </c>
      <c r="EK239">
        <v>1</v>
      </c>
    </row>
    <row r="240" spans="1:141" x14ac:dyDescent="0.2">
      <c r="A240" t="str">
        <f>HYPERLINK("http://exon.niaid.nih.gov/transcriptome/C_felis/S1/links/cf/cf-contig_118.txt","cf-contig_118")</f>
        <v>cf-contig_118</v>
      </c>
      <c r="B240">
        <v>6</v>
      </c>
      <c r="C240" s="10" t="s">
        <v>4638</v>
      </c>
      <c r="D240">
        <v>6</v>
      </c>
      <c r="E240" t="str">
        <f>HYPERLINK("http://exon.niaid.nih.gov/transcriptome/C_felis/S1/links/cf/cf-5-36-asb-118.txt","Contig-118")</f>
        <v>Contig-118</v>
      </c>
      <c r="F240" t="str">
        <f>HYPERLINK("http://exon.niaid.nih.gov/transcriptome/C_felis/S1/links/cf/cf-5-36-118-CLU.txt","Contig118")</f>
        <v>Contig118</v>
      </c>
      <c r="G240" t="str">
        <f>HYPERLINK("http://exon.niaid.nih.gov/transcriptome/C_felis/S1/links/cf/cf-5-36-118-qual.txt","87.1")</f>
        <v>87.1</v>
      </c>
      <c r="H240">
        <v>0.2</v>
      </c>
      <c r="I240">
        <v>56.9</v>
      </c>
      <c r="J240">
        <v>520</v>
      </c>
      <c r="K240" t="s">
        <v>12</v>
      </c>
      <c r="L240">
        <v>6</v>
      </c>
      <c r="M240" t="s">
        <v>131</v>
      </c>
      <c r="N240">
        <v>521</v>
      </c>
      <c r="O240">
        <v>540</v>
      </c>
      <c r="P240">
        <v>474</v>
      </c>
      <c r="Q240" t="s">
        <v>938</v>
      </c>
      <c r="R240">
        <v>1</v>
      </c>
      <c r="S240" s="7" t="str">
        <f>HYPERLINK("http://exon.niaid.nih.gov/transcriptome/C_felis/S1/links/Sigp/CF-CONTIG_118-SigP.txt","Cyt")</f>
        <v>Cyt</v>
      </c>
      <c r="U240">
        <v>6</v>
      </c>
      <c r="V240" s="4">
        <v>127</v>
      </c>
      <c r="W240">
        <v>1</v>
      </c>
      <c r="X240" s="4">
        <v>122</v>
      </c>
      <c r="Y240">
        <v>1</v>
      </c>
      <c r="Z240" s="4">
        <v>119</v>
      </c>
      <c r="AA240">
        <v>1</v>
      </c>
      <c r="AB240" s="4" t="str">
        <f>HYPERLINK("http://exon.niaid.nih.gov/transcriptome/C_felis/S1/links/XC-ASB/cf-contig_118-XC-ASB.txt","XC-contig_100")</f>
        <v>XC-contig_100</v>
      </c>
      <c r="AC240">
        <v>9.9999999999999997E-106</v>
      </c>
      <c r="AD240" s="10" t="s">
        <v>4638</v>
      </c>
      <c r="AE240" t="s">
        <v>4605</v>
      </c>
      <c r="AF240" t="str">
        <f>HYPERLINK("http://exon.niaid.nih.gov/transcriptome/C_felis/S1/links/KOG/cf-contig_118-KOG.txt","KOG")</f>
        <v>KOG</v>
      </c>
      <c r="AG240" s="5">
        <v>2.9999999999999999E-82</v>
      </c>
      <c r="AH240">
        <v>75</v>
      </c>
      <c r="AI240" s="4" t="str">
        <f>HYPERLINK("http://exon.niaid.nih.gov/transcriptome/C_felis/S1/links/NR/cf-contig_118-NR.txt","ribosomal protein L15")</f>
        <v>ribosomal protein L15</v>
      </c>
      <c r="AJ240" t="str">
        <f>HYPERLINK("http://www.ncbi.nlm.nih.gov/sutils/blink.cgi?pid=315115481","1E-079")</f>
        <v>1E-079</v>
      </c>
      <c r="AK240" t="str">
        <f>HYPERLINK("http://www.ncbi.nlm.nih.gov/protein/315115481","gi|315115481")</f>
        <v>gi|315115481</v>
      </c>
      <c r="AL240">
        <v>299</v>
      </c>
      <c r="AM240">
        <v>152</v>
      </c>
      <c r="AN240">
        <v>204</v>
      </c>
      <c r="AO240">
        <v>93</v>
      </c>
      <c r="AP240">
        <v>75</v>
      </c>
      <c r="AQ240">
        <v>10</v>
      </c>
      <c r="AR240">
        <v>0</v>
      </c>
      <c r="AS240">
        <v>52</v>
      </c>
      <c r="AT240">
        <v>16</v>
      </c>
      <c r="AU240">
        <v>1</v>
      </c>
      <c r="AV240">
        <v>1</v>
      </c>
      <c r="AW240" t="s">
        <v>12</v>
      </c>
      <c r="AY240" t="s">
        <v>1676</v>
      </c>
      <c r="AZ240" t="s">
        <v>2115</v>
      </c>
      <c r="BA240" s="4" t="str">
        <f>HYPERLINK("http://exon.niaid.nih.gov/transcriptome/C_felis/S1/links/SWISSP/cf-contig_118-SWISSP.txt","60S ribosomal protein L15")</f>
        <v>60S ribosomal protein L15</v>
      </c>
      <c r="BB240" t="str">
        <f>HYPERLINK("http://www.uniprot.org/uniprot/P52818","1E-073")</f>
        <v>1E-073</v>
      </c>
      <c r="BC240" t="s">
        <v>2116</v>
      </c>
      <c r="BD240">
        <v>275</v>
      </c>
      <c r="BE240">
        <v>152</v>
      </c>
      <c r="BF240">
        <v>204</v>
      </c>
      <c r="BG240">
        <v>85</v>
      </c>
      <c r="BH240">
        <v>75</v>
      </c>
      <c r="BI240">
        <v>22</v>
      </c>
      <c r="BJ240">
        <v>0</v>
      </c>
      <c r="BK240">
        <v>52</v>
      </c>
      <c r="BL240">
        <v>16</v>
      </c>
      <c r="BM240">
        <v>1</v>
      </c>
      <c r="BN240">
        <v>1</v>
      </c>
      <c r="BO240" t="s">
        <v>12</v>
      </c>
      <c r="BQ240" t="s">
        <v>1676</v>
      </c>
      <c r="BR240" t="s">
        <v>2117</v>
      </c>
      <c r="BS240" s="4" t="str">
        <f>HYPERLINK("http://exon.niaid.nih.gov/transcriptome/C_felis/S1/links/CDD/cf-contig_118-CDD.txt","Ribosomal_L15e")</f>
        <v>Ribosomal_L15e</v>
      </c>
      <c r="BT240" t="str">
        <f>HYPERLINK("http://www.ncbi.nlm.nih.gov/Structure/cdd/cddsrv.cgi?uid=pfam00827&amp;version=v4.0","2E-083")</f>
        <v>2E-083</v>
      </c>
      <c r="BU240" t="s">
        <v>2118</v>
      </c>
      <c r="BV240" s="4" t="s">
        <v>2119</v>
      </c>
      <c r="BW240">
        <f>HYPERLINK("http://exon.niaid.nih.gov/transcriptome/C_felis/S1/links/GO/cf-contig_118-GO.txt",4E-72)</f>
        <v>3.9999999999999999E-72</v>
      </c>
      <c r="BX240" t="str">
        <f t="shared" si="27"/>
        <v>GO:0003735</v>
      </c>
      <c r="BY240" t="s">
        <v>1929</v>
      </c>
      <c r="BZ240" t="s">
        <v>1930</v>
      </c>
      <c r="CA240" t="s">
        <v>1931</v>
      </c>
      <c r="CB240" t="s">
        <v>42</v>
      </c>
      <c r="CD240" s="5">
        <v>3.9999999999999999E-72</v>
      </c>
      <c r="CE240" t="str">
        <f>HYPERLINK("http://amigo.geneontology.org/cgi-bin/amigo/term_details?term=GO:0022625","GO:0022625")</f>
        <v>GO:0022625</v>
      </c>
      <c r="CF240" t="s">
        <v>1932</v>
      </c>
      <c r="CG240" t="s">
        <v>1933</v>
      </c>
      <c r="CH240" t="s">
        <v>1934</v>
      </c>
      <c r="CI240" t="s">
        <v>42</v>
      </c>
      <c r="CK240" s="5">
        <v>3.9999999999999999E-72</v>
      </c>
      <c r="CL240" t="str">
        <f t="shared" si="26"/>
        <v>GO:0006412</v>
      </c>
      <c r="CM240" t="s">
        <v>1935</v>
      </c>
      <c r="CN240" t="s">
        <v>1936</v>
      </c>
      <c r="CO240" t="s">
        <v>1937</v>
      </c>
      <c r="CP240" t="s">
        <v>42</v>
      </c>
      <c r="CR240" s="5">
        <v>3.9999999999999999E-72</v>
      </c>
      <c r="CS240" s="4" t="str">
        <f>HYPERLINK("http://exon.niaid.nih.gov/transcriptome/C_felis/S1/links/KOG/cf-contig_118-KOG.txt","60s ribosomal protein L15")</f>
        <v>60s ribosomal protein L15</v>
      </c>
      <c r="CT240" t="str">
        <f>HYPERLINK("http://www.ncbi.nlm.nih.gov/COG/grace/shokog.cgi?KOG1678","3E-082")</f>
        <v>3E-082</v>
      </c>
      <c r="CU240" t="s">
        <v>1707</v>
      </c>
      <c r="CV240" s="4" t="str">
        <f>HYPERLINK("http://exon.niaid.nih.gov/transcriptome/C_felis/S1/links/PFAM/cf-contig_118-PFAM.txt","Ribosomal_L15e")</f>
        <v>Ribosomal_L15e</v>
      </c>
      <c r="CW240" t="str">
        <f>HYPERLINK("http://pfam.sanger.ac.uk/family?acc=PF00827","5E-084")</f>
        <v>5E-084</v>
      </c>
      <c r="CX240" s="4" t="str">
        <f>HYPERLINK("http://exon.niaid.nih.gov/transcriptome/C_felis/S1/links/SMART/cf-contig_118-SMART.txt","PKS_AT")</f>
        <v>PKS_AT</v>
      </c>
      <c r="CY240" t="str">
        <f>HYPERLINK("http://smart.embl-heidelberg.de/smart/do_annotation.pl?DOMAIN=PKS_AT&amp;BLAST=DUMMY","0.18")</f>
        <v>0.18</v>
      </c>
      <c r="CZ240" s="4" t="s">
        <v>42</v>
      </c>
      <c r="DA240" t="s">
        <v>42</v>
      </c>
      <c r="DB240" t="s">
        <v>42</v>
      </c>
      <c r="DC240" t="s">
        <v>42</v>
      </c>
      <c r="DD240" t="s">
        <v>42</v>
      </c>
      <c r="DE240" t="s">
        <v>42</v>
      </c>
      <c r="DF240" t="s">
        <v>42</v>
      </c>
      <c r="DG240" t="s">
        <v>42</v>
      </c>
      <c r="DH240" s="4" t="s">
        <v>42</v>
      </c>
      <c r="DI240" t="s">
        <v>42</v>
      </c>
      <c r="DJ240" s="4" t="s">
        <v>42</v>
      </c>
      <c r="DK240" t="s">
        <v>42</v>
      </c>
      <c r="DL240" s="4">
        <v>127</v>
      </c>
      <c r="DM240">
        <v>1</v>
      </c>
      <c r="DN240" s="4">
        <v>122</v>
      </c>
      <c r="DO240">
        <v>1</v>
      </c>
      <c r="DP240" s="4">
        <v>119</v>
      </c>
      <c r="DQ240">
        <v>1</v>
      </c>
      <c r="DR240" s="4">
        <v>110</v>
      </c>
      <c r="DS240">
        <v>1</v>
      </c>
      <c r="DT240" s="4">
        <v>108</v>
      </c>
      <c r="DU240">
        <v>1</v>
      </c>
      <c r="DV240" s="4">
        <v>117</v>
      </c>
      <c r="DW240">
        <v>1</v>
      </c>
      <c r="DX240" s="4">
        <v>119</v>
      </c>
      <c r="DY240">
        <v>1</v>
      </c>
      <c r="DZ240" s="4">
        <v>119</v>
      </c>
      <c r="EA240">
        <v>1</v>
      </c>
      <c r="EB240" s="4">
        <v>122</v>
      </c>
      <c r="EC240">
        <v>1</v>
      </c>
      <c r="ED240" s="4">
        <v>123</v>
      </c>
      <c r="EE240">
        <v>1</v>
      </c>
      <c r="EF240" s="4">
        <v>120</v>
      </c>
      <c r="EG240">
        <v>1</v>
      </c>
      <c r="EH240" s="4">
        <v>117</v>
      </c>
      <c r="EI240">
        <v>1</v>
      </c>
      <c r="EJ240" s="4">
        <v>118</v>
      </c>
      <c r="EK240">
        <v>1</v>
      </c>
    </row>
    <row r="241" spans="1:141" x14ac:dyDescent="0.2">
      <c r="A241" t="str">
        <f>HYPERLINK("http://exon.niaid.nih.gov/transcriptome/C_felis/S1/links/cf/cf-contig_119.txt","cf-contig_119")</f>
        <v>cf-contig_119</v>
      </c>
      <c r="B241">
        <v>1</v>
      </c>
      <c r="C241" s="10" t="s">
        <v>4638</v>
      </c>
      <c r="D241">
        <v>1</v>
      </c>
      <c r="E241" t="str">
        <f>HYPERLINK("http://exon.niaid.nih.gov/transcriptome/C_felis/S1/links/cf/cf-5-36-asb-119.txt","Contig-119")</f>
        <v>Contig-119</v>
      </c>
      <c r="F241" t="str">
        <f>HYPERLINK("http://exon.niaid.nih.gov/transcriptome/C_felis/S1/links/cf/cf-5-36-119-CLU.txt","Contig119")</f>
        <v>Contig119</v>
      </c>
      <c r="G241" t="str">
        <f>HYPERLINK("http://exon.niaid.nih.gov/transcriptome/C_felis/S1/links/cf/cf-5-36-119-qual.txt","61.4")</f>
        <v>61.4</v>
      </c>
      <c r="H241" t="s">
        <v>11</v>
      </c>
      <c r="I241">
        <v>58.1</v>
      </c>
      <c r="J241">
        <v>191</v>
      </c>
      <c r="K241" t="s">
        <v>12</v>
      </c>
      <c r="L241">
        <v>1</v>
      </c>
      <c r="M241" t="s">
        <v>132</v>
      </c>
      <c r="N241">
        <v>191</v>
      </c>
      <c r="O241">
        <v>210</v>
      </c>
      <c r="P241">
        <v>147</v>
      </c>
      <c r="Q241" t="s">
        <v>939</v>
      </c>
      <c r="R241">
        <v>2</v>
      </c>
      <c r="S241" s="7" t="str">
        <f>HYPERLINK("http://exon.niaid.nih.gov/transcriptome/C_felis/S1/links/Sigp/CF-CONTIG_119-SigP.txt","Cyt")</f>
        <v>Cyt</v>
      </c>
      <c r="U241">
        <v>1</v>
      </c>
      <c r="V241" s="4">
        <v>128</v>
      </c>
      <c r="W241">
        <v>1</v>
      </c>
      <c r="X241" s="4">
        <v>123</v>
      </c>
      <c r="Y241">
        <v>1</v>
      </c>
      <c r="Z241" s="4">
        <v>120</v>
      </c>
      <c r="AA241">
        <v>1</v>
      </c>
      <c r="AB241" s="4" t="str">
        <f>HYPERLINK("http://exon.niaid.nih.gov/transcriptome/C_felis/S1/links/XC-ASB/cf-contig_119-XC-ASB.txt","XC-contig_100")</f>
        <v>XC-contig_100</v>
      </c>
      <c r="AC241">
        <v>5.0000000000000002E-28</v>
      </c>
      <c r="AD241" s="10" t="s">
        <v>4638</v>
      </c>
      <c r="AE241" t="s">
        <v>4605</v>
      </c>
      <c r="AF241" t="str">
        <f>HYPERLINK("http://exon.niaid.nih.gov/transcriptome/C_felis/S1/links/KOG/cf-contig_119-KOG.txt","KOG")</f>
        <v>KOG</v>
      </c>
      <c r="AG241" s="5">
        <v>7.0000000000000003E-19</v>
      </c>
      <c r="AH241">
        <v>22.5</v>
      </c>
      <c r="AI241" s="4" t="str">
        <f>HYPERLINK("http://exon.niaid.nih.gov/transcriptome/C_felis/S1/links/NR/cf-contig_119-NR.txt","ribosomal protein L15e")</f>
        <v>ribosomal protein L15e</v>
      </c>
      <c r="AJ241" t="str">
        <f>HYPERLINK("http://www.ncbi.nlm.nih.gov/sutils/blink.cgi?pid=70909715","1E-016")</f>
        <v>1E-016</v>
      </c>
      <c r="AK241" t="str">
        <f>HYPERLINK("http://www.ncbi.nlm.nih.gov/protein/70909715","gi|70909715")</f>
        <v>gi|70909715</v>
      </c>
      <c r="AL241">
        <v>90.1</v>
      </c>
      <c r="AM241">
        <v>45</v>
      </c>
      <c r="AN241">
        <v>130</v>
      </c>
      <c r="AO241">
        <v>93</v>
      </c>
      <c r="AP241">
        <v>35</v>
      </c>
      <c r="AQ241">
        <v>3</v>
      </c>
      <c r="AR241">
        <v>0</v>
      </c>
      <c r="AS241">
        <v>85</v>
      </c>
      <c r="AT241">
        <v>11</v>
      </c>
      <c r="AU241">
        <v>1</v>
      </c>
      <c r="AV241">
        <v>2</v>
      </c>
      <c r="AW241" t="s">
        <v>12</v>
      </c>
      <c r="AY241" t="s">
        <v>1676</v>
      </c>
      <c r="AZ241" t="s">
        <v>2120</v>
      </c>
      <c r="BA241" s="4" t="str">
        <f>HYPERLINK("http://exon.niaid.nih.gov/transcriptome/C_felis/S1/links/SWISSP/cf-contig_119-SWISSP.txt","60S ribosomal protein L15")</f>
        <v>60S ribosomal protein L15</v>
      </c>
      <c r="BB241" t="str">
        <f>HYPERLINK("http://www.uniprot.org/uniprot/P52818","2E-015")</f>
        <v>2E-015</v>
      </c>
      <c r="BC241" t="s">
        <v>2116</v>
      </c>
      <c r="BD241">
        <v>80.900000000000006</v>
      </c>
      <c r="BE241">
        <v>45</v>
      </c>
      <c r="BF241">
        <v>204</v>
      </c>
      <c r="BG241">
        <v>84</v>
      </c>
      <c r="BH241">
        <v>23</v>
      </c>
      <c r="BI241">
        <v>7</v>
      </c>
      <c r="BJ241">
        <v>0</v>
      </c>
      <c r="BK241">
        <v>159</v>
      </c>
      <c r="BL241">
        <v>11</v>
      </c>
      <c r="BM241">
        <v>1</v>
      </c>
      <c r="BN241">
        <v>2</v>
      </c>
      <c r="BO241" t="s">
        <v>12</v>
      </c>
      <c r="BQ241" t="s">
        <v>1676</v>
      </c>
      <c r="BR241" t="s">
        <v>2117</v>
      </c>
      <c r="BS241" s="4" t="str">
        <f>HYPERLINK("http://exon.niaid.nih.gov/transcriptome/C_felis/S1/links/CDD/cf-contig_119-CDD.txt","PTZ00026")</f>
        <v>PTZ00026</v>
      </c>
      <c r="BT241" t="str">
        <f>HYPERLINK("http://www.ncbi.nlm.nih.gov/Structure/cdd/cddsrv.cgi?uid=PTZ00026&amp;version=v4.0","1E-014")</f>
        <v>1E-014</v>
      </c>
      <c r="BU241" t="s">
        <v>2121</v>
      </c>
      <c r="BV241" s="4" t="s">
        <v>2122</v>
      </c>
      <c r="BW241">
        <f>HYPERLINK("http://exon.niaid.nih.gov/transcriptome/C_felis/S1/links/GO/cf-contig_119-GO.txt",0.00000000000001)</f>
        <v>1E-14</v>
      </c>
      <c r="BX241" t="str">
        <f t="shared" si="27"/>
        <v>GO:0003735</v>
      </c>
      <c r="BY241" t="s">
        <v>1929</v>
      </c>
      <c r="BZ241" t="s">
        <v>1930</v>
      </c>
      <c r="CA241" t="s">
        <v>1931</v>
      </c>
      <c r="CB241" t="s">
        <v>42</v>
      </c>
      <c r="CD241">
        <v>1E-14</v>
      </c>
      <c r="CE241" t="str">
        <f>HYPERLINK("http://amigo.geneontology.org/cgi-bin/amigo/term_details?term=GO:0005622","GO:0005622")</f>
        <v>GO:0005622</v>
      </c>
      <c r="CF241" t="s">
        <v>2085</v>
      </c>
      <c r="CG241" t="s">
        <v>2086</v>
      </c>
      <c r="CH241" t="s">
        <v>2087</v>
      </c>
      <c r="CI241" t="s">
        <v>42</v>
      </c>
      <c r="CK241">
        <v>1E-14</v>
      </c>
      <c r="CL241" t="str">
        <f t="shared" si="26"/>
        <v>GO:0006412</v>
      </c>
      <c r="CM241" t="s">
        <v>1935</v>
      </c>
      <c r="CN241" t="s">
        <v>1936</v>
      </c>
      <c r="CO241" t="s">
        <v>1937</v>
      </c>
      <c r="CP241" t="s">
        <v>42</v>
      </c>
      <c r="CR241">
        <v>1E-14</v>
      </c>
      <c r="CS241" s="4" t="str">
        <f>HYPERLINK("http://exon.niaid.nih.gov/transcriptome/C_felis/S1/links/KOG/cf-contig_119-KOG.txt","60s ribosomal protein L15")</f>
        <v>60s ribosomal protein L15</v>
      </c>
      <c r="CT241" t="str">
        <f>HYPERLINK("http://www.ncbi.nlm.nih.gov/COG/grace/shokog.cgi?KOG1678","7E-019")</f>
        <v>7E-019</v>
      </c>
      <c r="CU241" t="s">
        <v>1707</v>
      </c>
      <c r="CV241" s="4" t="str">
        <f>HYPERLINK("http://exon.niaid.nih.gov/transcriptome/C_felis/S1/links/PFAM/cf-contig_119-PFAM.txt","Ribosomal_L15e")</f>
        <v>Ribosomal_L15e</v>
      </c>
      <c r="CW241" t="str">
        <f>HYPERLINK("http://pfam.sanger.ac.uk/family?acc=PF00827","6E-012")</f>
        <v>6E-012</v>
      </c>
      <c r="CX241" s="4" t="str">
        <f>HYPERLINK("http://exon.niaid.nih.gov/transcriptome/C_felis/S1/links/SMART/cf-contig_119-SMART.txt","Alpha_TIF")</f>
        <v>Alpha_TIF</v>
      </c>
      <c r="CY241" t="str">
        <f>HYPERLINK("http://smart.embl-heidelberg.de/smart/do_annotation.pl?DOMAIN=Alpha_TIF&amp;BLAST=DUMMY","0.28")</f>
        <v>0.28</v>
      </c>
      <c r="CZ241" s="4" t="s">
        <v>42</v>
      </c>
      <c r="DA241" t="s">
        <v>42</v>
      </c>
      <c r="DB241" t="s">
        <v>42</v>
      </c>
      <c r="DC241" t="s">
        <v>42</v>
      </c>
      <c r="DD241" t="s">
        <v>42</v>
      </c>
      <c r="DE241" t="s">
        <v>42</v>
      </c>
      <c r="DF241" t="s">
        <v>42</v>
      </c>
      <c r="DG241" t="s">
        <v>42</v>
      </c>
      <c r="DH241" s="4" t="s">
        <v>42</v>
      </c>
      <c r="DI241" t="s">
        <v>42</v>
      </c>
      <c r="DJ241" s="4" t="s">
        <v>42</v>
      </c>
      <c r="DK241" t="s">
        <v>42</v>
      </c>
      <c r="DL241" s="4">
        <v>128</v>
      </c>
      <c r="DM241">
        <v>1</v>
      </c>
      <c r="DN241" s="4">
        <v>123</v>
      </c>
      <c r="DO241">
        <v>1</v>
      </c>
      <c r="DP241" s="4">
        <v>120</v>
      </c>
      <c r="DQ241">
        <v>1</v>
      </c>
      <c r="DR241" s="4">
        <v>111</v>
      </c>
      <c r="DS241">
        <v>1</v>
      </c>
      <c r="DT241" s="4">
        <v>109</v>
      </c>
      <c r="DU241">
        <v>1</v>
      </c>
      <c r="DV241" s="4">
        <v>118</v>
      </c>
      <c r="DW241">
        <v>1</v>
      </c>
      <c r="DX241" s="4">
        <v>120</v>
      </c>
      <c r="DY241">
        <v>1</v>
      </c>
      <c r="DZ241" s="4">
        <v>120</v>
      </c>
      <c r="EA241">
        <v>1</v>
      </c>
      <c r="EB241" s="4">
        <v>123</v>
      </c>
      <c r="EC241">
        <v>1</v>
      </c>
      <c r="ED241" s="4">
        <v>124</v>
      </c>
      <c r="EE241">
        <v>1</v>
      </c>
      <c r="EF241" s="4">
        <v>121</v>
      </c>
      <c r="EG241">
        <v>1</v>
      </c>
      <c r="EH241" s="4">
        <v>118</v>
      </c>
      <c r="EI241">
        <v>1</v>
      </c>
      <c r="EJ241" s="4">
        <v>119</v>
      </c>
      <c r="EK241">
        <v>1</v>
      </c>
    </row>
    <row r="242" spans="1:141" x14ac:dyDescent="0.2">
      <c r="A242" t="str">
        <f>HYPERLINK("http://exon.niaid.nih.gov/transcriptome/C_felis/S1/links/cf/cf-contig_153.txt","cf-contig_153")</f>
        <v>cf-contig_153</v>
      </c>
      <c r="B242">
        <v>5</v>
      </c>
      <c r="C242" s="10" t="s">
        <v>4658</v>
      </c>
      <c r="D242">
        <v>5</v>
      </c>
      <c r="E242" t="str">
        <f>HYPERLINK("http://exon.niaid.nih.gov/transcriptome/C_felis/S1/links/cf/cf-5-36-asb-153.txt","Contig-153")</f>
        <v>Contig-153</v>
      </c>
      <c r="F242" t="str">
        <f>HYPERLINK("http://exon.niaid.nih.gov/transcriptome/C_felis/S1/links/cf/cf-5-36-153-CLU.txt","Contig153")</f>
        <v>Contig153</v>
      </c>
      <c r="G242" t="str">
        <f>HYPERLINK("http://exon.niaid.nih.gov/transcriptome/C_felis/S1/links/cf/cf-5-36-153-qual.txt","79.6")</f>
        <v>79.6</v>
      </c>
      <c r="H242" t="s">
        <v>11</v>
      </c>
      <c r="I242">
        <v>58.4</v>
      </c>
      <c r="J242">
        <v>342</v>
      </c>
      <c r="K242" t="s">
        <v>12</v>
      </c>
      <c r="L242">
        <v>5</v>
      </c>
      <c r="M242" t="s">
        <v>166</v>
      </c>
      <c r="N242">
        <v>345</v>
      </c>
      <c r="O242">
        <v>365</v>
      </c>
      <c r="P242">
        <v>300</v>
      </c>
      <c r="Q242" t="s">
        <v>973</v>
      </c>
      <c r="R242">
        <v>1</v>
      </c>
      <c r="S242" s="7" t="str">
        <f>HYPERLINK("http://exon.niaid.nih.gov/transcriptome/C_felis/S1/links/Sigp/CF-CONTIG_153-SigP.txt","Cyt")</f>
        <v>Cyt</v>
      </c>
      <c r="U242">
        <v>5</v>
      </c>
      <c r="V242" s="4">
        <v>144</v>
      </c>
      <c r="W242">
        <v>1</v>
      </c>
      <c r="X242" s="4">
        <v>141</v>
      </c>
      <c r="Y242">
        <v>1</v>
      </c>
      <c r="Z242" s="4">
        <v>138</v>
      </c>
      <c r="AA242">
        <v>1</v>
      </c>
      <c r="AB242" s="4" t="str">
        <f>HYPERLINK("http://exon.niaid.nih.gov/transcriptome/C_felis/S1/links/XC-ASB/cf-contig_153-XC-ASB.txt","XC-contig_219")</f>
        <v>XC-contig_219</v>
      </c>
      <c r="AC242">
        <v>7.3999999999999996E-2</v>
      </c>
      <c r="AD242" s="10" t="s">
        <v>4658</v>
      </c>
      <c r="AE242" t="s">
        <v>4605</v>
      </c>
      <c r="AF242" t="str">
        <f>HYPERLINK("http://exon.niaid.nih.gov/transcriptome/C_felis/S1/links/NR/cf-contig_153-NR.txt","NR")</f>
        <v>NR</v>
      </c>
      <c r="AG242" s="5">
        <v>6.9999999999999998E-48</v>
      </c>
      <c r="AH242">
        <v>55.9</v>
      </c>
      <c r="AI242" s="4" t="str">
        <f>HYPERLINK("http://exon.niaid.nih.gov/transcriptome/C_felis/S1/links/NR/cf-contig_153-NR.txt","60S ribosomal protein L18a")</f>
        <v>60S ribosomal protein L18a</v>
      </c>
      <c r="AJ242" t="str">
        <f>HYPERLINK("http://www.ncbi.nlm.nih.gov/sutils/blink.cgi?pid=149898903","7E-048")</f>
        <v>7E-048</v>
      </c>
      <c r="AK242" t="str">
        <f>HYPERLINK("http://www.ncbi.nlm.nih.gov/protein/149898903","gi|149898903")</f>
        <v>gi|149898903</v>
      </c>
      <c r="AL242">
        <v>193</v>
      </c>
      <c r="AM242">
        <v>98</v>
      </c>
      <c r="AN242">
        <v>177</v>
      </c>
      <c r="AO242">
        <v>90</v>
      </c>
      <c r="AP242">
        <v>56</v>
      </c>
      <c r="AQ242">
        <v>9</v>
      </c>
      <c r="AR242">
        <v>0</v>
      </c>
      <c r="AS242">
        <v>79</v>
      </c>
      <c r="AT242">
        <v>4</v>
      </c>
      <c r="AU242">
        <v>1</v>
      </c>
      <c r="AV242">
        <v>1</v>
      </c>
      <c r="AW242" t="s">
        <v>12</v>
      </c>
      <c r="AY242" t="s">
        <v>1676</v>
      </c>
      <c r="AZ242" t="s">
        <v>2257</v>
      </c>
      <c r="BA242" s="4" t="str">
        <f>HYPERLINK("http://exon.niaid.nih.gov/transcriptome/C_felis/S1/links/SWISSP/cf-contig_153-SWISSP.txt","60S ribosomal protein L18a")</f>
        <v>60S ribosomal protein L18a</v>
      </c>
      <c r="BB242" t="str">
        <f>HYPERLINK("http://www.uniprot.org/uniprot/Q02543","6E-041")</f>
        <v>6E-041</v>
      </c>
      <c r="BC242" t="s">
        <v>2258</v>
      </c>
      <c r="BD242">
        <v>166</v>
      </c>
      <c r="BE242">
        <v>97</v>
      </c>
      <c r="BF242">
        <v>176</v>
      </c>
      <c r="BG242">
        <v>75</v>
      </c>
      <c r="BH242">
        <v>56</v>
      </c>
      <c r="BI242">
        <v>24</v>
      </c>
      <c r="BJ242">
        <v>0</v>
      </c>
      <c r="BK242">
        <v>79</v>
      </c>
      <c r="BL242">
        <v>4</v>
      </c>
      <c r="BM242">
        <v>1</v>
      </c>
      <c r="BN242">
        <v>1</v>
      </c>
      <c r="BO242" t="s">
        <v>12</v>
      </c>
      <c r="BQ242" t="s">
        <v>1676</v>
      </c>
      <c r="BR242" t="s">
        <v>1690</v>
      </c>
      <c r="BS242" s="4" t="str">
        <f>HYPERLINK("http://exon.niaid.nih.gov/transcriptome/C_felis/S1/links/CDD/cf-contig_153-CDD.txt","Ribosomal_L18ae")</f>
        <v>Ribosomal_L18ae</v>
      </c>
      <c r="BT242" t="str">
        <f>HYPERLINK("http://www.ncbi.nlm.nih.gov/Structure/cdd/cddsrv.cgi?uid=pfam01775&amp;version=v4.0","4E-017")</f>
        <v>4E-017</v>
      </c>
      <c r="BU242" t="s">
        <v>2259</v>
      </c>
      <c r="BV242" s="4" t="s">
        <v>2260</v>
      </c>
      <c r="BW242">
        <f>HYPERLINK("http://exon.niaid.nih.gov/transcriptome/C_felis/S1/links/GO/cf-contig_153-GO.txt",4E-41)</f>
        <v>4E-41</v>
      </c>
      <c r="BX242" t="str">
        <f t="shared" si="27"/>
        <v>GO:0003735</v>
      </c>
      <c r="BY242" t="s">
        <v>1929</v>
      </c>
      <c r="BZ242" t="s">
        <v>1930</v>
      </c>
      <c r="CA242" t="s">
        <v>1931</v>
      </c>
      <c r="CB242" t="s">
        <v>42</v>
      </c>
      <c r="CD242" s="5">
        <v>4E-41</v>
      </c>
      <c r="CE242" t="str">
        <f>HYPERLINK("http://amigo.geneontology.org/cgi-bin/amigo/term_details?term=GO:0005840","GO:0005840")</f>
        <v>GO:0005840</v>
      </c>
      <c r="CF242" t="s">
        <v>2070</v>
      </c>
      <c r="CG242" t="s">
        <v>2071</v>
      </c>
      <c r="CH242" t="s">
        <v>2072</v>
      </c>
      <c r="CI242" t="s">
        <v>42</v>
      </c>
      <c r="CK242" s="5">
        <v>4E-41</v>
      </c>
      <c r="CL242" t="str">
        <f t="shared" si="26"/>
        <v>GO:0006412</v>
      </c>
      <c r="CM242" t="s">
        <v>1935</v>
      </c>
      <c r="CN242" t="s">
        <v>1936</v>
      </c>
      <c r="CO242" t="s">
        <v>1937</v>
      </c>
      <c r="CP242" t="s">
        <v>42</v>
      </c>
      <c r="CR242" s="5">
        <v>4E-41</v>
      </c>
      <c r="CS242" s="4" t="str">
        <f>HYPERLINK("http://exon.niaid.nih.gov/transcriptome/C_felis/S1/links/KOG/cf-contig_153-KOG.txt","60S ribosomal protein L18A")</f>
        <v>60S ribosomal protein L18A</v>
      </c>
      <c r="CT242" t="str">
        <f>HYPERLINK("http://www.ncbi.nlm.nih.gov/COG/grace/shokog.cgi?KOG0829","1E-045")</f>
        <v>1E-045</v>
      </c>
      <c r="CU242" t="s">
        <v>1707</v>
      </c>
      <c r="CV242" s="4" t="str">
        <f>HYPERLINK("http://exon.niaid.nih.gov/transcriptome/C_felis/S1/links/PFAM/cf-contig_153-PFAM.txt","Ribosomal_L18ae")</f>
        <v>Ribosomal_L18ae</v>
      </c>
      <c r="CW242" t="str">
        <f>HYPERLINK("http://pfam.sanger.ac.uk/family?acc=PF01775","9E-018")</f>
        <v>9E-018</v>
      </c>
      <c r="CX242" s="4" t="str">
        <f>HYPERLINK("http://exon.niaid.nih.gov/transcriptome/C_felis/S1/links/SMART/cf-contig_153-SMART.txt","RING")</f>
        <v>RING</v>
      </c>
      <c r="CY242" t="str">
        <f>HYPERLINK("http://smart.embl-heidelberg.de/smart/do_annotation.pl?DOMAIN=RING&amp;BLAST=DUMMY","0.18")</f>
        <v>0.18</v>
      </c>
      <c r="CZ242" s="4" t="s">
        <v>42</v>
      </c>
      <c r="DA242" t="s">
        <v>42</v>
      </c>
      <c r="DB242" t="s">
        <v>42</v>
      </c>
      <c r="DC242" t="s">
        <v>42</v>
      </c>
      <c r="DD242" t="s">
        <v>42</v>
      </c>
      <c r="DE242" t="s">
        <v>42</v>
      </c>
      <c r="DF242" t="s">
        <v>42</v>
      </c>
      <c r="DG242" t="s">
        <v>42</v>
      </c>
      <c r="DH242" s="4" t="s">
        <v>42</v>
      </c>
      <c r="DI242" t="s">
        <v>42</v>
      </c>
      <c r="DJ242" s="4" t="s">
        <v>42</v>
      </c>
      <c r="DK242" t="s">
        <v>42</v>
      </c>
      <c r="DL242" s="4">
        <v>144</v>
      </c>
      <c r="DM242">
        <v>1</v>
      </c>
      <c r="DN242" s="4">
        <v>141</v>
      </c>
      <c r="DO242">
        <v>1</v>
      </c>
      <c r="DP242" s="4">
        <v>138</v>
      </c>
      <c r="DQ242">
        <v>1</v>
      </c>
      <c r="DR242" s="4">
        <v>135</v>
      </c>
      <c r="DS242">
        <v>1</v>
      </c>
      <c r="DT242" s="4">
        <v>134</v>
      </c>
      <c r="DU242">
        <v>1</v>
      </c>
      <c r="DV242" s="4">
        <v>144</v>
      </c>
      <c r="DW242">
        <v>1</v>
      </c>
      <c r="DX242" s="4">
        <v>146</v>
      </c>
      <c r="DY242">
        <v>1</v>
      </c>
      <c r="DZ242" s="4">
        <v>146</v>
      </c>
      <c r="EA242">
        <v>1</v>
      </c>
      <c r="EB242" s="4">
        <v>151</v>
      </c>
      <c r="EC242">
        <v>1</v>
      </c>
      <c r="ED242" s="4">
        <v>152</v>
      </c>
      <c r="EE242">
        <v>1</v>
      </c>
      <c r="EF242" s="4">
        <v>151</v>
      </c>
      <c r="EG242">
        <v>1</v>
      </c>
      <c r="EH242" s="4">
        <v>150</v>
      </c>
      <c r="EI242">
        <v>1</v>
      </c>
      <c r="EJ242" s="4">
        <v>153</v>
      </c>
      <c r="EK242">
        <v>1</v>
      </c>
    </row>
    <row r="243" spans="1:141" x14ac:dyDescent="0.2">
      <c r="A243" t="str">
        <f>HYPERLINK("http://exon.niaid.nih.gov/transcriptome/C_felis/S1/links/cf/cf-contig_121.txt","cf-contig_121")</f>
        <v>cf-contig_121</v>
      </c>
      <c r="B243">
        <v>6</v>
      </c>
      <c r="C243" s="10" t="s">
        <v>4639</v>
      </c>
      <c r="D243">
        <v>6</v>
      </c>
      <c r="E243" t="str">
        <f>HYPERLINK("http://exon.niaid.nih.gov/transcriptome/C_felis/S1/links/cf/cf-5-36-asb-121.txt","Contig-121")</f>
        <v>Contig-121</v>
      </c>
      <c r="F243" t="str">
        <f>HYPERLINK("http://exon.niaid.nih.gov/transcriptome/C_felis/S1/links/cf/cf-5-36-121-CLU.txt","Contig121")</f>
        <v>Contig121</v>
      </c>
      <c r="G243" t="str">
        <f>HYPERLINK("http://exon.niaid.nih.gov/transcriptome/C_felis/S1/links/cf/cf-5-36-121-qual.txt","90.1")</f>
        <v>90.1</v>
      </c>
      <c r="H243">
        <v>0.2</v>
      </c>
      <c r="I243">
        <v>62.9</v>
      </c>
      <c r="J243">
        <v>447</v>
      </c>
      <c r="K243" t="s">
        <v>12</v>
      </c>
      <c r="L243">
        <v>6</v>
      </c>
      <c r="M243" t="s">
        <v>134</v>
      </c>
      <c r="N243">
        <v>447</v>
      </c>
      <c r="O243">
        <v>466</v>
      </c>
      <c r="P243">
        <v>399</v>
      </c>
      <c r="Q243" t="s">
        <v>941</v>
      </c>
      <c r="R243">
        <v>2</v>
      </c>
      <c r="S243" s="7" t="str">
        <f>HYPERLINK("http://exon.niaid.nih.gov/transcriptome/C_felis/S1/links/Sigp/CF-CONTIG_121-SigP.txt","Cyt")</f>
        <v>Cyt</v>
      </c>
      <c r="U243">
        <v>6</v>
      </c>
      <c r="V243" s="4">
        <v>130</v>
      </c>
      <c r="W243">
        <v>1</v>
      </c>
      <c r="X243" s="4">
        <v>125</v>
      </c>
      <c r="Y243">
        <v>1</v>
      </c>
      <c r="Z243" s="4">
        <v>122</v>
      </c>
      <c r="AA243">
        <v>1</v>
      </c>
      <c r="AB243" s="4" t="str">
        <f>HYPERLINK("http://exon.niaid.nih.gov/transcriptome/C_felis/S1/links/XC-ASB/cf-contig_121-XC-ASB.txt","XC-contig_90")</f>
        <v>XC-contig_90</v>
      </c>
      <c r="AC243">
        <v>8E-79</v>
      </c>
      <c r="AD243" s="10" t="s">
        <v>4639</v>
      </c>
      <c r="AE243" t="s">
        <v>4605</v>
      </c>
      <c r="AF243" t="str">
        <f>HYPERLINK("http://exon.niaid.nih.gov/transcriptome/C_felis/S1/links/KOG/cf-contig_121-KOG.txt","KOG")</f>
        <v>KOG</v>
      </c>
      <c r="AG243" s="5">
        <v>1E-53</v>
      </c>
      <c r="AH243">
        <v>61.6</v>
      </c>
      <c r="AI243" s="4" t="str">
        <f>HYPERLINK("http://exon.niaid.nih.gov/transcriptome/C_felis/S1/links/NR/cf-contig_121-NR.txt","ribosomal protein L19")</f>
        <v>ribosomal protein L19</v>
      </c>
      <c r="AJ243" t="str">
        <f>HYPERLINK("http://www.ncbi.nlm.nih.gov/sutils/blink.cgi?pid=121512020","9E-062")</f>
        <v>9E-062</v>
      </c>
      <c r="AK243" t="str">
        <f>HYPERLINK("http://www.ncbi.nlm.nih.gov/protein/121512020","gi|121512020")</f>
        <v>gi|121512020</v>
      </c>
      <c r="AL243">
        <v>239</v>
      </c>
      <c r="AM243">
        <v>124</v>
      </c>
      <c r="AN243">
        <v>189</v>
      </c>
      <c r="AO243">
        <v>96</v>
      </c>
      <c r="AP243">
        <v>66</v>
      </c>
      <c r="AQ243">
        <v>4</v>
      </c>
      <c r="AR243">
        <v>0</v>
      </c>
      <c r="AS243">
        <v>58</v>
      </c>
      <c r="AT243">
        <v>17</v>
      </c>
      <c r="AU243">
        <v>1</v>
      </c>
      <c r="AV243">
        <v>2</v>
      </c>
      <c r="AW243" t="s">
        <v>12</v>
      </c>
      <c r="AY243" t="s">
        <v>1676</v>
      </c>
      <c r="AZ243" t="s">
        <v>1717</v>
      </c>
      <c r="BA243" s="4" t="str">
        <f>HYPERLINK("http://exon.niaid.nih.gov/transcriptome/C_felis/S1/links/SWISSP/cf-contig_121-SWISSP.txt","60S ribosomal protein L19")</f>
        <v>60S ribosomal protein L19</v>
      </c>
      <c r="BB243" t="str">
        <f>HYPERLINK("http://www.uniprot.org/uniprot/P36241","7E-053")</f>
        <v>7E-053</v>
      </c>
      <c r="BC243" t="s">
        <v>2126</v>
      </c>
      <c r="BD243">
        <v>206</v>
      </c>
      <c r="BE243">
        <v>124</v>
      </c>
      <c r="BF243">
        <v>203</v>
      </c>
      <c r="BG243">
        <v>83</v>
      </c>
      <c r="BH243">
        <v>62</v>
      </c>
      <c r="BI243">
        <v>21</v>
      </c>
      <c r="BJ243">
        <v>0</v>
      </c>
      <c r="BK243">
        <v>72</v>
      </c>
      <c r="BL243">
        <v>17</v>
      </c>
      <c r="BM243">
        <v>1</v>
      </c>
      <c r="BN243">
        <v>2</v>
      </c>
      <c r="BO243" t="s">
        <v>12</v>
      </c>
      <c r="BQ243" t="s">
        <v>1676</v>
      </c>
      <c r="BR243" t="s">
        <v>1804</v>
      </c>
      <c r="BS243" s="4" t="str">
        <f>HYPERLINK("http://exon.niaid.nih.gov/transcriptome/C_felis/S1/links/CDD/cf-contig_121-CDD.txt","PTZ00097")</f>
        <v>PTZ00097</v>
      </c>
      <c r="BT243" t="str">
        <f>HYPERLINK("http://www.ncbi.nlm.nih.gov/Structure/cdd/cddsrv.cgi?uid=PTZ00097&amp;version=v4.0","9E-048")</f>
        <v>9E-048</v>
      </c>
      <c r="BU243" t="s">
        <v>2127</v>
      </c>
      <c r="BV243" s="4" t="s">
        <v>2128</v>
      </c>
      <c r="BW243">
        <f>HYPERLINK("http://exon.niaid.nih.gov/transcriptome/C_felis/S1/links/GO/cf-contig_121-GO.txt",5E-53)</f>
        <v>5E-53</v>
      </c>
      <c r="BX243" t="str">
        <f t="shared" si="27"/>
        <v>GO:0003735</v>
      </c>
      <c r="BY243" t="s">
        <v>1929</v>
      </c>
      <c r="BZ243" t="s">
        <v>1930</v>
      </c>
      <c r="CA243" t="s">
        <v>1931</v>
      </c>
      <c r="CB243" t="s">
        <v>42</v>
      </c>
      <c r="CD243" s="5">
        <v>5E-53</v>
      </c>
      <c r="CE243" t="str">
        <f>HYPERLINK("http://amigo.geneontology.org/cgi-bin/amigo/term_details?term=GO:0022625","GO:0022625")</f>
        <v>GO:0022625</v>
      </c>
      <c r="CF243" t="s">
        <v>1932</v>
      </c>
      <c r="CG243" t="s">
        <v>1933</v>
      </c>
      <c r="CH243" t="s">
        <v>1934</v>
      </c>
      <c r="CI243" t="s">
        <v>42</v>
      </c>
      <c r="CK243" s="5">
        <v>5E-53</v>
      </c>
      <c r="CL243" t="str">
        <f t="shared" si="26"/>
        <v>GO:0006412</v>
      </c>
      <c r="CM243" t="s">
        <v>1935</v>
      </c>
      <c r="CN243" t="s">
        <v>1936</v>
      </c>
      <c r="CO243" t="s">
        <v>1937</v>
      </c>
      <c r="CP243" t="s">
        <v>42</v>
      </c>
      <c r="CR243" s="5">
        <v>5E-53</v>
      </c>
      <c r="CS243" s="4" t="str">
        <f>HYPERLINK("http://exon.niaid.nih.gov/transcriptome/C_felis/S1/links/KOG/cf-contig_121-KOG.txt","60s ribosomal protein L19")</f>
        <v>60s ribosomal protein L19</v>
      </c>
      <c r="CT243" t="str">
        <f>HYPERLINK("http://www.ncbi.nlm.nih.gov/COG/grace/shokog.cgi?KOG1696","1E-053")</f>
        <v>1E-053</v>
      </c>
      <c r="CU243" t="s">
        <v>1707</v>
      </c>
      <c r="CV243" s="4" t="str">
        <f>HYPERLINK("http://exon.niaid.nih.gov/transcriptome/C_felis/S1/links/PFAM/cf-contig_121-PFAM.txt","Ribosomal_L19e")</f>
        <v>Ribosomal_L19e</v>
      </c>
      <c r="CW243" t="str">
        <f>HYPERLINK("http://pfam.sanger.ac.uk/family?acc=PF01280","5E-039")</f>
        <v>5E-039</v>
      </c>
      <c r="CX243" s="4" t="str">
        <f>HYPERLINK("http://exon.niaid.nih.gov/transcriptome/C_felis/S1/links/SMART/cf-contig_121-SMART.txt","CCP")</f>
        <v>CCP</v>
      </c>
      <c r="CY243" t="str">
        <f>HYPERLINK("http://smart.embl-heidelberg.de/smart/do_annotation.pl?DOMAIN=CCP&amp;BLAST=DUMMY","0.011")</f>
        <v>0.011</v>
      </c>
      <c r="CZ243" s="4" t="s">
        <v>42</v>
      </c>
      <c r="DA243" t="s">
        <v>42</v>
      </c>
      <c r="DB243" t="s">
        <v>42</v>
      </c>
      <c r="DC243" t="s">
        <v>42</v>
      </c>
      <c r="DD243" t="s">
        <v>42</v>
      </c>
      <c r="DE243" t="s">
        <v>42</v>
      </c>
      <c r="DF243" t="s">
        <v>42</v>
      </c>
      <c r="DG243" t="s">
        <v>42</v>
      </c>
      <c r="DH243" s="4" t="s">
        <v>42</v>
      </c>
      <c r="DI243" t="s">
        <v>42</v>
      </c>
      <c r="DJ243" s="4" t="s">
        <v>42</v>
      </c>
      <c r="DK243" t="s">
        <v>42</v>
      </c>
      <c r="DL243" s="4">
        <v>130</v>
      </c>
      <c r="DM243">
        <v>1</v>
      </c>
      <c r="DN243" s="4">
        <v>125</v>
      </c>
      <c r="DO243">
        <v>1</v>
      </c>
      <c r="DP243" s="4">
        <v>122</v>
      </c>
      <c r="DQ243">
        <v>1</v>
      </c>
      <c r="DR243" s="4">
        <v>113</v>
      </c>
      <c r="DS243">
        <v>1</v>
      </c>
      <c r="DT243" s="4">
        <v>111</v>
      </c>
      <c r="DU243">
        <v>1</v>
      </c>
      <c r="DV243" s="4">
        <v>120</v>
      </c>
      <c r="DW243">
        <v>1</v>
      </c>
      <c r="DX243" s="4">
        <v>122</v>
      </c>
      <c r="DY243">
        <v>1</v>
      </c>
      <c r="DZ243" s="4">
        <v>122</v>
      </c>
      <c r="EA243">
        <v>1</v>
      </c>
      <c r="EB243" s="4">
        <v>125</v>
      </c>
      <c r="EC243">
        <v>1</v>
      </c>
      <c r="ED243" s="4">
        <v>126</v>
      </c>
      <c r="EE243">
        <v>1</v>
      </c>
      <c r="EF243" s="4">
        <v>123</v>
      </c>
      <c r="EG243">
        <v>1</v>
      </c>
      <c r="EH243" s="4">
        <v>120</v>
      </c>
      <c r="EI243">
        <v>1</v>
      </c>
      <c r="EJ243" s="4">
        <v>121</v>
      </c>
      <c r="EK243">
        <v>1</v>
      </c>
    </row>
    <row r="244" spans="1:141" x14ac:dyDescent="0.2">
      <c r="A244" t="str">
        <f>HYPERLINK("http://exon.niaid.nih.gov/transcriptome/C_felis/S1/links/cf/cf-contig_108.txt","cf-contig_108")</f>
        <v>cf-contig_108</v>
      </c>
      <c r="B244">
        <v>1</v>
      </c>
      <c r="C244" s="10" t="s">
        <v>4630</v>
      </c>
      <c r="D244">
        <v>1</v>
      </c>
      <c r="E244" t="str">
        <f>HYPERLINK("http://exon.niaid.nih.gov/transcriptome/C_felis/S1/links/cf/cf-5-36-asb-108.txt","Contig-108")</f>
        <v>Contig-108</v>
      </c>
      <c r="F244" t="str">
        <f>HYPERLINK("http://exon.niaid.nih.gov/transcriptome/C_felis/S1/links/cf/cf-5-36-108-CLU.txt","Contig108")</f>
        <v>Contig108</v>
      </c>
      <c r="G244" t="str">
        <f>HYPERLINK("http://exon.niaid.nih.gov/transcriptome/C_felis/S1/links/cf/cf-5-36-108-qual.txt","33.")</f>
        <v>33.</v>
      </c>
      <c r="H244" t="s">
        <v>11</v>
      </c>
      <c r="I244">
        <v>59.3</v>
      </c>
      <c r="J244">
        <v>905</v>
      </c>
      <c r="K244" t="s">
        <v>12</v>
      </c>
      <c r="L244">
        <v>1</v>
      </c>
      <c r="M244" t="s">
        <v>121</v>
      </c>
      <c r="N244">
        <v>905</v>
      </c>
      <c r="O244">
        <v>924</v>
      </c>
      <c r="P244">
        <v>522</v>
      </c>
      <c r="Q244" t="s">
        <v>928</v>
      </c>
      <c r="R244">
        <v>1</v>
      </c>
      <c r="S244" s="7" t="str">
        <f>HYPERLINK("http://exon.niaid.nih.gov/transcriptome/C_felis/S1/links/Sigp/CF-CONTIG_108-SigP.txt","Cyt")</f>
        <v>Cyt</v>
      </c>
      <c r="U244">
        <v>1</v>
      </c>
      <c r="V244" s="4">
        <f>HYPERLINK("http://exon.niaid.nih.gov/transcriptome/C_felis/S1/links/cluster/cf-5-36-asb30-50-Id-CLU40.txt", 40)</f>
        <v>40</v>
      </c>
      <c r="W244">
        <f>HYPERLINK("http://exon.niaid.nih.gov/transcriptome/C_felis/S1/links/cluster/cf-5-36-asb30-50-Id-CLTL40.txt", 2)</f>
        <v>2</v>
      </c>
      <c r="X244" s="4">
        <f>HYPERLINK("http://exon.niaid.nih.gov/transcriptome/C_felis/S1/links/cluster/cf-5-36-asb35-50-Id-CLU33.txt", 33)</f>
        <v>33</v>
      </c>
      <c r="Y244">
        <f>HYPERLINK("http://exon.niaid.nih.gov/transcriptome/C_felis/S1/links/cluster/cf-5-36-asb35-50-Id-CLTL33.txt", 2)</f>
        <v>2</v>
      </c>
      <c r="Z244" s="4">
        <f>HYPERLINK("http://exon.niaid.nih.gov/transcriptome/C_felis/S1/links/cluster/cf-5-36-asb40-50-Id-CLU31.txt", 31)</f>
        <v>31</v>
      </c>
      <c r="AA244">
        <f>HYPERLINK("http://exon.niaid.nih.gov/transcriptome/C_felis/S1/links/cluster/cf-5-36-asb40-50-Id-CLTL31.txt", 2)</f>
        <v>2</v>
      </c>
      <c r="AB244" s="4" t="str">
        <f>HYPERLINK("http://exon.niaid.nih.gov/transcriptome/C_felis/S1/links/XC-ASB/cf-contig_108-XC-ASB.txt","XC-contig_170")</f>
        <v>XC-contig_170</v>
      </c>
      <c r="AC244">
        <v>9.9999999999999999E-119</v>
      </c>
      <c r="AD244" s="10" t="s">
        <v>4630</v>
      </c>
      <c r="AE244" t="s">
        <v>4605</v>
      </c>
      <c r="AF244" t="str">
        <f>HYPERLINK("http://exon.niaid.nih.gov/transcriptome/C_felis/S1/links/KOG/cf-contig_108-KOG.txt","KOG")</f>
        <v>KOG</v>
      </c>
      <c r="AG244" s="5">
        <v>2E-91</v>
      </c>
      <c r="AH244">
        <v>68.5</v>
      </c>
      <c r="AI244" s="4" t="str">
        <f>HYPERLINK("http://exon.niaid.nih.gov/transcriptome/C_felis/S1/links/NR/cf-contig_108-NR.txt","60S ribosomal protein L8")</f>
        <v>60S ribosomal protein L8</v>
      </c>
      <c r="AJ244" t="str">
        <f>HYPERLINK("http://www.ncbi.nlm.nih.gov/sutils/blink.cgi?pid=307200174","3E-094")</f>
        <v>3E-094</v>
      </c>
      <c r="AK244" t="str">
        <f>HYPERLINK("http://www.ncbi.nlm.nih.gov/protein/307200174","gi|307200174")</f>
        <v>gi|307200174</v>
      </c>
      <c r="AL244">
        <v>349</v>
      </c>
      <c r="AM244">
        <v>172</v>
      </c>
      <c r="AN244">
        <v>257</v>
      </c>
      <c r="AO244">
        <v>96</v>
      </c>
      <c r="AP244">
        <v>67</v>
      </c>
      <c r="AQ244">
        <v>6</v>
      </c>
      <c r="AR244">
        <v>0</v>
      </c>
      <c r="AS244">
        <v>85</v>
      </c>
      <c r="AT244">
        <v>4</v>
      </c>
      <c r="AU244">
        <v>1</v>
      </c>
      <c r="AV244">
        <v>1</v>
      </c>
      <c r="AW244" t="s">
        <v>12</v>
      </c>
      <c r="AY244" t="s">
        <v>1676</v>
      </c>
      <c r="AZ244" t="s">
        <v>1712</v>
      </c>
      <c r="BA244" s="4" t="str">
        <f>HYPERLINK("http://exon.niaid.nih.gov/transcriptome/C_felis/S1/links/SWISSP/cf-contig_108-SWISSP.txt","60S ribosomal protein L8")</f>
        <v>60S ribosomal protein L8</v>
      </c>
      <c r="BB244" t="str">
        <f>HYPERLINK("http://www.uniprot.org/uniprot/Q95V39","4E-090")</f>
        <v>4E-090</v>
      </c>
      <c r="BC244" t="s">
        <v>2075</v>
      </c>
      <c r="BD244">
        <v>331</v>
      </c>
      <c r="BE244">
        <v>171</v>
      </c>
      <c r="BF244">
        <v>257</v>
      </c>
      <c r="BG244">
        <v>90</v>
      </c>
      <c r="BH244">
        <v>67</v>
      </c>
      <c r="BI244">
        <v>16</v>
      </c>
      <c r="BJ244">
        <v>0</v>
      </c>
      <c r="BK244">
        <v>85</v>
      </c>
      <c r="BL244">
        <v>4</v>
      </c>
      <c r="BM244">
        <v>1</v>
      </c>
      <c r="BN244">
        <v>1</v>
      </c>
      <c r="BO244" t="s">
        <v>12</v>
      </c>
      <c r="BQ244" t="s">
        <v>1676</v>
      </c>
      <c r="BR244" t="s">
        <v>2031</v>
      </c>
      <c r="BS244" s="4" t="str">
        <f>HYPERLINK("http://exon.niaid.nih.gov/transcriptome/C_felis/S1/links/CDD/cf-contig_108-CDD.txt","PTZ00180")</f>
        <v>PTZ00180</v>
      </c>
      <c r="BT244" t="str">
        <f>HYPERLINK("http://www.ncbi.nlm.nih.gov/Structure/cdd/cddsrv.cgi?uid=PTZ00180&amp;version=v4.0","2E-095")</f>
        <v>2E-095</v>
      </c>
      <c r="BU244" t="s">
        <v>2078</v>
      </c>
      <c r="BV244" s="4" t="s">
        <v>2077</v>
      </c>
      <c r="BW244">
        <f>HYPERLINK("http://exon.niaid.nih.gov/transcriptome/C_felis/S1/links/GO/cf-contig_108-GO.txt",4E-88)</f>
        <v>3.9999999999999997E-88</v>
      </c>
      <c r="BX244" t="str">
        <f t="shared" si="27"/>
        <v>GO:0003735</v>
      </c>
      <c r="BY244" t="s">
        <v>1929</v>
      </c>
      <c r="BZ244" t="s">
        <v>1930</v>
      </c>
      <c r="CA244" t="s">
        <v>1931</v>
      </c>
      <c r="CB244" t="s">
        <v>42</v>
      </c>
      <c r="CD244" s="5">
        <v>3.9999999999999997E-88</v>
      </c>
      <c r="CE244" t="str">
        <f>HYPERLINK("http://amigo.geneontology.org/cgi-bin/amigo/term_details?term=GO:0022625","GO:0022625")</f>
        <v>GO:0022625</v>
      </c>
      <c r="CF244" t="s">
        <v>1932</v>
      </c>
      <c r="CG244" t="s">
        <v>1933</v>
      </c>
      <c r="CH244" t="s">
        <v>1934</v>
      </c>
      <c r="CI244" t="s">
        <v>42</v>
      </c>
      <c r="CK244" s="5">
        <v>3.9999999999999997E-88</v>
      </c>
      <c r="CL244" t="str">
        <f t="shared" si="26"/>
        <v>GO:0006412</v>
      </c>
      <c r="CM244" t="s">
        <v>1935</v>
      </c>
      <c r="CN244" t="s">
        <v>1936</v>
      </c>
      <c r="CO244" t="s">
        <v>1937</v>
      </c>
      <c r="CP244" t="s">
        <v>42</v>
      </c>
      <c r="CR244" s="5">
        <v>3.9999999999999997E-88</v>
      </c>
      <c r="CS244" s="4" t="str">
        <f>HYPERLINK("http://exon.niaid.nih.gov/transcriptome/C_felis/S1/links/KOG/cf-contig_108-KOG.txt","60s ribosomal protein L2/L8")</f>
        <v>60s ribosomal protein L2/L8</v>
      </c>
      <c r="CT244" t="str">
        <f>HYPERLINK("http://www.ncbi.nlm.nih.gov/COG/grace/shokog.cgi?KOG2309","2E-091")</f>
        <v>2E-091</v>
      </c>
      <c r="CU244" t="s">
        <v>1707</v>
      </c>
      <c r="CV244" s="4" t="str">
        <f>HYPERLINK("http://exon.niaid.nih.gov/transcriptome/C_felis/S1/links/PFAM/cf-contig_108-PFAM.txt","Ribosomal_L2_C")</f>
        <v>Ribosomal_L2_C</v>
      </c>
      <c r="CW244" t="str">
        <f>HYPERLINK("http://pfam.sanger.ac.uk/family?acc=PF03947","7E-048")</f>
        <v>7E-048</v>
      </c>
      <c r="CX244" s="4" t="str">
        <f>HYPERLINK("http://exon.niaid.nih.gov/transcriptome/C_felis/S1/links/SMART/cf-contig_108-SMART.txt","ACR")</f>
        <v>ACR</v>
      </c>
      <c r="CY244" t="str">
        <f>HYPERLINK("http://smart.embl-heidelberg.de/smart/do_annotation.pl?DOMAIN=ACR&amp;BLAST=DUMMY","0.057")</f>
        <v>0.057</v>
      </c>
      <c r="CZ244" s="4" t="s">
        <v>42</v>
      </c>
      <c r="DA244" t="s">
        <v>42</v>
      </c>
      <c r="DB244" t="s">
        <v>42</v>
      </c>
      <c r="DC244" t="s">
        <v>42</v>
      </c>
      <c r="DD244" t="s">
        <v>42</v>
      </c>
      <c r="DE244" t="s">
        <v>42</v>
      </c>
      <c r="DF244" t="s">
        <v>42</v>
      </c>
      <c r="DG244" t="s">
        <v>42</v>
      </c>
      <c r="DH244" s="4" t="s">
        <v>42</v>
      </c>
      <c r="DI244" t="s">
        <v>42</v>
      </c>
      <c r="DJ244" s="4" t="s">
        <v>42</v>
      </c>
      <c r="DK244" t="s">
        <v>42</v>
      </c>
      <c r="DL244" s="4">
        <f>HYPERLINK("http://exon.niaid.nih.gov/transcriptome/C_felis/S1/links/cluster/cf-5-36-asb30-50-Id-CLU40.txt", 40)</f>
        <v>40</v>
      </c>
      <c r="DM244">
        <f>HYPERLINK("http://exon.niaid.nih.gov/transcriptome/C_felis/S1/links/cluster/cf-5-36-asb30-50-Id-CLTL40.txt", 2)</f>
        <v>2</v>
      </c>
      <c r="DN244" s="4">
        <f>HYPERLINK("http://exon.niaid.nih.gov/transcriptome/C_felis/S1/links/cluster/cf-5-36-asb35-50-Id-CLU33.txt", 33)</f>
        <v>33</v>
      </c>
      <c r="DO244">
        <f>HYPERLINK("http://exon.niaid.nih.gov/transcriptome/C_felis/S1/links/cluster/cf-5-36-asb35-50-Id-CLTL33.txt", 2)</f>
        <v>2</v>
      </c>
      <c r="DP244" s="4">
        <f>HYPERLINK("http://exon.niaid.nih.gov/transcriptome/C_felis/S1/links/cluster/cf-5-36-asb40-50-Id-CLU31.txt", 31)</f>
        <v>31</v>
      </c>
      <c r="DQ244">
        <f>HYPERLINK("http://exon.niaid.nih.gov/transcriptome/C_felis/S1/links/cluster/cf-5-36-asb40-50-Id-CLTL31.txt", 2)</f>
        <v>2</v>
      </c>
      <c r="DR244" s="4">
        <f>HYPERLINK("http://exon.niaid.nih.gov/transcriptome/C_felis/S1/links/cluster/cf-5-36-asb45-50-Id-CLU29.txt", 29)</f>
        <v>29</v>
      </c>
      <c r="DS244">
        <f>HYPERLINK("http://exon.niaid.nih.gov/transcriptome/C_felis/S1/links/cluster/cf-5-36-asb45-50-Id-CLTL29.txt", 2)</f>
        <v>2</v>
      </c>
      <c r="DT244" s="4">
        <f>HYPERLINK("http://exon.niaid.nih.gov/transcriptome/C_felis/S1/links/cluster/cf-5-36-asb50-50-Id-CLU25.txt", 25)</f>
        <v>25</v>
      </c>
      <c r="DU244">
        <f>HYPERLINK("http://exon.niaid.nih.gov/transcriptome/C_felis/S1/links/cluster/cf-5-36-asb50-50-Id-CLTL25.txt", 2)</f>
        <v>2</v>
      </c>
      <c r="DV244" s="4">
        <f>HYPERLINK("http://exon.niaid.nih.gov/transcriptome/C_felis/S1/links/cluster/cf-5-36-asb55-50-Id-CLU22.txt", 22)</f>
        <v>22</v>
      </c>
      <c r="DW244">
        <f>HYPERLINK("http://exon.niaid.nih.gov/transcriptome/C_felis/S1/links/cluster/cf-5-36-asb55-50-Id-CLTL22.txt", 2)</f>
        <v>2</v>
      </c>
      <c r="DX244" s="4">
        <v>113</v>
      </c>
      <c r="DY244">
        <v>1</v>
      </c>
      <c r="DZ244" s="4">
        <v>112</v>
      </c>
      <c r="EA244">
        <v>1</v>
      </c>
      <c r="EB244" s="4">
        <v>112</v>
      </c>
      <c r="EC244">
        <v>1</v>
      </c>
      <c r="ED244" s="4">
        <v>113</v>
      </c>
      <c r="EE244">
        <v>1</v>
      </c>
      <c r="EF244" s="4">
        <v>110</v>
      </c>
      <c r="EG244">
        <v>1</v>
      </c>
      <c r="EH244" s="4">
        <v>107</v>
      </c>
      <c r="EI244">
        <v>1</v>
      </c>
      <c r="EJ244" s="4">
        <v>108</v>
      </c>
      <c r="EK244">
        <v>1</v>
      </c>
    </row>
    <row r="245" spans="1:141" x14ac:dyDescent="0.2">
      <c r="A245" t="str">
        <f>HYPERLINK("http://exon.niaid.nih.gov/transcriptome/C_felis/S1/links/cf/cf-contig_469.txt","cf-contig_469")</f>
        <v>cf-contig_469</v>
      </c>
      <c r="B245">
        <v>1</v>
      </c>
      <c r="C245" s="10" t="s">
        <v>4777</v>
      </c>
      <c r="D245">
        <v>1</v>
      </c>
      <c r="E245" t="str">
        <f>HYPERLINK("http://exon.niaid.nih.gov/transcriptome/C_felis/S1/links/cf/cf-5-36-asb-469.txt","Contig-469")</f>
        <v>Contig-469</v>
      </c>
      <c r="F245" t="str">
        <f>HYPERLINK("http://exon.niaid.nih.gov/transcriptome/C_felis/S1/links/cf/cf-5-36-469-CLU.txt","Contig469")</f>
        <v>Contig469</v>
      </c>
      <c r="G245" t="str">
        <f>HYPERLINK("http://exon.niaid.nih.gov/transcriptome/C_felis/S1/links/cf/cf-5-36-469-qual.txt","62.4")</f>
        <v>62.4</v>
      </c>
      <c r="H245" t="s">
        <v>11</v>
      </c>
      <c r="I245">
        <v>67.8</v>
      </c>
      <c r="J245">
        <v>195</v>
      </c>
      <c r="K245" t="s">
        <v>12</v>
      </c>
      <c r="L245">
        <v>1</v>
      </c>
      <c r="M245" t="s">
        <v>482</v>
      </c>
      <c r="N245">
        <v>195</v>
      </c>
      <c r="O245">
        <v>214</v>
      </c>
      <c r="P245">
        <v>129</v>
      </c>
      <c r="Q245" t="s">
        <v>1288</v>
      </c>
      <c r="R245">
        <v>2</v>
      </c>
      <c r="S245" s="7" t="s">
        <v>4585</v>
      </c>
      <c r="U245">
        <v>1</v>
      </c>
      <c r="V245" s="4">
        <v>381</v>
      </c>
      <c r="W245">
        <v>1</v>
      </c>
      <c r="X245" s="4">
        <v>390</v>
      </c>
      <c r="Y245">
        <v>1</v>
      </c>
      <c r="Z245" s="4">
        <v>395</v>
      </c>
      <c r="AA245">
        <v>1</v>
      </c>
      <c r="AB245" s="4" t="str">
        <f>HYPERLINK("http://exon.niaid.nih.gov/transcriptome/C_felis/S1/links/XC-ASB/cf-contig_469-XC-ASB.txt","XC-contig_106")</f>
        <v>XC-contig_106</v>
      </c>
      <c r="AC245">
        <v>0.45</v>
      </c>
      <c r="AD245" s="10" t="s">
        <v>4777</v>
      </c>
      <c r="AE245" t="s">
        <v>4605</v>
      </c>
      <c r="AF245" t="str">
        <f>HYPERLINK("http://exon.niaid.nih.gov/transcriptome/C_felis/S1/links/NR/cf-contig_469-NR.txt","NR")</f>
        <v>NR</v>
      </c>
      <c r="AG245">
        <v>1.9999999999999999E-11</v>
      </c>
      <c r="AH245">
        <v>30.1</v>
      </c>
      <c r="AI245" s="4" t="str">
        <f>HYPERLINK("http://exon.niaid.nih.gov/transcriptome/C_felis/S1/links/NR/cf-contig_469-NR.txt","60S ribosomal protein L21")</f>
        <v>60S ribosomal protein L21</v>
      </c>
      <c r="AJ245" t="str">
        <f>HYPERLINK("http://www.ncbi.nlm.nih.gov/sutils/blink.cgi?pid=156536951","2E-011")</f>
        <v>2E-011</v>
      </c>
      <c r="AK245" t="str">
        <f>HYPERLINK("http://www.ncbi.nlm.nih.gov/protein/156536951","gi|156536951")</f>
        <v>gi|156536951</v>
      </c>
      <c r="AL245">
        <v>72.8</v>
      </c>
      <c r="AM245">
        <v>47</v>
      </c>
      <c r="AN245">
        <v>159</v>
      </c>
      <c r="AO245">
        <v>75</v>
      </c>
      <c r="AP245">
        <v>30</v>
      </c>
      <c r="AQ245">
        <v>12</v>
      </c>
      <c r="AR245">
        <v>0</v>
      </c>
      <c r="AS245">
        <v>112</v>
      </c>
      <c r="AT245">
        <v>14</v>
      </c>
      <c r="AU245">
        <v>1</v>
      </c>
      <c r="AV245">
        <v>2</v>
      </c>
      <c r="AW245" t="s">
        <v>12</v>
      </c>
      <c r="AX245">
        <v>2.1280000000000001</v>
      </c>
      <c r="AY245" t="s">
        <v>1676</v>
      </c>
      <c r="AZ245" t="s">
        <v>1897</v>
      </c>
      <c r="BA245" s="4" t="str">
        <f>HYPERLINK("http://exon.niaid.nih.gov/transcriptome/C_felis/S1/links/SWISSP/cf-contig_469-SWISSP.txt","60S ribosomal protein L21 (Fragment)")</f>
        <v>60S ribosomal protein L21 (Fragment)</v>
      </c>
      <c r="BB245" t="str">
        <f>HYPERLINK("http://www.uniprot.org/uniprot/P49667","1E-007")</f>
        <v>1E-007</v>
      </c>
      <c r="BC245" t="s">
        <v>3376</v>
      </c>
      <c r="BD245">
        <v>55.5</v>
      </c>
      <c r="BE245">
        <v>45</v>
      </c>
      <c r="BF245">
        <v>156</v>
      </c>
      <c r="BG245">
        <v>56</v>
      </c>
      <c r="BH245">
        <v>29</v>
      </c>
      <c r="BI245">
        <v>20</v>
      </c>
      <c r="BJ245">
        <v>0</v>
      </c>
      <c r="BK245">
        <v>111</v>
      </c>
      <c r="BL245">
        <v>14</v>
      </c>
      <c r="BM245">
        <v>1</v>
      </c>
      <c r="BN245">
        <v>2</v>
      </c>
      <c r="BO245" t="s">
        <v>12</v>
      </c>
      <c r="BP245">
        <v>2.222</v>
      </c>
      <c r="BQ245" t="s">
        <v>1676</v>
      </c>
      <c r="BR245" t="s">
        <v>3377</v>
      </c>
      <c r="BS245" s="4" t="str">
        <f>HYPERLINK("http://exon.niaid.nih.gov/transcriptome/C_felis/S1/links/CDD/cf-contig_469-CDD.txt","PTZ00189")</f>
        <v>PTZ00189</v>
      </c>
      <c r="BT245" t="str">
        <f>HYPERLINK("http://www.ncbi.nlm.nih.gov/Structure/cdd/cddsrv.cgi?uid=PTZ00189&amp;version=v4.0","8E-009")</f>
        <v>8E-009</v>
      </c>
      <c r="BU245" t="s">
        <v>3378</v>
      </c>
      <c r="BV245" s="4" t="s">
        <v>3379</v>
      </c>
      <c r="BW245">
        <f>HYPERLINK("http://exon.niaid.nih.gov/transcriptome/C_felis/S1/links/GO/cf-contig_469-GO.txt",0.0000000001)</f>
        <v>1E-10</v>
      </c>
      <c r="BX245" t="str">
        <f t="shared" si="27"/>
        <v>GO:0003735</v>
      </c>
      <c r="BY245" t="s">
        <v>1929</v>
      </c>
      <c r="BZ245" t="s">
        <v>1930</v>
      </c>
      <c r="CA245" t="s">
        <v>1931</v>
      </c>
      <c r="CB245" t="s">
        <v>42</v>
      </c>
      <c r="CD245">
        <v>1E-10</v>
      </c>
      <c r="CE245" t="str">
        <f>HYPERLINK("http://amigo.geneontology.org/cgi-bin/amigo/term_details?term=GO:0022625","GO:0022625")</f>
        <v>GO:0022625</v>
      </c>
      <c r="CF245" t="s">
        <v>1932</v>
      </c>
      <c r="CG245" t="s">
        <v>1933</v>
      </c>
      <c r="CH245" t="s">
        <v>1934</v>
      </c>
      <c r="CI245" t="s">
        <v>42</v>
      </c>
      <c r="CK245">
        <v>1E-10</v>
      </c>
      <c r="CL245" t="str">
        <f t="shared" si="26"/>
        <v>GO:0006412</v>
      </c>
      <c r="CM245" t="s">
        <v>1935</v>
      </c>
      <c r="CN245" t="s">
        <v>1936</v>
      </c>
      <c r="CO245" t="s">
        <v>1937</v>
      </c>
      <c r="CP245" t="s">
        <v>42</v>
      </c>
      <c r="CR245">
        <v>1E-10</v>
      </c>
      <c r="CS245" s="4" t="str">
        <f>HYPERLINK("http://exon.niaid.nih.gov/transcriptome/C_felis/S1/links/KOG/cf-contig_469-KOG.txt","60S ribosomal protein L21")</f>
        <v>60S ribosomal protein L21</v>
      </c>
      <c r="CT245" t="str">
        <f>HYPERLINK("http://www.ncbi.nlm.nih.gov/COG/grace/shokog.cgi?KOG1732","2E-008")</f>
        <v>2E-008</v>
      </c>
      <c r="CU245" t="s">
        <v>1707</v>
      </c>
      <c r="CV245" s="4" t="str">
        <f>HYPERLINK("http://exon.niaid.nih.gov/transcriptome/C_felis/S1/links/PFAM/cf-contig_469-PFAM.txt","ORC2")</f>
        <v>ORC2</v>
      </c>
      <c r="CW245" t="str">
        <f>HYPERLINK("http://pfam.sanger.ac.uk/family?acc=PF04084","0.27")</f>
        <v>0.27</v>
      </c>
      <c r="CX245" s="4" t="str">
        <f>HYPERLINK("http://exon.niaid.nih.gov/transcriptome/C_felis/S1/links/SMART/cf-contig_469-SMART.txt","Agro_virD5")</f>
        <v>Agro_virD5</v>
      </c>
      <c r="CY245" t="str">
        <f>HYPERLINK("http://smart.embl-heidelberg.de/smart/do_annotation.pl?DOMAIN=Agro_virD5&amp;BLAST=DUMMY","0.067")</f>
        <v>0.067</v>
      </c>
      <c r="CZ245" s="4" t="s">
        <v>42</v>
      </c>
      <c r="DA245" t="s">
        <v>42</v>
      </c>
      <c r="DB245" t="s">
        <v>42</v>
      </c>
      <c r="DC245" t="s">
        <v>42</v>
      </c>
      <c r="DD245" t="s">
        <v>42</v>
      </c>
      <c r="DE245" t="s">
        <v>42</v>
      </c>
      <c r="DF245" t="s">
        <v>42</v>
      </c>
      <c r="DG245" t="s">
        <v>42</v>
      </c>
      <c r="DH245" s="4" t="s">
        <v>42</v>
      </c>
      <c r="DI245" t="s">
        <v>42</v>
      </c>
      <c r="DJ245" s="4" t="s">
        <v>42</v>
      </c>
      <c r="DK245" t="s">
        <v>42</v>
      </c>
      <c r="DL245" s="4">
        <v>381</v>
      </c>
      <c r="DM245">
        <v>1</v>
      </c>
      <c r="DN245" s="4">
        <v>390</v>
      </c>
      <c r="DO245">
        <v>1</v>
      </c>
      <c r="DP245" s="4">
        <v>395</v>
      </c>
      <c r="DQ245">
        <v>1</v>
      </c>
      <c r="DR245" s="4">
        <v>410</v>
      </c>
      <c r="DS245">
        <v>1</v>
      </c>
      <c r="DT245" s="4">
        <v>420</v>
      </c>
      <c r="DU245">
        <v>1</v>
      </c>
      <c r="DV245" s="4">
        <v>434</v>
      </c>
      <c r="DW245">
        <v>1</v>
      </c>
      <c r="DX245" s="4">
        <v>437</v>
      </c>
      <c r="DY245">
        <v>1</v>
      </c>
      <c r="DZ245" s="4">
        <v>443</v>
      </c>
      <c r="EA245">
        <v>1</v>
      </c>
      <c r="EB245" s="4">
        <v>448</v>
      </c>
      <c r="EC245">
        <v>1</v>
      </c>
      <c r="ED245" s="4">
        <v>452</v>
      </c>
      <c r="EE245">
        <v>1</v>
      </c>
      <c r="EF245" s="4">
        <v>457</v>
      </c>
      <c r="EG245">
        <v>1</v>
      </c>
      <c r="EH245" s="4">
        <v>463</v>
      </c>
      <c r="EI245">
        <v>1</v>
      </c>
      <c r="EJ245" s="4">
        <v>469</v>
      </c>
      <c r="EK245">
        <v>1</v>
      </c>
    </row>
    <row r="246" spans="1:141" x14ac:dyDescent="0.2">
      <c r="A246" t="str">
        <f>HYPERLINK("http://exon.niaid.nih.gov/transcriptome/C_felis/S1/links/cf/cf-contig_150.txt","cf-contig_150")</f>
        <v>cf-contig_150</v>
      </c>
      <c r="B246">
        <v>5</v>
      </c>
      <c r="C246" s="10" t="s">
        <v>4655</v>
      </c>
      <c r="D246">
        <v>5</v>
      </c>
      <c r="E246" t="str">
        <f>HYPERLINK("http://exon.niaid.nih.gov/transcriptome/C_felis/S1/links/cf/cf-5-36-asb-150.txt","Contig-150")</f>
        <v>Contig-150</v>
      </c>
      <c r="F246" t="str">
        <f>HYPERLINK("http://exon.niaid.nih.gov/transcriptome/C_felis/S1/links/cf/cf-5-36-150-CLU.txt","Contig150")</f>
        <v>Contig150</v>
      </c>
      <c r="G246" t="str">
        <f>HYPERLINK("http://exon.niaid.nih.gov/transcriptome/C_felis/S1/links/cf/cf-5-36-150-qual.txt","72.7")</f>
        <v>72.7</v>
      </c>
      <c r="H246" t="s">
        <v>11</v>
      </c>
      <c r="I246">
        <v>57.3</v>
      </c>
      <c r="J246">
        <v>635</v>
      </c>
      <c r="K246" t="s">
        <v>12</v>
      </c>
      <c r="L246">
        <v>5</v>
      </c>
      <c r="M246" t="s">
        <v>163</v>
      </c>
      <c r="N246">
        <v>635</v>
      </c>
      <c r="O246">
        <v>654</v>
      </c>
      <c r="P246">
        <v>462</v>
      </c>
      <c r="Q246" t="s">
        <v>970</v>
      </c>
      <c r="R246">
        <v>1</v>
      </c>
      <c r="S246" s="7" t="str">
        <f>HYPERLINK("http://exon.niaid.nih.gov/transcriptome/C_felis/S1/links/Sigp/CF-CONTIG_150-SigP.txt","Cyt")</f>
        <v>Cyt</v>
      </c>
      <c r="U246">
        <v>5</v>
      </c>
      <c r="V246" s="4">
        <v>141</v>
      </c>
      <c r="W246">
        <v>1</v>
      </c>
      <c r="X246" s="4">
        <v>138</v>
      </c>
      <c r="Y246">
        <v>1</v>
      </c>
      <c r="Z246" s="4">
        <v>135</v>
      </c>
      <c r="AA246">
        <v>1</v>
      </c>
      <c r="AB246" s="4" t="str">
        <f>HYPERLINK("http://exon.niaid.nih.gov/transcriptome/C_felis/S1/links/XC-ASB/cf-contig_150-XC-ASB.txt","XC-contig_79")</f>
        <v>XC-contig_79</v>
      </c>
      <c r="AC246">
        <v>7E-39</v>
      </c>
      <c r="AD246" s="10" t="s">
        <v>4655</v>
      </c>
      <c r="AE246" t="s">
        <v>4605</v>
      </c>
      <c r="AF246" t="str">
        <f>HYPERLINK("http://exon.niaid.nih.gov/transcriptome/C_felis/S1/links/KOG/cf-contig_150-KOG.txt","KOG")</f>
        <v>KOG</v>
      </c>
      <c r="AG246" s="5">
        <v>5.9999999999999998E-56</v>
      </c>
      <c r="AH246">
        <v>81.7</v>
      </c>
      <c r="AI246" s="4" t="str">
        <f>HYPERLINK("http://exon.niaid.nih.gov/transcriptome/C_felis/S1/links/NR/cf-contig_150-NR.txt","ribosomal protein L17")</f>
        <v>ribosomal protein L17</v>
      </c>
      <c r="AJ246" t="str">
        <f>HYPERLINK("http://www.ncbi.nlm.nih.gov/sutils/blink.cgi?pid=342356333","1E-088")</f>
        <v>1E-088</v>
      </c>
      <c r="AK246" t="str">
        <f>HYPERLINK("http://www.ncbi.nlm.nih.gov/protein/342356333","gi|342356333")</f>
        <v>gi|342356333</v>
      </c>
      <c r="AL246">
        <v>276</v>
      </c>
      <c r="AM246">
        <v>186</v>
      </c>
      <c r="AN246">
        <v>187</v>
      </c>
      <c r="AO246">
        <v>89</v>
      </c>
      <c r="AP246">
        <v>100</v>
      </c>
      <c r="AQ246">
        <v>16</v>
      </c>
      <c r="AR246">
        <v>2</v>
      </c>
      <c r="AS246">
        <v>1</v>
      </c>
      <c r="AT246">
        <v>38</v>
      </c>
      <c r="AU246">
        <v>2</v>
      </c>
      <c r="AV246">
        <v>1</v>
      </c>
      <c r="AW246" t="s">
        <v>1689</v>
      </c>
      <c r="AY246" t="s">
        <v>1676</v>
      </c>
      <c r="AZ246" t="s">
        <v>2242</v>
      </c>
      <c r="BA246" s="4" t="str">
        <f>HYPERLINK("http://exon.niaid.nih.gov/transcriptome/C_felis/S1/links/SWISSP/cf-contig_150-SWISSP.txt","60S ribosomal protein L17")</f>
        <v>60S ribosomal protein L17</v>
      </c>
      <c r="BB246" t="str">
        <f>HYPERLINK("http://www.uniprot.org/uniprot/Q5UAS2","1E-087")</f>
        <v>1E-087</v>
      </c>
      <c r="BC246" t="s">
        <v>2243</v>
      </c>
      <c r="BD246">
        <v>270</v>
      </c>
      <c r="BE246">
        <v>186</v>
      </c>
      <c r="BF246">
        <v>187</v>
      </c>
      <c r="BG246">
        <v>90</v>
      </c>
      <c r="BH246">
        <v>100</v>
      </c>
      <c r="BI246">
        <v>15</v>
      </c>
      <c r="BJ246">
        <v>2</v>
      </c>
      <c r="BK246">
        <v>1</v>
      </c>
      <c r="BL246">
        <v>38</v>
      </c>
      <c r="BM246">
        <v>2</v>
      </c>
      <c r="BN246">
        <v>1</v>
      </c>
      <c r="BO246" t="s">
        <v>1689</v>
      </c>
      <c r="BQ246" t="s">
        <v>1676</v>
      </c>
      <c r="BR246" t="s">
        <v>2037</v>
      </c>
      <c r="BS246" s="4" t="str">
        <f>HYPERLINK("http://exon.niaid.nih.gov/transcriptome/C_felis/S1/links/CDD/cf-contig_150-CDD.txt","PTZ00178")</f>
        <v>PTZ00178</v>
      </c>
      <c r="BT246" t="str">
        <f>HYPERLINK("http://www.ncbi.nlm.nih.gov/Structure/cdd/cddsrv.cgi?uid=PTZ00178&amp;version=v4.0","2E-067")</f>
        <v>2E-067</v>
      </c>
      <c r="BU246" t="s">
        <v>2244</v>
      </c>
      <c r="BV246" s="4" t="s">
        <v>2245</v>
      </c>
      <c r="BW246">
        <f>HYPERLINK("http://exon.niaid.nih.gov/transcriptome/C_felis/S1/links/GO/cf-contig_150-GO.txt",3E-81)</f>
        <v>2.9999999999999999E-81</v>
      </c>
      <c r="BX246" t="str">
        <f t="shared" si="27"/>
        <v>GO:0003735</v>
      </c>
      <c r="BY246" t="s">
        <v>1929</v>
      </c>
      <c r="BZ246" t="s">
        <v>1930</v>
      </c>
      <c r="CA246" t="s">
        <v>1931</v>
      </c>
      <c r="CB246" t="s">
        <v>42</v>
      </c>
      <c r="CD246" s="5">
        <v>2.9999999999999999E-81</v>
      </c>
      <c r="CE246" t="str">
        <f>HYPERLINK("http://amigo.geneontology.org/cgi-bin/amigo/term_details?term=GO:0022625","GO:0022625")</f>
        <v>GO:0022625</v>
      </c>
      <c r="CF246" t="s">
        <v>1932</v>
      </c>
      <c r="CG246" t="s">
        <v>1933</v>
      </c>
      <c r="CH246" t="s">
        <v>1934</v>
      </c>
      <c r="CI246" t="s">
        <v>42</v>
      </c>
      <c r="CK246" s="5">
        <v>2.9999999999999999E-81</v>
      </c>
      <c r="CL246" t="str">
        <f t="shared" si="26"/>
        <v>GO:0006412</v>
      </c>
      <c r="CM246" t="s">
        <v>1935</v>
      </c>
      <c r="CN246" t="s">
        <v>1936</v>
      </c>
      <c r="CO246" t="s">
        <v>1937</v>
      </c>
      <c r="CP246" t="s">
        <v>42</v>
      </c>
      <c r="CR246" s="5">
        <v>2.9999999999999999E-81</v>
      </c>
      <c r="CS246" s="4" t="str">
        <f>HYPERLINK("http://exon.niaid.nih.gov/transcriptome/C_felis/S1/links/KOG/cf-contig_150-KOG.txt","60S ribosomal protein L22")</f>
        <v>60S ribosomal protein L22</v>
      </c>
      <c r="CT246" t="str">
        <f>HYPERLINK("http://www.ncbi.nlm.nih.gov/COG/grace/shokog.cgi?KOG3353","6E-056")</f>
        <v>6E-056</v>
      </c>
      <c r="CU246" t="s">
        <v>1707</v>
      </c>
      <c r="CV246" s="4" t="str">
        <f>HYPERLINK("http://exon.niaid.nih.gov/transcriptome/C_felis/S1/links/PFAM/cf-contig_150-PFAM.txt","Ribosomal_L22")</f>
        <v>Ribosomal_L22</v>
      </c>
      <c r="CW246" t="str">
        <f>HYPERLINK("http://pfam.sanger.ac.uk/family?acc=PF00237","6E-023")</f>
        <v>6E-023</v>
      </c>
      <c r="CX246" s="4" t="str">
        <f>HYPERLINK("http://exon.niaid.nih.gov/transcriptome/C_felis/S1/links/SMART/cf-contig_150-SMART.txt","DCD")</f>
        <v>DCD</v>
      </c>
      <c r="CY246" t="str">
        <f>HYPERLINK("http://smart.embl-heidelberg.de/smart/do_annotation.pl?DOMAIN=DCD&amp;BLAST=DUMMY","0.21")</f>
        <v>0.21</v>
      </c>
      <c r="CZ246" s="4" t="s">
        <v>42</v>
      </c>
      <c r="DA246" t="s">
        <v>42</v>
      </c>
      <c r="DB246" t="s">
        <v>42</v>
      </c>
      <c r="DC246" t="s">
        <v>42</v>
      </c>
      <c r="DD246" t="s">
        <v>42</v>
      </c>
      <c r="DE246" t="s">
        <v>42</v>
      </c>
      <c r="DF246" t="s">
        <v>42</v>
      </c>
      <c r="DG246" t="s">
        <v>42</v>
      </c>
      <c r="DH246" s="4" t="s">
        <v>42</v>
      </c>
      <c r="DI246" t="s">
        <v>42</v>
      </c>
      <c r="DJ246" s="4" t="s">
        <v>42</v>
      </c>
      <c r="DK246" t="s">
        <v>42</v>
      </c>
      <c r="DL246" s="4">
        <v>141</v>
      </c>
      <c r="DM246">
        <v>1</v>
      </c>
      <c r="DN246" s="4">
        <v>138</v>
      </c>
      <c r="DO246">
        <v>1</v>
      </c>
      <c r="DP246" s="4">
        <v>135</v>
      </c>
      <c r="DQ246">
        <v>1</v>
      </c>
      <c r="DR246" s="4">
        <v>132</v>
      </c>
      <c r="DS246">
        <v>1</v>
      </c>
      <c r="DT246" s="4">
        <v>131</v>
      </c>
      <c r="DU246">
        <v>1</v>
      </c>
      <c r="DV246" s="4">
        <v>141</v>
      </c>
      <c r="DW246">
        <v>1</v>
      </c>
      <c r="DX246" s="4">
        <v>143</v>
      </c>
      <c r="DY246">
        <v>1</v>
      </c>
      <c r="DZ246" s="4">
        <v>143</v>
      </c>
      <c r="EA246">
        <v>1</v>
      </c>
      <c r="EB246" s="4">
        <v>148</v>
      </c>
      <c r="EC246">
        <v>1</v>
      </c>
      <c r="ED246" s="4">
        <v>149</v>
      </c>
      <c r="EE246">
        <v>1</v>
      </c>
      <c r="EF246" s="4">
        <v>148</v>
      </c>
      <c r="EG246">
        <v>1</v>
      </c>
      <c r="EH246" s="4">
        <v>147</v>
      </c>
      <c r="EI246">
        <v>1</v>
      </c>
      <c r="EJ246" s="4">
        <v>150</v>
      </c>
      <c r="EK246">
        <v>1</v>
      </c>
    </row>
    <row r="247" spans="1:141" x14ac:dyDescent="0.2">
      <c r="A247" t="str">
        <f>HYPERLINK("http://exon.niaid.nih.gov/transcriptome/C_felis/S1/links/cf/cf-contig_420.txt","cf-contig_420")</f>
        <v>cf-contig_420</v>
      </c>
      <c r="B247">
        <v>1</v>
      </c>
      <c r="C247" s="10" t="s">
        <v>4761</v>
      </c>
      <c r="D247">
        <v>1</v>
      </c>
      <c r="E247" t="str">
        <f>HYPERLINK("http://exon.niaid.nih.gov/transcriptome/C_felis/S1/links/cf/cf-5-36-asb-420.txt","Contig-420")</f>
        <v>Contig-420</v>
      </c>
      <c r="F247" t="str">
        <f>HYPERLINK("http://exon.niaid.nih.gov/transcriptome/C_felis/S1/links/cf/cf-5-36-420-CLU.txt","Contig420")</f>
        <v>Contig420</v>
      </c>
      <c r="G247" t="str">
        <f>HYPERLINK("http://exon.niaid.nih.gov/transcriptome/C_felis/S1/links/cf/cf-5-36-420-qual.txt","64.9")</f>
        <v>64.9</v>
      </c>
      <c r="H247" t="s">
        <v>11</v>
      </c>
      <c r="I247">
        <v>62.6</v>
      </c>
      <c r="J247">
        <v>460</v>
      </c>
      <c r="K247" t="s">
        <v>12</v>
      </c>
      <c r="L247">
        <v>1</v>
      </c>
      <c r="M247" t="s">
        <v>433</v>
      </c>
      <c r="N247">
        <v>460</v>
      </c>
      <c r="O247">
        <v>479</v>
      </c>
      <c r="P247">
        <v>249</v>
      </c>
      <c r="Q247" t="s">
        <v>1240</v>
      </c>
      <c r="R247">
        <v>3</v>
      </c>
      <c r="S247" s="7" t="str">
        <f>HYPERLINK("http://exon.niaid.nih.gov/transcriptome/C_felis/S1/links/Sigp/CF-CONTIG_420-SigP.txt","Cyt")</f>
        <v>Cyt</v>
      </c>
      <c r="U247">
        <v>1</v>
      </c>
      <c r="V247" s="4">
        <v>342</v>
      </c>
      <c r="W247">
        <v>1</v>
      </c>
      <c r="X247" s="4">
        <v>351</v>
      </c>
      <c r="Y247">
        <v>1</v>
      </c>
      <c r="Z247" s="4">
        <v>354</v>
      </c>
      <c r="AA247">
        <v>1</v>
      </c>
      <c r="AB247" s="4" t="str">
        <f>HYPERLINK("http://exon.niaid.nih.gov/transcriptome/C_felis/S1/links/XC-ASB/cf-contig_420-XC-ASB.txt","XC-contig_141")</f>
        <v>XC-contig_141</v>
      </c>
      <c r="AC247">
        <v>2.5000000000000001E-2</v>
      </c>
      <c r="AD247" s="10" t="s">
        <v>4761</v>
      </c>
      <c r="AE247" t="s">
        <v>4605</v>
      </c>
      <c r="AF247" t="str">
        <f>HYPERLINK("http://exon.niaid.nih.gov/transcriptome/C_felis/S1/links/NR/cf-contig_420-NR.txt","NR")</f>
        <v>NR</v>
      </c>
      <c r="AG247" s="5">
        <v>2E-45</v>
      </c>
      <c r="AH247">
        <v>48.2</v>
      </c>
      <c r="AI247" s="4" t="str">
        <f>HYPERLINK("http://exon.niaid.nih.gov/transcriptome/C_felis/S1/links/NR/cf-contig_420-NR.txt","60S ribosomal protein L22-like")</f>
        <v>60S ribosomal protein L22-like</v>
      </c>
      <c r="AJ247" t="str">
        <f>HYPERLINK("http://www.ncbi.nlm.nih.gov/sutils/blink.cgi?pid=156553855","2E-045")</f>
        <v>2E-045</v>
      </c>
      <c r="AK247" t="str">
        <f>HYPERLINK("http://www.ncbi.nlm.nih.gov/protein/156553855","gi|156553855")</f>
        <v>gi|156553855</v>
      </c>
      <c r="AL247">
        <v>106</v>
      </c>
      <c r="AM247">
        <v>128</v>
      </c>
      <c r="AN247">
        <v>141</v>
      </c>
      <c r="AO247">
        <v>77</v>
      </c>
      <c r="AP247">
        <v>91</v>
      </c>
      <c r="AQ247">
        <v>15</v>
      </c>
      <c r="AR247">
        <v>0</v>
      </c>
      <c r="AS247">
        <v>13</v>
      </c>
      <c r="AT247">
        <v>27</v>
      </c>
      <c r="AU247">
        <v>2</v>
      </c>
      <c r="AV247">
        <v>3</v>
      </c>
      <c r="AW247" t="s">
        <v>1689</v>
      </c>
      <c r="AY247" t="s">
        <v>1676</v>
      </c>
      <c r="AZ247" t="s">
        <v>1897</v>
      </c>
      <c r="BA247" s="4" t="str">
        <f>HYPERLINK("http://exon.niaid.nih.gov/transcriptome/C_felis/S1/links/SWISSP/cf-contig_420-SWISSP.txt","60S ribosomal protein L22-like 1")</f>
        <v>60S ribosomal protein L22-like 1</v>
      </c>
      <c r="BB247" t="str">
        <f>HYPERLINK("http://www.uniprot.org/uniprot/Q6P5R6","2E-029")</f>
        <v>2E-029</v>
      </c>
      <c r="BC247" t="s">
        <v>3170</v>
      </c>
      <c r="BD247">
        <v>87</v>
      </c>
      <c r="BE247">
        <v>114</v>
      </c>
      <c r="BF247">
        <v>122</v>
      </c>
      <c r="BG247">
        <v>70</v>
      </c>
      <c r="BH247">
        <v>94</v>
      </c>
      <c r="BI247">
        <v>18</v>
      </c>
      <c r="BJ247">
        <v>0</v>
      </c>
      <c r="BK247">
        <v>5</v>
      </c>
      <c r="BL247">
        <v>60</v>
      </c>
      <c r="BM247">
        <v>2</v>
      </c>
      <c r="BN247">
        <v>1</v>
      </c>
      <c r="BO247" t="s">
        <v>1689</v>
      </c>
      <c r="BQ247" t="s">
        <v>1676</v>
      </c>
      <c r="BR247" t="s">
        <v>1690</v>
      </c>
      <c r="BS247" s="4" t="str">
        <f>HYPERLINK("http://exon.niaid.nih.gov/transcriptome/C_felis/S1/links/CDD/cf-contig_420-CDD.txt","Ribosomal_L22e")</f>
        <v>Ribosomal_L22e</v>
      </c>
      <c r="BT247" t="str">
        <f>HYPERLINK("http://www.ncbi.nlm.nih.gov/Structure/cdd/cddsrv.cgi?uid=pfam01776&amp;version=v4.0","2E-028")</f>
        <v>2E-028</v>
      </c>
      <c r="BU247" t="s">
        <v>3171</v>
      </c>
      <c r="BV247" s="4" t="s">
        <v>3172</v>
      </c>
      <c r="BW247">
        <f>HYPERLINK("http://exon.niaid.nih.gov/transcriptome/C_felis/S1/links/GO/cf-contig_420-GO.txt",4E-32)</f>
        <v>4.0000000000000002E-32</v>
      </c>
      <c r="BX247" t="str">
        <f t="shared" si="27"/>
        <v>GO:0003735</v>
      </c>
      <c r="BY247" t="s">
        <v>1929</v>
      </c>
      <c r="BZ247" t="s">
        <v>1930</v>
      </c>
      <c r="CA247" t="s">
        <v>1931</v>
      </c>
      <c r="CB247" t="s">
        <v>42</v>
      </c>
      <c r="CD247" s="5">
        <v>4.0000000000000002E-32</v>
      </c>
      <c r="CE247" t="str">
        <f>HYPERLINK("http://amigo.geneontology.org/cgi-bin/amigo/term_details?term=GO:0005840","GO:0005840")</f>
        <v>GO:0005840</v>
      </c>
      <c r="CF247" t="s">
        <v>2070</v>
      </c>
      <c r="CG247" t="s">
        <v>2071</v>
      </c>
      <c r="CH247" t="s">
        <v>2072</v>
      </c>
      <c r="CI247" t="s">
        <v>42</v>
      </c>
      <c r="CK247" s="5">
        <v>4.0000000000000002E-32</v>
      </c>
      <c r="CL247" t="str">
        <f t="shared" si="26"/>
        <v>GO:0006412</v>
      </c>
      <c r="CM247" t="s">
        <v>1935</v>
      </c>
      <c r="CN247" t="s">
        <v>1936</v>
      </c>
      <c r="CO247" t="s">
        <v>1937</v>
      </c>
      <c r="CP247" t="s">
        <v>42</v>
      </c>
      <c r="CR247" s="5">
        <v>4.0000000000000002E-32</v>
      </c>
      <c r="CS247" s="4" t="str">
        <f>HYPERLINK("http://exon.niaid.nih.gov/transcriptome/C_felis/S1/links/KOG/cf-contig_420-KOG.txt","60S ribosomal protein L22")</f>
        <v>60S ribosomal protein L22</v>
      </c>
      <c r="CT247" t="str">
        <f>HYPERLINK("http://www.ncbi.nlm.nih.gov/COG/grace/shokog.cgi?KOG3434","1E-024")</f>
        <v>1E-024</v>
      </c>
      <c r="CU247" t="s">
        <v>1707</v>
      </c>
      <c r="CV247" s="4" t="str">
        <f>HYPERLINK("http://exon.niaid.nih.gov/transcriptome/C_felis/S1/links/PFAM/cf-contig_420-PFAM.txt","Ribosomal_L22e")</f>
        <v>Ribosomal_L22e</v>
      </c>
      <c r="CW247" t="str">
        <f>HYPERLINK("http://pfam.sanger.ac.uk/family?acc=PF01776","4E-029")</f>
        <v>4E-029</v>
      </c>
      <c r="CX247" s="4" t="str">
        <f>HYPERLINK("http://exon.niaid.nih.gov/transcriptome/C_felis/S1/links/SMART/cf-contig_420-SMART.txt","TSPN")</f>
        <v>TSPN</v>
      </c>
      <c r="CY247" t="str">
        <f>HYPERLINK("http://smart.embl-heidelberg.de/smart/do_annotation.pl?DOMAIN=TSPN&amp;BLAST=DUMMY","5E-004")</f>
        <v>5E-004</v>
      </c>
      <c r="CZ247" s="4" t="s">
        <v>42</v>
      </c>
      <c r="DA247" t="s">
        <v>42</v>
      </c>
      <c r="DB247" t="s">
        <v>42</v>
      </c>
      <c r="DC247" t="s">
        <v>42</v>
      </c>
      <c r="DD247" t="s">
        <v>42</v>
      </c>
      <c r="DE247" t="s">
        <v>42</v>
      </c>
      <c r="DF247" t="s">
        <v>42</v>
      </c>
      <c r="DG247" t="s">
        <v>42</v>
      </c>
      <c r="DH247" s="4" t="s">
        <v>42</v>
      </c>
      <c r="DI247" t="s">
        <v>42</v>
      </c>
      <c r="DJ247" s="4" t="s">
        <v>42</v>
      </c>
      <c r="DK247" t="s">
        <v>42</v>
      </c>
      <c r="DL247" s="4">
        <v>342</v>
      </c>
      <c r="DM247">
        <v>1</v>
      </c>
      <c r="DN247" s="4">
        <v>351</v>
      </c>
      <c r="DO247">
        <v>1</v>
      </c>
      <c r="DP247" s="4">
        <v>354</v>
      </c>
      <c r="DQ247">
        <v>1</v>
      </c>
      <c r="DR247" s="4">
        <v>366</v>
      </c>
      <c r="DS247">
        <v>1</v>
      </c>
      <c r="DT247" s="4">
        <v>376</v>
      </c>
      <c r="DU247">
        <v>1</v>
      </c>
      <c r="DV247" s="4">
        <v>389</v>
      </c>
      <c r="DW247">
        <v>1</v>
      </c>
      <c r="DX247" s="4">
        <v>392</v>
      </c>
      <c r="DY247">
        <v>1</v>
      </c>
      <c r="DZ247" s="4">
        <v>397</v>
      </c>
      <c r="EA247">
        <v>1</v>
      </c>
      <c r="EB247" s="4">
        <v>402</v>
      </c>
      <c r="EC247">
        <v>1</v>
      </c>
      <c r="ED247" s="4">
        <v>406</v>
      </c>
      <c r="EE247">
        <v>1</v>
      </c>
      <c r="EF247" s="4">
        <v>411</v>
      </c>
      <c r="EG247">
        <v>1</v>
      </c>
      <c r="EH247" s="4">
        <v>414</v>
      </c>
      <c r="EI247">
        <v>1</v>
      </c>
      <c r="EJ247" s="4">
        <v>420</v>
      </c>
      <c r="EK247">
        <v>1</v>
      </c>
    </row>
    <row r="248" spans="1:141" x14ac:dyDescent="0.2">
      <c r="A248" t="str">
        <f>HYPERLINK("http://exon.niaid.nih.gov/transcriptome/C_felis/S1/links/cf/cf-contig_180.txt","cf-contig_180")</f>
        <v>cf-contig_180</v>
      </c>
      <c r="B248">
        <v>3</v>
      </c>
      <c r="C248" s="10" t="s">
        <v>4671</v>
      </c>
      <c r="D248">
        <v>3</v>
      </c>
      <c r="E248" t="str">
        <f>HYPERLINK("http://exon.niaid.nih.gov/transcriptome/C_felis/S1/links/cf/cf-5-36-asb-180.txt","Contig-180")</f>
        <v>Contig-180</v>
      </c>
      <c r="F248" t="str">
        <f>HYPERLINK("http://exon.niaid.nih.gov/transcriptome/C_felis/S1/links/cf/cf-5-36-180-CLU.txt","Contig180")</f>
        <v>Contig180</v>
      </c>
      <c r="G248" t="str">
        <f>HYPERLINK("http://exon.niaid.nih.gov/transcriptome/C_felis/S1/links/cf/cf-5-36-180-qual.txt","87.4")</f>
        <v>87.4</v>
      </c>
      <c r="H248" t="s">
        <v>11</v>
      </c>
      <c r="I248">
        <v>62.9</v>
      </c>
      <c r="J248">
        <v>550</v>
      </c>
      <c r="K248" t="s">
        <v>12</v>
      </c>
      <c r="L248">
        <v>3</v>
      </c>
      <c r="M248" t="s">
        <v>193</v>
      </c>
      <c r="N248">
        <v>550</v>
      </c>
      <c r="O248">
        <v>569</v>
      </c>
      <c r="P248">
        <v>453</v>
      </c>
      <c r="Q248" t="s">
        <v>1000</v>
      </c>
      <c r="R248">
        <v>3</v>
      </c>
      <c r="S248" s="7" t="str">
        <f>HYPERLINK("http://exon.niaid.nih.gov/transcriptome/C_felis/S1/links/Sigp/CF-CONTIG_180-SigP.txt","Cyt")</f>
        <v>Cyt</v>
      </c>
      <c r="U248">
        <v>3</v>
      </c>
      <c r="V248" s="4">
        <f>HYPERLINK("http://exon.niaid.nih.gov/transcriptome/C_felis/S1/links/cluster/cf-5-36-asb30-50-Id-CLU47.txt", 47)</f>
        <v>47</v>
      </c>
      <c r="W248">
        <f>HYPERLINK("http://exon.niaid.nih.gov/transcriptome/C_felis/S1/links/cluster/cf-5-36-asb30-50-Id-CLTL47.txt", 2)</f>
        <v>2</v>
      </c>
      <c r="X248" s="4">
        <f>HYPERLINK("http://exon.niaid.nih.gov/transcriptome/C_felis/S1/links/cluster/cf-5-36-asb35-50-Id-CLU40.txt", 40)</f>
        <v>40</v>
      </c>
      <c r="Y248">
        <f>HYPERLINK("http://exon.niaid.nih.gov/transcriptome/C_felis/S1/links/cluster/cf-5-36-asb35-50-Id-CLTL40.txt", 2)</f>
        <v>2</v>
      </c>
      <c r="Z248" s="4">
        <f>HYPERLINK("http://exon.niaid.nih.gov/transcriptome/C_felis/S1/links/cluster/cf-5-36-asb40-50-Id-CLU37.txt", 37)</f>
        <v>37</v>
      </c>
      <c r="AA248">
        <f>HYPERLINK("http://exon.niaid.nih.gov/transcriptome/C_felis/S1/links/cluster/cf-5-36-asb40-50-Id-CLTL37.txt", 2)</f>
        <v>2</v>
      </c>
      <c r="AB248" s="4" t="str">
        <f>HYPERLINK("http://exon.niaid.nih.gov/transcriptome/C_felis/S1/links/XC-ASB/cf-contig_180-XC-ASB.txt","XC-contig_72")</f>
        <v>XC-contig_72</v>
      </c>
      <c r="AC248">
        <v>0.44</v>
      </c>
      <c r="AD248" s="10" t="s">
        <v>4671</v>
      </c>
      <c r="AE248" t="s">
        <v>4605</v>
      </c>
      <c r="AF248" t="str">
        <f>HYPERLINK("http://exon.niaid.nih.gov/transcriptome/C_felis/S1/links/KOG/cf-contig_180-KOG.txt","KOG")</f>
        <v>KOG</v>
      </c>
      <c r="AG248" s="5">
        <v>7.0000000000000003E-62</v>
      </c>
      <c r="AH248">
        <v>97.2</v>
      </c>
      <c r="AI248" s="4" t="str">
        <f>HYPERLINK("http://exon.niaid.nih.gov/transcriptome/C_felis/S1/links/NR/cf-contig_180-NR.txt","similar to ribosomal protein L26e")</f>
        <v>similar to ribosomal protein L26e</v>
      </c>
      <c r="AJ248" t="str">
        <f>HYPERLINK("http://www.ncbi.nlm.nih.gov/sutils/blink.cgi?pid=91093619","2E-068")</f>
        <v>2E-068</v>
      </c>
      <c r="AK248" t="str">
        <f>HYPERLINK("http://www.ncbi.nlm.nih.gov/protein/91093619","gi|91093619")</f>
        <v>gi|91093619</v>
      </c>
      <c r="AL248">
        <v>262</v>
      </c>
      <c r="AM248">
        <v>144</v>
      </c>
      <c r="AN248">
        <v>150</v>
      </c>
      <c r="AO248">
        <v>88</v>
      </c>
      <c r="AP248">
        <v>97</v>
      </c>
      <c r="AQ248">
        <v>16</v>
      </c>
      <c r="AR248">
        <v>0</v>
      </c>
      <c r="AS248">
        <v>1</v>
      </c>
      <c r="AT248">
        <v>57</v>
      </c>
      <c r="AU248">
        <v>1</v>
      </c>
      <c r="AV248">
        <v>3</v>
      </c>
      <c r="AW248" t="s">
        <v>12</v>
      </c>
      <c r="AY248" t="s">
        <v>1676</v>
      </c>
      <c r="AZ248" t="s">
        <v>1878</v>
      </c>
      <c r="BA248" s="4" t="str">
        <f>HYPERLINK("http://exon.niaid.nih.gov/transcriptome/C_felis/S1/links/SWISSP/cf-contig_180-SWISSP.txt","60S ribosomal protein L26")</f>
        <v>60S ribosomal protein L26</v>
      </c>
      <c r="BB248" t="str">
        <f>HYPERLINK("http://www.uniprot.org/uniprot/Q95WA0","1E-059")</f>
        <v>1E-059</v>
      </c>
      <c r="BC248" t="s">
        <v>2340</v>
      </c>
      <c r="BD248">
        <v>229</v>
      </c>
      <c r="BE248">
        <v>139</v>
      </c>
      <c r="BF248">
        <v>144</v>
      </c>
      <c r="BG248">
        <v>80</v>
      </c>
      <c r="BH248">
        <v>97</v>
      </c>
      <c r="BI248">
        <v>28</v>
      </c>
      <c r="BJ248">
        <v>0</v>
      </c>
      <c r="BK248">
        <v>1</v>
      </c>
      <c r="BL248">
        <v>57</v>
      </c>
      <c r="BM248">
        <v>1</v>
      </c>
      <c r="BN248">
        <v>3</v>
      </c>
      <c r="BO248" t="s">
        <v>12</v>
      </c>
      <c r="BQ248" t="s">
        <v>1676</v>
      </c>
      <c r="BR248" t="s">
        <v>2341</v>
      </c>
      <c r="BS248" s="4" t="str">
        <f>HYPERLINK("http://exon.niaid.nih.gov/transcriptome/C_felis/S1/links/CDD/cf-contig_180-CDD.txt","PTZ00194")</f>
        <v>PTZ00194</v>
      </c>
      <c r="BT248" t="str">
        <f>HYPERLINK("http://www.ncbi.nlm.nih.gov/Structure/cdd/cddsrv.cgi?uid=PTZ00194&amp;version=v4.0","2E-060")</f>
        <v>2E-060</v>
      </c>
      <c r="BU248" t="s">
        <v>2342</v>
      </c>
      <c r="BV248" s="4" t="s">
        <v>2343</v>
      </c>
      <c r="BW248">
        <f>HYPERLINK("http://exon.niaid.nih.gov/transcriptome/C_felis/S1/links/GO/cf-contig_180-GO.txt",1E-62)</f>
        <v>1E-62</v>
      </c>
      <c r="BX248" t="str">
        <f t="shared" si="27"/>
        <v>GO:0003735</v>
      </c>
      <c r="BY248" t="s">
        <v>1929</v>
      </c>
      <c r="BZ248" t="s">
        <v>1930</v>
      </c>
      <c r="CA248" t="s">
        <v>1931</v>
      </c>
      <c r="CB248" t="s">
        <v>42</v>
      </c>
      <c r="CD248" s="5">
        <v>1E-62</v>
      </c>
      <c r="CE248" t="str">
        <f>HYPERLINK("http://amigo.geneontology.org/cgi-bin/amigo/term_details?term=GO:0022625","GO:0022625")</f>
        <v>GO:0022625</v>
      </c>
      <c r="CF248" t="s">
        <v>1932</v>
      </c>
      <c r="CG248" t="s">
        <v>1933</v>
      </c>
      <c r="CH248" t="s">
        <v>1934</v>
      </c>
      <c r="CI248" t="s">
        <v>42</v>
      </c>
      <c r="CK248" s="5">
        <v>1E-62</v>
      </c>
      <c r="CL248" t="str">
        <f t="shared" si="26"/>
        <v>GO:0006412</v>
      </c>
      <c r="CM248" t="s">
        <v>1935</v>
      </c>
      <c r="CN248" t="s">
        <v>1936</v>
      </c>
      <c r="CO248" t="s">
        <v>1937</v>
      </c>
      <c r="CP248" t="s">
        <v>42</v>
      </c>
      <c r="CR248" s="5">
        <v>1E-62</v>
      </c>
      <c r="CS248" s="4" t="str">
        <f>HYPERLINK("http://exon.niaid.nih.gov/transcriptome/C_felis/S1/links/KOG/cf-contig_180-KOG.txt","60S ribosomal protein L26")</f>
        <v>60S ribosomal protein L26</v>
      </c>
      <c r="CT248" t="str">
        <f>HYPERLINK("http://www.ncbi.nlm.nih.gov/COG/grace/shokog.cgi?KOG3401","7E-062")</f>
        <v>7E-062</v>
      </c>
      <c r="CU248" t="s">
        <v>1707</v>
      </c>
      <c r="CV248" s="4" t="str">
        <f>HYPERLINK("http://exon.niaid.nih.gov/transcriptome/C_felis/S1/links/PFAM/cf-contig_180-PFAM.txt","KOW")</f>
        <v>KOW</v>
      </c>
      <c r="CW248" t="str">
        <f>HYPERLINK("http://pfam.sanger.ac.uk/family?acc=PF00467","1E-006")</f>
        <v>1E-006</v>
      </c>
      <c r="CX248" s="4" t="str">
        <f>HYPERLINK("http://exon.niaid.nih.gov/transcriptome/C_felis/S1/links/SMART/cf-contig_180-SMART.txt","KOW")</f>
        <v>KOW</v>
      </c>
      <c r="CY248" t="str">
        <f>HYPERLINK("http://smart.embl-heidelberg.de/smart/do_annotation.pl?DOMAIN=KOW&amp;BLAST=DUMMY","1E-005")</f>
        <v>1E-005</v>
      </c>
      <c r="CZ248" s="4" t="s">
        <v>42</v>
      </c>
      <c r="DA248" t="s">
        <v>42</v>
      </c>
      <c r="DB248" t="s">
        <v>42</v>
      </c>
      <c r="DC248" t="s">
        <v>42</v>
      </c>
      <c r="DD248" t="s">
        <v>42</v>
      </c>
      <c r="DE248" t="s">
        <v>42</v>
      </c>
      <c r="DF248" t="s">
        <v>42</v>
      </c>
      <c r="DG248" t="s">
        <v>42</v>
      </c>
      <c r="DH248" s="4" t="s">
        <v>42</v>
      </c>
      <c r="DI248" t="s">
        <v>42</v>
      </c>
      <c r="DJ248" s="4" t="s">
        <v>42</v>
      </c>
      <c r="DK248" t="s">
        <v>42</v>
      </c>
      <c r="DL248" s="4">
        <f>HYPERLINK("http://exon.niaid.nih.gov/transcriptome/C_felis/S1/links/cluster/cf-5-36-asb30-50-Id-CLU47.txt", 47)</f>
        <v>47</v>
      </c>
      <c r="DM248">
        <f>HYPERLINK("http://exon.niaid.nih.gov/transcriptome/C_felis/S1/links/cluster/cf-5-36-asb30-50-Id-CLTL47.txt", 2)</f>
        <v>2</v>
      </c>
      <c r="DN248" s="4">
        <f>HYPERLINK("http://exon.niaid.nih.gov/transcriptome/C_felis/S1/links/cluster/cf-5-36-asb35-50-Id-CLU40.txt", 40)</f>
        <v>40</v>
      </c>
      <c r="DO248">
        <f>HYPERLINK("http://exon.niaid.nih.gov/transcriptome/C_felis/S1/links/cluster/cf-5-36-asb35-50-Id-CLTL40.txt", 2)</f>
        <v>2</v>
      </c>
      <c r="DP248" s="4">
        <f>HYPERLINK("http://exon.niaid.nih.gov/transcriptome/C_felis/S1/links/cluster/cf-5-36-asb40-50-Id-CLU37.txt", 37)</f>
        <v>37</v>
      </c>
      <c r="DQ248">
        <f>HYPERLINK("http://exon.niaid.nih.gov/transcriptome/C_felis/S1/links/cluster/cf-5-36-asb40-50-Id-CLTL37.txt", 2)</f>
        <v>2</v>
      </c>
      <c r="DR248" s="4">
        <f>HYPERLINK("http://exon.niaid.nih.gov/transcriptome/C_felis/S1/links/cluster/cf-5-36-asb45-50-Id-CLU34.txt", 34)</f>
        <v>34</v>
      </c>
      <c r="DS248">
        <f>HYPERLINK("http://exon.niaid.nih.gov/transcriptome/C_felis/S1/links/cluster/cf-5-36-asb45-50-Id-CLTL34.txt", 2)</f>
        <v>2</v>
      </c>
      <c r="DT248" s="4">
        <v>156</v>
      </c>
      <c r="DU248">
        <v>1</v>
      </c>
      <c r="DV248" s="4">
        <v>166</v>
      </c>
      <c r="DW248">
        <v>1</v>
      </c>
      <c r="DX248" s="4">
        <v>168</v>
      </c>
      <c r="DY248">
        <v>1</v>
      </c>
      <c r="DZ248" s="4">
        <v>168</v>
      </c>
      <c r="EA248">
        <v>1</v>
      </c>
      <c r="EB248" s="4">
        <v>173</v>
      </c>
      <c r="EC248">
        <v>1</v>
      </c>
      <c r="ED248" s="4">
        <v>174</v>
      </c>
      <c r="EE248">
        <v>1</v>
      </c>
      <c r="EF248" s="4">
        <v>175</v>
      </c>
      <c r="EG248">
        <v>1</v>
      </c>
      <c r="EH248" s="4">
        <v>175</v>
      </c>
      <c r="EI248">
        <v>1</v>
      </c>
      <c r="EJ248" s="4">
        <v>180</v>
      </c>
      <c r="EK248">
        <v>1</v>
      </c>
    </row>
    <row r="249" spans="1:141" x14ac:dyDescent="0.2">
      <c r="A249" t="str">
        <f>HYPERLINK("http://exon.niaid.nih.gov/transcriptome/C_felis/S1/links/cf/cf-contig_363.txt","cf-contig_363")</f>
        <v>cf-contig_363</v>
      </c>
      <c r="B249">
        <v>1</v>
      </c>
      <c r="C249" s="10" t="s">
        <v>4741</v>
      </c>
      <c r="D249">
        <v>1</v>
      </c>
      <c r="E249" t="str">
        <f>HYPERLINK("http://exon.niaid.nih.gov/transcriptome/C_felis/S1/links/cf/cf-5-36-asb-363.txt","Contig-363")</f>
        <v>Contig-363</v>
      </c>
      <c r="F249" t="str">
        <f>HYPERLINK("http://exon.niaid.nih.gov/transcriptome/C_felis/S1/links/cf/cf-5-36-363-CLU.txt","Contig363")</f>
        <v>Contig363</v>
      </c>
      <c r="G249" t="str">
        <f>HYPERLINK("http://exon.niaid.nih.gov/transcriptome/C_felis/S1/links/cf/cf-5-36-363-qual.txt","63.6")</f>
        <v>63.6</v>
      </c>
      <c r="H249" t="s">
        <v>11</v>
      </c>
      <c r="I249">
        <v>64.5</v>
      </c>
      <c r="J249">
        <v>277</v>
      </c>
      <c r="K249" t="s">
        <v>12</v>
      </c>
      <c r="L249">
        <v>1</v>
      </c>
      <c r="M249" t="s">
        <v>376</v>
      </c>
      <c r="N249">
        <v>277</v>
      </c>
      <c r="O249">
        <v>296</v>
      </c>
      <c r="P249">
        <v>222</v>
      </c>
      <c r="Q249" t="s">
        <v>1183</v>
      </c>
      <c r="R249">
        <v>2</v>
      </c>
      <c r="S249" s="7" t="str">
        <f>HYPERLINK("http://exon.niaid.nih.gov/transcriptome/C_felis/S1/links/Sigp/CF-CONTIG_363-SigP.txt","SIG")</f>
        <v>SIG</v>
      </c>
      <c r="T249" t="s">
        <v>4586</v>
      </c>
      <c r="U249">
        <v>1</v>
      </c>
      <c r="V249" s="4">
        <v>292</v>
      </c>
      <c r="W249">
        <v>1</v>
      </c>
      <c r="X249" s="4">
        <v>299</v>
      </c>
      <c r="Y249">
        <v>1</v>
      </c>
      <c r="Z249" s="4">
        <v>300</v>
      </c>
      <c r="AA249">
        <v>1</v>
      </c>
      <c r="AB249" s="4" t="str">
        <f>HYPERLINK("http://exon.niaid.nih.gov/transcriptome/C_felis/S1/links/XC-ASB/cf-contig_363-XC-ASB.txt","XC-contig_204")</f>
        <v>XC-contig_204</v>
      </c>
      <c r="AC249">
        <v>3.0000000000000001E-45</v>
      </c>
      <c r="AD249" s="10" t="s">
        <v>4741</v>
      </c>
      <c r="AE249" t="s">
        <v>4605</v>
      </c>
      <c r="AF249" t="str">
        <f>HYPERLINK("http://exon.niaid.nih.gov/transcriptome/C_felis/S1/links/KOG/cf-contig_363-KOG.txt","KOG")</f>
        <v>KOG</v>
      </c>
      <c r="AG249" s="5">
        <v>4.9999999999999998E-24</v>
      </c>
      <c r="AH249">
        <v>16.899999999999999</v>
      </c>
      <c r="AI249" s="4" t="str">
        <f>HYPERLINK("http://exon.niaid.nih.gov/transcriptome/C_felis/S1/links/NR/cf-contig_363-NR.txt","ribosomal protein L3e")</f>
        <v>ribosomal protein L3e</v>
      </c>
      <c r="AJ249" t="str">
        <f>HYPERLINK("http://www.ncbi.nlm.nih.gov/sutils/blink.cgi?pid=342906226","6E-024")</f>
        <v>6E-024</v>
      </c>
      <c r="AK249" t="str">
        <f>HYPERLINK("http://www.ncbi.nlm.nih.gov/protein/342906226","gi|342906226")</f>
        <v>gi|342906226</v>
      </c>
      <c r="AL249">
        <v>114</v>
      </c>
      <c r="AM249">
        <v>65</v>
      </c>
      <c r="AN249">
        <v>87</v>
      </c>
      <c r="AO249">
        <v>83</v>
      </c>
      <c r="AP249">
        <v>76</v>
      </c>
      <c r="AQ249">
        <v>11</v>
      </c>
      <c r="AR249">
        <v>0</v>
      </c>
      <c r="AS249">
        <v>22</v>
      </c>
      <c r="AT249">
        <v>8</v>
      </c>
      <c r="AU249">
        <v>1</v>
      </c>
      <c r="AV249">
        <v>2</v>
      </c>
      <c r="AW249" t="s">
        <v>12</v>
      </c>
      <c r="AY249" t="s">
        <v>1676</v>
      </c>
      <c r="AZ249" t="s">
        <v>2158</v>
      </c>
      <c r="BA249" s="4" t="str">
        <f>HYPERLINK("http://exon.niaid.nih.gov/transcriptome/C_felis/S1/links/SWISSP/cf-contig_363-SWISSP.txt","60S ribosomal protein L3")</f>
        <v>60S ribosomal protein L3</v>
      </c>
      <c r="BB249" t="str">
        <f>HYPERLINK("http://www.uniprot.org/uniprot/O16797","5E-023")</f>
        <v>5E-023</v>
      </c>
      <c r="BC249" t="s">
        <v>2943</v>
      </c>
      <c r="BD249">
        <v>106</v>
      </c>
      <c r="BE249">
        <v>74</v>
      </c>
      <c r="BF249">
        <v>416</v>
      </c>
      <c r="BG249">
        <v>72</v>
      </c>
      <c r="BH249">
        <v>18</v>
      </c>
      <c r="BI249">
        <v>21</v>
      </c>
      <c r="BJ249">
        <v>3</v>
      </c>
      <c r="BK249">
        <v>339</v>
      </c>
      <c r="BL249">
        <v>8</v>
      </c>
      <c r="BM249">
        <v>1</v>
      </c>
      <c r="BN249">
        <v>2</v>
      </c>
      <c r="BO249" t="s">
        <v>12</v>
      </c>
      <c r="BQ249" t="s">
        <v>1676</v>
      </c>
      <c r="BR249" t="s">
        <v>1804</v>
      </c>
      <c r="BS249" s="4" t="str">
        <f>HYPERLINK("http://exon.niaid.nih.gov/transcriptome/C_felis/S1/links/CDD/cf-contig_363-CDD.txt","PTZ00103")</f>
        <v>PTZ00103</v>
      </c>
      <c r="BT249" t="str">
        <f>HYPERLINK("http://www.ncbi.nlm.nih.gov/Structure/cdd/cddsrv.cgi?uid=PTZ00103&amp;version=v4.0","2E-024")</f>
        <v>2E-024</v>
      </c>
      <c r="BU249" t="s">
        <v>2944</v>
      </c>
      <c r="BV249" s="4" t="s">
        <v>2945</v>
      </c>
      <c r="BW249">
        <f>HYPERLINK("http://exon.niaid.nih.gov/transcriptome/C_felis/S1/links/GO/cf-contig_363-GO.txt",4E-23)</f>
        <v>3.9999999999999998E-23</v>
      </c>
      <c r="BX249" t="str">
        <f t="shared" si="27"/>
        <v>GO:0003735</v>
      </c>
      <c r="BY249" t="s">
        <v>1929</v>
      </c>
      <c r="BZ249" t="s">
        <v>1930</v>
      </c>
      <c r="CA249" t="s">
        <v>1931</v>
      </c>
      <c r="CB249" t="s">
        <v>42</v>
      </c>
      <c r="CD249" s="5">
        <v>3.9999999999999998E-23</v>
      </c>
      <c r="CE249" t="str">
        <f>HYPERLINK("http://amigo.geneontology.org/cgi-bin/amigo/term_details?term=GO:0022625","GO:0022625")</f>
        <v>GO:0022625</v>
      </c>
      <c r="CF249" t="s">
        <v>1932</v>
      </c>
      <c r="CG249" t="s">
        <v>1933</v>
      </c>
      <c r="CH249" t="s">
        <v>1934</v>
      </c>
      <c r="CI249" t="s">
        <v>42</v>
      </c>
      <c r="CK249" s="5">
        <v>3.9999999999999998E-23</v>
      </c>
      <c r="CL249" t="str">
        <f t="shared" si="26"/>
        <v>GO:0006412</v>
      </c>
      <c r="CM249" t="s">
        <v>1935</v>
      </c>
      <c r="CN249" t="s">
        <v>1936</v>
      </c>
      <c r="CO249" t="s">
        <v>1937</v>
      </c>
      <c r="CP249" t="s">
        <v>42</v>
      </c>
      <c r="CR249" s="5">
        <v>3.9999999999999998E-23</v>
      </c>
      <c r="CS249" s="4" t="str">
        <f>HYPERLINK("http://exon.niaid.nih.gov/transcriptome/C_felis/S1/links/KOG/cf-contig_363-KOG.txt","60S ribosomal protein L3 and related proteins")</f>
        <v>60S ribosomal protein L3 and related proteins</v>
      </c>
      <c r="CT249" t="str">
        <f>HYPERLINK("http://www.ncbi.nlm.nih.gov/COG/grace/shokog.cgi?KOG0746","5E-024")</f>
        <v>5E-024</v>
      </c>
      <c r="CU249" t="s">
        <v>1707</v>
      </c>
      <c r="CV249" s="4" t="str">
        <f>HYPERLINK("http://exon.niaid.nih.gov/transcriptome/C_felis/S1/links/PFAM/cf-contig_363-PFAM.txt","tRNA-synt_2")</f>
        <v>tRNA-synt_2</v>
      </c>
      <c r="CW249" t="str">
        <f>HYPERLINK("http://pfam.sanger.ac.uk/family?acc=PF00152","0.50")</f>
        <v>0.50</v>
      </c>
      <c r="CX249" s="4" t="str">
        <f>HYPERLINK("http://exon.niaid.nih.gov/transcriptome/C_felis/S1/links/SMART/cf-contig_363-SMART.txt","HAT")</f>
        <v>HAT</v>
      </c>
      <c r="CY249" t="str">
        <f>HYPERLINK("http://smart.embl-heidelberg.de/smart/do_annotation.pl?DOMAIN=HAT&amp;BLAST=DUMMY","0.11")</f>
        <v>0.11</v>
      </c>
      <c r="CZ249" s="4" t="s">
        <v>42</v>
      </c>
      <c r="DA249" t="s">
        <v>42</v>
      </c>
      <c r="DB249" t="s">
        <v>42</v>
      </c>
      <c r="DC249" t="s">
        <v>42</v>
      </c>
      <c r="DD249" t="s">
        <v>42</v>
      </c>
      <c r="DE249" t="s">
        <v>42</v>
      </c>
      <c r="DF249" t="s">
        <v>42</v>
      </c>
      <c r="DG249" t="s">
        <v>42</v>
      </c>
      <c r="DH249" s="4" t="s">
        <v>42</v>
      </c>
      <c r="DI249" t="s">
        <v>42</v>
      </c>
      <c r="DJ249" s="4" t="s">
        <v>42</v>
      </c>
      <c r="DK249" t="s">
        <v>42</v>
      </c>
      <c r="DL249" s="4">
        <v>292</v>
      </c>
      <c r="DM249">
        <v>1</v>
      </c>
      <c r="DN249" s="4">
        <v>299</v>
      </c>
      <c r="DO249">
        <v>1</v>
      </c>
      <c r="DP249" s="4">
        <v>300</v>
      </c>
      <c r="DQ249">
        <v>1</v>
      </c>
      <c r="DR249" s="4">
        <v>311</v>
      </c>
      <c r="DS249">
        <v>1</v>
      </c>
      <c r="DT249" s="4">
        <v>321</v>
      </c>
      <c r="DU249">
        <v>1</v>
      </c>
      <c r="DV249" s="4">
        <v>334</v>
      </c>
      <c r="DW249">
        <v>1</v>
      </c>
      <c r="DX249" s="4">
        <v>337</v>
      </c>
      <c r="DY249">
        <v>1</v>
      </c>
      <c r="DZ249" s="4">
        <v>342</v>
      </c>
      <c r="EA249">
        <v>1</v>
      </c>
      <c r="EB249" s="4">
        <v>347</v>
      </c>
      <c r="EC249">
        <v>1</v>
      </c>
      <c r="ED249" s="4">
        <v>351</v>
      </c>
      <c r="EE249">
        <v>1</v>
      </c>
      <c r="EF249" s="4">
        <v>356</v>
      </c>
      <c r="EG249">
        <v>1</v>
      </c>
      <c r="EH249" s="4">
        <v>358</v>
      </c>
      <c r="EI249">
        <v>1</v>
      </c>
      <c r="EJ249" s="4">
        <v>363</v>
      </c>
      <c r="EK249">
        <v>1</v>
      </c>
    </row>
    <row r="250" spans="1:141" x14ac:dyDescent="0.2">
      <c r="A250" t="str">
        <f>HYPERLINK("http://exon.niaid.nih.gov/transcriptome/C_felis/S1/links/cf/cf-contig_209.txt","cf-contig_209")</f>
        <v>cf-contig_209</v>
      </c>
      <c r="B250">
        <v>3</v>
      </c>
      <c r="C250" s="10" t="s">
        <v>4691</v>
      </c>
      <c r="D250">
        <v>3</v>
      </c>
      <c r="E250" t="str">
        <f>HYPERLINK("http://exon.niaid.nih.gov/transcriptome/C_felis/S1/links/cf/cf-5-36-asb-209.txt","Contig-209")</f>
        <v>Contig-209</v>
      </c>
      <c r="F250" t="str">
        <f>HYPERLINK("http://exon.niaid.nih.gov/transcriptome/C_felis/S1/links/cf/cf-5-36-209-CLU.txt","Contig209")</f>
        <v>Contig209</v>
      </c>
      <c r="G250" t="str">
        <f>HYPERLINK("http://exon.niaid.nih.gov/transcriptome/C_felis/S1/links/cf/cf-5-36-209-qual.txt","75.4")</f>
        <v>75.4</v>
      </c>
      <c r="H250" t="s">
        <v>11</v>
      </c>
      <c r="I250">
        <v>62.3</v>
      </c>
      <c r="J250">
        <v>276</v>
      </c>
      <c r="K250" t="s">
        <v>12</v>
      </c>
      <c r="L250">
        <v>3</v>
      </c>
      <c r="M250" t="s">
        <v>222</v>
      </c>
      <c r="N250">
        <v>296</v>
      </c>
      <c r="O250">
        <v>297</v>
      </c>
      <c r="P250">
        <v>237</v>
      </c>
      <c r="Q250" t="s">
        <v>1029</v>
      </c>
      <c r="R250">
        <v>2</v>
      </c>
      <c r="S250" s="7" t="str">
        <f>HYPERLINK("http://exon.niaid.nih.gov/transcriptome/C_felis/S1/links/Sigp/CF-CONTIG_209-SigP.txt","Cyt")</f>
        <v>Cyt</v>
      </c>
      <c r="U250">
        <v>3</v>
      </c>
      <c r="V250" s="4">
        <v>172</v>
      </c>
      <c r="W250">
        <v>1</v>
      </c>
      <c r="X250" s="4">
        <v>174</v>
      </c>
      <c r="Y250">
        <v>1</v>
      </c>
      <c r="Z250" s="4">
        <v>172</v>
      </c>
      <c r="AA250">
        <v>1</v>
      </c>
      <c r="AB250" s="4" t="str">
        <f>HYPERLINK("http://exon.niaid.nih.gov/transcriptome/C_felis/S1/links/XC-ASB/cf-contig_209-XC-ASB.txt","XC-contig_164")</f>
        <v>XC-contig_164</v>
      </c>
      <c r="AC250">
        <v>3E-52</v>
      </c>
      <c r="AD250" s="10" t="s">
        <v>4691</v>
      </c>
      <c r="AE250" t="s">
        <v>4605</v>
      </c>
      <c r="AF250" t="str">
        <f>HYPERLINK("http://exon.niaid.nih.gov/transcriptome/C_felis/S1/links/NR/cf-contig_209-NR.txt","NR")</f>
        <v>NR</v>
      </c>
      <c r="AG250" s="5">
        <v>1.0000000000000001E-32</v>
      </c>
      <c r="AH250">
        <v>59.3</v>
      </c>
      <c r="AI250" s="4" t="str">
        <f>HYPERLINK("http://exon.niaid.nih.gov/transcriptome/C_felis/S1/links/NR/cf-contig_209-NR.txt","60S ribosomal protein L31")</f>
        <v>60S ribosomal protein L31</v>
      </c>
      <c r="AJ250" t="str">
        <f>HYPERLINK("http://www.ncbi.nlm.nih.gov/sutils/blink.cgi?pid=307176321","1E-032")</f>
        <v>1E-032</v>
      </c>
      <c r="AK250" t="str">
        <f>HYPERLINK("http://www.ncbi.nlm.nih.gov/protein/307176321","gi|307176321")</f>
        <v>gi|307176321</v>
      </c>
      <c r="AL250">
        <v>143</v>
      </c>
      <c r="AM250">
        <v>72</v>
      </c>
      <c r="AN250">
        <v>123</v>
      </c>
      <c r="AO250">
        <v>91</v>
      </c>
      <c r="AP250">
        <v>59</v>
      </c>
      <c r="AQ250">
        <v>6</v>
      </c>
      <c r="AR250">
        <v>0</v>
      </c>
      <c r="AS250">
        <v>51</v>
      </c>
      <c r="AT250">
        <v>20</v>
      </c>
      <c r="AU250">
        <v>1</v>
      </c>
      <c r="AV250">
        <v>2</v>
      </c>
      <c r="AW250" t="s">
        <v>12</v>
      </c>
      <c r="AY250" t="s">
        <v>1676</v>
      </c>
      <c r="AZ250" t="s">
        <v>2133</v>
      </c>
      <c r="BA250" s="4" t="str">
        <f>HYPERLINK("http://exon.niaid.nih.gov/transcriptome/C_felis/S1/links/SWISSP/cf-contig_209-SWISSP.txt","60S ribosomal protein L31")</f>
        <v>60S ribosomal protein L31</v>
      </c>
      <c r="BB250" t="str">
        <f>HYPERLINK("http://www.uniprot.org/uniprot/Q7KF90","2E-031")</f>
        <v>2E-031</v>
      </c>
      <c r="BC250" t="s">
        <v>2453</v>
      </c>
      <c r="BD250">
        <v>134</v>
      </c>
      <c r="BE250">
        <v>72</v>
      </c>
      <c r="BF250">
        <v>124</v>
      </c>
      <c r="BG250">
        <v>87</v>
      </c>
      <c r="BH250">
        <v>59</v>
      </c>
      <c r="BI250">
        <v>9</v>
      </c>
      <c r="BJ250">
        <v>0</v>
      </c>
      <c r="BK250">
        <v>52</v>
      </c>
      <c r="BL250">
        <v>20</v>
      </c>
      <c r="BM250">
        <v>1</v>
      </c>
      <c r="BN250">
        <v>2</v>
      </c>
      <c r="BO250" t="s">
        <v>12</v>
      </c>
      <c r="BQ250" t="s">
        <v>1676</v>
      </c>
      <c r="BR250" t="s">
        <v>2031</v>
      </c>
      <c r="BS250" s="4" t="str">
        <f>HYPERLINK("http://exon.niaid.nih.gov/transcriptome/C_felis/S1/links/CDD/cf-contig_209-CDD.txt","Ribosomal_L31e")</f>
        <v>Ribosomal_L31e</v>
      </c>
      <c r="BT250" t="str">
        <f>HYPERLINK("http://www.ncbi.nlm.nih.gov/Structure/cdd/cddsrv.cgi?uid=pfam01198&amp;version=v4.0","5E-021")</f>
        <v>5E-021</v>
      </c>
      <c r="BU250" t="s">
        <v>2454</v>
      </c>
      <c r="BV250" s="4" t="s">
        <v>2307</v>
      </c>
      <c r="BW250">
        <f>HYPERLINK("http://exon.niaid.nih.gov/transcriptome/C_felis/S1/links/GO/cf-contig_209-GO.txt",5E-28)</f>
        <v>5.0000000000000002E-28</v>
      </c>
      <c r="BX250" t="str">
        <f t="shared" si="27"/>
        <v>GO:0003735</v>
      </c>
      <c r="BY250" t="s">
        <v>1929</v>
      </c>
      <c r="BZ250" t="s">
        <v>1930</v>
      </c>
      <c r="CA250" t="s">
        <v>1931</v>
      </c>
      <c r="CB250" t="s">
        <v>42</v>
      </c>
      <c r="CD250" s="5">
        <v>5.0000000000000002E-28</v>
      </c>
      <c r="CE250" t="str">
        <f>HYPERLINK("http://amigo.geneontology.org/cgi-bin/amigo/term_details?term=GO:0005622","GO:0005622")</f>
        <v>GO:0005622</v>
      </c>
      <c r="CF250" t="s">
        <v>2085</v>
      </c>
      <c r="CG250" t="s">
        <v>2086</v>
      </c>
      <c r="CH250" t="s">
        <v>2087</v>
      </c>
      <c r="CI250" t="s">
        <v>42</v>
      </c>
      <c r="CK250" s="5">
        <v>5.0000000000000002E-28</v>
      </c>
      <c r="CL250" t="str">
        <f t="shared" si="26"/>
        <v>GO:0006412</v>
      </c>
      <c r="CM250" t="s">
        <v>1935</v>
      </c>
      <c r="CN250" t="s">
        <v>1936</v>
      </c>
      <c r="CO250" t="s">
        <v>1937</v>
      </c>
      <c r="CP250" t="s">
        <v>42</v>
      </c>
      <c r="CR250" s="5">
        <v>5.0000000000000002E-28</v>
      </c>
      <c r="CS250" s="4" t="str">
        <f>HYPERLINK("http://exon.niaid.nih.gov/transcriptome/C_felis/S1/links/KOG/cf-contig_209-KOG.txt","60S ribosomal protein L31")</f>
        <v>60S ribosomal protein L31</v>
      </c>
      <c r="CT250" t="str">
        <f>HYPERLINK("http://www.ncbi.nlm.nih.gov/COG/grace/shokog.cgi?KOG0893","4E-024")</f>
        <v>4E-024</v>
      </c>
      <c r="CU250" t="s">
        <v>1707</v>
      </c>
      <c r="CV250" s="4" t="str">
        <f>HYPERLINK("http://exon.niaid.nih.gov/transcriptome/C_felis/S1/links/PFAM/cf-contig_209-PFAM.txt","Ribosomal_L31e")</f>
        <v>Ribosomal_L31e</v>
      </c>
      <c r="CW250" t="str">
        <f>HYPERLINK("http://pfam.sanger.ac.uk/family?acc=PF01198","1E-021")</f>
        <v>1E-021</v>
      </c>
      <c r="CX250" s="4" t="str">
        <f>HYPERLINK("http://exon.niaid.nih.gov/transcriptome/C_felis/S1/links/SMART/cf-contig_209-SMART.txt","CDC48_N")</f>
        <v>CDC48_N</v>
      </c>
      <c r="CY250" t="str">
        <f>HYPERLINK("http://smart.embl-heidelberg.de/smart/do_annotation.pl?DOMAIN=CDC48_N&amp;BLAST=DUMMY","0.22")</f>
        <v>0.22</v>
      </c>
      <c r="CZ250" s="4" t="s">
        <v>42</v>
      </c>
      <c r="DA250" t="s">
        <v>42</v>
      </c>
      <c r="DB250" t="s">
        <v>42</v>
      </c>
      <c r="DC250" t="s">
        <v>42</v>
      </c>
      <c r="DD250" t="s">
        <v>42</v>
      </c>
      <c r="DE250" t="s">
        <v>42</v>
      </c>
      <c r="DF250" t="s">
        <v>42</v>
      </c>
      <c r="DG250" t="s">
        <v>42</v>
      </c>
      <c r="DH250" s="4" t="s">
        <v>42</v>
      </c>
      <c r="DI250" t="s">
        <v>42</v>
      </c>
      <c r="DJ250" s="4" t="s">
        <v>42</v>
      </c>
      <c r="DK250" t="s">
        <v>42</v>
      </c>
      <c r="DL250" s="4">
        <v>172</v>
      </c>
      <c r="DM250">
        <v>1</v>
      </c>
      <c r="DN250" s="4">
        <v>174</v>
      </c>
      <c r="DO250">
        <v>1</v>
      </c>
      <c r="DP250" s="4">
        <v>172</v>
      </c>
      <c r="DQ250">
        <v>1</v>
      </c>
      <c r="DR250" s="4">
        <v>175</v>
      </c>
      <c r="DS250">
        <v>1</v>
      </c>
      <c r="DT250" s="4">
        <v>179</v>
      </c>
      <c r="DU250">
        <v>1</v>
      </c>
      <c r="DV250" s="4">
        <v>191</v>
      </c>
      <c r="DW250">
        <v>1</v>
      </c>
      <c r="DX250" s="4">
        <v>193</v>
      </c>
      <c r="DY250">
        <v>1</v>
      </c>
      <c r="DZ250" s="4">
        <v>195</v>
      </c>
      <c r="EA250">
        <v>1</v>
      </c>
      <c r="EB250" s="4">
        <v>200</v>
      </c>
      <c r="EC250">
        <v>1</v>
      </c>
      <c r="ED250" s="4">
        <v>203</v>
      </c>
      <c r="EE250">
        <v>1</v>
      </c>
      <c r="EF250" s="4">
        <v>204</v>
      </c>
      <c r="EG250">
        <v>1</v>
      </c>
      <c r="EH250" s="4">
        <v>204</v>
      </c>
      <c r="EI250">
        <v>1</v>
      </c>
      <c r="EJ250" s="4">
        <v>209</v>
      </c>
      <c r="EK250">
        <v>1</v>
      </c>
    </row>
    <row r="251" spans="1:141" x14ac:dyDescent="0.2">
      <c r="A251" t="str">
        <f>HYPERLINK("http://exon.niaid.nih.gov/transcriptome/C_felis/S1/links/cf/cf-contig_163.txt","cf-contig_163")</f>
        <v>cf-contig_163</v>
      </c>
      <c r="B251">
        <v>5</v>
      </c>
      <c r="C251" s="10" t="s">
        <v>4665</v>
      </c>
      <c r="D251">
        <v>5</v>
      </c>
      <c r="E251" t="str">
        <f>HYPERLINK("http://exon.niaid.nih.gov/transcriptome/C_felis/S1/links/cf/cf-5-36-asb-163.txt","Contig-163")</f>
        <v>Contig-163</v>
      </c>
      <c r="F251" t="str">
        <f>HYPERLINK("http://exon.niaid.nih.gov/transcriptome/C_felis/S1/links/cf/cf-5-36-163-CLU.txt","Contig163")</f>
        <v>Contig163</v>
      </c>
      <c r="G251" t="str">
        <f>HYPERLINK("http://exon.niaid.nih.gov/transcriptome/C_felis/S1/links/cf/cf-5-36-163-qual.txt","85.7")</f>
        <v>85.7</v>
      </c>
      <c r="H251" t="s">
        <v>11</v>
      </c>
      <c r="I251">
        <v>61.7</v>
      </c>
      <c r="J251">
        <v>407</v>
      </c>
      <c r="K251" t="s">
        <v>12</v>
      </c>
      <c r="L251">
        <v>5</v>
      </c>
      <c r="M251" t="s">
        <v>176</v>
      </c>
      <c r="N251">
        <v>432</v>
      </c>
      <c r="O251">
        <v>428</v>
      </c>
      <c r="P251">
        <v>363</v>
      </c>
      <c r="Q251" t="s">
        <v>983</v>
      </c>
      <c r="R251">
        <v>2</v>
      </c>
      <c r="S251" s="7" t="str">
        <f>HYPERLINK("http://exon.niaid.nih.gov/transcriptome/C_felis/S1/links/Sigp/CF-CONTIG_163-SigP.txt","Cyt")</f>
        <v>Cyt</v>
      </c>
      <c r="U251">
        <v>5</v>
      </c>
      <c r="V251" s="4">
        <v>148</v>
      </c>
      <c r="W251">
        <v>1</v>
      </c>
      <c r="X251" s="4">
        <v>148</v>
      </c>
      <c r="Y251">
        <v>1</v>
      </c>
      <c r="Z251" s="4">
        <v>145</v>
      </c>
      <c r="AA251">
        <v>1</v>
      </c>
      <c r="AB251" s="4" t="str">
        <f>HYPERLINK("http://exon.niaid.nih.gov/transcriptome/C_felis/S1/links/XC-ASB/cf-contig_163-XC-ASB.txt","XC-contig_118")</f>
        <v>XC-contig_118</v>
      </c>
      <c r="AC251">
        <v>4.7E-2</v>
      </c>
      <c r="AD251" s="10" t="s">
        <v>4665</v>
      </c>
      <c r="AE251" t="s">
        <v>4605</v>
      </c>
      <c r="AF251" t="str">
        <f>HYPERLINK("http://exon.niaid.nih.gov/transcriptome/C_felis/S1/links/KOG/cf-contig_163-KOG.txt","KOG")</f>
        <v>KOG</v>
      </c>
      <c r="AG251" s="5">
        <v>1E-53</v>
      </c>
      <c r="AH251">
        <v>86.2</v>
      </c>
      <c r="AI251" s="4" t="str">
        <f>HYPERLINK("http://exon.niaid.nih.gov/transcriptome/C_felis/S1/links/NR/cf-contig_163-NR.txt","similar to ribosomal protein L32e")</f>
        <v>similar to ribosomal protein L32e</v>
      </c>
      <c r="AJ251" t="str">
        <f>HYPERLINK("http://www.ncbi.nlm.nih.gov/sutils/blink.cgi?pid=91087871","2E-056")</f>
        <v>2E-056</v>
      </c>
      <c r="AK251" t="str">
        <f>HYPERLINK("http://www.ncbi.nlm.nih.gov/protein/91087871","gi|91087871")</f>
        <v>gi|91087871</v>
      </c>
      <c r="AL251">
        <v>222</v>
      </c>
      <c r="AM251">
        <v>117</v>
      </c>
      <c r="AN251">
        <v>134</v>
      </c>
      <c r="AO251">
        <v>89</v>
      </c>
      <c r="AP251">
        <v>88</v>
      </c>
      <c r="AQ251">
        <v>12</v>
      </c>
      <c r="AR251">
        <v>0</v>
      </c>
      <c r="AS251">
        <v>17</v>
      </c>
      <c r="AT251">
        <v>11</v>
      </c>
      <c r="AU251">
        <v>1</v>
      </c>
      <c r="AV251">
        <v>2</v>
      </c>
      <c r="AW251" t="s">
        <v>12</v>
      </c>
      <c r="AY251" t="s">
        <v>1676</v>
      </c>
      <c r="AZ251" t="s">
        <v>1878</v>
      </c>
      <c r="BA251" s="4" t="str">
        <f>HYPERLINK("http://exon.niaid.nih.gov/transcriptome/C_felis/S1/links/SWISSP/cf-contig_163-SWISSP.txt","60S ribosomal protein L32")</f>
        <v>60S ribosomal protein L32</v>
      </c>
      <c r="BB251" t="str">
        <f>HYPERLINK("http://www.uniprot.org/uniprot/Q962T1","1E-055")</f>
        <v>1E-055</v>
      </c>
      <c r="BC251" t="s">
        <v>2296</v>
      </c>
      <c r="BD251">
        <v>214</v>
      </c>
      <c r="BE251">
        <v>117</v>
      </c>
      <c r="BF251">
        <v>134</v>
      </c>
      <c r="BG251">
        <v>87</v>
      </c>
      <c r="BH251">
        <v>88</v>
      </c>
      <c r="BI251">
        <v>15</v>
      </c>
      <c r="BJ251">
        <v>0</v>
      </c>
      <c r="BK251">
        <v>17</v>
      </c>
      <c r="BL251">
        <v>11</v>
      </c>
      <c r="BM251">
        <v>1</v>
      </c>
      <c r="BN251">
        <v>2</v>
      </c>
      <c r="BO251" t="s">
        <v>12</v>
      </c>
      <c r="BQ251" t="s">
        <v>1676</v>
      </c>
      <c r="BR251" t="s">
        <v>2031</v>
      </c>
      <c r="BS251" s="4" t="str">
        <f>HYPERLINK("http://exon.niaid.nih.gov/transcriptome/C_felis/S1/links/CDD/cf-contig_163-CDD.txt","PTZ00159")</f>
        <v>PTZ00159</v>
      </c>
      <c r="BT251" t="str">
        <f>HYPERLINK("http://www.ncbi.nlm.nih.gov/Structure/cdd/cddsrv.cgi?uid=PTZ00159&amp;version=v4.0","7E-060")</f>
        <v>7E-060</v>
      </c>
      <c r="BU251" t="s">
        <v>2297</v>
      </c>
      <c r="BV251" s="4" t="s">
        <v>2298</v>
      </c>
      <c r="BW251">
        <f>HYPERLINK("http://exon.niaid.nih.gov/transcriptome/C_felis/S1/links/GO/cf-contig_163-GO.txt",1E-52)</f>
        <v>1E-52</v>
      </c>
      <c r="BX251" t="str">
        <f t="shared" si="27"/>
        <v>GO:0003735</v>
      </c>
      <c r="BY251" t="s">
        <v>1929</v>
      </c>
      <c r="BZ251" t="s">
        <v>1930</v>
      </c>
      <c r="CA251" t="s">
        <v>1931</v>
      </c>
      <c r="CB251" t="s">
        <v>42</v>
      </c>
      <c r="CD251" s="5">
        <v>1E-52</v>
      </c>
      <c r="CE251" t="str">
        <f t="shared" ref="CE251:CE256" si="28">HYPERLINK("http://amigo.geneontology.org/cgi-bin/amigo/term_details?term=GO:0022625","GO:0022625")</f>
        <v>GO:0022625</v>
      </c>
      <c r="CF251" t="s">
        <v>1932</v>
      </c>
      <c r="CG251" t="s">
        <v>1933</v>
      </c>
      <c r="CH251" t="s">
        <v>1934</v>
      </c>
      <c r="CI251" t="s">
        <v>42</v>
      </c>
      <c r="CK251" s="5">
        <v>1E-52</v>
      </c>
      <c r="CL251" t="str">
        <f t="shared" si="26"/>
        <v>GO:0006412</v>
      </c>
      <c r="CM251" t="s">
        <v>1935</v>
      </c>
      <c r="CN251" t="s">
        <v>1936</v>
      </c>
      <c r="CO251" t="s">
        <v>1937</v>
      </c>
      <c r="CP251" t="s">
        <v>42</v>
      </c>
      <c r="CR251" s="5">
        <v>1E-52</v>
      </c>
      <c r="CS251" s="4" t="str">
        <f>HYPERLINK("http://exon.niaid.nih.gov/transcriptome/C_felis/S1/links/KOG/cf-contig_163-KOG.txt","60S ribosomal protein L32")</f>
        <v>60S ribosomal protein L32</v>
      </c>
      <c r="CT251" t="str">
        <f>HYPERLINK("http://www.ncbi.nlm.nih.gov/COG/grace/shokog.cgi?KOG0878","1E-053")</f>
        <v>1E-053</v>
      </c>
      <c r="CU251" t="s">
        <v>1707</v>
      </c>
      <c r="CV251" s="4" t="str">
        <f>HYPERLINK("http://exon.niaid.nih.gov/transcriptome/C_felis/S1/links/PFAM/cf-contig_163-PFAM.txt","Ribosomal_L32e")</f>
        <v>Ribosomal_L32e</v>
      </c>
      <c r="CW251" t="str">
        <f>HYPERLINK("http://pfam.sanger.ac.uk/family?acc=PF01655","1E-057")</f>
        <v>1E-057</v>
      </c>
      <c r="CX251" s="4" t="str">
        <f>HYPERLINK("http://exon.niaid.nih.gov/transcriptome/C_felis/S1/links/SMART/cf-contig_163-SMART.txt","KAZAL")</f>
        <v>KAZAL</v>
      </c>
      <c r="CY251" t="str">
        <f>HYPERLINK("http://smart.embl-heidelberg.de/smart/do_annotation.pl?DOMAIN=KAZAL&amp;BLAST=DUMMY","0.018")</f>
        <v>0.018</v>
      </c>
      <c r="CZ251" s="4" t="s">
        <v>42</v>
      </c>
      <c r="DA251" t="s">
        <v>42</v>
      </c>
      <c r="DB251" t="s">
        <v>42</v>
      </c>
      <c r="DC251" t="s">
        <v>42</v>
      </c>
      <c r="DD251" t="s">
        <v>42</v>
      </c>
      <c r="DE251" t="s">
        <v>42</v>
      </c>
      <c r="DF251" t="s">
        <v>42</v>
      </c>
      <c r="DG251" t="s">
        <v>42</v>
      </c>
      <c r="DH251" s="4" t="s">
        <v>42</v>
      </c>
      <c r="DI251" t="s">
        <v>42</v>
      </c>
      <c r="DJ251" s="4" t="s">
        <v>42</v>
      </c>
      <c r="DK251" t="s">
        <v>42</v>
      </c>
      <c r="DL251" s="4">
        <v>148</v>
      </c>
      <c r="DM251">
        <v>1</v>
      </c>
      <c r="DN251" s="4">
        <v>148</v>
      </c>
      <c r="DO251">
        <v>1</v>
      </c>
      <c r="DP251" s="4">
        <v>145</v>
      </c>
      <c r="DQ251">
        <v>1</v>
      </c>
      <c r="DR251" s="4">
        <v>142</v>
      </c>
      <c r="DS251">
        <v>1</v>
      </c>
      <c r="DT251" s="4">
        <v>142</v>
      </c>
      <c r="DU251">
        <v>1</v>
      </c>
      <c r="DV251" s="4">
        <v>152</v>
      </c>
      <c r="DW251">
        <v>1</v>
      </c>
      <c r="DX251" s="4">
        <v>154</v>
      </c>
      <c r="DY251">
        <v>1</v>
      </c>
      <c r="DZ251" s="4">
        <v>154</v>
      </c>
      <c r="EA251">
        <v>1</v>
      </c>
      <c r="EB251" s="4">
        <v>159</v>
      </c>
      <c r="EC251">
        <v>1</v>
      </c>
      <c r="ED251" s="4">
        <v>160</v>
      </c>
      <c r="EE251">
        <v>1</v>
      </c>
      <c r="EF251" s="4">
        <v>161</v>
      </c>
      <c r="EG251">
        <v>1</v>
      </c>
      <c r="EH251" s="4">
        <v>160</v>
      </c>
      <c r="EI251">
        <v>1</v>
      </c>
      <c r="EJ251" s="4">
        <v>163</v>
      </c>
      <c r="EK251">
        <v>1</v>
      </c>
    </row>
    <row r="252" spans="1:141" x14ac:dyDescent="0.2">
      <c r="A252" t="str">
        <f>HYPERLINK("http://exon.niaid.nih.gov/transcriptome/C_felis/S1/links/cf/cf-contig_125.txt","cf-contig_125")</f>
        <v>cf-contig_125</v>
      </c>
      <c r="B252">
        <v>6</v>
      </c>
      <c r="C252" s="10" t="s">
        <v>4643</v>
      </c>
      <c r="D252">
        <v>6</v>
      </c>
      <c r="E252" t="str">
        <f>HYPERLINK("http://exon.niaid.nih.gov/transcriptome/C_felis/S1/links/cf/cf-5-36-asb-125.txt","Contig-125")</f>
        <v>Contig-125</v>
      </c>
      <c r="F252" t="str">
        <f>HYPERLINK("http://exon.niaid.nih.gov/transcriptome/C_felis/S1/links/cf/cf-5-36-125-CLU.txt","Contig125")</f>
        <v>Contig125</v>
      </c>
      <c r="G252" t="str">
        <f>HYPERLINK("http://exon.niaid.nih.gov/transcriptome/C_felis/S1/links/cf/cf-5-36-125-qual.txt","88.6")</f>
        <v>88.6</v>
      </c>
      <c r="H252" t="s">
        <v>11</v>
      </c>
      <c r="I252">
        <v>64.7</v>
      </c>
      <c r="J252">
        <v>282</v>
      </c>
      <c r="K252" t="s">
        <v>12</v>
      </c>
      <c r="L252">
        <v>6</v>
      </c>
      <c r="M252" t="s">
        <v>138</v>
      </c>
      <c r="N252">
        <v>298</v>
      </c>
      <c r="O252">
        <v>312</v>
      </c>
      <c r="P252">
        <v>231</v>
      </c>
      <c r="Q252" t="s">
        <v>945</v>
      </c>
      <c r="R252">
        <v>3</v>
      </c>
      <c r="S252" s="7" t="str">
        <f>HYPERLINK("http://exon.niaid.nih.gov/transcriptome/C_felis/S1/links/Sigp/CF-CONTIG_125-SigP.txt","Cyt")</f>
        <v>Cyt</v>
      </c>
      <c r="U252">
        <v>6</v>
      </c>
      <c r="V252" s="4">
        <v>132</v>
      </c>
      <c r="W252">
        <v>1</v>
      </c>
      <c r="X252" s="4">
        <v>128</v>
      </c>
      <c r="Y252">
        <v>1</v>
      </c>
      <c r="Z252" s="4">
        <v>125</v>
      </c>
      <c r="AA252">
        <v>1</v>
      </c>
      <c r="AB252" s="4" t="str">
        <f>HYPERLINK("http://exon.niaid.nih.gov/transcriptome/C_felis/S1/links/XC-ASB/cf-contig_125-XC-ASB.txt","XC-contig_244")</f>
        <v>XC-contig_244</v>
      </c>
      <c r="AC252">
        <v>1E-54</v>
      </c>
      <c r="AD252" s="10" t="s">
        <v>4643</v>
      </c>
      <c r="AE252" t="s">
        <v>4605</v>
      </c>
      <c r="AF252" t="str">
        <f>HYPERLINK("http://exon.niaid.nih.gov/transcriptome/C_felis/S1/links/NR/cf-contig_125-NR.txt","NR")</f>
        <v>NR</v>
      </c>
      <c r="AG252" s="5">
        <v>3E-32</v>
      </c>
      <c r="AH252">
        <v>63.8</v>
      </c>
      <c r="AI252" s="4" t="str">
        <f>HYPERLINK("http://exon.niaid.nih.gov/transcriptome/C_felis/S1/links/NR/cf-contig_125-NR.txt","60S ribosomal protein L34")</f>
        <v>60S ribosomal protein L34</v>
      </c>
      <c r="AJ252" t="str">
        <f>HYPERLINK("http://www.ncbi.nlm.nih.gov/sutils/blink.cgi?pid=307195690","3E-032")</f>
        <v>3E-032</v>
      </c>
      <c r="AK252" t="str">
        <f>HYPERLINK("http://www.ncbi.nlm.nih.gov/protein/307195690","gi|307195690")</f>
        <v>gi|307195690</v>
      </c>
      <c r="AL252">
        <v>141</v>
      </c>
      <c r="AM252">
        <v>75</v>
      </c>
      <c r="AN252">
        <v>119</v>
      </c>
      <c r="AO252">
        <v>89</v>
      </c>
      <c r="AP252">
        <v>64</v>
      </c>
      <c r="AQ252">
        <v>8</v>
      </c>
      <c r="AR252">
        <v>0</v>
      </c>
      <c r="AS252">
        <v>44</v>
      </c>
      <c r="AT252">
        <v>6</v>
      </c>
      <c r="AU252">
        <v>1</v>
      </c>
      <c r="AV252">
        <v>3</v>
      </c>
      <c r="AW252" t="s">
        <v>12</v>
      </c>
      <c r="AY252" t="s">
        <v>1676</v>
      </c>
      <c r="AZ252" t="s">
        <v>1712</v>
      </c>
      <c r="BA252" s="4" t="str">
        <f>HYPERLINK("http://exon.niaid.nih.gov/transcriptome/C_felis/S1/links/SWISSP/cf-contig_125-SWISSP.txt","60S ribosomal protein L34")</f>
        <v>60S ribosomal protein L34</v>
      </c>
      <c r="BB252" t="str">
        <f>HYPERLINK("http://www.uniprot.org/uniprot/Q9NB34","5E-024")</f>
        <v>5E-024</v>
      </c>
      <c r="BC252" t="s">
        <v>2142</v>
      </c>
      <c r="BD252">
        <v>109</v>
      </c>
      <c r="BE252">
        <v>74</v>
      </c>
      <c r="BF252">
        <v>139</v>
      </c>
      <c r="BG252">
        <v>68</v>
      </c>
      <c r="BH252">
        <v>54</v>
      </c>
      <c r="BI252">
        <v>24</v>
      </c>
      <c r="BJ252">
        <v>0</v>
      </c>
      <c r="BK252">
        <v>44</v>
      </c>
      <c r="BL252">
        <v>6</v>
      </c>
      <c r="BM252">
        <v>1</v>
      </c>
      <c r="BN252">
        <v>3</v>
      </c>
      <c r="BO252" t="s">
        <v>12</v>
      </c>
      <c r="BQ252" t="s">
        <v>1676</v>
      </c>
      <c r="BR252" t="s">
        <v>2143</v>
      </c>
      <c r="BS252" s="4" t="str">
        <f>HYPERLINK("http://exon.niaid.nih.gov/transcriptome/C_felis/S1/links/CDD/cf-contig_125-CDD.txt","PTZ00074")</f>
        <v>PTZ00074</v>
      </c>
      <c r="BT252" t="str">
        <f>HYPERLINK("http://www.ncbi.nlm.nih.gov/Structure/cdd/cddsrv.cgi?uid=PTZ00074&amp;version=v4.0","2E-025")</f>
        <v>2E-025</v>
      </c>
      <c r="BU252" t="s">
        <v>2144</v>
      </c>
      <c r="BV252" s="4" t="s">
        <v>2145</v>
      </c>
      <c r="BW252">
        <f>HYPERLINK("http://exon.niaid.nih.gov/transcriptome/C_felis/S1/links/GO/cf-contig_125-GO.txt",2E-22)</f>
        <v>2.0000000000000001E-22</v>
      </c>
      <c r="BX252" t="str">
        <f t="shared" si="27"/>
        <v>GO:0003735</v>
      </c>
      <c r="BY252" t="s">
        <v>1929</v>
      </c>
      <c r="BZ252" t="s">
        <v>1930</v>
      </c>
      <c r="CA252" t="s">
        <v>1931</v>
      </c>
      <c r="CB252" t="s">
        <v>42</v>
      </c>
      <c r="CD252" s="5">
        <v>2.0000000000000001E-22</v>
      </c>
      <c r="CE252" t="str">
        <f t="shared" si="28"/>
        <v>GO:0022625</v>
      </c>
      <c r="CF252" t="s">
        <v>1932</v>
      </c>
      <c r="CG252" t="s">
        <v>1933</v>
      </c>
      <c r="CH252" t="s">
        <v>1934</v>
      </c>
      <c r="CI252" t="s">
        <v>42</v>
      </c>
      <c r="CK252" s="5">
        <v>2.0000000000000001E-22</v>
      </c>
      <c r="CL252" t="str">
        <f t="shared" si="26"/>
        <v>GO:0006412</v>
      </c>
      <c r="CM252" t="s">
        <v>1935</v>
      </c>
      <c r="CN252" t="s">
        <v>1936</v>
      </c>
      <c r="CO252" t="s">
        <v>1937</v>
      </c>
      <c r="CP252" t="s">
        <v>42</v>
      </c>
      <c r="CR252" s="5">
        <v>2.0000000000000001E-22</v>
      </c>
      <c r="CS252" s="4" t="str">
        <f>HYPERLINK("http://exon.niaid.nih.gov/transcriptome/C_felis/S1/links/KOG/cf-contig_125-KOG.txt","60s ribosomal protein L34")</f>
        <v>60s ribosomal protein L34</v>
      </c>
      <c r="CT252" t="str">
        <f>HYPERLINK("http://www.ncbi.nlm.nih.gov/COG/grace/shokog.cgi?KOG1790","7E-025")</f>
        <v>7E-025</v>
      </c>
      <c r="CU252" t="s">
        <v>1707</v>
      </c>
      <c r="CV252" s="4" t="str">
        <f>HYPERLINK("http://exon.niaid.nih.gov/transcriptome/C_felis/S1/links/PFAM/cf-contig_125-PFAM.txt","Ribosomal_L34e")</f>
        <v>Ribosomal_L34e</v>
      </c>
      <c r="CW252" t="str">
        <f>HYPERLINK("http://pfam.sanger.ac.uk/family?acc=PF01199","6E-021")</f>
        <v>6E-021</v>
      </c>
      <c r="CX252" s="4" t="str">
        <f>HYPERLINK("http://exon.niaid.nih.gov/transcriptome/C_felis/S1/links/SMART/cf-contig_125-SMART.txt","FYVE")</f>
        <v>FYVE</v>
      </c>
      <c r="CY252" t="str">
        <f>HYPERLINK("http://smart.embl-heidelberg.de/smart/do_annotation.pl?DOMAIN=FYVE&amp;BLAST=DUMMY","0.018")</f>
        <v>0.018</v>
      </c>
      <c r="CZ252" s="4" t="s">
        <v>42</v>
      </c>
      <c r="DA252" t="s">
        <v>42</v>
      </c>
      <c r="DB252" t="s">
        <v>42</v>
      </c>
      <c r="DC252" t="s">
        <v>42</v>
      </c>
      <c r="DD252" t="s">
        <v>42</v>
      </c>
      <c r="DE252" t="s">
        <v>42</v>
      </c>
      <c r="DF252" t="s">
        <v>42</v>
      </c>
      <c r="DG252" t="s">
        <v>42</v>
      </c>
      <c r="DH252" s="4" t="s">
        <v>42</v>
      </c>
      <c r="DI252" t="s">
        <v>42</v>
      </c>
      <c r="DJ252" s="4" t="s">
        <v>42</v>
      </c>
      <c r="DK252" t="s">
        <v>42</v>
      </c>
      <c r="DL252" s="4">
        <v>132</v>
      </c>
      <c r="DM252">
        <v>1</v>
      </c>
      <c r="DN252" s="4">
        <v>128</v>
      </c>
      <c r="DO252">
        <v>1</v>
      </c>
      <c r="DP252" s="4">
        <v>125</v>
      </c>
      <c r="DQ252">
        <v>1</v>
      </c>
      <c r="DR252" s="4">
        <v>117</v>
      </c>
      <c r="DS252">
        <v>1</v>
      </c>
      <c r="DT252" s="4">
        <v>115</v>
      </c>
      <c r="DU252">
        <v>1</v>
      </c>
      <c r="DV252" s="4">
        <v>124</v>
      </c>
      <c r="DW252">
        <v>1</v>
      </c>
      <c r="DX252" s="4">
        <v>126</v>
      </c>
      <c r="DY252">
        <v>1</v>
      </c>
      <c r="DZ252" s="4">
        <v>126</v>
      </c>
      <c r="EA252">
        <v>1</v>
      </c>
      <c r="EB252" s="4">
        <v>129</v>
      </c>
      <c r="EC252">
        <v>1</v>
      </c>
      <c r="ED252" s="4">
        <v>130</v>
      </c>
      <c r="EE252">
        <v>1</v>
      </c>
      <c r="EF252" s="4">
        <v>127</v>
      </c>
      <c r="EG252">
        <v>1</v>
      </c>
      <c r="EH252" s="4">
        <v>124</v>
      </c>
      <c r="EI252">
        <v>1</v>
      </c>
      <c r="EJ252" s="4">
        <v>125</v>
      </c>
      <c r="EK252">
        <v>1</v>
      </c>
    </row>
    <row r="253" spans="1:141" x14ac:dyDescent="0.2">
      <c r="A253" t="str">
        <f>HYPERLINK("http://exon.niaid.nih.gov/transcriptome/C_felis/S1/links/cf/cf-contig_240.txt","cf-contig_240")</f>
        <v>cf-contig_240</v>
      </c>
      <c r="B253">
        <v>3</v>
      </c>
      <c r="C253" s="10" t="s">
        <v>4707</v>
      </c>
      <c r="D253">
        <v>3</v>
      </c>
      <c r="E253" t="str">
        <f>HYPERLINK("http://exon.niaid.nih.gov/transcriptome/C_felis/S1/links/cf/cf-5-36-asb-240.txt","Contig-240")</f>
        <v>Contig-240</v>
      </c>
      <c r="F253" t="str">
        <f>HYPERLINK("http://exon.niaid.nih.gov/transcriptome/C_felis/S1/links/cf/cf-5-36-240-CLU.txt","Contig240")</f>
        <v>Contig240</v>
      </c>
      <c r="G253" t="str">
        <f>HYPERLINK("http://exon.niaid.nih.gov/transcriptome/C_felis/S1/links/cf/cf-5-36-240-qual.txt","47.9")</f>
        <v>47.9</v>
      </c>
      <c r="H253" t="s">
        <v>11</v>
      </c>
      <c r="I253">
        <v>69.099999999999994</v>
      </c>
      <c r="J253">
        <v>787</v>
      </c>
      <c r="K253" t="s">
        <v>12</v>
      </c>
      <c r="L253">
        <v>3</v>
      </c>
      <c r="M253" t="s">
        <v>253</v>
      </c>
      <c r="N253">
        <v>787</v>
      </c>
      <c r="O253">
        <v>806</v>
      </c>
      <c r="P253">
        <v>285</v>
      </c>
      <c r="Q253" t="s">
        <v>1060</v>
      </c>
      <c r="R253">
        <v>1</v>
      </c>
      <c r="S253" s="7" t="str">
        <f>HYPERLINK("http://exon.niaid.nih.gov/transcriptome/C_felis/S1/links/Sigp/CF-CONTIG_240-SigP.txt","Cyt")</f>
        <v>Cyt</v>
      </c>
      <c r="U253">
        <v>3</v>
      </c>
      <c r="V253" s="4">
        <v>189</v>
      </c>
      <c r="W253">
        <v>1</v>
      </c>
      <c r="X253" s="4">
        <v>192</v>
      </c>
      <c r="Y253">
        <v>1</v>
      </c>
      <c r="Z253" s="4">
        <v>190</v>
      </c>
      <c r="AA253">
        <v>1</v>
      </c>
      <c r="AB253" s="4" t="str">
        <f>HYPERLINK("http://exon.niaid.nih.gov/transcriptome/C_felis/S1/links/XC-ASB/cf-contig_240-XC-ASB.txt","XC-contig_108")</f>
        <v>XC-contig_108</v>
      </c>
      <c r="AC253">
        <v>8.0000000000000005E-63</v>
      </c>
      <c r="AD253" s="10" t="s">
        <v>4707</v>
      </c>
      <c r="AE253" t="s">
        <v>4605</v>
      </c>
      <c r="AF253" t="str">
        <f>HYPERLINK("http://exon.niaid.nih.gov/transcriptome/C_felis/S1/links/KOG/cf-contig_240-KOG.txt","KOG")</f>
        <v>KOG</v>
      </c>
      <c r="AG253" s="5">
        <v>4.0000000000000001E-46</v>
      </c>
      <c r="AH253">
        <v>97.8</v>
      </c>
      <c r="AI253" s="4" t="str">
        <f>HYPERLINK("http://exon.niaid.nih.gov/transcriptome/C_felis/S1/links/NR/cf-contig_240-NR.txt","ribosomal protein L37")</f>
        <v>ribosomal protein L37</v>
      </c>
      <c r="AJ253" t="str">
        <f>HYPERLINK("http://www.ncbi.nlm.nih.gov/sutils/blink.cgi?pid=121511940","5E-045")</f>
        <v>5E-045</v>
      </c>
      <c r="AK253" t="str">
        <f>HYPERLINK("http://www.ncbi.nlm.nih.gov/protein/121511940","gi|121511940")</f>
        <v>gi|121511940</v>
      </c>
      <c r="AL253">
        <v>186</v>
      </c>
      <c r="AM253">
        <v>91</v>
      </c>
      <c r="AN253">
        <v>92</v>
      </c>
      <c r="AO253">
        <v>92</v>
      </c>
      <c r="AP253">
        <v>100</v>
      </c>
      <c r="AQ253">
        <v>7</v>
      </c>
      <c r="AR253">
        <v>0</v>
      </c>
      <c r="AS253">
        <v>1</v>
      </c>
      <c r="AT253">
        <v>103</v>
      </c>
      <c r="AU253">
        <v>1</v>
      </c>
      <c r="AV253">
        <v>1</v>
      </c>
      <c r="AW253" t="s">
        <v>12</v>
      </c>
      <c r="AY253" t="s">
        <v>1676</v>
      </c>
      <c r="AZ253" t="s">
        <v>1717</v>
      </c>
      <c r="BA253" s="4" t="str">
        <f>HYPERLINK("http://exon.niaid.nih.gov/transcriptome/C_felis/S1/links/SWISSP/cf-contig_240-SWISSP.txt","60S ribosomal protein L37")</f>
        <v>60S ribosomal protein L37</v>
      </c>
      <c r="BB253" t="str">
        <f>HYPERLINK("http://www.uniprot.org/uniprot/Q962S7","2E-042")</f>
        <v>2E-042</v>
      </c>
      <c r="BC253" t="s">
        <v>2569</v>
      </c>
      <c r="BD253">
        <v>172</v>
      </c>
      <c r="BE253">
        <v>91</v>
      </c>
      <c r="BF253">
        <v>92</v>
      </c>
      <c r="BG253">
        <v>86</v>
      </c>
      <c r="BH253">
        <v>100</v>
      </c>
      <c r="BI253">
        <v>13</v>
      </c>
      <c r="BJ253">
        <v>0</v>
      </c>
      <c r="BK253">
        <v>1</v>
      </c>
      <c r="BL253">
        <v>103</v>
      </c>
      <c r="BM253">
        <v>1</v>
      </c>
      <c r="BN253">
        <v>1</v>
      </c>
      <c r="BO253" t="s">
        <v>12</v>
      </c>
      <c r="BQ253" t="s">
        <v>1676</v>
      </c>
      <c r="BR253" t="s">
        <v>2031</v>
      </c>
      <c r="BS253" s="4" t="str">
        <f>HYPERLINK("http://exon.niaid.nih.gov/transcriptome/C_felis/S1/links/CDD/cf-contig_240-CDD.txt","PTZ00073")</f>
        <v>PTZ00073</v>
      </c>
      <c r="BT253" t="str">
        <f>HYPERLINK("http://www.ncbi.nlm.nih.gov/Structure/cdd/cddsrv.cgi?uid=PTZ00073&amp;version=v4.0","6E-046")</f>
        <v>6E-046</v>
      </c>
      <c r="BU253" t="s">
        <v>2570</v>
      </c>
      <c r="BV253" s="4" t="s">
        <v>2571</v>
      </c>
      <c r="BW253">
        <f>HYPERLINK("http://exon.niaid.nih.gov/transcriptome/C_felis/S1/links/GO/cf-contig_240-GO.txt",2E-41)</f>
        <v>2E-41</v>
      </c>
      <c r="BX253" t="str">
        <f t="shared" si="27"/>
        <v>GO:0003735</v>
      </c>
      <c r="BY253" t="s">
        <v>1929</v>
      </c>
      <c r="BZ253" t="s">
        <v>1930</v>
      </c>
      <c r="CA253" t="s">
        <v>1931</v>
      </c>
      <c r="CB253" t="s">
        <v>42</v>
      </c>
      <c r="CD253" s="5">
        <v>2E-41</v>
      </c>
      <c r="CE253" t="str">
        <f t="shared" si="28"/>
        <v>GO:0022625</v>
      </c>
      <c r="CF253" t="s">
        <v>1932</v>
      </c>
      <c r="CG253" t="s">
        <v>1933</v>
      </c>
      <c r="CH253" t="s">
        <v>1934</v>
      </c>
      <c r="CI253" t="s">
        <v>42</v>
      </c>
      <c r="CK253" s="5">
        <v>2E-41</v>
      </c>
      <c r="CL253" t="str">
        <f t="shared" si="26"/>
        <v>GO:0006412</v>
      </c>
      <c r="CM253" t="s">
        <v>1935</v>
      </c>
      <c r="CN253" t="s">
        <v>1936</v>
      </c>
      <c r="CO253" t="s">
        <v>1937</v>
      </c>
      <c r="CP253" t="s">
        <v>42</v>
      </c>
      <c r="CR253" s="5">
        <v>2E-41</v>
      </c>
      <c r="CS253" s="4" t="str">
        <f>HYPERLINK("http://exon.niaid.nih.gov/transcriptome/C_felis/S1/links/KOG/cf-contig_240-KOG.txt","60S ribosomal protein L37")</f>
        <v>60S ribosomal protein L37</v>
      </c>
      <c r="CT253" t="str">
        <f>HYPERLINK("http://www.ncbi.nlm.nih.gov/COG/grace/shokog.cgi?KOG3475","4E-046")</f>
        <v>4E-046</v>
      </c>
      <c r="CU253" t="s">
        <v>1707</v>
      </c>
      <c r="CV253" s="4" t="str">
        <f>HYPERLINK("http://exon.niaid.nih.gov/transcriptome/C_felis/S1/links/PFAM/cf-contig_240-PFAM.txt","Ribosomal_L37e")</f>
        <v>Ribosomal_L37e</v>
      </c>
      <c r="CW253" t="str">
        <f>HYPERLINK("http://pfam.sanger.ac.uk/family?acc=PF01907","4E-029")</f>
        <v>4E-029</v>
      </c>
      <c r="CX253" s="4" t="str">
        <f>HYPERLINK("http://exon.niaid.nih.gov/transcriptome/C_felis/S1/links/SMART/cf-contig_240-SMART.txt","CAT")</f>
        <v>CAT</v>
      </c>
      <c r="CY253" t="str">
        <f>HYPERLINK("http://smart.embl-heidelberg.de/smart/do_annotation.pl?DOMAIN=CAT&amp;BLAST=DUMMY","0.025")</f>
        <v>0.025</v>
      </c>
      <c r="CZ253" s="4" t="s">
        <v>42</v>
      </c>
      <c r="DA253" t="s">
        <v>42</v>
      </c>
      <c r="DB253" t="s">
        <v>42</v>
      </c>
      <c r="DC253" t="s">
        <v>42</v>
      </c>
      <c r="DD253" t="s">
        <v>42</v>
      </c>
      <c r="DE253" t="s">
        <v>42</v>
      </c>
      <c r="DF253" t="s">
        <v>42</v>
      </c>
      <c r="DG253" t="s">
        <v>42</v>
      </c>
      <c r="DH253" s="4" t="s">
        <v>42</v>
      </c>
      <c r="DI253" t="s">
        <v>42</v>
      </c>
      <c r="DJ253" s="4" t="s">
        <v>42</v>
      </c>
      <c r="DK253" t="s">
        <v>42</v>
      </c>
      <c r="DL253" s="4">
        <v>189</v>
      </c>
      <c r="DM253">
        <v>1</v>
      </c>
      <c r="DN253" s="4">
        <v>192</v>
      </c>
      <c r="DO253">
        <v>1</v>
      </c>
      <c r="DP253" s="4">
        <v>190</v>
      </c>
      <c r="DQ253">
        <v>1</v>
      </c>
      <c r="DR253" s="4">
        <v>198</v>
      </c>
      <c r="DS253">
        <v>1</v>
      </c>
      <c r="DT253" s="4">
        <v>204</v>
      </c>
      <c r="DU253">
        <v>1</v>
      </c>
      <c r="DV253" s="4">
        <v>216</v>
      </c>
      <c r="DW253">
        <v>1</v>
      </c>
      <c r="DX253" s="4">
        <v>218</v>
      </c>
      <c r="DY253">
        <v>1</v>
      </c>
      <c r="DZ253" s="4">
        <v>222</v>
      </c>
      <c r="EA253">
        <v>1</v>
      </c>
      <c r="EB253" s="4">
        <v>227</v>
      </c>
      <c r="EC253">
        <v>1</v>
      </c>
      <c r="ED253" s="4">
        <v>230</v>
      </c>
      <c r="EE253">
        <v>1</v>
      </c>
      <c r="EF253" s="4">
        <v>233</v>
      </c>
      <c r="EG253">
        <v>1</v>
      </c>
      <c r="EH253" s="4">
        <v>235</v>
      </c>
      <c r="EI253">
        <v>1</v>
      </c>
      <c r="EJ253" s="4">
        <v>240</v>
      </c>
      <c r="EK253">
        <v>1</v>
      </c>
    </row>
    <row r="254" spans="1:141" x14ac:dyDescent="0.2">
      <c r="A254" t="str">
        <f>HYPERLINK("http://exon.niaid.nih.gov/transcriptome/C_felis/S1/links/cf/cf-contig_154.txt","cf-contig_154")</f>
        <v>cf-contig_154</v>
      </c>
      <c r="B254">
        <v>5</v>
      </c>
      <c r="C254" s="10" t="s">
        <v>4659</v>
      </c>
      <c r="D254">
        <v>5</v>
      </c>
      <c r="E254" t="str">
        <f>HYPERLINK("http://exon.niaid.nih.gov/transcriptome/C_felis/S1/links/cf/cf-5-36-asb-154.txt","Contig-154")</f>
        <v>Contig-154</v>
      </c>
      <c r="F254" t="str">
        <f>HYPERLINK("http://exon.niaid.nih.gov/transcriptome/C_felis/S1/links/cf/cf-5-36-154-CLU.txt","Contig154")</f>
        <v>Contig154</v>
      </c>
      <c r="G254" t="str">
        <f>HYPERLINK("http://exon.niaid.nih.gov/transcriptome/C_felis/S1/links/cf/cf-5-36-154-qual.txt","82.")</f>
        <v>82.</v>
      </c>
      <c r="H254" t="s">
        <v>11</v>
      </c>
      <c r="I254">
        <v>67.400000000000006</v>
      </c>
      <c r="J254">
        <v>500</v>
      </c>
      <c r="K254" t="s">
        <v>12</v>
      </c>
      <c r="L254">
        <v>5</v>
      </c>
      <c r="M254" t="s">
        <v>167</v>
      </c>
      <c r="N254">
        <v>377</v>
      </c>
      <c r="O254">
        <v>519</v>
      </c>
      <c r="P254">
        <v>300</v>
      </c>
      <c r="Q254" t="s">
        <v>974</v>
      </c>
      <c r="R254">
        <v>3</v>
      </c>
      <c r="S254" s="7" t="str">
        <f>HYPERLINK("http://exon.niaid.nih.gov/transcriptome/C_felis/S1/links/Sigp/CF-CONTIG_154-SigP.txt","Cyt")</f>
        <v>Cyt</v>
      </c>
      <c r="U254">
        <v>5</v>
      </c>
      <c r="V254" s="4">
        <v>145</v>
      </c>
      <c r="W254">
        <v>1</v>
      </c>
      <c r="X254" s="4">
        <v>142</v>
      </c>
      <c r="Y254">
        <v>1</v>
      </c>
      <c r="Z254" s="4">
        <v>139</v>
      </c>
      <c r="AA254">
        <v>1</v>
      </c>
      <c r="AB254" s="4" t="str">
        <f>HYPERLINK("http://exon.niaid.nih.gov/transcriptome/C_felis/S1/links/XC-ASB/cf-contig_154-XC-ASB.txt","XC-contig_144")</f>
        <v>XC-contig_144</v>
      </c>
      <c r="AC254">
        <v>0.11</v>
      </c>
      <c r="AD254" s="10" t="s">
        <v>4659</v>
      </c>
      <c r="AE254" t="s">
        <v>4605</v>
      </c>
      <c r="AF254" t="str">
        <f>HYPERLINK("http://exon.niaid.nih.gov/transcriptome/C_felis/S1/links/SWISSP/cf-contig_154-SWISSP.txt","SWISSP")</f>
        <v>SWISSP</v>
      </c>
      <c r="AG254" s="5">
        <v>3.9999999999999998E-29</v>
      </c>
      <c r="AH254">
        <v>32.4</v>
      </c>
      <c r="AI254" s="4" t="str">
        <f>HYPERLINK("http://exon.niaid.nih.gov/transcriptome/C_felis/S1/links/NR/cf-contig_154-NR.txt","hypothetical protein")</f>
        <v>hypothetical protein</v>
      </c>
      <c r="AJ254" t="str">
        <f>HYPERLINK("http://www.ncbi.nlm.nih.gov/sutils/blink.cgi?pid=346468321","2E-028")</f>
        <v>2E-028</v>
      </c>
      <c r="AK254" t="str">
        <f>HYPERLINK("http://www.ncbi.nlm.nih.gov/protein/346468321","gi|346468321")</f>
        <v>gi|346468321</v>
      </c>
      <c r="AL254">
        <v>129</v>
      </c>
      <c r="AM254">
        <v>90</v>
      </c>
      <c r="AN254">
        <v>298</v>
      </c>
      <c r="AO254">
        <v>69</v>
      </c>
      <c r="AP254">
        <v>31</v>
      </c>
      <c r="AQ254">
        <v>28</v>
      </c>
      <c r="AR254">
        <v>0</v>
      </c>
      <c r="AS254">
        <v>204</v>
      </c>
      <c r="AT254">
        <v>12</v>
      </c>
      <c r="AU254">
        <v>1</v>
      </c>
      <c r="AV254">
        <v>3</v>
      </c>
      <c r="AW254" t="s">
        <v>12</v>
      </c>
      <c r="AY254" t="s">
        <v>1676</v>
      </c>
      <c r="AZ254" t="s">
        <v>2261</v>
      </c>
      <c r="BA254" s="4" t="str">
        <f>HYPERLINK("http://exon.niaid.nih.gov/transcriptome/C_felis/S1/links/SWISSP/cf-contig_154-SWISSP.txt","60S ribosomal protein L5")</f>
        <v>60S ribosomal protein L5</v>
      </c>
      <c r="BB254" t="str">
        <f>HYPERLINK("http://www.uniprot.org/uniprot/O76190","4E-029")</f>
        <v>4E-029</v>
      </c>
      <c r="BC254" t="s">
        <v>2262</v>
      </c>
      <c r="BD254">
        <v>127</v>
      </c>
      <c r="BE254">
        <v>95</v>
      </c>
      <c r="BF254">
        <v>299</v>
      </c>
      <c r="BG254">
        <v>63</v>
      </c>
      <c r="BH254">
        <v>32</v>
      </c>
      <c r="BI254">
        <v>35</v>
      </c>
      <c r="BJ254">
        <v>0</v>
      </c>
      <c r="BK254">
        <v>204</v>
      </c>
      <c r="BL254">
        <v>12</v>
      </c>
      <c r="BM254">
        <v>1</v>
      </c>
      <c r="BN254">
        <v>3</v>
      </c>
      <c r="BO254" t="s">
        <v>12</v>
      </c>
      <c r="BQ254" t="s">
        <v>1676</v>
      </c>
      <c r="BR254" t="s">
        <v>2037</v>
      </c>
      <c r="BS254" s="4" t="str">
        <f>HYPERLINK("http://exon.niaid.nih.gov/transcriptome/C_felis/S1/links/CDD/cf-contig_154-CDD.txt","PTZ00069")</f>
        <v>PTZ00069</v>
      </c>
      <c r="BT254" t="str">
        <f>HYPERLINK("http://www.ncbi.nlm.nih.gov/Structure/cdd/cddsrv.cgi?uid=PTZ00069&amp;version=v4.0","2E-027")</f>
        <v>2E-027</v>
      </c>
      <c r="BU254" t="s">
        <v>2263</v>
      </c>
      <c r="BV254" s="4" t="s">
        <v>2264</v>
      </c>
      <c r="BW254">
        <f>HYPERLINK("http://exon.niaid.nih.gov/transcriptome/C_felis/S1/links/GO/cf-contig_154-GO.txt",2E-24)</f>
        <v>1.9999999999999998E-24</v>
      </c>
      <c r="BX254" t="str">
        <f t="shared" si="27"/>
        <v>GO:0003735</v>
      </c>
      <c r="BY254" t="s">
        <v>1929</v>
      </c>
      <c r="BZ254" t="s">
        <v>1930</v>
      </c>
      <c r="CA254" t="s">
        <v>1931</v>
      </c>
      <c r="CB254" t="s">
        <v>42</v>
      </c>
      <c r="CD254" s="5">
        <v>1.9999999999999998E-24</v>
      </c>
      <c r="CE254" t="str">
        <f t="shared" si="28"/>
        <v>GO:0022625</v>
      </c>
      <c r="CF254" t="s">
        <v>1932</v>
      </c>
      <c r="CG254" t="s">
        <v>1933</v>
      </c>
      <c r="CH254" t="s">
        <v>1934</v>
      </c>
      <c r="CI254" t="s">
        <v>42</v>
      </c>
      <c r="CK254" s="5">
        <v>1.9999999999999998E-24</v>
      </c>
      <c r="CL254" t="str">
        <f t="shared" si="26"/>
        <v>GO:0006412</v>
      </c>
      <c r="CM254" t="s">
        <v>1935</v>
      </c>
      <c r="CN254" t="s">
        <v>1936</v>
      </c>
      <c r="CO254" t="s">
        <v>1937</v>
      </c>
      <c r="CP254" t="s">
        <v>42</v>
      </c>
      <c r="CR254" s="5">
        <v>1.9999999999999998E-24</v>
      </c>
      <c r="CS254" s="4" t="str">
        <f>HYPERLINK("http://exon.niaid.nih.gov/transcriptome/C_felis/S1/links/KOG/cf-contig_154-KOG.txt","60S ribosomal protein L5")</f>
        <v>60S ribosomal protein L5</v>
      </c>
      <c r="CT254" t="str">
        <f>HYPERLINK("http://www.ncbi.nlm.nih.gov/COG/grace/shokog.cgi?KOG0875","9E-019")</f>
        <v>9E-019</v>
      </c>
      <c r="CU254" t="s">
        <v>1707</v>
      </c>
      <c r="CV254" s="4" t="str">
        <f>HYPERLINK("http://exon.niaid.nih.gov/transcriptome/C_felis/S1/links/PFAM/cf-contig_154-PFAM.txt","DUF2868")</f>
        <v>DUF2868</v>
      </c>
      <c r="CW254" t="str">
        <f>HYPERLINK("http://pfam.sanger.ac.uk/family?acc=PF11067","0.20")</f>
        <v>0.20</v>
      </c>
      <c r="CX254" s="4" t="str">
        <f>HYPERLINK("http://exon.niaid.nih.gov/transcriptome/C_felis/S1/links/SMART/cf-contig_154-SMART.txt","AICARFT_IMPCHas")</f>
        <v>AICARFT_IMPCHas</v>
      </c>
      <c r="CY254" t="str">
        <f>HYPERLINK("http://smart.embl-heidelberg.de/smart/do_annotation.pl?DOMAIN=AICARFT_IMPCHas&amp;BLAST=DUMMY","0.10")</f>
        <v>0.10</v>
      </c>
      <c r="CZ254" s="4" t="s">
        <v>42</v>
      </c>
      <c r="DA254" t="s">
        <v>42</v>
      </c>
      <c r="DB254" t="s">
        <v>42</v>
      </c>
      <c r="DC254" t="s">
        <v>42</v>
      </c>
      <c r="DD254" t="s">
        <v>42</v>
      </c>
      <c r="DE254" t="s">
        <v>42</v>
      </c>
      <c r="DF254" t="s">
        <v>42</v>
      </c>
      <c r="DG254" t="s">
        <v>42</v>
      </c>
      <c r="DH254" s="4" t="s">
        <v>42</v>
      </c>
      <c r="DI254" t="s">
        <v>42</v>
      </c>
      <c r="DJ254" s="4" t="s">
        <v>42</v>
      </c>
      <c r="DK254" t="s">
        <v>42</v>
      </c>
      <c r="DL254" s="4">
        <v>145</v>
      </c>
      <c r="DM254">
        <v>1</v>
      </c>
      <c r="DN254" s="4">
        <v>142</v>
      </c>
      <c r="DO254">
        <v>1</v>
      </c>
      <c r="DP254" s="4">
        <v>139</v>
      </c>
      <c r="DQ254">
        <v>1</v>
      </c>
      <c r="DR254" s="4">
        <v>136</v>
      </c>
      <c r="DS254">
        <v>1</v>
      </c>
      <c r="DT254" s="4">
        <v>135</v>
      </c>
      <c r="DU254">
        <v>1</v>
      </c>
      <c r="DV254" s="4">
        <v>145</v>
      </c>
      <c r="DW254">
        <v>1</v>
      </c>
      <c r="DX254" s="4">
        <v>147</v>
      </c>
      <c r="DY254">
        <v>1</v>
      </c>
      <c r="DZ254" s="4">
        <v>147</v>
      </c>
      <c r="EA254">
        <v>1</v>
      </c>
      <c r="EB254" s="4">
        <v>152</v>
      </c>
      <c r="EC254">
        <v>1</v>
      </c>
      <c r="ED254" s="4">
        <v>153</v>
      </c>
      <c r="EE254">
        <v>1</v>
      </c>
      <c r="EF254" s="4">
        <v>152</v>
      </c>
      <c r="EG254">
        <v>1</v>
      </c>
      <c r="EH254" s="4">
        <v>151</v>
      </c>
      <c r="EI254">
        <v>1</v>
      </c>
      <c r="EJ254" s="4">
        <v>154</v>
      </c>
      <c r="EK254">
        <v>1</v>
      </c>
    </row>
    <row r="255" spans="1:141" x14ac:dyDescent="0.2">
      <c r="A255" t="str">
        <f>HYPERLINK("http://exon.niaid.nih.gov/transcriptome/C_felis/S1/links/cf/cf-contig_107.txt","cf-contig_107")</f>
        <v>cf-contig_107</v>
      </c>
      <c r="B255">
        <v>6</v>
      </c>
      <c r="C255" s="10" t="s">
        <v>4629</v>
      </c>
      <c r="D255">
        <v>6</v>
      </c>
      <c r="E255" t="str">
        <f>HYPERLINK("http://exon.niaid.nih.gov/transcriptome/C_felis/S1/links/cf/cf-5-36-asb-107.txt","Contig-107")</f>
        <v>Contig-107</v>
      </c>
      <c r="F255" t="str">
        <f>HYPERLINK("http://exon.niaid.nih.gov/transcriptome/C_felis/S1/links/cf/cf-5-36-107-CLU.txt","Contig107")</f>
        <v>Contig107</v>
      </c>
      <c r="G255" t="str">
        <f>HYPERLINK("http://exon.niaid.nih.gov/transcriptome/C_felis/S1/links/cf/cf-5-36-107-qual.txt","79.7")</f>
        <v>79.7</v>
      </c>
      <c r="H255" t="s">
        <v>11</v>
      </c>
      <c r="I255">
        <v>57.3</v>
      </c>
      <c r="J255">
        <v>752</v>
      </c>
      <c r="K255" t="s">
        <v>12</v>
      </c>
      <c r="L255">
        <v>6</v>
      </c>
      <c r="M255" t="s">
        <v>120</v>
      </c>
      <c r="N255">
        <v>752</v>
      </c>
      <c r="O255">
        <v>770</v>
      </c>
      <c r="P255">
        <v>705</v>
      </c>
      <c r="Q255" t="s">
        <v>927</v>
      </c>
      <c r="R255">
        <v>2</v>
      </c>
      <c r="S255" s="7" t="str">
        <f>HYPERLINK("http://exon.niaid.nih.gov/transcriptome/C_felis/S1/links/Sigp/CF-CONTIG_107-SigP.txt","Cyt")</f>
        <v>Cyt</v>
      </c>
      <c r="U255">
        <v>6</v>
      </c>
      <c r="V255" s="4">
        <f>HYPERLINK("http://exon.niaid.nih.gov/transcriptome/C_felis/S1/links/cluster/cf-5-36-asb30-50-Id-CLU40.txt", 40)</f>
        <v>40</v>
      </c>
      <c r="W255">
        <f>HYPERLINK("http://exon.niaid.nih.gov/transcriptome/C_felis/S1/links/cluster/cf-5-36-asb30-50-Id-CLTL40.txt", 2)</f>
        <v>2</v>
      </c>
      <c r="X255" s="4">
        <f>HYPERLINK("http://exon.niaid.nih.gov/transcriptome/C_felis/S1/links/cluster/cf-5-36-asb35-50-Id-CLU33.txt", 33)</f>
        <v>33</v>
      </c>
      <c r="Y255">
        <f>HYPERLINK("http://exon.niaid.nih.gov/transcriptome/C_felis/S1/links/cluster/cf-5-36-asb35-50-Id-CLTL33.txt", 2)</f>
        <v>2</v>
      </c>
      <c r="Z255" s="4">
        <f>HYPERLINK("http://exon.niaid.nih.gov/transcriptome/C_felis/S1/links/cluster/cf-5-36-asb40-50-Id-CLU31.txt", 31)</f>
        <v>31</v>
      </c>
      <c r="AA255">
        <f>HYPERLINK("http://exon.niaid.nih.gov/transcriptome/C_felis/S1/links/cluster/cf-5-36-asb40-50-Id-CLTL31.txt", 2)</f>
        <v>2</v>
      </c>
      <c r="AB255" s="4" t="str">
        <f>HYPERLINK("http://exon.niaid.nih.gov/transcriptome/C_felis/S1/links/XC-ASB/cf-contig_107-XC-ASB.txt","XC-contig_170")</f>
        <v>XC-contig_170</v>
      </c>
      <c r="AC255">
        <v>9.9999999999999995E-163</v>
      </c>
      <c r="AD255" s="10" t="s">
        <v>4629</v>
      </c>
      <c r="AE255" t="s">
        <v>4605</v>
      </c>
      <c r="AF255" t="str">
        <f>HYPERLINK("http://exon.niaid.nih.gov/transcriptome/C_felis/S1/links/NR/cf-contig_107-NR.txt","NR")</f>
        <v>NR</v>
      </c>
      <c r="AG255">
        <v>0</v>
      </c>
      <c r="AH255">
        <v>91</v>
      </c>
      <c r="AI255" s="4" t="str">
        <f>HYPERLINK("http://exon.niaid.nih.gov/transcriptome/C_felis/S1/links/NR/cf-contig_107-NR.txt","60S ribosomal protein L8")</f>
        <v>60S ribosomal protein L8</v>
      </c>
      <c r="AJ255" t="str">
        <f>HYPERLINK("http://www.ncbi.nlm.nih.gov/sutils/blink.cgi?pid=307200174","1E-130")</f>
        <v>1E-130</v>
      </c>
      <c r="AK255" t="str">
        <f>HYPERLINK("http://www.ncbi.nlm.nih.gov/protein/307200174","gi|307200174")</f>
        <v>gi|307200174</v>
      </c>
      <c r="AL255">
        <v>470</v>
      </c>
      <c r="AM255">
        <v>233</v>
      </c>
      <c r="AN255">
        <v>257</v>
      </c>
      <c r="AO255">
        <v>95</v>
      </c>
      <c r="AP255">
        <v>91</v>
      </c>
      <c r="AQ255">
        <v>10</v>
      </c>
      <c r="AR255">
        <v>0</v>
      </c>
      <c r="AS255">
        <v>24</v>
      </c>
      <c r="AT255">
        <v>5</v>
      </c>
      <c r="AU255">
        <v>1</v>
      </c>
      <c r="AV255">
        <v>2</v>
      </c>
      <c r="AW255" t="s">
        <v>12</v>
      </c>
      <c r="AY255" t="s">
        <v>1676</v>
      </c>
      <c r="AZ255" t="s">
        <v>1712</v>
      </c>
      <c r="BA255" s="4" t="str">
        <f>HYPERLINK("http://exon.niaid.nih.gov/transcriptome/C_felis/S1/links/SWISSP/cf-contig_107-SWISSP.txt","60S ribosomal protein L8")</f>
        <v>60S ribosomal protein L8</v>
      </c>
      <c r="BB255" t="str">
        <f>HYPERLINK("http://www.uniprot.org/uniprot/Q95V39","1E-126")</f>
        <v>1E-126</v>
      </c>
      <c r="BC255" t="s">
        <v>2075</v>
      </c>
      <c r="BD255">
        <v>451</v>
      </c>
      <c r="BE255">
        <v>232</v>
      </c>
      <c r="BF255">
        <v>257</v>
      </c>
      <c r="BG255">
        <v>90</v>
      </c>
      <c r="BH255">
        <v>91</v>
      </c>
      <c r="BI255">
        <v>21</v>
      </c>
      <c r="BJ255">
        <v>0</v>
      </c>
      <c r="BK255">
        <v>24</v>
      </c>
      <c r="BL255">
        <v>5</v>
      </c>
      <c r="BM255">
        <v>1</v>
      </c>
      <c r="BN255">
        <v>2</v>
      </c>
      <c r="BO255" t="s">
        <v>12</v>
      </c>
      <c r="BQ255" t="s">
        <v>1676</v>
      </c>
      <c r="BR255" t="s">
        <v>2031</v>
      </c>
      <c r="BS255" s="4" t="str">
        <f>HYPERLINK("http://exon.niaid.nih.gov/transcriptome/C_felis/S1/links/CDD/cf-contig_107-CDD.txt","PTZ00180")</f>
        <v>PTZ00180</v>
      </c>
      <c r="BT255" t="str">
        <f>HYPERLINK("http://www.ncbi.nlm.nih.gov/Structure/cdd/cddsrv.cgi?uid=PTZ00180&amp;version=v4.0","1E-133")</f>
        <v>1E-133</v>
      </c>
      <c r="BU255" t="s">
        <v>2076</v>
      </c>
      <c r="BV255" s="4" t="s">
        <v>2077</v>
      </c>
      <c r="BW255">
        <f>HYPERLINK("http://exon.niaid.nih.gov/transcriptome/C_felis/S1/links/GO/cf-contig_107-GO.txt",0)</f>
        <v>0</v>
      </c>
      <c r="BX255" t="str">
        <f t="shared" si="27"/>
        <v>GO:0003735</v>
      </c>
      <c r="BY255" t="s">
        <v>1929</v>
      </c>
      <c r="BZ255" t="s">
        <v>1930</v>
      </c>
      <c r="CA255" t="s">
        <v>1931</v>
      </c>
      <c r="CB255" t="s">
        <v>42</v>
      </c>
      <c r="CD255" s="5">
        <v>9.9999999999999998E-121</v>
      </c>
      <c r="CE255" t="str">
        <f t="shared" si="28"/>
        <v>GO:0022625</v>
      </c>
      <c r="CF255" t="s">
        <v>1932</v>
      </c>
      <c r="CG255" t="s">
        <v>1933</v>
      </c>
      <c r="CH255" t="s">
        <v>1934</v>
      </c>
      <c r="CI255" t="s">
        <v>42</v>
      </c>
      <c r="CK255" s="5">
        <v>9.9999999999999998E-121</v>
      </c>
      <c r="CL255" t="str">
        <f t="shared" si="26"/>
        <v>GO:0006412</v>
      </c>
      <c r="CM255" t="s">
        <v>1935</v>
      </c>
      <c r="CN255" t="s">
        <v>1936</v>
      </c>
      <c r="CO255" t="s">
        <v>1937</v>
      </c>
      <c r="CP255" t="s">
        <v>42</v>
      </c>
      <c r="CR255" s="5">
        <v>9.9999999999999998E-121</v>
      </c>
      <c r="CS255" s="4" t="str">
        <f>HYPERLINK("http://exon.niaid.nih.gov/transcriptome/C_felis/S1/links/KOG/cf-contig_107-KOG.txt","60s ribosomal protein L2/L8")</f>
        <v>60s ribosomal protein L2/L8</v>
      </c>
      <c r="CT255" t="str">
        <f>HYPERLINK("http://www.ncbi.nlm.nih.gov/COG/grace/shokog.cgi?KOG2309","1E-120")</f>
        <v>1E-120</v>
      </c>
      <c r="CU255" t="s">
        <v>1707</v>
      </c>
      <c r="CV255" s="4" t="str">
        <f>HYPERLINK("http://exon.niaid.nih.gov/transcriptome/C_felis/S1/links/PFAM/cf-contig_107-PFAM.txt","Ribosomal_L2_C")</f>
        <v>Ribosomal_L2_C</v>
      </c>
      <c r="CW255" t="str">
        <f>HYPERLINK("http://pfam.sanger.ac.uk/family?acc=PF03947","5E-048")</f>
        <v>5E-048</v>
      </c>
      <c r="CX255" s="4" t="str">
        <f>HYPERLINK("http://exon.niaid.nih.gov/transcriptome/C_felis/S1/links/SMART/cf-contig_107-SMART.txt","ACR")</f>
        <v>ACR</v>
      </c>
      <c r="CY255" t="str">
        <f>HYPERLINK("http://smart.embl-heidelberg.de/smart/do_annotation.pl?DOMAIN=ACR&amp;BLAST=DUMMY","0.007")</f>
        <v>0.007</v>
      </c>
      <c r="CZ255" s="4" t="s">
        <v>42</v>
      </c>
      <c r="DA255" t="s">
        <v>42</v>
      </c>
      <c r="DB255" t="s">
        <v>42</v>
      </c>
      <c r="DC255" t="s">
        <v>42</v>
      </c>
      <c r="DD255" t="s">
        <v>42</v>
      </c>
      <c r="DE255" t="s">
        <v>42</v>
      </c>
      <c r="DF255" t="s">
        <v>42</v>
      </c>
      <c r="DG255" t="s">
        <v>42</v>
      </c>
      <c r="DH255" s="4" t="s">
        <v>42</v>
      </c>
      <c r="DI255" t="s">
        <v>42</v>
      </c>
      <c r="DJ255" s="4" t="s">
        <v>42</v>
      </c>
      <c r="DK255" t="s">
        <v>42</v>
      </c>
      <c r="DL255" s="4">
        <f>HYPERLINK("http://exon.niaid.nih.gov/transcriptome/C_felis/S1/links/cluster/cf-5-36-asb30-50-Id-CLU40.txt", 40)</f>
        <v>40</v>
      </c>
      <c r="DM255">
        <f>HYPERLINK("http://exon.niaid.nih.gov/transcriptome/C_felis/S1/links/cluster/cf-5-36-asb30-50-Id-CLTL40.txt", 2)</f>
        <v>2</v>
      </c>
      <c r="DN255" s="4">
        <f>HYPERLINK("http://exon.niaid.nih.gov/transcriptome/C_felis/S1/links/cluster/cf-5-36-asb35-50-Id-CLU33.txt", 33)</f>
        <v>33</v>
      </c>
      <c r="DO255">
        <f>HYPERLINK("http://exon.niaid.nih.gov/transcriptome/C_felis/S1/links/cluster/cf-5-36-asb35-50-Id-CLTL33.txt", 2)</f>
        <v>2</v>
      </c>
      <c r="DP255" s="4">
        <f>HYPERLINK("http://exon.niaid.nih.gov/transcriptome/C_felis/S1/links/cluster/cf-5-36-asb40-50-Id-CLU31.txt", 31)</f>
        <v>31</v>
      </c>
      <c r="DQ255">
        <f>HYPERLINK("http://exon.niaid.nih.gov/transcriptome/C_felis/S1/links/cluster/cf-5-36-asb40-50-Id-CLTL31.txt", 2)</f>
        <v>2</v>
      </c>
      <c r="DR255" s="4">
        <f>HYPERLINK("http://exon.niaid.nih.gov/transcriptome/C_felis/S1/links/cluster/cf-5-36-asb45-50-Id-CLU29.txt", 29)</f>
        <v>29</v>
      </c>
      <c r="DS255">
        <f>HYPERLINK("http://exon.niaid.nih.gov/transcriptome/C_felis/S1/links/cluster/cf-5-36-asb45-50-Id-CLTL29.txt", 2)</f>
        <v>2</v>
      </c>
      <c r="DT255" s="4">
        <f>HYPERLINK("http://exon.niaid.nih.gov/transcriptome/C_felis/S1/links/cluster/cf-5-36-asb50-50-Id-CLU25.txt", 25)</f>
        <v>25</v>
      </c>
      <c r="DU255">
        <f>HYPERLINK("http://exon.niaid.nih.gov/transcriptome/C_felis/S1/links/cluster/cf-5-36-asb50-50-Id-CLTL25.txt", 2)</f>
        <v>2</v>
      </c>
      <c r="DV255" s="4">
        <f>HYPERLINK("http://exon.niaid.nih.gov/transcriptome/C_felis/S1/links/cluster/cf-5-36-asb55-50-Id-CLU22.txt", 22)</f>
        <v>22</v>
      </c>
      <c r="DW255">
        <f>HYPERLINK("http://exon.niaid.nih.gov/transcriptome/C_felis/S1/links/cluster/cf-5-36-asb55-50-Id-CLTL22.txt", 2)</f>
        <v>2</v>
      </c>
      <c r="DX255" s="4">
        <v>112</v>
      </c>
      <c r="DY255">
        <v>1</v>
      </c>
      <c r="DZ255" s="4">
        <v>111</v>
      </c>
      <c r="EA255">
        <v>1</v>
      </c>
      <c r="EB255" s="4">
        <v>111</v>
      </c>
      <c r="EC255">
        <v>1</v>
      </c>
      <c r="ED255" s="4">
        <v>112</v>
      </c>
      <c r="EE255">
        <v>1</v>
      </c>
      <c r="EF255" s="4">
        <v>109</v>
      </c>
      <c r="EG255">
        <v>1</v>
      </c>
      <c r="EH255" s="4">
        <v>106</v>
      </c>
      <c r="EI255">
        <v>1</v>
      </c>
      <c r="EJ255" s="4">
        <v>107</v>
      </c>
      <c r="EK255">
        <v>1</v>
      </c>
    </row>
    <row r="256" spans="1:141" x14ac:dyDescent="0.2">
      <c r="A256" t="str">
        <f>HYPERLINK("http://exon.niaid.nih.gov/transcriptome/C_felis/S1/links/cf/cf-contig_566.txt","cf-contig_566")</f>
        <v>cf-contig_566</v>
      </c>
      <c r="B256">
        <v>1</v>
      </c>
      <c r="C256" s="10" t="s">
        <v>4804</v>
      </c>
      <c r="D256">
        <v>1</v>
      </c>
      <c r="E256" t="str">
        <f>HYPERLINK("http://exon.niaid.nih.gov/transcriptome/C_felis/S1/links/cf/cf-5-36-asb-566.txt","Contig-566")</f>
        <v>Contig-566</v>
      </c>
      <c r="F256" t="str">
        <f>HYPERLINK("http://exon.niaid.nih.gov/transcriptome/C_felis/S1/links/cf/cf-5-36-566-CLU.txt","Contig566")</f>
        <v>Contig566</v>
      </c>
      <c r="G256" t="str">
        <f>HYPERLINK("http://exon.niaid.nih.gov/transcriptome/C_felis/S1/links/cf/cf-5-36-566-qual.txt","53.1")</f>
        <v>53.1</v>
      </c>
      <c r="H256" t="s">
        <v>11</v>
      </c>
      <c r="I256">
        <v>65</v>
      </c>
      <c r="J256">
        <v>184</v>
      </c>
      <c r="K256" t="s">
        <v>12</v>
      </c>
      <c r="L256">
        <v>1</v>
      </c>
      <c r="M256" t="s">
        <v>579</v>
      </c>
      <c r="N256">
        <v>184</v>
      </c>
      <c r="O256">
        <v>203</v>
      </c>
      <c r="P256">
        <v>159</v>
      </c>
      <c r="Q256" t="s">
        <v>1385</v>
      </c>
      <c r="R256">
        <v>2</v>
      </c>
      <c r="S256" s="7" t="s">
        <v>4585</v>
      </c>
      <c r="U256">
        <v>1</v>
      </c>
      <c r="V256" s="4">
        <v>462</v>
      </c>
      <c r="W256">
        <v>1</v>
      </c>
      <c r="X256" s="4">
        <v>472</v>
      </c>
      <c r="Y256">
        <v>1</v>
      </c>
      <c r="Z256" s="4">
        <v>479</v>
      </c>
      <c r="AA256">
        <v>1</v>
      </c>
      <c r="AB256" s="4" t="str">
        <f>HYPERLINK("http://exon.niaid.nih.gov/transcriptome/C_felis/S1/links/XC-ASB/cf-contig_566-XC-ASB.txt","XC-contig_232")</f>
        <v>XC-contig_232</v>
      </c>
      <c r="AC256">
        <v>3E-24</v>
      </c>
      <c r="AD256" s="10" t="s">
        <v>4804</v>
      </c>
      <c r="AE256" t="s">
        <v>4605</v>
      </c>
      <c r="AF256" t="str">
        <f>HYPERLINK("http://exon.niaid.nih.gov/transcriptome/C_felis/S1/links/SWISSP/cf-contig_566-SWISSP.txt","SWISSP")</f>
        <v>SWISSP</v>
      </c>
      <c r="AG256">
        <v>2.9999999999999998E-14</v>
      </c>
      <c r="AH256">
        <v>23.1</v>
      </c>
      <c r="AI256" s="4" t="str">
        <f>HYPERLINK("http://exon.niaid.nih.gov/transcriptome/C_felis/S1/links/NR/cf-contig_566-NR.txt","60S ribosomal protein L9-like")</f>
        <v>60S ribosomal protein L9-like</v>
      </c>
      <c r="AJ256" t="str">
        <f>HYPERLINK("http://www.ncbi.nlm.nih.gov/sutils/blink.cgi?pid=345492503","1E-013")</f>
        <v>1E-013</v>
      </c>
      <c r="AK256" t="str">
        <f>HYPERLINK("http://www.ncbi.nlm.nih.gov/protein/345492503","gi|345492503")</f>
        <v>gi|345492503</v>
      </c>
      <c r="AL256">
        <v>80.099999999999994</v>
      </c>
      <c r="AM256">
        <v>42</v>
      </c>
      <c r="AN256">
        <v>130</v>
      </c>
      <c r="AO256">
        <v>93</v>
      </c>
      <c r="AP256">
        <v>33</v>
      </c>
      <c r="AQ256">
        <v>3</v>
      </c>
      <c r="AR256">
        <v>0</v>
      </c>
      <c r="AS256">
        <v>87</v>
      </c>
      <c r="AT256">
        <v>29</v>
      </c>
      <c r="AU256">
        <v>1</v>
      </c>
      <c r="AV256">
        <v>2</v>
      </c>
      <c r="AW256" t="s">
        <v>12</v>
      </c>
      <c r="AY256" t="s">
        <v>1676</v>
      </c>
      <c r="AZ256" t="s">
        <v>1897</v>
      </c>
      <c r="BA256" s="4" t="str">
        <f>HYPERLINK("http://exon.niaid.nih.gov/transcriptome/C_felis/S1/links/SWISSP/cf-contig_566-SWISSP.txt","60S ribosomal protein L9")</f>
        <v>60S ribosomal protein L9</v>
      </c>
      <c r="BB256" t="str">
        <f>HYPERLINK("http://www.uniprot.org/uniprot/Q963B7","3E-014")</f>
        <v>3E-014</v>
      </c>
      <c r="BC256" t="s">
        <v>3721</v>
      </c>
      <c r="BD256">
        <v>77</v>
      </c>
      <c r="BE256">
        <v>43</v>
      </c>
      <c r="BF256">
        <v>190</v>
      </c>
      <c r="BG256">
        <v>90</v>
      </c>
      <c r="BH256">
        <v>23</v>
      </c>
      <c r="BI256">
        <v>4</v>
      </c>
      <c r="BJ256">
        <v>0</v>
      </c>
      <c r="BK256">
        <v>147</v>
      </c>
      <c r="BL256">
        <v>29</v>
      </c>
      <c r="BM256">
        <v>1</v>
      </c>
      <c r="BN256">
        <v>2</v>
      </c>
      <c r="BO256" t="s">
        <v>12</v>
      </c>
      <c r="BQ256" t="s">
        <v>1676</v>
      </c>
      <c r="BR256" t="s">
        <v>2031</v>
      </c>
      <c r="BS256" s="4" t="str">
        <f>HYPERLINK("http://exon.niaid.nih.gov/transcriptome/C_felis/S1/links/CDD/cf-contig_566-CDD.txt","PTZ00027")</f>
        <v>PTZ00027</v>
      </c>
      <c r="BT256" t="str">
        <f>HYPERLINK("http://www.ncbi.nlm.nih.gov/Structure/cdd/cddsrv.cgi?uid=PTZ00027&amp;version=v4.0","6E-016")</f>
        <v>6E-016</v>
      </c>
      <c r="BU256" t="s">
        <v>3722</v>
      </c>
      <c r="BV256" s="4" t="s">
        <v>3723</v>
      </c>
      <c r="BW256">
        <f>HYPERLINK("http://exon.niaid.nih.gov/transcriptome/C_felis/S1/links/GO/cf-contig_566-GO.txt",0.000000000001)</f>
        <v>9.9999999999999998E-13</v>
      </c>
      <c r="BX256" t="str">
        <f t="shared" si="27"/>
        <v>GO:0003735</v>
      </c>
      <c r="BY256" t="s">
        <v>1929</v>
      </c>
      <c r="BZ256" t="s">
        <v>1930</v>
      </c>
      <c r="CA256" t="s">
        <v>1931</v>
      </c>
      <c r="CB256" t="s">
        <v>42</v>
      </c>
      <c r="CD256">
        <v>9.9999999999999998E-13</v>
      </c>
      <c r="CE256" t="str">
        <f t="shared" si="28"/>
        <v>GO:0022625</v>
      </c>
      <c r="CF256" t="s">
        <v>1932</v>
      </c>
      <c r="CG256" t="s">
        <v>1933</v>
      </c>
      <c r="CH256" t="s">
        <v>1934</v>
      </c>
      <c r="CI256" t="s">
        <v>42</v>
      </c>
      <c r="CK256">
        <v>9.9999999999999998E-13</v>
      </c>
      <c r="CL256" t="str">
        <f t="shared" si="26"/>
        <v>GO:0006412</v>
      </c>
      <c r="CM256" t="s">
        <v>1935</v>
      </c>
      <c r="CN256" t="s">
        <v>1936</v>
      </c>
      <c r="CO256" t="s">
        <v>1937</v>
      </c>
      <c r="CP256" t="s">
        <v>42</v>
      </c>
      <c r="CR256">
        <v>9.9999999999999998E-13</v>
      </c>
      <c r="CS256" s="4" t="str">
        <f>HYPERLINK("http://exon.niaid.nih.gov/transcriptome/C_felis/S1/links/KOG/cf-contig_566-KOG.txt","60S ribosomal protein L9")</f>
        <v>60S ribosomal protein L9</v>
      </c>
      <c r="CT256" t="str">
        <f>HYPERLINK("http://www.ncbi.nlm.nih.gov/COG/grace/shokog.cgi?KOG3255","0.012")</f>
        <v>0.012</v>
      </c>
      <c r="CU256" t="s">
        <v>1707</v>
      </c>
      <c r="CV256" s="4" t="str">
        <f>HYPERLINK("http://exon.niaid.nih.gov/transcriptome/C_felis/S1/links/PFAM/cf-contig_566-PFAM.txt","Ribosomal_L6")</f>
        <v>Ribosomal_L6</v>
      </c>
      <c r="CW256" t="str">
        <f>HYPERLINK("http://pfam.sanger.ac.uk/family?acc=PF00347","0.006")</f>
        <v>0.006</v>
      </c>
      <c r="CX256" s="4" t="str">
        <f>HYPERLINK("http://exon.niaid.nih.gov/transcriptome/C_felis/S1/links/SMART/cf-contig_566-SMART.txt","RPOLD")</f>
        <v>RPOLD</v>
      </c>
      <c r="CY256" t="str">
        <f>HYPERLINK("http://smart.embl-heidelberg.de/smart/do_annotation.pl?DOMAIN=RPOLD&amp;BLAST=DUMMY","1.4")</f>
        <v>1.4</v>
      </c>
      <c r="CZ256" s="4" t="s">
        <v>42</v>
      </c>
      <c r="DA256" t="s">
        <v>42</v>
      </c>
      <c r="DB256" t="s">
        <v>42</v>
      </c>
      <c r="DC256" t="s">
        <v>42</v>
      </c>
      <c r="DD256" t="s">
        <v>42</v>
      </c>
      <c r="DE256" t="s">
        <v>42</v>
      </c>
      <c r="DF256" t="s">
        <v>42</v>
      </c>
      <c r="DG256" t="s">
        <v>42</v>
      </c>
      <c r="DH256" s="4" t="s">
        <v>42</v>
      </c>
      <c r="DI256" t="s">
        <v>42</v>
      </c>
      <c r="DJ256" s="4" t="s">
        <v>42</v>
      </c>
      <c r="DK256" t="s">
        <v>42</v>
      </c>
      <c r="DL256" s="4">
        <v>462</v>
      </c>
      <c r="DM256">
        <v>1</v>
      </c>
      <c r="DN256" s="4">
        <v>472</v>
      </c>
      <c r="DO256">
        <v>1</v>
      </c>
      <c r="DP256" s="4">
        <v>479</v>
      </c>
      <c r="DQ256">
        <v>1</v>
      </c>
      <c r="DR256" s="4">
        <v>496</v>
      </c>
      <c r="DS256">
        <v>1</v>
      </c>
      <c r="DT256" s="4">
        <v>508</v>
      </c>
      <c r="DU256">
        <v>1</v>
      </c>
      <c r="DV256" s="4">
        <v>522</v>
      </c>
      <c r="DW256">
        <v>1</v>
      </c>
      <c r="DX256" s="4">
        <v>530</v>
      </c>
      <c r="DY256">
        <v>1</v>
      </c>
      <c r="DZ256" s="4">
        <v>538</v>
      </c>
      <c r="EA256">
        <v>1</v>
      </c>
      <c r="EB256" s="4">
        <v>543</v>
      </c>
      <c r="EC256">
        <v>1</v>
      </c>
      <c r="ED256" s="4">
        <v>547</v>
      </c>
      <c r="EE256">
        <v>1</v>
      </c>
      <c r="EF256" s="4">
        <v>552</v>
      </c>
      <c r="EG256">
        <v>1</v>
      </c>
      <c r="EH256" s="4">
        <v>559</v>
      </c>
      <c r="EI256">
        <v>1</v>
      </c>
      <c r="EJ256" s="4">
        <v>566</v>
      </c>
      <c r="EK256">
        <v>1</v>
      </c>
    </row>
    <row r="257" spans="1:141" x14ac:dyDescent="0.2">
      <c r="A257" t="str">
        <f>HYPERLINK("http://exon.niaid.nih.gov/transcriptome/C_felis/S1/links/cf/cf-contig_589.txt","cf-contig_589")</f>
        <v>cf-contig_589</v>
      </c>
      <c r="B257">
        <v>1</v>
      </c>
      <c r="C257" s="10" t="s">
        <v>4814</v>
      </c>
      <c r="D257">
        <v>1</v>
      </c>
      <c r="E257" t="str">
        <f>HYPERLINK("http://exon.niaid.nih.gov/transcriptome/C_felis/S1/links/cf/cf-5-36-asb-589.txt","Contig-589")</f>
        <v>Contig-589</v>
      </c>
      <c r="F257" t="str">
        <f>HYPERLINK("http://exon.niaid.nih.gov/transcriptome/C_felis/S1/links/cf/cf-5-36-589-CLU.txt","Contig589")</f>
        <v>Contig589</v>
      </c>
      <c r="G257" t="str">
        <f>HYPERLINK("http://exon.niaid.nih.gov/transcriptome/C_felis/S1/links/cf/cf-5-36-589-qual.txt","51.")</f>
        <v>51.</v>
      </c>
      <c r="H257" t="s">
        <v>11</v>
      </c>
      <c r="I257">
        <v>68.400000000000006</v>
      </c>
      <c r="J257">
        <v>832</v>
      </c>
      <c r="K257" t="s">
        <v>12</v>
      </c>
      <c r="L257">
        <v>1</v>
      </c>
      <c r="M257" t="s">
        <v>602</v>
      </c>
      <c r="N257">
        <v>832</v>
      </c>
      <c r="O257">
        <v>851</v>
      </c>
      <c r="P257">
        <v>768</v>
      </c>
      <c r="Q257" t="s">
        <v>1408</v>
      </c>
      <c r="R257">
        <v>3</v>
      </c>
      <c r="S257" s="7" t="str">
        <f>HYPERLINK("http://exon.niaid.nih.gov/transcriptome/C_felis/S1/links/Sigp/CF-CONTIG_589-SigP.txt","Cyt")</f>
        <v>Cyt</v>
      </c>
      <c r="U257">
        <v>1</v>
      </c>
      <c r="V257" s="4">
        <v>480</v>
      </c>
      <c r="W257">
        <v>1</v>
      </c>
      <c r="X257" s="4">
        <v>491</v>
      </c>
      <c r="Y257">
        <v>1</v>
      </c>
      <c r="Z257" s="4">
        <v>500</v>
      </c>
      <c r="AA257">
        <v>1</v>
      </c>
      <c r="AB257" s="4" t="str">
        <f>HYPERLINK("http://exon.niaid.nih.gov/transcriptome/C_felis/S1/links/XC-ASB/cf-contig_589-XC-ASB.txt","XC-contig_42")</f>
        <v>XC-contig_42</v>
      </c>
      <c r="AC257">
        <v>1.6E-2</v>
      </c>
      <c r="AD257" s="10" t="s">
        <v>4814</v>
      </c>
      <c r="AE257" t="s">
        <v>4605</v>
      </c>
      <c r="AF257" t="str">
        <f>HYPERLINK("http://exon.niaid.nih.gov/transcriptome/C_felis/S1/links/KOG/cf-contig_589-KOG.txt","KOG")</f>
        <v>KOG</v>
      </c>
      <c r="AG257" s="5">
        <v>2.9999999999999999E-19</v>
      </c>
      <c r="AH257">
        <v>26.9</v>
      </c>
      <c r="AI257" s="4" t="str">
        <f>HYPERLINK("http://exon.niaid.nih.gov/transcriptome/C_felis/S1/links/NR/cf-contig_589-NR.txt","hypothetical protein TcasGA2_TC010044")</f>
        <v>hypothetical protein TcasGA2_TC010044</v>
      </c>
      <c r="AJ257" t="str">
        <f>HYPERLINK("http://www.ncbi.nlm.nih.gov/sutils/blink.cgi?pid=270010617","7E-045")</f>
        <v>7E-045</v>
      </c>
      <c r="AK257" t="str">
        <f>HYPERLINK("http://www.ncbi.nlm.nih.gov/protein/270010617","gi|270010617")</f>
        <v>gi|270010617</v>
      </c>
      <c r="AL257">
        <v>185</v>
      </c>
      <c r="AM257">
        <v>260</v>
      </c>
      <c r="AN257">
        <v>977</v>
      </c>
      <c r="AO257">
        <v>36</v>
      </c>
      <c r="AP257">
        <v>27</v>
      </c>
      <c r="AQ257">
        <v>166</v>
      </c>
      <c r="AR257">
        <v>13</v>
      </c>
      <c r="AS257">
        <v>717</v>
      </c>
      <c r="AT257">
        <v>21</v>
      </c>
      <c r="AU257">
        <v>1</v>
      </c>
      <c r="AV257">
        <v>3</v>
      </c>
      <c r="AW257" t="s">
        <v>12</v>
      </c>
      <c r="AY257" t="s">
        <v>1676</v>
      </c>
      <c r="AZ257" t="s">
        <v>1878</v>
      </c>
      <c r="BA257" s="4" t="str">
        <f>HYPERLINK("http://exon.niaid.nih.gov/transcriptome/C_felis/S1/links/SWISSP/cf-contig_589-SWISSP.txt","Alanyl-tRNA synthetase, mitochondrial")</f>
        <v>Alanyl-tRNA synthetase, mitochondrial</v>
      </c>
      <c r="BB257" t="str">
        <f>HYPERLINK("http://www.uniprot.org/uniprot/Q9VRJ1","2E-041")</f>
        <v>2E-041</v>
      </c>
      <c r="BC257" t="s">
        <v>3823</v>
      </c>
      <c r="BD257">
        <v>169</v>
      </c>
      <c r="BE257">
        <v>250</v>
      </c>
      <c r="BF257">
        <v>1012</v>
      </c>
      <c r="BG257">
        <v>33</v>
      </c>
      <c r="BH257">
        <v>25</v>
      </c>
      <c r="BI257">
        <v>168</v>
      </c>
      <c r="BJ257">
        <v>5</v>
      </c>
      <c r="BK257">
        <v>762</v>
      </c>
      <c r="BL257">
        <v>24</v>
      </c>
      <c r="BM257">
        <v>1</v>
      </c>
      <c r="BN257">
        <v>3</v>
      </c>
      <c r="BO257" t="s">
        <v>12</v>
      </c>
      <c r="BQ257" t="s">
        <v>1676</v>
      </c>
      <c r="BR257" t="s">
        <v>1804</v>
      </c>
      <c r="BS257" s="4" t="str">
        <f>HYPERLINK("http://exon.niaid.nih.gov/transcriptome/C_felis/S1/links/CDD/cf-contig_589-CDD.txt","PTZ00440")</f>
        <v>PTZ00440</v>
      </c>
      <c r="BT257" t="str">
        <f>HYPERLINK("http://www.ncbi.nlm.nih.gov/Structure/cdd/cddsrv.cgi?uid=PTZ00440&amp;version=v4.0","3E-004")</f>
        <v>3E-004</v>
      </c>
      <c r="BU257" t="s">
        <v>3824</v>
      </c>
      <c r="BV257" s="4" t="s">
        <v>3825</v>
      </c>
      <c r="BW257">
        <f>HYPERLINK("http://exon.niaid.nih.gov/transcriptome/C_felis/S1/links/GO/cf-contig_589-GO.txt",2E-41)</f>
        <v>2E-41</v>
      </c>
      <c r="BX257" t="str">
        <f>HYPERLINK("http://amigo.geneontology.org/cgi-bin/amigo/term_details?term=GO:0004813","GO:0004813")</f>
        <v>GO:0004813</v>
      </c>
      <c r="BY257" t="s">
        <v>3826</v>
      </c>
      <c r="BZ257" t="s">
        <v>3827</v>
      </c>
      <c r="CA257" t="s">
        <v>3828</v>
      </c>
      <c r="CB257" t="str">
        <f>HYPERLINK("http://www.genome.jp/dbget-bin/www_bfind_sub?mode=bfind&amp;max_hit=1000&amp;dbkey=kegg&amp;keywords=EC:6.1.1.7","EC:6.1.1.7")</f>
        <v>EC:6.1.1.7</v>
      </c>
      <c r="CD257" s="5">
        <v>2E-41</v>
      </c>
      <c r="CE257" t="str">
        <f>HYPERLINK("http://amigo.geneontology.org/cgi-bin/amigo/term_details?term=GO:0005739","GO:0005739")</f>
        <v>GO:0005739</v>
      </c>
      <c r="CF257" t="s">
        <v>2551</v>
      </c>
      <c r="CG257" t="s">
        <v>2552</v>
      </c>
      <c r="CH257" t="s">
        <v>2553</v>
      </c>
      <c r="CI257" t="s">
        <v>42</v>
      </c>
      <c r="CK257" s="5">
        <v>2E-41</v>
      </c>
      <c r="CL257" t="str">
        <f>HYPERLINK("http://amigo.geneontology.org/cgi-bin/amigo/term_details?term=GO:0006419","GO:0006419")</f>
        <v>GO:0006419</v>
      </c>
      <c r="CM257" t="s">
        <v>3829</v>
      </c>
      <c r="CN257" t="s">
        <v>3830</v>
      </c>
      <c r="CO257" t="s">
        <v>42</v>
      </c>
      <c r="CP257" t="s">
        <v>42</v>
      </c>
      <c r="CR257" s="5">
        <v>2E-41</v>
      </c>
      <c r="CS257" s="4" t="str">
        <f>HYPERLINK("http://exon.niaid.nih.gov/transcriptome/C_felis/S1/links/KOG/cf-contig_589-KOG.txt","Alanyl-tRNA synthetase")</f>
        <v>Alanyl-tRNA synthetase</v>
      </c>
      <c r="CT257" t="str">
        <f>HYPERLINK("http://www.ncbi.nlm.nih.gov/COG/grace/shokog.cgi?KOG0188","3E-019")</f>
        <v>3E-019</v>
      </c>
      <c r="CU257" t="s">
        <v>1707</v>
      </c>
      <c r="CV257" s="4" t="str">
        <f>HYPERLINK("http://exon.niaid.nih.gov/transcriptome/C_felis/S1/links/PFAM/cf-contig_589-PFAM.txt","Sec1")</f>
        <v>Sec1</v>
      </c>
      <c r="CW257" t="str">
        <f>HYPERLINK("http://pfam.sanger.ac.uk/family?acc=PF00995","0.015")</f>
        <v>0.015</v>
      </c>
      <c r="CX257" s="4" t="str">
        <f>HYPERLINK("http://exon.niaid.nih.gov/transcriptome/C_felis/S1/links/SMART/cf-contig_589-SMART.txt","SynN")</f>
        <v>SynN</v>
      </c>
      <c r="CY257" t="str">
        <f>HYPERLINK("http://smart.embl-heidelberg.de/smart/do_annotation.pl?DOMAIN=SynN&amp;BLAST=DUMMY","0.002")</f>
        <v>0.002</v>
      </c>
      <c r="CZ257" s="4" t="s">
        <v>42</v>
      </c>
      <c r="DA257" t="s">
        <v>42</v>
      </c>
      <c r="DB257" t="s">
        <v>42</v>
      </c>
      <c r="DC257" t="s">
        <v>42</v>
      </c>
      <c r="DD257" t="s">
        <v>42</v>
      </c>
      <c r="DE257" t="s">
        <v>42</v>
      </c>
      <c r="DF257" t="s">
        <v>42</v>
      </c>
      <c r="DG257" t="s">
        <v>42</v>
      </c>
      <c r="DH257" s="4" t="s">
        <v>42</v>
      </c>
      <c r="DI257" t="s">
        <v>42</v>
      </c>
      <c r="DJ257" s="4" t="s">
        <v>42</v>
      </c>
      <c r="DK257" t="s">
        <v>42</v>
      </c>
      <c r="DL257" s="4">
        <v>480</v>
      </c>
      <c r="DM257">
        <v>1</v>
      </c>
      <c r="DN257" s="4">
        <v>491</v>
      </c>
      <c r="DO257">
        <v>1</v>
      </c>
      <c r="DP257" s="4">
        <v>500</v>
      </c>
      <c r="DQ257">
        <v>1</v>
      </c>
      <c r="DR257" s="4">
        <v>519</v>
      </c>
      <c r="DS257">
        <v>1</v>
      </c>
      <c r="DT257" s="4">
        <v>531</v>
      </c>
      <c r="DU257">
        <v>1</v>
      </c>
      <c r="DV257" s="4">
        <v>545</v>
      </c>
      <c r="DW257">
        <v>1</v>
      </c>
      <c r="DX257" s="4">
        <v>553</v>
      </c>
      <c r="DY257">
        <v>1</v>
      </c>
      <c r="DZ257" s="4">
        <v>561</v>
      </c>
      <c r="EA257">
        <v>1</v>
      </c>
      <c r="EB257" s="4">
        <v>566</v>
      </c>
      <c r="EC257">
        <v>1</v>
      </c>
      <c r="ED257" s="4">
        <v>570</v>
      </c>
      <c r="EE257">
        <v>1</v>
      </c>
      <c r="EF257" s="4">
        <v>575</v>
      </c>
      <c r="EG257">
        <v>1</v>
      </c>
      <c r="EH257" s="4">
        <v>582</v>
      </c>
      <c r="EI257">
        <v>1</v>
      </c>
      <c r="EJ257" s="4">
        <v>589</v>
      </c>
      <c r="EK257">
        <v>1</v>
      </c>
    </row>
    <row r="258" spans="1:141" x14ac:dyDescent="0.2">
      <c r="A258" t="str">
        <f>HYPERLINK("http://exon.niaid.nih.gov/transcriptome/C_felis/S1/links/cf/cf-contig_21.txt","cf-contig_21")</f>
        <v>cf-contig_21</v>
      </c>
      <c r="B258">
        <v>71</v>
      </c>
      <c r="C258" s="10" t="s">
        <v>4604</v>
      </c>
      <c r="D258">
        <v>71</v>
      </c>
      <c r="E258" t="str">
        <f>HYPERLINK("http://exon.niaid.nih.gov/transcriptome/C_felis/S1/links/cf/cf-5-36-asb-21.txt","Contig-21")</f>
        <v>Contig-21</v>
      </c>
      <c r="F258" t="str">
        <f>HYPERLINK("http://exon.niaid.nih.gov/transcriptome/C_felis/S1/links/cf/cf-5-36-21-CLU.txt","Contig21")</f>
        <v>Contig21</v>
      </c>
      <c r="G258" t="str">
        <f>HYPERLINK("http://exon.niaid.nih.gov/transcriptome/C_felis/S1/links/cf/cf-5-36-21-qual.txt","91.7")</f>
        <v>91.7</v>
      </c>
      <c r="H258" t="s">
        <v>11</v>
      </c>
      <c r="I258">
        <v>77.599999999999994</v>
      </c>
      <c r="J258">
        <v>595</v>
      </c>
      <c r="K258" t="s">
        <v>12</v>
      </c>
      <c r="L258">
        <v>71</v>
      </c>
      <c r="M258" t="s">
        <v>33</v>
      </c>
      <c r="N258">
        <v>597</v>
      </c>
      <c r="O258">
        <v>629</v>
      </c>
      <c r="P258">
        <v>156</v>
      </c>
      <c r="Q258" t="s">
        <v>843</v>
      </c>
      <c r="R258">
        <v>1</v>
      </c>
      <c r="S258" s="7" t="str">
        <f>HYPERLINK("http://exon.niaid.nih.gov/transcriptome/C_felis/S1/links/Sigp/CF-CONTIG_21-SigP.txt","Cyt")</f>
        <v>Cyt</v>
      </c>
      <c r="U258">
        <v>71</v>
      </c>
      <c r="V258" s="4">
        <v>99</v>
      </c>
      <c r="W258">
        <v>1</v>
      </c>
      <c r="X258" s="4">
        <v>91</v>
      </c>
      <c r="Y258">
        <v>1</v>
      </c>
      <c r="Z258" s="4">
        <v>83</v>
      </c>
      <c r="AA258">
        <v>1</v>
      </c>
      <c r="AB258" s="4" t="str">
        <f>HYPERLINK("http://exon.niaid.nih.gov/transcriptome/C_felis/S1/links/XC-ASB/cf-contig_21-XC-ASB.txt","XC-contig_47")</f>
        <v>XC-contig_47</v>
      </c>
      <c r="AC258">
        <v>9.9999999999999993E-78</v>
      </c>
      <c r="AD258" s="10" t="s">
        <v>4604</v>
      </c>
      <c r="AE258" t="s">
        <v>4605</v>
      </c>
      <c r="AF258" t="str">
        <f>HYPERLINK("http://exon.niaid.nih.gov/transcriptome/C_felis/S1/links/RRNA/cf-contig_21-RRNA.txt","RRNA")</f>
        <v>RRNA</v>
      </c>
      <c r="AG258" s="5">
        <v>3.0000000000000001E-45</v>
      </c>
      <c r="AH258">
        <v>14.7</v>
      </c>
      <c r="AI258" s="4" t="str">
        <f>HYPERLINK("http://exon.niaid.nih.gov/transcriptome/C_felis/S1/links/NR/cf-contig_21-NR.txt","hypothetical protein")</f>
        <v>hypothetical protein</v>
      </c>
      <c r="AJ258" t="str">
        <f>HYPERLINK("http://www.ncbi.nlm.nih.gov/sutils/blink.cgi?pid=133916482","9E-012")</f>
        <v>9E-012</v>
      </c>
      <c r="AK258" t="str">
        <f>HYPERLINK("http://www.ncbi.nlm.nih.gov/protein/133916482","gi|133916482")</f>
        <v>gi|133916482</v>
      </c>
      <c r="AL258">
        <v>74.7</v>
      </c>
      <c r="AM258">
        <v>47</v>
      </c>
      <c r="AN258">
        <v>53</v>
      </c>
      <c r="AO258">
        <v>72</v>
      </c>
      <c r="AP258">
        <v>91</v>
      </c>
      <c r="AQ258">
        <v>13</v>
      </c>
      <c r="AR258">
        <v>0</v>
      </c>
      <c r="AS258">
        <v>1</v>
      </c>
      <c r="AT258">
        <v>328</v>
      </c>
      <c r="AU258">
        <v>1</v>
      </c>
      <c r="AV258">
        <v>1</v>
      </c>
      <c r="AW258" t="s">
        <v>12</v>
      </c>
      <c r="AY258" t="s">
        <v>1676</v>
      </c>
      <c r="AZ258" t="s">
        <v>1746</v>
      </c>
      <c r="BA258" s="4" t="str">
        <f>HYPERLINK("http://exon.niaid.nih.gov/transcriptome/C_felis/S1/links/SWISSP/cf-contig_21-SWISSP.txt","Cytochrome c biogenesis protein ccsA")</f>
        <v>Cytochrome c biogenesis protein ccsA</v>
      </c>
      <c r="BB258" t="str">
        <f>HYPERLINK("http://www.uniprot.org/uniprot/Q9BBP4","1.1")</f>
        <v>1.1</v>
      </c>
      <c r="BC258" t="s">
        <v>1747</v>
      </c>
      <c r="BD258">
        <v>33.5</v>
      </c>
      <c r="BE258">
        <v>102</v>
      </c>
      <c r="BF258">
        <v>323</v>
      </c>
      <c r="BG258">
        <v>27</v>
      </c>
      <c r="BH258">
        <v>32</v>
      </c>
      <c r="BI258">
        <v>81</v>
      </c>
      <c r="BJ258">
        <v>7</v>
      </c>
      <c r="BK258">
        <v>114</v>
      </c>
      <c r="BL258">
        <v>147</v>
      </c>
      <c r="BM258">
        <v>1</v>
      </c>
      <c r="BN258">
        <v>-1</v>
      </c>
      <c r="BO258" t="s">
        <v>12</v>
      </c>
      <c r="BP258">
        <v>3.9220000000000002</v>
      </c>
      <c r="BQ258" t="s">
        <v>1666</v>
      </c>
      <c r="BR258" t="s">
        <v>1748</v>
      </c>
      <c r="BS258" s="4" t="str">
        <f>HYPERLINK("http://exon.niaid.nih.gov/transcriptome/C_felis/S1/links/CDD/cf-contig_21-CDD.txt","ND5")</f>
        <v>ND5</v>
      </c>
      <c r="BT258" t="str">
        <f>HYPERLINK("http://www.ncbi.nlm.nih.gov/Structure/cdd/cddsrv.cgi?uid=MTH00208&amp;version=v4.0","0.002")</f>
        <v>0.002</v>
      </c>
      <c r="BU258" t="s">
        <v>1749</v>
      </c>
      <c r="BV258" s="4" t="s">
        <v>42</v>
      </c>
      <c r="BW258" t="s">
        <v>42</v>
      </c>
      <c r="BX258" t="s">
        <v>42</v>
      </c>
      <c r="BY258" t="s">
        <v>42</v>
      </c>
      <c r="BZ258" t="s">
        <v>42</v>
      </c>
      <c r="CA258" t="s">
        <v>42</v>
      </c>
      <c r="CB258" t="s">
        <v>42</v>
      </c>
      <c r="CC258" t="s">
        <v>42</v>
      </c>
      <c r="CD258" t="s">
        <v>42</v>
      </c>
      <c r="CE258" t="s">
        <v>42</v>
      </c>
      <c r="CF258" t="s">
        <v>42</v>
      </c>
      <c r="CG258" t="s">
        <v>42</v>
      </c>
      <c r="CH258" t="s">
        <v>42</v>
      </c>
      <c r="CI258" t="s">
        <v>42</v>
      </c>
      <c r="CJ258" t="s">
        <v>42</v>
      </c>
      <c r="CK258" t="s">
        <v>42</v>
      </c>
      <c r="CL258" t="s">
        <v>42</v>
      </c>
      <c r="CM258" t="s">
        <v>42</v>
      </c>
      <c r="CN258" t="s">
        <v>42</v>
      </c>
      <c r="CO258" t="s">
        <v>42</v>
      </c>
      <c r="CP258" t="s">
        <v>42</v>
      </c>
      <c r="CQ258" t="s">
        <v>42</v>
      </c>
      <c r="CR258" t="s">
        <v>42</v>
      </c>
      <c r="CS258" s="4" t="str">
        <f>HYPERLINK("http://exon.niaid.nih.gov/transcriptome/C_felis/S1/links/KOG/cf-contig_21-KOG.txt","Transcription-associated recombination protein - Thp1p")</f>
        <v>Transcription-associated recombination protein - Thp1p</v>
      </c>
      <c r="CT258" t="str">
        <f>HYPERLINK("http://www.ncbi.nlm.nih.gov/COG/grace/shokog.cgi?KOG2688","1.7")</f>
        <v>1.7</v>
      </c>
      <c r="CU258" t="s">
        <v>1750</v>
      </c>
      <c r="CV258" s="4" t="str">
        <f>HYPERLINK("http://exon.niaid.nih.gov/transcriptome/C_felis/S1/links/PFAM/cf-contig_21-PFAM.txt","DUF70")</f>
        <v>DUF70</v>
      </c>
      <c r="CW258" t="str">
        <f>HYPERLINK("http://pfam.sanger.ac.uk/family?acc=PF01901","0.030")</f>
        <v>0.030</v>
      </c>
      <c r="CX258" s="4" t="str">
        <f>HYPERLINK("http://exon.niaid.nih.gov/transcriptome/C_felis/S1/links/SMART/cf-contig_21-SMART.txt","AgrB")</f>
        <v>AgrB</v>
      </c>
      <c r="CY258" t="str">
        <f>HYPERLINK("http://smart.embl-heidelberg.de/smart/do_annotation.pl?DOMAIN=AgrB&amp;BLAST=DUMMY","0.095")</f>
        <v>0.095</v>
      </c>
      <c r="CZ258" s="4" t="s">
        <v>42</v>
      </c>
      <c r="DA258" t="s">
        <v>42</v>
      </c>
      <c r="DB258" t="s">
        <v>42</v>
      </c>
      <c r="DC258" t="s">
        <v>42</v>
      </c>
      <c r="DD258" t="s">
        <v>42</v>
      </c>
      <c r="DE258" t="s">
        <v>42</v>
      </c>
      <c r="DF258" t="s">
        <v>42</v>
      </c>
      <c r="DG258" t="s">
        <v>42</v>
      </c>
      <c r="DH258" s="4" t="str">
        <f>HYPERLINK("http://exon.niaid.nih.gov/transcriptome/C_felis/S1/links/MIT-PLA/cf-contig_21-MIT-PLA.txt","Liriomyza trifolii mitochondrion, complete genome")</f>
        <v>Liriomyza trifolii mitochondrion, complete genome</v>
      </c>
      <c r="DI258" t="str">
        <f>HYPERLINK("http://www.ncbi.nlm.nih.gov/entrez/viewer.fcgi?db=nucleotide&amp;val=283487876","2E-050")</f>
        <v>2E-050</v>
      </c>
      <c r="DJ258" s="4" t="str">
        <f>HYPERLINK("http://exon.niaid.nih.gov/transcriptome/C_felis/S1/links/RRNA/cf-contig_21-RRNA.txt","Anopheles funestus 16S ribosomal RNA, partial sequence; mitochondrial")</f>
        <v>Anopheles funestus 16S ribosomal RNA, partial sequence; mitochondrial</v>
      </c>
      <c r="DK258" t="str">
        <f>HYPERLINK("http://www.ncbi.nlm.nih.gov/entrez/viewer.fcgi?db=nucleotide&amp;val=89112088","3E-045")</f>
        <v>3E-045</v>
      </c>
      <c r="DL258" s="4">
        <v>99</v>
      </c>
      <c r="DM258">
        <v>1</v>
      </c>
      <c r="DN258" s="4">
        <v>91</v>
      </c>
      <c r="DO258">
        <v>1</v>
      </c>
      <c r="DP258" s="4">
        <v>83</v>
      </c>
      <c r="DQ258">
        <v>1</v>
      </c>
      <c r="DR258" s="4">
        <v>72</v>
      </c>
      <c r="DS258">
        <v>1</v>
      </c>
      <c r="DT258" s="4">
        <v>64</v>
      </c>
      <c r="DU258">
        <v>1</v>
      </c>
      <c r="DV258" s="4">
        <v>59</v>
      </c>
      <c r="DW258">
        <v>1</v>
      </c>
      <c r="DX258" s="4">
        <v>53</v>
      </c>
      <c r="DY258">
        <v>1</v>
      </c>
      <c r="DZ258" s="4">
        <v>48</v>
      </c>
      <c r="EA258">
        <v>1</v>
      </c>
      <c r="EB258" s="4">
        <v>44</v>
      </c>
      <c r="EC258">
        <v>1</v>
      </c>
      <c r="ED258" s="4">
        <v>44</v>
      </c>
      <c r="EE258">
        <v>1</v>
      </c>
      <c r="EF258" s="4">
        <v>38</v>
      </c>
      <c r="EG258">
        <v>1</v>
      </c>
      <c r="EH258" s="4">
        <v>26</v>
      </c>
      <c r="EI258">
        <v>1</v>
      </c>
      <c r="EJ258" s="4">
        <v>21</v>
      </c>
      <c r="EK258">
        <v>1</v>
      </c>
    </row>
    <row r="259" spans="1:141" x14ac:dyDescent="0.2">
      <c r="A259" t="str">
        <f>HYPERLINK("http://exon.niaid.nih.gov/transcriptome/C_felis/S1/links/cf/cf-contig_507.txt","cf-contig_507")</f>
        <v>cf-contig_507</v>
      </c>
      <c r="B259">
        <v>1</v>
      </c>
      <c r="C259" s="10" t="s">
        <v>4787</v>
      </c>
      <c r="D259">
        <v>1</v>
      </c>
      <c r="E259" t="str">
        <f>HYPERLINK("http://exon.niaid.nih.gov/transcriptome/C_felis/S1/links/cf/cf-5-36-asb-507.txt","Contig-507")</f>
        <v>Contig-507</v>
      </c>
      <c r="F259" t="str">
        <f>HYPERLINK("http://exon.niaid.nih.gov/transcriptome/C_felis/S1/links/cf/cf-5-36-507-CLU.txt","Contig507")</f>
        <v>Contig507</v>
      </c>
      <c r="G259" t="str">
        <f>HYPERLINK("http://exon.niaid.nih.gov/transcriptome/C_felis/S1/links/cf/cf-5-36-507-qual.txt","65.7")</f>
        <v>65.7</v>
      </c>
      <c r="H259" t="s">
        <v>11</v>
      </c>
      <c r="I259">
        <v>70.3</v>
      </c>
      <c r="J259">
        <v>615</v>
      </c>
      <c r="K259" t="s">
        <v>12</v>
      </c>
      <c r="L259">
        <v>1</v>
      </c>
      <c r="M259" t="s">
        <v>520</v>
      </c>
      <c r="N259">
        <v>615</v>
      </c>
      <c r="O259">
        <v>634</v>
      </c>
      <c r="P259">
        <v>531</v>
      </c>
      <c r="Q259" t="s">
        <v>1326</v>
      </c>
      <c r="R259">
        <v>3</v>
      </c>
      <c r="S259" s="7" t="str">
        <f>HYPERLINK("http://exon.niaid.nih.gov/transcriptome/C_felis/S1/links/Sigp/CF-CONTIG_507-SigP.txt","Cyt")</f>
        <v>Cyt</v>
      </c>
      <c r="U259">
        <v>1</v>
      </c>
      <c r="V259" s="4">
        <v>414</v>
      </c>
      <c r="W259">
        <v>1</v>
      </c>
      <c r="X259" s="4">
        <v>423</v>
      </c>
      <c r="Y259">
        <v>1</v>
      </c>
      <c r="Z259" s="4">
        <v>428</v>
      </c>
      <c r="AA259">
        <v>1</v>
      </c>
      <c r="AB259" s="4" t="str">
        <f>HYPERLINK("http://exon.niaid.nih.gov/transcriptome/C_felis/S1/links/XC-ASB/cf-contig_507-XC-ASB.txt","XC-contig_147")</f>
        <v>XC-contig_147</v>
      </c>
      <c r="AC259">
        <v>1.3</v>
      </c>
      <c r="AD259" s="10" t="s">
        <v>4787</v>
      </c>
      <c r="AE259" t="s">
        <v>4605</v>
      </c>
      <c r="AF259" t="str">
        <f>HYPERLINK("http://exon.niaid.nih.gov/transcriptome/C_felis/S1/links/KOG/cf-contig_507-KOG.txt","KOG")</f>
        <v>KOG</v>
      </c>
      <c r="AG259" s="5">
        <v>4.9999999999999997E-68</v>
      </c>
      <c r="AH259">
        <v>26.8</v>
      </c>
      <c r="AI259" s="4" t="str">
        <f>HYPERLINK("http://exon.niaid.nih.gov/transcriptome/C_felis/S1/links/NR/cf-contig_507-NR.txt","arginyl-tRNA synthetase, cytoplasmic-like")</f>
        <v>arginyl-tRNA synthetase, cytoplasmic-like</v>
      </c>
      <c r="AJ259" t="str">
        <f>HYPERLINK("http://www.ncbi.nlm.nih.gov/sutils/blink.cgi?pid=350420346","8E-067")</f>
        <v>8E-067</v>
      </c>
      <c r="AK259" t="str">
        <f>HYPERLINK("http://www.ncbi.nlm.nih.gov/protein/350420346","gi|350420346")</f>
        <v>gi|350420346</v>
      </c>
      <c r="AL259">
        <v>257</v>
      </c>
      <c r="AM259">
        <v>174</v>
      </c>
      <c r="AN259">
        <v>674</v>
      </c>
      <c r="AO259">
        <v>69</v>
      </c>
      <c r="AP259">
        <v>26</v>
      </c>
      <c r="AQ259">
        <v>54</v>
      </c>
      <c r="AR259">
        <v>0</v>
      </c>
      <c r="AS259">
        <v>500</v>
      </c>
      <c r="AT259">
        <v>9</v>
      </c>
      <c r="AU259">
        <v>1</v>
      </c>
      <c r="AV259">
        <v>3</v>
      </c>
      <c r="AW259" t="s">
        <v>12</v>
      </c>
      <c r="AY259" t="s">
        <v>1676</v>
      </c>
      <c r="AZ259" t="s">
        <v>2234</v>
      </c>
      <c r="BA259" s="4" t="str">
        <f>HYPERLINK("http://exon.niaid.nih.gov/transcriptome/C_felis/S1/links/SWISSP/cf-contig_507-SWISSP.txt","Arginyl-tRNA synthetase, cytoplasmic")</f>
        <v>Arginyl-tRNA synthetase, cytoplasmic</v>
      </c>
      <c r="BB259" t="str">
        <f>HYPERLINK("http://www.uniprot.org/uniprot/Q6P1S4","1E-060")</f>
        <v>1E-060</v>
      </c>
      <c r="BC259" t="s">
        <v>3517</v>
      </c>
      <c r="BD259">
        <v>232</v>
      </c>
      <c r="BE259">
        <v>175</v>
      </c>
      <c r="BF259">
        <v>660</v>
      </c>
      <c r="BG259">
        <v>62</v>
      </c>
      <c r="BH259">
        <v>27</v>
      </c>
      <c r="BI259">
        <v>66</v>
      </c>
      <c r="BJ259">
        <v>1</v>
      </c>
      <c r="BK259">
        <v>485</v>
      </c>
      <c r="BL259">
        <v>9</v>
      </c>
      <c r="BM259">
        <v>1</v>
      </c>
      <c r="BN259">
        <v>3</v>
      </c>
      <c r="BO259" t="s">
        <v>12</v>
      </c>
      <c r="BQ259" t="s">
        <v>1676</v>
      </c>
      <c r="BR259" t="s">
        <v>1826</v>
      </c>
      <c r="BS259" s="4" t="str">
        <f>HYPERLINK("http://exon.niaid.nih.gov/transcriptome/C_felis/S1/links/CDD/cf-contig_507-CDD.txt","PLN02286")</f>
        <v>PLN02286</v>
      </c>
      <c r="BT259" t="str">
        <f>HYPERLINK("http://www.ncbi.nlm.nih.gov/Structure/cdd/cddsrv.cgi?uid=PLN02286&amp;version=v4.0","1E-044")</f>
        <v>1E-044</v>
      </c>
      <c r="BU259" t="s">
        <v>3518</v>
      </c>
      <c r="BV259" s="4" t="s">
        <v>3519</v>
      </c>
      <c r="BW259">
        <f>HYPERLINK("http://exon.niaid.nih.gov/transcriptome/C_felis/S1/links/GO/cf-contig_507-GO.txt",1E-60)</f>
        <v>9.9999999999999997E-61</v>
      </c>
      <c r="BX259" t="str">
        <f>HYPERLINK("http://amigo.geneontology.org/cgi-bin/amigo/term_details?term=GO:0000166","GO:0000166")</f>
        <v>GO:0000166</v>
      </c>
      <c r="BY259" t="s">
        <v>2415</v>
      </c>
      <c r="BZ259" t="s">
        <v>2416</v>
      </c>
      <c r="CA259" t="s">
        <v>42</v>
      </c>
      <c r="CB259" t="s">
        <v>42</v>
      </c>
      <c r="CD259" s="5">
        <v>9.9999999999999997E-61</v>
      </c>
      <c r="CE259" t="str">
        <f>HYPERLINK("http://amigo.geneontology.org/cgi-bin/amigo/term_details?term=GO:0005737","GO:0005737")</f>
        <v>GO:0005737</v>
      </c>
      <c r="CF259" t="s">
        <v>1966</v>
      </c>
      <c r="CG259" t="s">
        <v>1967</v>
      </c>
      <c r="CH259" t="s">
        <v>42</v>
      </c>
      <c r="CI259" t="s">
        <v>42</v>
      </c>
      <c r="CK259" s="5">
        <v>9.9999999999999997E-61</v>
      </c>
      <c r="CL259" t="str">
        <f>HYPERLINK("http://amigo.geneontology.org/cgi-bin/amigo/term_details?term=GO:0006418","GO:0006418")</f>
        <v>GO:0006418</v>
      </c>
      <c r="CM259" t="s">
        <v>3520</v>
      </c>
      <c r="CN259" t="s">
        <v>3521</v>
      </c>
      <c r="CO259" t="s">
        <v>3522</v>
      </c>
      <c r="CP259" t="s">
        <v>42</v>
      </c>
      <c r="CR259" s="5">
        <v>9.9999999999999997E-61</v>
      </c>
      <c r="CS259" s="4" t="str">
        <f>HYPERLINK("http://exon.niaid.nih.gov/transcriptome/C_felis/S1/links/KOG/cf-contig_507-KOG.txt","Arginyl-tRNA synthetase")</f>
        <v>Arginyl-tRNA synthetase</v>
      </c>
      <c r="CT259" t="str">
        <f>HYPERLINK("http://www.ncbi.nlm.nih.gov/COG/grace/shokog.cgi?KOG4426","5E-068")</f>
        <v>5E-068</v>
      </c>
      <c r="CU259" t="s">
        <v>1707</v>
      </c>
      <c r="CV259" s="4" t="str">
        <f>HYPERLINK("http://exon.niaid.nih.gov/transcriptome/C_felis/S1/links/PFAM/cf-contig_507-PFAM.txt","DALR_1")</f>
        <v>DALR_1</v>
      </c>
      <c r="CW259" t="str">
        <f>HYPERLINK("http://pfam.sanger.ac.uk/family?acc=PF05746","9E-027")</f>
        <v>9E-027</v>
      </c>
      <c r="CX259" s="4" t="str">
        <f>HYPERLINK("http://exon.niaid.nih.gov/transcriptome/C_felis/S1/links/SMART/cf-contig_507-SMART.txt","DALR_1")</f>
        <v>DALR_1</v>
      </c>
      <c r="CY259" t="str">
        <f>HYPERLINK("http://smart.embl-heidelberg.de/smart/do_annotation.pl?DOMAIN=DALR_1&amp;BLAST=DUMMY","4E-025")</f>
        <v>4E-025</v>
      </c>
      <c r="CZ259" s="4" t="s">
        <v>42</v>
      </c>
      <c r="DA259" t="s">
        <v>42</v>
      </c>
      <c r="DB259" t="s">
        <v>42</v>
      </c>
      <c r="DC259" t="s">
        <v>42</v>
      </c>
      <c r="DD259" t="s">
        <v>42</v>
      </c>
      <c r="DE259" t="s">
        <v>42</v>
      </c>
      <c r="DF259" t="s">
        <v>42</v>
      </c>
      <c r="DG259" t="s">
        <v>42</v>
      </c>
      <c r="DH259" s="4" t="s">
        <v>42</v>
      </c>
      <c r="DI259" t="s">
        <v>42</v>
      </c>
      <c r="DJ259" s="4" t="s">
        <v>42</v>
      </c>
      <c r="DK259" t="s">
        <v>42</v>
      </c>
      <c r="DL259" s="4">
        <v>414</v>
      </c>
      <c r="DM259">
        <v>1</v>
      </c>
      <c r="DN259" s="4">
        <v>423</v>
      </c>
      <c r="DO259">
        <v>1</v>
      </c>
      <c r="DP259" s="4">
        <v>428</v>
      </c>
      <c r="DQ259">
        <v>1</v>
      </c>
      <c r="DR259" s="4">
        <v>443</v>
      </c>
      <c r="DS259">
        <v>1</v>
      </c>
      <c r="DT259" s="4">
        <v>453</v>
      </c>
      <c r="DU259">
        <v>1</v>
      </c>
      <c r="DV259" s="4">
        <v>467</v>
      </c>
      <c r="DW259">
        <v>1</v>
      </c>
      <c r="DX259" s="4">
        <v>473</v>
      </c>
      <c r="DY259">
        <v>1</v>
      </c>
      <c r="DZ259" s="4">
        <v>481</v>
      </c>
      <c r="EA259">
        <v>1</v>
      </c>
      <c r="EB259" s="4">
        <v>486</v>
      </c>
      <c r="EC259">
        <v>1</v>
      </c>
      <c r="ED259" s="4">
        <v>490</v>
      </c>
      <c r="EE259">
        <v>1</v>
      </c>
      <c r="EF259" s="4">
        <v>495</v>
      </c>
      <c r="EG259">
        <v>1</v>
      </c>
      <c r="EH259" s="4">
        <v>501</v>
      </c>
      <c r="EI259">
        <v>1</v>
      </c>
      <c r="EJ259" s="4">
        <v>507</v>
      </c>
      <c r="EK259">
        <v>1</v>
      </c>
    </row>
    <row r="260" spans="1:141" x14ac:dyDescent="0.2">
      <c r="A260" t="str">
        <f>HYPERLINK("http://exon.niaid.nih.gov/transcriptome/C_felis/S1/links/cf/cf-contig_374.txt","cf-contig_374")</f>
        <v>cf-contig_374</v>
      </c>
      <c r="B260">
        <v>1</v>
      </c>
      <c r="C260" s="10" t="s">
        <v>4981</v>
      </c>
      <c r="D260">
        <v>1</v>
      </c>
      <c r="E260" t="str">
        <f>HYPERLINK("http://exon.niaid.nih.gov/transcriptome/C_felis/S1/links/cf/cf-5-36-asb-374.txt","Contig-374")</f>
        <v>Contig-374</v>
      </c>
      <c r="F260" t="str">
        <f>HYPERLINK("http://exon.niaid.nih.gov/transcriptome/C_felis/S1/links/cf/cf-5-36-374-CLU.txt","Contig374")</f>
        <v>Contig374</v>
      </c>
      <c r="G260" t="str">
        <f>HYPERLINK("http://exon.niaid.nih.gov/transcriptome/C_felis/S1/links/cf/cf-5-36-374-qual.txt","62.6")</f>
        <v>62.6</v>
      </c>
      <c r="H260" t="s">
        <v>11</v>
      </c>
      <c r="I260">
        <v>43.5</v>
      </c>
      <c r="J260">
        <v>455</v>
      </c>
      <c r="K260" t="s">
        <v>12</v>
      </c>
      <c r="L260">
        <v>1</v>
      </c>
      <c r="M260" t="s">
        <v>387</v>
      </c>
      <c r="N260">
        <v>455</v>
      </c>
      <c r="O260">
        <v>474</v>
      </c>
      <c r="P260">
        <v>192</v>
      </c>
      <c r="Q260" t="s">
        <v>1194</v>
      </c>
      <c r="R260">
        <v>2</v>
      </c>
      <c r="S260" s="7" t="s">
        <v>4585</v>
      </c>
      <c r="U260">
        <v>1</v>
      </c>
      <c r="V260" s="4">
        <v>303</v>
      </c>
      <c r="W260">
        <v>1</v>
      </c>
      <c r="X260" s="4">
        <v>310</v>
      </c>
      <c r="Y260">
        <v>1</v>
      </c>
      <c r="Z260" s="4">
        <v>311</v>
      </c>
      <c r="AA260">
        <v>1</v>
      </c>
      <c r="AB260" s="4" t="str">
        <f>HYPERLINK("http://exon.niaid.nih.gov/transcriptome/C_felis/S1/links/XC-ASB/cf-contig_374-XC-ASB.txt","XC-contig_78")</f>
        <v>XC-contig_78</v>
      </c>
      <c r="AC260">
        <v>0.68</v>
      </c>
      <c r="AD260" s="10" t="s">
        <v>4981</v>
      </c>
      <c r="AE260" t="s">
        <v>4605</v>
      </c>
      <c r="AF260" t="str">
        <f>HYPERLINK("http://exon.niaid.nih.gov/transcriptome/C_felis/S1/links/RRNA/cf-contig_374-RRNA.txt","RRNA")</f>
        <v>RRNA</v>
      </c>
      <c r="AG260" s="5">
        <v>8.9999999999999998E-48</v>
      </c>
      <c r="AH260">
        <v>2</v>
      </c>
      <c r="AI260" s="4" t="str">
        <f>HYPERLINK("http://exon.niaid.nih.gov/transcriptome/C_felis/S1/links/NR/cf-contig_374-NR.txt","hypothetical protein EAG_03557")</f>
        <v>hypothetical protein EAG_03557</v>
      </c>
      <c r="AJ260" t="str">
        <f>HYPERLINK("http://www.ncbi.nlm.nih.gov/sutils/blink.cgi?pid=307185262","5E-032")</f>
        <v>5E-032</v>
      </c>
      <c r="AK260" t="str">
        <f>HYPERLINK("http://www.ncbi.nlm.nih.gov/protein/307185262","gi|307185262")</f>
        <v>gi|307185262</v>
      </c>
      <c r="AL260">
        <v>140</v>
      </c>
      <c r="AM260">
        <v>100</v>
      </c>
      <c r="AN260">
        <v>306</v>
      </c>
      <c r="AO260">
        <v>72</v>
      </c>
      <c r="AP260">
        <v>33</v>
      </c>
      <c r="AQ260">
        <v>28</v>
      </c>
      <c r="AR260">
        <v>3</v>
      </c>
      <c r="AS260">
        <v>13</v>
      </c>
      <c r="AT260">
        <v>24</v>
      </c>
      <c r="AU260">
        <v>1</v>
      </c>
      <c r="AV260">
        <v>-2</v>
      </c>
      <c r="AW260" t="s">
        <v>12</v>
      </c>
      <c r="AY260" t="s">
        <v>1666</v>
      </c>
      <c r="AZ260" t="s">
        <v>2133</v>
      </c>
      <c r="BA260" s="4" t="str">
        <f>HYPERLINK("http://exon.niaid.nih.gov/transcriptome/C_felis/S1/links/SWISSP/cf-contig_374-SWISSP.txt","Translation initiation factor IF-2")</f>
        <v>Translation initiation factor IF-2</v>
      </c>
      <c r="BB260" t="str">
        <f>HYPERLINK("http://www.uniprot.org/uniprot/Q6A7M5","0.006")</f>
        <v>0.006</v>
      </c>
      <c r="BC260" t="s">
        <v>2989</v>
      </c>
      <c r="BD260">
        <v>40</v>
      </c>
      <c r="BE260">
        <v>212</v>
      </c>
      <c r="BF260">
        <v>964</v>
      </c>
      <c r="BG260">
        <v>26</v>
      </c>
      <c r="BH260">
        <v>22</v>
      </c>
      <c r="BI260">
        <v>82</v>
      </c>
      <c r="BJ260">
        <v>6</v>
      </c>
      <c r="BK260">
        <v>61</v>
      </c>
      <c r="BL260">
        <v>1</v>
      </c>
      <c r="BM260">
        <v>2</v>
      </c>
      <c r="BN260">
        <v>-1</v>
      </c>
      <c r="BO260" t="s">
        <v>12</v>
      </c>
      <c r="BQ260" t="s">
        <v>1666</v>
      </c>
      <c r="BR260" t="s">
        <v>2990</v>
      </c>
      <c r="BS260" s="4" t="str">
        <f>HYPERLINK("http://exon.niaid.nih.gov/transcriptome/C_felis/S1/links/CDD/cf-contig_374-CDD.txt","PRK09169")</f>
        <v>PRK09169</v>
      </c>
      <c r="BT260" t="str">
        <f>HYPERLINK("http://www.ncbi.nlm.nih.gov/Structure/cdd/cddsrv.cgi?uid=PRK09169&amp;version=v4.0","0.001")</f>
        <v>0.001</v>
      </c>
      <c r="BU260" t="s">
        <v>2991</v>
      </c>
      <c r="BV260" s="4" t="s">
        <v>2992</v>
      </c>
      <c r="BW260">
        <f>HYPERLINK("http://exon.niaid.nih.gov/transcriptome/C_felis/S1/links/GO/cf-contig_374-GO.txt",0.0000002)</f>
        <v>1.9999999999999999E-7</v>
      </c>
      <c r="BX260" t="str">
        <f>HYPERLINK("http://amigo.geneontology.org/cgi-bin/amigo/term_details?term=GO:0003690","GO:0003690")</f>
        <v>GO:0003690</v>
      </c>
      <c r="BY260" t="s">
        <v>2993</v>
      </c>
      <c r="BZ260" t="s">
        <v>2994</v>
      </c>
      <c r="CA260" t="s">
        <v>2995</v>
      </c>
      <c r="CB260" t="s">
        <v>42</v>
      </c>
      <c r="CD260">
        <v>1.9999999999999999E-7</v>
      </c>
      <c r="CE260" t="s">
        <v>42</v>
      </c>
      <c r="CF260" t="s">
        <v>42</v>
      </c>
      <c r="CG260" t="s">
        <v>42</v>
      </c>
      <c r="CH260" t="s">
        <v>42</v>
      </c>
      <c r="CJ260" t="s">
        <v>42</v>
      </c>
      <c r="CK260" t="s">
        <v>42</v>
      </c>
      <c r="CL260" t="str">
        <f>HYPERLINK("http://amigo.geneontology.org/cgi-bin/amigo/term_details?term=GO:0008283","GO:0008283")</f>
        <v>GO:0008283</v>
      </c>
      <c r="CM260" t="s">
        <v>1908</v>
      </c>
      <c r="CN260" t="s">
        <v>1909</v>
      </c>
      <c r="CO260" t="s">
        <v>42</v>
      </c>
      <c r="CP260" t="s">
        <v>42</v>
      </c>
      <c r="CR260">
        <v>1.9999999999999999E-7</v>
      </c>
      <c r="CS260" s="4" t="str">
        <f>HYPERLINK("http://exon.niaid.nih.gov/transcriptome/C_felis/S1/links/KOG/cf-contig_374-KOG.txt","Cyclin-dependent kinase inhibitor")</f>
        <v>Cyclin-dependent kinase inhibitor</v>
      </c>
      <c r="CT260" t="str">
        <f>HYPERLINK("http://www.ncbi.nlm.nih.gov/COG/grace/shokog.cgi?KOG4743","5E-004")</f>
        <v>5E-004</v>
      </c>
      <c r="CU260" t="s">
        <v>1780</v>
      </c>
      <c r="CV260" s="4" t="str">
        <f>HYPERLINK("http://exon.niaid.nih.gov/transcriptome/C_felis/S1/links/PFAM/cf-contig_374-PFAM.txt","APC_basic")</f>
        <v>APC_basic</v>
      </c>
      <c r="CW260" t="str">
        <f>HYPERLINK("http://pfam.sanger.ac.uk/family?acc=PF05956","0.004")</f>
        <v>0.004</v>
      </c>
      <c r="CX260" s="4" t="str">
        <f>HYPERLINK("http://exon.niaid.nih.gov/transcriptome/C_felis/S1/links/SMART/cf-contig_374-SMART.txt","acidPPc")</f>
        <v>acidPPc</v>
      </c>
      <c r="CY260" t="str">
        <f>HYPERLINK("http://smart.embl-heidelberg.de/smart/do_annotation.pl?DOMAIN=acidPPc&amp;BLAST=DUMMY","0.007")</f>
        <v>0.007</v>
      </c>
      <c r="CZ260" s="4" t="s">
        <v>42</v>
      </c>
      <c r="DA260" t="s">
        <v>42</v>
      </c>
      <c r="DB260" t="s">
        <v>42</v>
      </c>
      <c r="DC260" t="s">
        <v>42</v>
      </c>
      <c r="DD260" t="s">
        <v>42</v>
      </c>
      <c r="DE260" t="s">
        <v>42</v>
      </c>
      <c r="DF260" t="s">
        <v>42</v>
      </c>
      <c r="DG260" t="s">
        <v>42</v>
      </c>
      <c r="DH260" s="4" t="s">
        <v>42</v>
      </c>
      <c r="DI260" t="s">
        <v>42</v>
      </c>
      <c r="DJ260" s="4" t="str">
        <f>HYPERLINK("http://exon.niaid.nih.gov/transcriptome/C_felis/S1/links/RRNA/cf-contig_374-RRNA.txt","Drosophila persimilis ribosomal RNA (Dper/28SrRNA:GL28069), rRNA")</f>
        <v>Drosophila persimilis ribosomal RNA (Dper/28SrRNA:GL28069), rRNA</v>
      </c>
      <c r="DK260" t="str">
        <f>HYPERLINK("http://www.ncbi.nlm.nih.gov/entrez/viewer.fcgi?db=nucleotide&amp;val=195176023","9E-048")</f>
        <v>9E-048</v>
      </c>
      <c r="DL260" s="4">
        <v>303</v>
      </c>
      <c r="DM260">
        <v>1</v>
      </c>
      <c r="DN260" s="4">
        <v>310</v>
      </c>
      <c r="DO260">
        <v>1</v>
      </c>
      <c r="DP260" s="4">
        <v>311</v>
      </c>
      <c r="DQ260">
        <v>1</v>
      </c>
      <c r="DR260" s="4">
        <v>322</v>
      </c>
      <c r="DS260">
        <v>1</v>
      </c>
      <c r="DT260" s="4">
        <v>332</v>
      </c>
      <c r="DU260">
        <v>1</v>
      </c>
      <c r="DV260" s="4">
        <v>345</v>
      </c>
      <c r="DW260">
        <v>1</v>
      </c>
      <c r="DX260" s="4">
        <v>348</v>
      </c>
      <c r="DY260">
        <v>1</v>
      </c>
      <c r="DZ260" s="4">
        <v>353</v>
      </c>
      <c r="EA260">
        <v>1</v>
      </c>
      <c r="EB260" s="4">
        <v>358</v>
      </c>
      <c r="EC260">
        <v>1</v>
      </c>
      <c r="ED260" s="4">
        <v>362</v>
      </c>
      <c r="EE260">
        <v>1</v>
      </c>
      <c r="EF260" s="4">
        <v>367</v>
      </c>
      <c r="EG260">
        <v>1</v>
      </c>
      <c r="EH260" s="4">
        <v>369</v>
      </c>
      <c r="EI260">
        <v>1</v>
      </c>
      <c r="EJ260" s="4">
        <v>374</v>
      </c>
      <c r="EK260">
        <v>1</v>
      </c>
    </row>
    <row r="261" spans="1:141" x14ac:dyDescent="0.2">
      <c r="A261" t="str">
        <f>HYPERLINK("http://exon.niaid.nih.gov/transcriptome/C_felis/S1/links/cf/cf-contig_114.txt","cf-contig_114")</f>
        <v>cf-contig_114</v>
      </c>
      <c r="B261">
        <v>3</v>
      </c>
      <c r="C261" s="10" t="s">
        <v>4635</v>
      </c>
      <c r="D261">
        <v>3</v>
      </c>
      <c r="E261" t="str">
        <f>HYPERLINK("http://exon.niaid.nih.gov/transcriptome/C_felis/S1/links/cf/cf-5-36-asb-114.txt","Contig-114")</f>
        <v>Contig-114</v>
      </c>
      <c r="F261" t="str">
        <f>HYPERLINK("http://exon.niaid.nih.gov/transcriptome/C_felis/S1/links/cf/cf-5-36-114-CLU.txt","Contig114")</f>
        <v>Contig114</v>
      </c>
      <c r="G261" t="str">
        <f>HYPERLINK("http://exon.niaid.nih.gov/transcriptome/C_felis/S1/links/cf/cf-5-36-114-qual.txt","88.8")</f>
        <v>88.8</v>
      </c>
      <c r="H261" t="s">
        <v>11</v>
      </c>
      <c r="I261">
        <v>59.2</v>
      </c>
      <c r="J261">
        <v>641</v>
      </c>
      <c r="K261" t="s">
        <v>12</v>
      </c>
      <c r="L261">
        <v>3</v>
      </c>
      <c r="M261" t="s">
        <v>127</v>
      </c>
      <c r="N261">
        <v>635</v>
      </c>
      <c r="O261">
        <v>660</v>
      </c>
      <c r="P261">
        <v>345</v>
      </c>
      <c r="Q261" t="s">
        <v>934</v>
      </c>
      <c r="R261">
        <v>1</v>
      </c>
      <c r="S261" s="7" t="str">
        <f>HYPERLINK("http://exon.niaid.nih.gov/transcriptome/C_felis/S1/links/Sigp/CF-CONTIG_114-SigP.txt","Cyt")</f>
        <v>Cyt</v>
      </c>
      <c r="U261">
        <v>3</v>
      </c>
      <c r="V261" s="4">
        <f>HYPERLINK("http://exon.niaid.nih.gov/transcriptome/C_felis/S1/links/cluster/cf-5-36-asb30-50-Id-CLU10.txt", 10)</f>
        <v>10</v>
      </c>
      <c r="W261">
        <f>HYPERLINK("http://exon.niaid.nih.gov/transcriptome/C_felis/S1/links/cluster/cf-5-36-asb30-50-Id-CLTL10.txt", 4)</f>
        <v>4</v>
      </c>
      <c r="X261" s="4">
        <f>HYPERLINK("http://exon.niaid.nih.gov/transcriptome/C_felis/S1/links/cluster/cf-5-36-asb35-50-Id-CLU9.txt", 9)</f>
        <v>9</v>
      </c>
      <c r="Y261">
        <f>HYPERLINK("http://exon.niaid.nih.gov/transcriptome/C_felis/S1/links/cluster/cf-5-36-asb35-50-Id-CLTL9.txt", 4)</f>
        <v>4</v>
      </c>
      <c r="Z261" s="4">
        <f>HYPERLINK("http://exon.niaid.nih.gov/transcriptome/C_felis/S1/links/cluster/cf-5-36-asb40-50-Id-CLU7.txt", 7)</f>
        <v>7</v>
      </c>
      <c r="AA261">
        <f>HYPERLINK("http://exon.niaid.nih.gov/transcriptome/C_felis/S1/links/cluster/cf-5-36-asb40-50-Id-CLTL7.txt", 4)</f>
        <v>4</v>
      </c>
      <c r="AB261" s="4" t="str">
        <f>HYPERLINK("http://exon.niaid.nih.gov/transcriptome/C_felis/S1/links/XC-ASB/cf-contig_114-XC-ASB.txt","XC-contig_120")</f>
        <v>XC-contig_120</v>
      </c>
      <c r="AC261">
        <v>3.0000000000000002E-91</v>
      </c>
      <c r="AD261" s="10" t="s">
        <v>4635</v>
      </c>
      <c r="AE261" t="s">
        <v>4605</v>
      </c>
      <c r="AF261" t="str">
        <f>HYPERLINK("http://exon.niaid.nih.gov/transcriptome/C_felis/S1/links/NR/cf-contig_114-NR.txt","NR")</f>
        <v>NR</v>
      </c>
      <c r="AG261" s="5">
        <v>6.9999999999999996E-56</v>
      </c>
      <c r="AH261">
        <v>48</v>
      </c>
      <c r="AI261" s="4" t="str">
        <f>HYPERLINK("http://exon.niaid.nih.gov/transcriptome/C_felis/S1/links/NR/cf-contig_114-NR.txt","elongation factor 1-alpha")</f>
        <v>elongation factor 1-alpha</v>
      </c>
      <c r="AJ261" t="str">
        <f>HYPERLINK("http://www.ncbi.nlm.nih.gov/sutils/blink.cgi?pid=255710199","7E-056")</f>
        <v>7E-056</v>
      </c>
      <c r="AK261" t="str">
        <f>HYPERLINK("http://www.ncbi.nlm.nih.gov/protein/255710199","gi|255710199")</f>
        <v>gi|255710199</v>
      </c>
      <c r="AL261">
        <v>221</v>
      </c>
      <c r="AM261">
        <v>112</v>
      </c>
      <c r="AN261">
        <v>233</v>
      </c>
      <c r="AO261">
        <v>95</v>
      </c>
      <c r="AP261">
        <v>48</v>
      </c>
      <c r="AQ261">
        <v>5</v>
      </c>
      <c r="AR261">
        <v>0</v>
      </c>
      <c r="AS261">
        <v>121</v>
      </c>
      <c r="AT261">
        <v>7</v>
      </c>
      <c r="AU261">
        <v>1</v>
      </c>
      <c r="AV261">
        <v>1</v>
      </c>
      <c r="AW261" t="s">
        <v>12</v>
      </c>
      <c r="AY261" t="s">
        <v>1676</v>
      </c>
      <c r="AZ261" t="s">
        <v>2100</v>
      </c>
      <c r="BA261" s="4" t="str">
        <f>HYPERLINK("http://exon.niaid.nih.gov/transcriptome/C_felis/S1/links/SWISSP/cf-contig_114-SWISSP.txt","Elongation factor 1-alpha")</f>
        <v>Elongation factor 1-alpha</v>
      </c>
      <c r="BB261" t="str">
        <f>HYPERLINK("http://www.uniprot.org/uniprot/P29520","1E-055")</f>
        <v>1E-055</v>
      </c>
      <c r="BC261" t="s">
        <v>2101</v>
      </c>
      <c r="BD261">
        <v>216</v>
      </c>
      <c r="BE261">
        <v>112</v>
      </c>
      <c r="BF261">
        <v>463</v>
      </c>
      <c r="BG261">
        <v>93</v>
      </c>
      <c r="BH261">
        <v>24</v>
      </c>
      <c r="BI261">
        <v>7</v>
      </c>
      <c r="BJ261">
        <v>0</v>
      </c>
      <c r="BK261">
        <v>351</v>
      </c>
      <c r="BL261">
        <v>7</v>
      </c>
      <c r="BM261">
        <v>1</v>
      </c>
      <c r="BN261">
        <v>1</v>
      </c>
      <c r="BO261" t="s">
        <v>12</v>
      </c>
      <c r="BQ261" t="s">
        <v>1676</v>
      </c>
      <c r="BR261" t="s">
        <v>2037</v>
      </c>
      <c r="BS261" s="4" t="str">
        <f>HYPERLINK("http://exon.niaid.nih.gov/transcriptome/C_felis/S1/links/CDD/cf-contig_114-CDD.txt","PTZ00141")</f>
        <v>PTZ00141</v>
      </c>
      <c r="BT261" t="str">
        <f>HYPERLINK("http://www.ncbi.nlm.nih.gov/Structure/cdd/cddsrv.cgi?uid=PTZ00141&amp;version=v4.0","1E-053")</f>
        <v>1E-053</v>
      </c>
      <c r="BU261" t="s">
        <v>2102</v>
      </c>
      <c r="BV261" s="4" t="s">
        <v>2103</v>
      </c>
      <c r="BW261">
        <f>HYPERLINK("http://exon.niaid.nih.gov/transcriptome/C_felis/S1/links/GO/cf-contig_114-GO.txt",2E-55)</f>
        <v>2E-55</v>
      </c>
      <c r="BX261" t="str">
        <f>HYPERLINK("http://amigo.geneontology.org/cgi-bin/amigo/term_details?term=GO:0003746","GO:0003746")</f>
        <v>GO:0003746</v>
      </c>
      <c r="BY261" t="s">
        <v>2104</v>
      </c>
      <c r="BZ261" t="s">
        <v>2105</v>
      </c>
      <c r="CA261" t="s">
        <v>42</v>
      </c>
      <c r="CB261" t="s">
        <v>42</v>
      </c>
      <c r="CD261" s="5">
        <v>2E-55</v>
      </c>
      <c r="CE261" t="str">
        <f>HYPERLINK("http://amigo.geneontology.org/cgi-bin/amigo/term_details?term=GO:0005829","GO:0005829")</f>
        <v>GO:0005829</v>
      </c>
      <c r="CF261" t="s">
        <v>2106</v>
      </c>
      <c r="CG261" t="s">
        <v>2107</v>
      </c>
      <c r="CH261" t="s">
        <v>42</v>
      </c>
      <c r="CI261" t="s">
        <v>42</v>
      </c>
      <c r="CK261" s="5">
        <v>2E-55</v>
      </c>
      <c r="CL261" t="str">
        <f>HYPERLINK("http://amigo.geneontology.org/cgi-bin/amigo/term_details?term=GO:0008340","GO:0008340")</f>
        <v>GO:0008340</v>
      </c>
      <c r="CM261" t="s">
        <v>2108</v>
      </c>
      <c r="CN261" t="s">
        <v>2109</v>
      </c>
      <c r="CO261" t="s">
        <v>42</v>
      </c>
      <c r="CP261" t="s">
        <v>42</v>
      </c>
      <c r="CR261" s="5">
        <v>2E-55</v>
      </c>
      <c r="CS261" s="4" t="str">
        <f>HYPERLINK("http://exon.niaid.nih.gov/transcriptome/C_felis/S1/links/KOG/cf-contig_114-KOG.txt","Translation elongation factor EF-1 alpha/Tu")</f>
        <v>Translation elongation factor EF-1 alpha/Tu</v>
      </c>
      <c r="CT261" t="str">
        <f>HYPERLINK("http://www.ncbi.nlm.nih.gov/COG/grace/shokog.cgi?KOG0052","1E-042")</f>
        <v>1E-042</v>
      </c>
      <c r="CU261" t="s">
        <v>1707</v>
      </c>
      <c r="CV261" s="4" t="str">
        <f>HYPERLINK("http://exon.niaid.nih.gov/transcriptome/C_felis/S1/links/PFAM/cf-contig_114-PFAM.txt","GTP_EFTU_D3")</f>
        <v>GTP_EFTU_D3</v>
      </c>
      <c r="CW261" t="str">
        <f>HYPERLINK("http://pfam.sanger.ac.uk/family?acc=PF03143","5E-030")</f>
        <v>5E-030</v>
      </c>
      <c r="CX261" s="4" t="str">
        <f>HYPERLINK("http://exon.niaid.nih.gov/transcriptome/C_felis/S1/links/SMART/cf-contig_114-SMART.txt","HTTM")</f>
        <v>HTTM</v>
      </c>
      <c r="CY261" t="str">
        <f>HYPERLINK("http://smart.embl-heidelberg.de/smart/do_annotation.pl?DOMAIN=HTTM&amp;BLAST=DUMMY","0.43")</f>
        <v>0.43</v>
      </c>
      <c r="CZ261" s="4" t="s">
        <v>42</v>
      </c>
      <c r="DA261" t="s">
        <v>42</v>
      </c>
      <c r="DB261" t="s">
        <v>42</v>
      </c>
      <c r="DC261" t="s">
        <v>42</v>
      </c>
      <c r="DD261" t="s">
        <v>42</v>
      </c>
      <c r="DE261" t="s">
        <v>42</v>
      </c>
      <c r="DF261" t="s">
        <v>42</v>
      </c>
      <c r="DG261" t="s">
        <v>42</v>
      </c>
      <c r="DH261" s="4" t="s">
        <v>42</v>
      </c>
      <c r="DI261" t="s">
        <v>42</v>
      </c>
      <c r="DJ261" s="4" t="s">
        <v>42</v>
      </c>
      <c r="DK261" t="s">
        <v>42</v>
      </c>
      <c r="DL261" s="4">
        <f>HYPERLINK("http://exon.niaid.nih.gov/transcriptome/C_felis/S1/links/cluster/cf-5-36-asb30-50-Id-CLU10.txt", 10)</f>
        <v>10</v>
      </c>
      <c r="DM261">
        <f>HYPERLINK("http://exon.niaid.nih.gov/transcriptome/C_felis/S1/links/cluster/cf-5-36-asb30-50-Id-CLTL10.txt", 4)</f>
        <v>4</v>
      </c>
      <c r="DN261" s="4">
        <f>HYPERLINK("http://exon.niaid.nih.gov/transcriptome/C_felis/S1/links/cluster/cf-5-36-asb35-50-Id-CLU9.txt", 9)</f>
        <v>9</v>
      </c>
      <c r="DO261">
        <f>HYPERLINK("http://exon.niaid.nih.gov/transcriptome/C_felis/S1/links/cluster/cf-5-36-asb35-50-Id-CLTL9.txt", 4)</f>
        <v>4</v>
      </c>
      <c r="DP261" s="4">
        <f>HYPERLINK("http://exon.niaid.nih.gov/transcriptome/C_felis/S1/links/cluster/cf-5-36-asb40-50-Id-CLU7.txt", 7)</f>
        <v>7</v>
      </c>
      <c r="DQ261">
        <f>HYPERLINK("http://exon.niaid.nih.gov/transcriptome/C_felis/S1/links/cluster/cf-5-36-asb40-50-Id-CLTL7.txt", 4)</f>
        <v>4</v>
      </c>
      <c r="DR261" s="4">
        <f>HYPERLINK("http://exon.niaid.nih.gov/transcriptome/C_felis/S1/links/cluster/cf-5-36-asb45-50-Id-CLU7.txt", 7)</f>
        <v>7</v>
      </c>
      <c r="DS261">
        <f>HYPERLINK("http://exon.niaid.nih.gov/transcriptome/C_felis/S1/links/cluster/cf-5-36-asb45-50-Id-CLTL7.txt", 4)</f>
        <v>4</v>
      </c>
      <c r="DT261" s="4">
        <f>HYPERLINK("http://exon.niaid.nih.gov/transcriptome/C_felis/S1/links/cluster/cf-5-36-asb50-50-Id-CLU7.txt", 7)</f>
        <v>7</v>
      </c>
      <c r="DU261">
        <f>HYPERLINK("http://exon.niaid.nih.gov/transcriptome/C_felis/S1/links/cluster/cf-5-36-asb50-50-Id-CLTL7.txt", 4)</f>
        <v>4</v>
      </c>
      <c r="DV261" s="4">
        <f>HYPERLINK("http://exon.niaid.nih.gov/transcriptome/C_felis/S1/links/cluster/cf-5-36-asb55-50-Id-CLU4.txt", 4)</f>
        <v>4</v>
      </c>
      <c r="DW261">
        <f>HYPERLINK("http://exon.niaid.nih.gov/transcriptome/C_felis/S1/links/cluster/cf-5-36-asb55-50-Id-CLTL4.txt", 4)</f>
        <v>4</v>
      </c>
      <c r="DX261" s="4">
        <f>HYPERLINK("http://exon.niaid.nih.gov/transcriptome/C_felis/S1/links/cluster/cf-5-36-asb60-50-Id-CLU2.txt", 2)</f>
        <v>2</v>
      </c>
      <c r="DY261">
        <f>HYPERLINK("http://exon.niaid.nih.gov/transcriptome/C_felis/S1/links/cluster/cf-5-36-asb60-50-Id-CLTL2.txt", 4)</f>
        <v>4</v>
      </c>
      <c r="DZ261" s="4">
        <f>HYPERLINK("http://exon.niaid.nih.gov/transcriptome/C_felis/S1/links/cluster/cf-5-36-asb65-50-Id-CLU4.txt", 4)</f>
        <v>4</v>
      </c>
      <c r="EA261">
        <f>HYPERLINK("http://exon.niaid.nih.gov/transcriptome/C_felis/S1/links/cluster/cf-5-36-asb65-50-Id-CLTL4.txt", 3)</f>
        <v>3</v>
      </c>
      <c r="EB261" s="4">
        <v>118</v>
      </c>
      <c r="EC261">
        <v>1</v>
      </c>
      <c r="ED261" s="4">
        <v>119</v>
      </c>
      <c r="EE261">
        <v>1</v>
      </c>
      <c r="EF261" s="4">
        <v>116</v>
      </c>
      <c r="EG261">
        <v>1</v>
      </c>
      <c r="EH261" s="4">
        <v>113</v>
      </c>
      <c r="EI261">
        <v>1</v>
      </c>
      <c r="EJ261" s="4">
        <v>114</v>
      </c>
      <c r="EK261">
        <v>1</v>
      </c>
    </row>
    <row r="262" spans="1:141" x14ac:dyDescent="0.2">
      <c r="A262" t="str">
        <f>HYPERLINK("http://exon.niaid.nih.gov/transcriptome/C_felis/S1/links/cf/cf-contig_115.txt","cf-contig_115")</f>
        <v>cf-contig_115</v>
      </c>
      <c r="B262">
        <v>2</v>
      </c>
      <c r="C262" s="10" t="s">
        <v>4635</v>
      </c>
      <c r="D262">
        <v>2</v>
      </c>
      <c r="E262" t="str">
        <f>HYPERLINK("http://exon.niaid.nih.gov/transcriptome/C_felis/S1/links/cf/cf-5-36-asb-115.txt","Contig-115")</f>
        <v>Contig-115</v>
      </c>
      <c r="F262" t="str">
        <f>HYPERLINK("http://exon.niaid.nih.gov/transcriptome/C_felis/S1/links/cf/cf-5-36-115-CLU.txt","Contig115")</f>
        <v>Contig115</v>
      </c>
      <c r="G262" t="str">
        <f>HYPERLINK("http://exon.niaid.nih.gov/transcriptome/C_felis/S1/links/cf/cf-5-36-115-qual.txt","83.2")</f>
        <v>83.2</v>
      </c>
      <c r="H262" t="s">
        <v>11</v>
      </c>
      <c r="I262">
        <v>60.7</v>
      </c>
      <c r="J262">
        <v>556</v>
      </c>
      <c r="K262" t="s">
        <v>12</v>
      </c>
      <c r="L262">
        <v>2</v>
      </c>
      <c r="M262" t="s">
        <v>128</v>
      </c>
      <c r="N262">
        <v>595</v>
      </c>
      <c r="O262">
        <v>575</v>
      </c>
      <c r="P262">
        <v>261</v>
      </c>
      <c r="Q262" t="s">
        <v>935</v>
      </c>
      <c r="R262">
        <v>3</v>
      </c>
      <c r="S262" s="7" t="str">
        <f>HYPERLINK("http://exon.niaid.nih.gov/transcriptome/C_felis/S1/links/Sigp/CF-CONTIG_115-SigP.txt","Cyt")</f>
        <v>Cyt</v>
      </c>
      <c r="U262">
        <v>2</v>
      </c>
      <c r="V262" s="4">
        <f>HYPERLINK("http://exon.niaid.nih.gov/transcriptome/C_felis/S1/links/cluster/cf-5-36-asb30-50-Id-CLU10.txt", 10)</f>
        <v>10</v>
      </c>
      <c r="W262">
        <f>HYPERLINK("http://exon.niaid.nih.gov/transcriptome/C_felis/S1/links/cluster/cf-5-36-asb30-50-Id-CLTL10.txt", 4)</f>
        <v>4</v>
      </c>
      <c r="X262" s="4">
        <f>HYPERLINK("http://exon.niaid.nih.gov/transcriptome/C_felis/S1/links/cluster/cf-5-36-asb35-50-Id-CLU9.txt", 9)</f>
        <v>9</v>
      </c>
      <c r="Y262">
        <f>HYPERLINK("http://exon.niaid.nih.gov/transcriptome/C_felis/S1/links/cluster/cf-5-36-asb35-50-Id-CLTL9.txt", 4)</f>
        <v>4</v>
      </c>
      <c r="Z262" s="4">
        <f>HYPERLINK("http://exon.niaid.nih.gov/transcriptome/C_felis/S1/links/cluster/cf-5-36-asb40-50-Id-CLU7.txt", 7)</f>
        <v>7</v>
      </c>
      <c r="AA262">
        <f>HYPERLINK("http://exon.niaid.nih.gov/transcriptome/C_felis/S1/links/cluster/cf-5-36-asb40-50-Id-CLTL7.txt", 4)</f>
        <v>4</v>
      </c>
      <c r="AB262" s="4" t="str">
        <f>HYPERLINK("http://exon.niaid.nih.gov/transcriptome/C_felis/S1/links/XC-ASB/cf-contig_115-XC-ASB.txt","XC-contig_120")</f>
        <v>XC-contig_120</v>
      </c>
      <c r="AC262">
        <v>1.9999999999999998E-71</v>
      </c>
      <c r="AD262" s="10" t="s">
        <v>4635</v>
      </c>
      <c r="AE262" t="s">
        <v>4605</v>
      </c>
      <c r="AF262" t="str">
        <f>HYPERLINK("http://exon.niaid.nih.gov/transcriptome/C_felis/S1/links/NR/cf-contig_115-NR.txt","NR")</f>
        <v>NR</v>
      </c>
      <c r="AG262" s="5">
        <v>1.9999999999999999E-39</v>
      </c>
      <c r="AH262">
        <v>37.299999999999997</v>
      </c>
      <c r="AI262" s="4" t="str">
        <f>HYPERLINK("http://exon.niaid.nih.gov/transcriptome/C_felis/S1/links/NR/cf-contig_115-NR.txt","elongation factor 1-alpha")</f>
        <v>elongation factor 1-alpha</v>
      </c>
      <c r="AJ262" t="str">
        <f>HYPERLINK("http://www.ncbi.nlm.nih.gov/sutils/blink.cgi?pid=255710199","2E-039")</f>
        <v>2E-039</v>
      </c>
      <c r="AK262" t="str">
        <f>HYPERLINK("http://www.ncbi.nlm.nih.gov/protein/255710199","gi|255710199")</f>
        <v>gi|255710199</v>
      </c>
      <c r="AL262">
        <v>166</v>
      </c>
      <c r="AM262">
        <v>86</v>
      </c>
      <c r="AN262">
        <v>233</v>
      </c>
      <c r="AO262">
        <v>94</v>
      </c>
      <c r="AP262">
        <v>37</v>
      </c>
      <c r="AQ262">
        <v>5</v>
      </c>
      <c r="AR262">
        <v>0</v>
      </c>
      <c r="AS262">
        <v>147</v>
      </c>
      <c r="AT262">
        <v>3</v>
      </c>
      <c r="AU262">
        <v>1</v>
      </c>
      <c r="AV262">
        <v>3</v>
      </c>
      <c r="AW262" t="s">
        <v>12</v>
      </c>
      <c r="AY262" t="s">
        <v>1676</v>
      </c>
      <c r="AZ262" t="s">
        <v>2100</v>
      </c>
      <c r="BA262" s="4" t="str">
        <f>HYPERLINK("http://exon.niaid.nih.gov/transcriptome/C_felis/S1/links/SWISSP/cf-contig_115-SWISSP.txt","Elongation factor 1-alpha")</f>
        <v>Elongation factor 1-alpha</v>
      </c>
      <c r="BB262" t="str">
        <f>HYPERLINK("http://www.uniprot.org/uniprot/P29520","4E-039")</f>
        <v>4E-039</v>
      </c>
      <c r="BC262" t="s">
        <v>2101</v>
      </c>
      <c r="BD262">
        <v>160</v>
      </c>
      <c r="BE262">
        <v>86</v>
      </c>
      <c r="BF262">
        <v>463</v>
      </c>
      <c r="BG262">
        <v>91</v>
      </c>
      <c r="BH262">
        <v>19</v>
      </c>
      <c r="BI262">
        <v>7</v>
      </c>
      <c r="BJ262">
        <v>0</v>
      </c>
      <c r="BK262">
        <v>377</v>
      </c>
      <c r="BL262">
        <v>3</v>
      </c>
      <c r="BM262">
        <v>1</v>
      </c>
      <c r="BN262">
        <v>3</v>
      </c>
      <c r="BO262" t="s">
        <v>12</v>
      </c>
      <c r="BQ262" t="s">
        <v>1676</v>
      </c>
      <c r="BR262" t="s">
        <v>2037</v>
      </c>
      <c r="BS262" s="4" t="str">
        <f>HYPERLINK("http://exon.niaid.nih.gov/transcriptome/C_felis/S1/links/CDD/cf-contig_115-CDD.txt","PTZ00141")</f>
        <v>PTZ00141</v>
      </c>
      <c r="BT262" t="str">
        <f>HYPERLINK("http://www.ncbi.nlm.nih.gov/Structure/cdd/cddsrv.cgi?uid=PTZ00141&amp;version=v4.0","1E-035")</f>
        <v>1E-035</v>
      </c>
      <c r="BU262" t="s">
        <v>2110</v>
      </c>
      <c r="BV262" s="4" t="s">
        <v>2103</v>
      </c>
      <c r="BW262">
        <f>HYPERLINK("http://exon.niaid.nih.gov/transcriptome/C_felis/S1/links/GO/cf-contig_115-GO.txt",3E-39)</f>
        <v>3.0000000000000003E-39</v>
      </c>
      <c r="BX262" t="str">
        <f>HYPERLINK("http://amigo.geneontology.org/cgi-bin/amigo/term_details?term=GO:0003746","GO:0003746")</f>
        <v>GO:0003746</v>
      </c>
      <c r="BY262" t="s">
        <v>2104</v>
      </c>
      <c r="BZ262" t="s">
        <v>2105</v>
      </c>
      <c r="CA262" t="s">
        <v>42</v>
      </c>
      <c r="CB262" t="s">
        <v>42</v>
      </c>
      <c r="CD262" s="5">
        <v>3.0000000000000003E-39</v>
      </c>
      <c r="CE262" t="str">
        <f>HYPERLINK("http://amigo.geneontology.org/cgi-bin/amigo/term_details?term=GO:0005829","GO:0005829")</f>
        <v>GO:0005829</v>
      </c>
      <c r="CF262" t="s">
        <v>2106</v>
      </c>
      <c r="CG262" t="s">
        <v>2107</v>
      </c>
      <c r="CH262" t="s">
        <v>42</v>
      </c>
      <c r="CI262" t="s">
        <v>42</v>
      </c>
      <c r="CK262" s="5">
        <v>3.0000000000000003E-39</v>
      </c>
      <c r="CL262" t="str">
        <f>HYPERLINK("http://amigo.geneontology.org/cgi-bin/amigo/term_details?term=GO:0008340","GO:0008340")</f>
        <v>GO:0008340</v>
      </c>
      <c r="CM262" t="s">
        <v>2108</v>
      </c>
      <c r="CN262" t="s">
        <v>2109</v>
      </c>
      <c r="CO262" t="s">
        <v>42</v>
      </c>
      <c r="CP262" t="s">
        <v>42</v>
      </c>
      <c r="CR262" s="5">
        <v>3.0000000000000003E-39</v>
      </c>
      <c r="CS262" s="4" t="str">
        <f>HYPERLINK("http://exon.niaid.nih.gov/transcriptome/C_felis/S1/links/KOG/cf-contig_115-KOG.txt","Translation elongation factor EF-1 alpha/Tu")</f>
        <v>Translation elongation factor EF-1 alpha/Tu</v>
      </c>
      <c r="CT262" t="str">
        <f>HYPERLINK("http://www.ncbi.nlm.nih.gov/COG/grace/shokog.cgi?KOG0052","1E-026")</f>
        <v>1E-026</v>
      </c>
      <c r="CU262" t="s">
        <v>1707</v>
      </c>
      <c r="CV262" s="4" t="str">
        <f>HYPERLINK("http://exon.niaid.nih.gov/transcriptome/C_felis/S1/links/PFAM/cf-contig_115-PFAM.txt","GTP_EFTU_D3")</f>
        <v>GTP_EFTU_D3</v>
      </c>
      <c r="CW262" t="str">
        <f>HYPERLINK("http://pfam.sanger.ac.uk/family?acc=PF03143","2E-018")</f>
        <v>2E-018</v>
      </c>
      <c r="CX262" s="4" t="str">
        <f>HYPERLINK("http://exon.niaid.nih.gov/transcriptome/C_felis/S1/links/SMART/cf-contig_115-SMART.txt","HTTM")</f>
        <v>HTTM</v>
      </c>
      <c r="CY262" t="str">
        <f>HYPERLINK("http://smart.embl-heidelberg.de/smart/do_annotation.pl?DOMAIN=HTTM&amp;BLAST=DUMMY","0.36")</f>
        <v>0.36</v>
      </c>
      <c r="CZ262" s="4" t="s">
        <v>42</v>
      </c>
      <c r="DA262" t="s">
        <v>42</v>
      </c>
      <c r="DB262" t="s">
        <v>42</v>
      </c>
      <c r="DC262" t="s">
        <v>42</v>
      </c>
      <c r="DD262" t="s">
        <v>42</v>
      </c>
      <c r="DE262" t="s">
        <v>42</v>
      </c>
      <c r="DF262" t="s">
        <v>42</v>
      </c>
      <c r="DG262" t="s">
        <v>42</v>
      </c>
      <c r="DH262" s="4" t="s">
        <v>42</v>
      </c>
      <c r="DI262" t="s">
        <v>42</v>
      </c>
      <c r="DJ262" s="4" t="s">
        <v>42</v>
      </c>
      <c r="DK262" t="s">
        <v>42</v>
      </c>
      <c r="DL262" s="4">
        <f>HYPERLINK("http://exon.niaid.nih.gov/transcriptome/C_felis/S1/links/cluster/cf-5-36-asb30-50-Id-CLU10.txt", 10)</f>
        <v>10</v>
      </c>
      <c r="DM262">
        <f>HYPERLINK("http://exon.niaid.nih.gov/transcriptome/C_felis/S1/links/cluster/cf-5-36-asb30-50-Id-CLTL10.txt", 4)</f>
        <v>4</v>
      </c>
      <c r="DN262" s="4">
        <f>HYPERLINK("http://exon.niaid.nih.gov/transcriptome/C_felis/S1/links/cluster/cf-5-36-asb35-50-Id-CLU9.txt", 9)</f>
        <v>9</v>
      </c>
      <c r="DO262">
        <f>HYPERLINK("http://exon.niaid.nih.gov/transcriptome/C_felis/S1/links/cluster/cf-5-36-asb35-50-Id-CLTL9.txt", 4)</f>
        <v>4</v>
      </c>
      <c r="DP262" s="4">
        <f>HYPERLINK("http://exon.niaid.nih.gov/transcriptome/C_felis/S1/links/cluster/cf-5-36-asb40-50-Id-CLU7.txt", 7)</f>
        <v>7</v>
      </c>
      <c r="DQ262">
        <f>HYPERLINK("http://exon.niaid.nih.gov/transcriptome/C_felis/S1/links/cluster/cf-5-36-asb40-50-Id-CLTL7.txt", 4)</f>
        <v>4</v>
      </c>
      <c r="DR262" s="4">
        <f>HYPERLINK("http://exon.niaid.nih.gov/transcriptome/C_felis/S1/links/cluster/cf-5-36-asb45-50-Id-CLU7.txt", 7)</f>
        <v>7</v>
      </c>
      <c r="DS262">
        <f>HYPERLINK("http://exon.niaid.nih.gov/transcriptome/C_felis/S1/links/cluster/cf-5-36-asb45-50-Id-CLTL7.txt", 4)</f>
        <v>4</v>
      </c>
      <c r="DT262" s="4">
        <f>HYPERLINK("http://exon.niaid.nih.gov/transcriptome/C_felis/S1/links/cluster/cf-5-36-asb50-50-Id-CLU7.txt", 7)</f>
        <v>7</v>
      </c>
      <c r="DU262">
        <f>HYPERLINK("http://exon.niaid.nih.gov/transcriptome/C_felis/S1/links/cluster/cf-5-36-asb50-50-Id-CLTL7.txt", 4)</f>
        <v>4</v>
      </c>
      <c r="DV262" s="4">
        <f>HYPERLINK("http://exon.niaid.nih.gov/transcriptome/C_felis/S1/links/cluster/cf-5-36-asb55-50-Id-CLU4.txt", 4)</f>
        <v>4</v>
      </c>
      <c r="DW262">
        <f>HYPERLINK("http://exon.niaid.nih.gov/transcriptome/C_felis/S1/links/cluster/cf-5-36-asb55-50-Id-CLTL4.txt", 4)</f>
        <v>4</v>
      </c>
      <c r="DX262" s="4">
        <f>HYPERLINK("http://exon.niaid.nih.gov/transcriptome/C_felis/S1/links/cluster/cf-5-36-asb60-50-Id-CLU2.txt", 2)</f>
        <v>2</v>
      </c>
      <c r="DY262">
        <f>HYPERLINK("http://exon.niaid.nih.gov/transcriptome/C_felis/S1/links/cluster/cf-5-36-asb60-50-Id-CLTL2.txt", 4)</f>
        <v>4</v>
      </c>
      <c r="DZ262" s="4">
        <v>118</v>
      </c>
      <c r="EA262">
        <v>1</v>
      </c>
      <c r="EB262" s="4">
        <v>119</v>
      </c>
      <c r="EC262">
        <v>1</v>
      </c>
      <c r="ED262" s="4">
        <v>120</v>
      </c>
      <c r="EE262">
        <v>1</v>
      </c>
      <c r="EF262" s="4">
        <v>117</v>
      </c>
      <c r="EG262">
        <v>1</v>
      </c>
      <c r="EH262" s="4">
        <v>114</v>
      </c>
      <c r="EI262">
        <v>1</v>
      </c>
      <c r="EJ262" s="4">
        <v>115</v>
      </c>
      <c r="EK262">
        <v>1</v>
      </c>
    </row>
    <row r="263" spans="1:141" x14ac:dyDescent="0.2">
      <c r="A263" t="str">
        <f>HYPERLINK("http://exon.niaid.nih.gov/transcriptome/C_felis/S1/links/cf/cf-contig_116.txt","cf-contig_116")</f>
        <v>cf-contig_116</v>
      </c>
      <c r="B263">
        <v>1</v>
      </c>
      <c r="C263" s="10" t="s">
        <v>4635</v>
      </c>
      <c r="D263">
        <v>1</v>
      </c>
      <c r="E263" t="str">
        <f>HYPERLINK("http://exon.niaid.nih.gov/transcriptome/C_felis/S1/links/cf/cf-5-36-asb-116.txt","Contig-116")</f>
        <v>Contig-116</v>
      </c>
      <c r="F263" t="str">
        <f>HYPERLINK("http://exon.niaid.nih.gov/transcriptome/C_felis/S1/links/cf/cf-5-36-116-CLU.txt","Contig116")</f>
        <v>Contig116</v>
      </c>
      <c r="G263" t="str">
        <f>HYPERLINK("http://exon.niaid.nih.gov/transcriptome/C_felis/S1/links/cf/cf-5-36-116-qual.txt","63.1")</f>
        <v>63.1</v>
      </c>
      <c r="H263" t="s">
        <v>11</v>
      </c>
      <c r="I263">
        <v>59.5</v>
      </c>
      <c r="J263">
        <v>616</v>
      </c>
      <c r="K263" t="s">
        <v>12</v>
      </c>
      <c r="L263">
        <v>1</v>
      </c>
      <c r="M263" t="s">
        <v>129</v>
      </c>
      <c r="N263">
        <v>616</v>
      </c>
      <c r="O263">
        <v>635</v>
      </c>
      <c r="P263">
        <v>330</v>
      </c>
      <c r="Q263" t="s">
        <v>936</v>
      </c>
      <c r="R263">
        <v>1</v>
      </c>
      <c r="S263" s="7" t="str">
        <f>HYPERLINK("http://exon.niaid.nih.gov/transcriptome/C_felis/S1/links/Sigp/CF-CONTIG_116-SigP.txt","Cyt")</f>
        <v>Cyt</v>
      </c>
      <c r="U263">
        <v>1</v>
      </c>
      <c r="V263" s="4">
        <f>HYPERLINK("http://exon.niaid.nih.gov/transcriptome/C_felis/S1/links/cluster/cf-5-36-asb30-50-Id-CLU10.txt", 10)</f>
        <v>10</v>
      </c>
      <c r="W263">
        <f>HYPERLINK("http://exon.niaid.nih.gov/transcriptome/C_felis/S1/links/cluster/cf-5-36-asb30-50-Id-CLTL10.txt", 4)</f>
        <v>4</v>
      </c>
      <c r="X263" s="4">
        <f>HYPERLINK("http://exon.niaid.nih.gov/transcriptome/C_felis/S1/links/cluster/cf-5-36-asb35-50-Id-CLU9.txt", 9)</f>
        <v>9</v>
      </c>
      <c r="Y263">
        <f>HYPERLINK("http://exon.niaid.nih.gov/transcriptome/C_felis/S1/links/cluster/cf-5-36-asb35-50-Id-CLTL9.txt", 4)</f>
        <v>4</v>
      </c>
      <c r="Z263" s="4">
        <f>HYPERLINK("http://exon.niaid.nih.gov/transcriptome/C_felis/S1/links/cluster/cf-5-36-asb40-50-Id-CLU7.txt", 7)</f>
        <v>7</v>
      </c>
      <c r="AA263">
        <f>HYPERLINK("http://exon.niaid.nih.gov/transcriptome/C_felis/S1/links/cluster/cf-5-36-asb40-50-Id-CLTL7.txt", 4)</f>
        <v>4</v>
      </c>
      <c r="AB263" s="4" t="str">
        <f>HYPERLINK("http://exon.niaid.nih.gov/transcriptome/C_felis/S1/links/XC-ASB/cf-contig_116-XC-ASB.txt","XC-contig_120")</f>
        <v>XC-contig_120</v>
      </c>
      <c r="AC263">
        <v>9.9999999999999993E-89</v>
      </c>
      <c r="AD263" s="10" t="s">
        <v>4635</v>
      </c>
      <c r="AE263" t="s">
        <v>4605</v>
      </c>
      <c r="AF263" t="str">
        <f>HYPERLINK("http://exon.niaid.nih.gov/transcriptome/C_felis/S1/links/NR/cf-contig_116-NR.txt","NR")</f>
        <v>NR</v>
      </c>
      <c r="AG263" s="5">
        <v>1E-53</v>
      </c>
      <c r="AH263">
        <v>47.2</v>
      </c>
      <c r="AI263" s="4" t="str">
        <f>HYPERLINK("http://exon.niaid.nih.gov/transcriptome/C_felis/S1/links/NR/cf-contig_116-NR.txt","elongation factor 1-alpha")</f>
        <v>elongation factor 1-alpha</v>
      </c>
      <c r="AJ263" t="str">
        <f>HYPERLINK("http://www.ncbi.nlm.nih.gov/sutils/blink.cgi?pid=255710199","1E-053")</f>
        <v>1E-053</v>
      </c>
      <c r="AK263" t="str">
        <f>HYPERLINK("http://www.ncbi.nlm.nih.gov/protein/255710199","gi|255710199")</f>
        <v>gi|255710199</v>
      </c>
      <c r="AL263">
        <v>214</v>
      </c>
      <c r="AM263">
        <v>109</v>
      </c>
      <c r="AN263">
        <v>233</v>
      </c>
      <c r="AO263">
        <v>94</v>
      </c>
      <c r="AP263">
        <v>47</v>
      </c>
      <c r="AQ263">
        <v>6</v>
      </c>
      <c r="AR263">
        <v>0</v>
      </c>
      <c r="AS263">
        <v>124</v>
      </c>
      <c r="AT263">
        <v>1</v>
      </c>
      <c r="AU263">
        <v>1</v>
      </c>
      <c r="AV263">
        <v>1</v>
      </c>
      <c r="AW263" t="s">
        <v>12</v>
      </c>
      <c r="AY263" t="s">
        <v>1676</v>
      </c>
      <c r="AZ263" t="s">
        <v>2100</v>
      </c>
      <c r="BA263" s="4" t="str">
        <f>HYPERLINK("http://exon.niaid.nih.gov/transcriptome/C_felis/S1/links/SWISSP/cf-contig_116-SWISSP.txt","Elongation factor 1-alpha")</f>
        <v>Elongation factor 1-alpha</v>
      </c>
      <c r="BB263" t="str">
        <f>HYPERLINK("http://www.uniprot.org/uniprot/P29520","2E-053")</f>
        <v>2E-053</v>
      </c>
      <c r="BC263" t="s">
        <v>2101</v>
      </c>
      <c r="BD263">
        <v>209</v>
      </c>
      <c r="BE263">
        <v>109</v>
      </c>
      <c r="BF263">
        <v>463</v>
      </c>
      <c r="BG263">
        <v>92</v>
      </c>
      <c r="BH263">
        <v>24</v>
      </c>
      <c r="BI263">
        <v>8</v>
      </c>
      <c r="BJ263">
        <v>0</v>
      </c>
      <c r="BK263">
        <v>354</v>
      </c>
      <c r="BL263">
        <v>1</v>
      </c>
      <c r="BM263">
        <v>1</v>
      </c>
      <c r="BN263">
        <v>1</v>
      </c>
      <c r="BO263" t="s">
        <v>12</v>
      </c>
      <c r="BQ263" t="s">
        <v>1676</v>
      </c>
      <c r="BR263" t="s">
        <v>2037</v>
      </c>
      <c r="BS263" s="4" t="str">
        <f>HYPERLINK("http://exon.niaid.nih.gov/transcriptome/C_felis/S1/links/CDD/cf-contig_116-CDD.txt","PTZ00141")</f>
        <v>PTZ00141</v>
      </c>
      <c r="BT263" t="str">
        <f>HYPERLINK("http://www.ncbi.nlm.nih.gov/Structure/cdd/cddsrv.cgi?uid=PTZ00141&amp;version=v4.0","5E-051")</f>
        <v>5E-051</v>
      </c>
      <c r="BU263" t="s">
        <v>2111</v>
      </c>
      <c r="BV263" s="4" t="s">
        <v>2103</v>
      </c>
      <c r="BW263">
        <f>HYPERLINK("http://exon.niaid.nih.gov/transcriptome/C_felis/S1/links/GO/cf-contig_116-GO.txt",3E-53)</f>
        <v>3.0000000000000002E-53</v>
      </c>
      <c r="BX263" t="str">
        <f>HYPERLINK("http://amigo.geneontology.org/cgi-bin/amigo/term_details?term=GO:0003746","GO:0003746")</f>
        <v>GO:0003746</v>
      </c>
      <c r="BY263" t="s">
        <v>2104</v>
      </c>
      <c r="BZ263" t="s">
        <v>2105</v>
      </c>
      <c r="CA263" t="s">
        <v>42</v>
      </c>
      <c r="CB263" t="s">
        <v>42</v>
      </c>
      <c r="CD263" s="5">
        <v>3.0000000000000002E-53</v>
      </c>
      <c r="CE263" t="str">
        <f>HYPERLINK("http://amigo.geneontology.org/cgi-bin/amigo/term_details?term=GO:0005829","GO:0005829")</f>
        <v>GO:0005829</v>
      </c>
      <c r="CF263" t="s">
        <v>2106</v>
      </c>
      <c r="CG263" t="s">
        <v>2107</v>
      </c>
      <c r="CH263" t="s">
        <v>42</v>
      </c>
      <c r="CI263" t="s">
        <v>42</v>
      </c>
      <c r="CK263" s="5">
        <v>3.0000000000000002E-53</v>
      </c>
      <c r="CL263" t="str">
        <f>HYPERLINK("http://amigo.geneontology.org/cgi-bin/amigo/term_details?term=GO:0008340","GO:0008340")</f>
        <v>GO:0008340</v>
      </c>
      <c r="CM263" t="s">
        <v>2108</v>
      </c>
      <c r="CN263" t="s">
        <v>2109</v>
      </c>
      <c r="CO263" t="s">
        <v>42</v>
      </c>
      <c r="CP263" t="s">
        <v>42</v>
      </c>
      <c r="CR263" s="5">
        <v>3.0000000000000002E-53</v>
      </c>
      <c r="CS263" s="4" t="str">
        <f>HYPERLINK("http://exon.niaid.nih.gov/transcriptome/C_felis/S1/links/KOG/cf-contig_116-KOG.txt","Translation elongation factor EF-1 alpha/Tu")</f>
        <v>Translation elongation factor EF-1 alpha/Tu</v>
      </c>
      <c r="CT263" t="str">
        <f>HYPERLINK("http://www.ncbi.nlm.nih.gov/COG/grace/shokog.cgi?KOG0052","4E-040")</f>
        <v>4E-040</v>
      </c>
      <c r="CU263" t="s">
        <v>1707</v>
      </c>
      <c r="CV263" s="4" t="str">
        <f>HYPERLINK("http://exon.niaid.nih.gov/transcriptome/C_felis/S1/links/PFAM/cf-contig_116-PFAM.txt","GTP_EFTU_D3")</f>
        <v>GTP_EFTU_D3</v>
      </c>
      <c r="CW263" t="str">
        <f>HYPERLINK("http://pfam.sanger.ac.uk/family?acc=PF03143","2E-029")</f>
        <v>2E-029</v>
      </c>
      <c r="CX263" s="4" t="str">
        <f>HYPERLINK("http://exon.niaid.nih.gov/transcriptome/C_felis/S1/links/SMART/cf-contig_116-SMART.txt","FIST")</f>
        <v>FIST</v>
      </c>
      <c r="CY263" t="str">
        <f>HYPERLINK("http://smart.embl-heidelberg.de/smart/do_annotation.pl?DOMAIN=FIST&amp;BLAST=DUMMY","0.18")</f>
        <v>0.18</v>
      </c>
      <c r="CZ263" s="4" t="s">
        <v>42</v>
      </c>
      <c r="DA263" t="s">
        <v>42</v>
      </c>
      <c r="DB263" t="s">
        <v>42</v>
      </c>
      <c r="DC263" t="s">
        <v>42</v>
      </c>
      <c r="DD263" t="s">
        <v>42</v>
      </c>
      <c r="DE263" t="s">
        <v>42</v>
      </c>
      <c r="DF263" t="s">
        <v>42</v>
      </c>
      <c r="DG263" t="s">
        <v>42</v>
      </c>
      <c r="DH263" s="4" t="s">
        <v>42</v>
      </c>
      <c r="DI263" t="s">
        <v>42</v>
      </c>
      <c r="DJ263" s="4" t="s">
        <v>42</v>
      </c>
      <c r="DK263" t="s">
        <v>42</v>
      </c>
      <c r="DL263" s="4">
        <f>HYPERLINK("http://exon.niaid.nih.gov/transcriptome/C_felis/S1/links/cluster/cf-5-36-asb30-50-Id-CLU10.txt", 10)</f>
        <v>10</v>
      </c>
      <c r="DM263">
        <f>HYPERLINK("http://exon.niaid.nih.gov/transcriptome/C_felis/S1/links/cluster/cf-5-36-asb30-50-Id-CLTL10.txt", 4)</f>
        <v>4</v>
      </c>
      <c r="DN263" s="4">
        <f>HYPERLINK("http://exon.niaid.nih.gov/transcriptome/C_felis/S1/links/cluster/cf-5-36-asb35-50-Id-CLU9.txt", 9)</f>
        <v>9</v>
      </c>
      <c r="DO263">
        <f>HYPERLINK("http://exon.niaid.nih.gov/transcriptome/C_felis/S1/links/cluster/cf-5-36-asb35-50-Id-CLTL9.txt", 4)</f>
        <v>4</v>
      </c>
      <c r="DP263" s="4">
        <f>HYPERLINK("http://exon.niaid.nih.gov/transcriptome/C_felis/S1/links/cluster/cf-5-36-asb40-50-Id-CLU7.txt", 7)</f>
        <v>7</v>
      </c>
      <c r="DQ263">
        <f>HYPERLINK("http://exon.niaid.nih.gov/transcriptome/C_felis/S1/links/cluster/cf-5-36-asb40-50-Id-CLTL7.txt", 4)</f>
        <v>4</v>
      </c>
      <c r="DR263" s="4">
        <f>HYPERLINK("http://exon.niaid.nih.gov/transcriptome/C_felis/S1/links/cluster/cf-5-36-asb45-50-Id-CLU7.txt", 7)</f>
        <v>7</v>
      </c>
      <c r="DS263">
        <f>HYPERLINK("http://exon.niaid.nih.gov/transcriptome/C_felis/S1/links/cluster/cf-5-36-asb45-50-Id-CLTL7.txt", 4)</f>
        <v>4</v>
      </c>
      <c r="DT263" s="4">
        <f>HYPERLINK("http://exon.niaid.nih.gov/transcriptome/C_felis/S1/links/cluster/cf-5-36-asb50-50-Id-CLU7.txt", 7)</f>
        <v>7</v>
      </c>
      <c r="DU263">
        <f>HYPERLINK("http://exon.niaid.nih.gov/transcriptome/C_felis/S1/links/cluster/cf-5-36-asb50-50-Id-CLTL7.txt", 4)</f>
        <v>4</v>
      </c>
      <c r="DV263" s="4">
        <f>HYPERLINK("http://exon.niaid.nih.gov/transcriptome/C_felis/S1/links/cluster/cf-5-36-asb55-50-Id-CLU4.txt", 4)</f>
        <v>4</v>
      </c>
      <c r="DW263">
        <f>HYPERLINK("http://exon.niaid.nih.gov/transcriptome/C_felis/S1/links/cluster/cf-5-36-asb55-50-Id-CLTL4.txt", 4)</f>
        <v>4</v>
      </c>
      <c r="DX263" s="4">
        <f>HYPERLINK("http://exon.niaid.nih.gov/transcriptome/C_felis/S1/links/cluster/cf-5-36-asb60-50-Id-CLU2.txt", 2)</f>
        <v>2</v>
      </c>
      <c r="DY263">
        <f>HYPERLINK("http://exon.niaid.nih.gov/transcriptome/C_felis/S1/links/cluster/cf-5-36-asb60-50-Id-CLTL2.txt", 4)</f>
        <v>4</v>
      </c>
      <c r="DZ263" s="4">
        <f>HYPERLINK("http://exon.niaid.nih.gov/transcriptome/C_felis/S1/links/cluster/cf-5-36-asb65-50-Id-CLU4.txt", 4)</f>
        <v>4</v>
      </c>
      <c r="EA263">
        <f>HYPERLINK("http://exon.niaid.nih.gov/transcriptome/C_felis/S1/links/cluster/cf-5-36-asb65-50-Id-CLTL4.txt", 3)</f>
        <v>3</v>
      </c>
      <c r="EB263" s="4">
        <v>120</v>
      </c>
      <c r="EC263">
        <v>1</v>
      </c>
      <c r="ED263" s="4">
        <v>121</v>
      </c>
      <c r="EE263">
        <v>1</v>
      </c>
      <c r="EF263" s="4">
        <v>118</v>
      </c>
      <c r="EG263">
        <v>1</v>
      </c>
      <c r="EH263" s="4">
        <v>115</v>
      </c>
      <c r="EI263">
        <v>1</v>
      </c>
      <c r="EJ263" s="4">
        <v>116</v>
      </c>
      <c r="EK263">
        <v>1</v>
      </c>
    </row>
    <row r="264" spans="1:141" x14ac:dyDescent="0.2">
      <c r="A264" t="str">
        <f>HYPERLINK("http://exon.niaid.nih.gov/transcriptome/C_felis/S1/links/cf/cf-contig_745.txt","cf-contig_745")</f>
        <v>cf-contig_745</v>
      </c>
      <c r="B264">
        <v>1</v>
      </c>
      <c r="C264" s="10" t="s">
        <v>4862</v>
      </c>
      <c r="D264">
        <v>1</v>
      </c>
      <c r="E264" t="str">
        <f>HYPERLINK("http://exon.niaid.nih.gov/transcriptome/C_felis/S1/links/cf/cf-5-36-asb-745.txt","Contig-745")</f>
        <v>Contig-745</v>
      </c>
      <c r="F264" t="str">
        <f>HYPERLINK("http://exon.niaid.nih.gov/transcriptome/C_felis/S1/links/cf/cf-5-36-745-CLU.txt","Contig745")</f>
        <v>Contig745</v>
      </c>
      <c r="G264" t="str">
        <f>HYPERLINK("http://exon.niaid.nih.gov/transcriptome/C_felis/S1/links/cf/cf-5-36-745-qual.txt","64.3")</f>
        <v>64.3</v>
      </c>
      <c r="H264" t="s">
        <v>11</v>
      </c>
      <c r="I264">
        <v>62.4</v>
      </c>
      <c r="J264">
        <v>391</v>
      </c>
      <c r="K264" t="s">
        <v>12</v>
      </c>
      <c r="L264">
        <v>1</v>
      </c>
      <c r="M264" t="s">
        <v>758</v>
      </c>
      <c r="N264">
        <v>391</v>
      </c>
      <c r="O264">
        <v>410</v>
      </c>
      <c r="P264">
        <v>264</v>
      </c>
      <c r="Q264" t="s">
        <v>1564</v>
      </c>
      <c r="R264">
        <v>1</v>
      </c>
      <c r="S264" s="7" t="s">
        <v>4585</v>
      </c>
      <c r="U264">
        <v>1</v>
      </c>
      <c r="V264" s="4">
        <v>600</v>
      </c>
      <c r="W264">
        <v>1</v>
      </c>
      <c r="X264" s="4">
        <v>619</v>
      </c>
      <c r="Y264">
        <v>1</v>
      </c>
      <c r="Z264" s="4">
        <v>633</v>
      </c>
      <c r="AA264">
        <v>1</v>
      </c>
      <c r="AB264" s="4" t="str">
        <f>HYPERLINK("http://exon.niaid.nih.gov/transcriptome/C_felis/S1/links/XC-ASB/cf-contig_745-XC-ASB.txt","XC-contig_110")</f>
        <v>XC-contig_110</v>
      </c>
      <c r="AC264">
        <v>3.0000000000000001E-3</v>
      </c>
      <c r="AD264" s="10" t="s">
        <v>4862</v>
      </c>
      <c r="AE264" t="s">
        <v>4605</v>
      </c>
      <c r="AF264" t="str">
        <f>HYPERLINK("http://exon.niaid.nih.gov/transcriptome/C_felis/S1/links/NR/cf-contig_745-NR.txt","NR")</f>
        <v>NR</v>
      </c>
      <c r="AG264" s="5">
        <v>2E-41</v>
      </c>
      <c r="AH264">
        <v>27.2</v>
      </c>
      <c r="AI264" s="4" t="str">
        <f>HYPERLINK("http://exon.niaid.nih.gov/transcriptome/C_felis/S1/links/NR/cf-contig_745-NR.txt","eukaryotic translation initiation factor 2 subunit 2-like")</f>
        <v>eukaryotic translation initiation factor 2 subunit 2-like</v>
      </c>
      <c r="AJ264" t="str">
        <f>HYPERLINK("http://www.ncbi.nlm.nih.gov/sutils/blink.cgi?pid=350424155","2E-041")</f>
        <v>2E-041</v>
      </c>
      <c r="AK264" t="str">
        <f>HYPERLINK("http://www.ncbi.nlm.nih.gov/protein/350424155","gi|350424155")</f>
        <v>gi|350424155</v>
      </c>
      <c r="AL264">
        <v>172</v>
      </c>
      <c r="AM264">
        <v>85</v>
      </c>
      <c r="AN264">
        <v>316</v>
      </c>
      <c r="AO264">
        <v>97</v>
      </c>
      <c r="AP264">
        <v>27</v>
      </c>
      <c r="AQ264">
        <v>2</v>
      </c>
      <c r="AR264">
        <v>0</v>
      </c>
      <c r="AS264">
        <v>231</v>
      </c>
      <c r="AT264">
        <v>7</v>
      </c>
      <c r="AU264">
        <v>1</v>
      </c>
      <c r="AV264">
        <v>1</v>
      </c>
      <c r="AW264" t="s">
        <v>12</v>
      </c>
      <c r="AY264" t="s">
        <v>1676</v>
      </c>
      <c r="AZ264" t="s">
        <v>2234</v>
      </c>
      <c r="BA264" s="4" t="str">
        <f>HYPERLINK("http://exon.niaid.nih.gov/transcriptome/C_felis/S1/links/SWISSP/cf-contig_745-SWISSP.txt","Eukaryotic translation initiation factor 2 subunit 2")</f>
        <v>Eukaryotic translation initiation factor 2 subunit 2</v>
      </c>
      <c r="BB264" t="str">
        <f>HYPERLINK("http://www.uniprot.org/uniprot/P41375","7E-041")</f>
        <v>7E-041</v>
      </c>
      <c r="BC264" t="s">
        <v>4360</v>
      </c>
      <c r="BD264">
        <v>165</v>
      </c>
      <c r="BE264">
        <v>84</v>
      </c>
      <c r="BF264">
        <v>312</v>
      </c>
      <c r="BG264">
        <v>94</v>
      </c>
      <c r="BH264">
        <v>27</v>
      </c>
      <c r="BI264">
        <v>5</v>
      </c>
      <c r="BJ264">
        <v>0</v>
      </c>
      <c r="BK264">
        <v>227</v>
      </c>
      <c r="BL264">
        <v>7</v>
      </c>
      <c r="BM264">
        <v>1</v>
      </c>
      <c r="BN264">
        <v>1</v>
      </c>
      <c r="BO264" t="s">
        <v>12</v>
      </c>
      <c r="BQ264" t="s">
        <v>1676</v>
      </c>
      <c r="BR264" t="s">
        <v>1804</v>
      </c>
      <c r="BS264" s="4" t="str">
        <f>HYPERLINK("http://exon.niaid.nih.gov/transcriptome/C_felis/S1/links/CDD/cf-contig_745-CDD.txt","eIF2B_5")</f>
        <v>eIF2B_5</v>
      </c>
      <c r="BT264" t="str">
        <f>HYPERLINK("http://www.ncbi.nlm.nih.gov/Structure/cdd/cddsrv.cgi?uid=smart00653&amp;version=v4.0","2E-027")</f>
        <v>2E-027</v>
      </c>
      <c r="BU264" t="s">
        <v>4361</v>
      </c>
      <c r="BV264" s="4" t="s">
        <v>4362</v>
      </c>
      <c r="BW264">
        <f>HYPERLINK("http://exon.niaid.nih.gov/transcriptome/C_felis/S1/links/GO/cf-contig_745-GO.txt",5E-41)</f>
        <v>4.9999999999999996E-41</v>
      </c>
      <c r="BX264" t="str">
        <f>HYPERLINK("http://amigo.geneontology.org/cgi-bin/amigo/term_details?term=GO:0005525","GO:0005525")</f>
        <v>GO:0005525</v>
      </c>
      <c r="BY264" t="s">
        <v>4363</v>
      </c>
      <c r="BZ264" t="s">
        <v>4364</v>
      </c>
      <c r="CA264" t="s">
        <v>42</v>
      </c>
      <c r="CB264" t="s">
        <v>42</v>
      </c>
      <c r="CD264" s="5">
        <v>4.9999999999999996E-41</v>
      </c>
      <c r="CE264" t="str">
        <f>HYPERLINK("http://amigo.geneontology.org/cgi-bin/amigo/term_details?term=GO:0005850","GO:0005850")</f>
        <v>GO:0005850</v>
      </c>
      <c r="CF264" t="s">
        <v>4365</v>
      </c>
      <c r="CG264" t="s">
        <v>4366</v>
      </c>
      <c r="CH264" t="s">
        <v>4367</v>
      </c>
      <c r="CI264" t="s">
        <v>42</v>
      </c>
      <c r="CK264" s="5">
        <v>4.9999999999999996E-41</v>
      </c>
      <c r="CL264" t="str">
        <f>HYPERLINK("http://amigo.geneontology.org/cgi-bin/amigo/term_details?term=GO:0001677","GO:0001677")</f>
        <v>GO:0001677</v>
      </c>
      <c r="CM264" t="s">
        <v>4368</v>
      </c>
      <c r="CN264" t="s">
        <v>4369</v>
      </c>
      <c r="CO264" t="s">
        <v>4370</v>
      </c>
      <c r="CP264" t="s">
        <v>42</v>
      </c>
      <c r="CR264" s="5">
        <v>4.9999999999999996E-41</v>
      </c>
      <c r="CS264" s="4" t="str">
        <f>HYPERLINK("http://exon.niaid.nih.gov/transcriptome/C_felis/S1/links/KOG/cf-contig_745-KOG.txt","Translation initiation factor 2, beta subunit (eIF-2beta)")</f>
        <v>Translation initiation factor 2, beta subunit (eIF-2beta)</v>
      </c>
      <c r="CT264" t="str">
        <f>HYPERLINK("http://www.ncbi.nlm.nih.gov/COG/grace/shokog.cgi?KOG2768","3E-039")</f>
        <v>3E-039</v>
      </c>
      <c r="CU264" t="s">
        <v>1707</v>
      </c>
      <c r="CV264" s="4" t="str">
        <f>HYPERLINK("http://exon.niaid.nih.gov/transcriptome/C_felis/S1/links/PFAM/cf-contig_745-PFAM.txt","eIF-5_eIF-2B")</f>
        <v>eIF-5_eIF-2B</v>
      </c>
      <c r="CW264" t="str">
        <f>HYPERLINK("http://pfam.sanger.ac.uk/family?acc=PF01873","6E-028")</f>
        <v>6E-028</v>
      </c>
      <c r="CX264" s="4" t="str">
        <f>HYPERLINK("http://exon.niaid.nih.gov/transcriptome/C_felis/S1/links/SMART/cf-contig_745-SMART.txt","eIF2B_5")</f>
        <v>eIF2B_5</v>
      </c>
      <c r="CY264" t="str">
        <f>HYPERLINK("http://smart.embl-heidelberg.de/smart/do_annotation.pl?DOMAIN=eIF2B_5&amp;BLAST=DUMMY","3E-029")</f>
        <v>3E-029</v>
      </c>
      <c r="CZ264" s="4" t="s">
        <v>42</v>
      </c>
      <c r="DA264" t="s">
        <v>42</v>
      </c>
      <c r="DB264" t="s">
        <v>42</v>
      </c>
      <c r="DC264" t="s">
        <v>42</v>
      </c>
      <c r="DD264" t="s">
        <v>42</v>
      </c>
      <c r="DE264" t="s">
        <v>42</v>
      </c>
      <c r="DF264" t="s">
        <v>42</v>
      </c>
      <c r="DG264" t="s">
        <v>42</v>
      </c>
      <c r="DH264" s="4" t="s">
        <v>42</v>
      </c>
      <c r="DI264" t="s">
        <v>42</v>
      </c>
      <c r="DJ264" s="4" t="s">
        <v>42</v>
      </c>
      <c r="DK264" t="s">
        <v>42</v>
      </c>
      <c r="DL264" s="4">
        <v>600</v>
      </c>
      <c r="DM264">
        <v>1</v>
      </c>
      <c r="DN264" s="4">
        <v>619</v>
      </c>
      <c r="DO264">
        <v>1</v>
      </c>
      <c r="DP264" s="4">
        <v>633</v>
      </c>
      <c r="DQ264">
        <v>1</v>
      </c>
      <c r="DR264" s="4">
        <v>655</v>
      </c>
      <c r="DS264">
        <v>1</v>
      </c>
      <c r="DT264" s="4">
        <v>670</v>
      </c>
      <c r="DU264">
        <v>1</v>
      </c>
      <c r="DV264" s="4">
        <v>685</v>
      </c>
      <c r="DW264">
        <v>1</v>
      </c>
      <c r="DX264" s="4">
        <v>697</v>
      </c>
      <c r="DY264">
        <v>1</v>
      </c>
      <c r="DZ264" s="4">
        <v>708</v>
      </c>
      <c r="EA264">
        <v>1</v>
      </c>
      <c r="EB264" s="4">
        <v>714</v>
      </c>
      <c r="EC264">
        <v>1</v>
      </c>
      <c r="ED264" s="4">
        <v>719</v>
      </c>
      <c r="EE264">
        <v>1</v>
      </c>
      <c r="EF264" s="4">
        <v>725</v>
      </c>
      <c r="EG264">
        <v>1</v>
      </c>
      <c r="EH264" s="4">
        <v>736</v>
      </c>
      <c r="EI264">
        <v>1</v>
      </c>
      <c r="EJ264" s="4">
        <v>745</v>
      </c>
      <c r="EK264">
        <v>1</v>
      </c>
    </row>
    <row r="265" spans="1:141" x14ac:dyDescent="0.2">
      <c r="A265" t="str">
        <f>HYPERLINK("http://exon.niaid.nih.gov/transcriptome/C_felis/S1/links/cf/cf-contig_598.txt","cf-contig_598")</f>
        <v>cf-contig_598</v>
      </c>
      <c r="B265">
        <v>1</v>
      </c>
      <c r="C265" s="10" t="s">
        <v>4820</v>
      </c>
      <c r="D265">
        <v>1</v>
      </c>
      <c r="E265" t="str">
        <f>HYPERLINK("http://exon.niaid.nih.gov/transcriptome/C_felis/S1/links/cf/cf-5-36-asb-598.txt","Contig-598")</f>
        <v>Contig-598</v>
      </c>
      <c r="F265" t="str">
        <f>HYPERLINK("http://exon.niaid.nih.gov/transcriptome/C_felis/S1/links/cf/cf-5-36-598-CLU.txt","Contig598")</f>
        <v>Contig598</v>
      </c>
      <c r="G265" t="str">
        <f>HYPERLINK("http://exon.niaid.nih.gov/transcriptome/C_felis/S1/links/cf/cf-5-36-598-qual.txt","62.5")</f>
        <v>62.5</v>
      </c>
      <c r="H265" t="s">
        <v>11</v>
      </c>
      <c r="I265">
        <v>65</v>
      </c>
      <c r="J265">
        <v>504</v>
      </c>
      <c r="K265" t="s">
        <v>12</v>
      </c>
      <c r="L265">
        <v>1</v>
      </c>
      <c r="M265" t="s">
        <v>611</v>
      </c>
      <c r="N265">
        <v>504</v>
      </c>
      <c r="O265">
        <v>523</v>
      </c>
      <c r="P265">
        <v>423</v>
      </c>
      <c r="Q265" t="s">
        <v>1417</v>
      </c>
      <c r="R265">
        <v>1</v>
      </c>
      <c r="S265" s="7" t="str">
        <f>HYPERLINK("http://exon.niaid.nih.gov/transcriptome/C_felis/S1/links/Sigp/CF-CONTIG_598-SigP.txt","Cyt")</f>
        <v>Cyt</v>
      </c>
      <c r="U265">
        <v>1</v>
      </c>
      <c r="V265" s="4">
        <v>486</v>
      </c>
      <c r="W265">
        <v>1</v>
      </c>
      <c r="X265" s="4">
        <v>498</v>
      </c>
      <c r="Y265">
        <v>1</v>
      </c>
      <c r="Z265" s="4">
        <v>507</v>
      </c>
      <c r="AA265">
        <v>1</v>
      </c>
      <c r="AB265" s="4" t="str">
        <f>HYPERLINK("http://exon.niaid.nih.gov/transcriptome/C_felis/S1/links/XC-ASB/cf-contig_598-XC-ASB.txt","XC-contig_181")</f>
        <v>XC-contig_181</v>
      </c>
      <c r="AC265">
        <v>0.4</v>
      </c>
      <c r="AD265" s="10" t="s">
        <v>4820</v>
      </c>
      <c r="AE265" t="s">
        <v>4605</v>
      </c>
      <c r="AF265" t="str">
        <f>HYPERLINK("http://exon.niaid.nih.gov/transcriptome/C_felis/S1/links/KOG/cf-contig_598-KOG.txt","KOG")</f>
        <v>KOG</v>
      </c>
      <c r="AG265" s="5">
        <v>1E-26</v>
      </c>
      <c r="AH265">
        <v>22</v>
      </c>
      <c r="AI265" s="4" t="str">
        <f>HYPERLINK("http://exon.niaid.nih.gov/transcriptome/C_felis/S1/links/NR/cf-contig_598-NR.txt","hypothetical protein TcasGA2_TC001461")</f>
        <v>hypothetical protein TcasGA2_TC001461</v>
      </c>
      <c r="AJ265" t="str">
        <f>HYPERLINK("http://www.ncbi.nlm.nih.gov/sutils/blink.cgi?pid=270015596","4E-031")</f>
        <v>4E-031</v>
      </c>
      <c r="AK265" t="str">
        <f>HYPERLINK("http://www.ncbi.nlm.nih.gov/protein/270015596","gi|270015596")</f>
        <v>gi|270015596</v>
      </c>
      <c r="AL265">
        <v>138</v>
      </c>
      <c r="AM265">
        <v>124</v>
      </c>
      <c r="AN265">
        <v>538</v>
      </c>
      <c r="AO265">
        <v>52</v>
      </c>
      <c r="AP265">
        <v>23</v>
      </c>
      <c r="AQ265">
        <v>59</v>
      </c>
      <c r="AR265">
        <v>0</v>
      </c>
      <c r="AS265">
        <v>414</v>
      </c>
      <c r="AT265">
        <v>49</v>
      </c>
      <c r="AU265">
        <v>1</v>
      </c>
      <c r="AV265">
        <v>1</v>
      </c>
      <c r="AW265" t="s">
        <v>12</v>
      </c>
      <c r="AY265" t="s">
        <v>1676</v>
      </c>
      <c r="AZ265" t="s">
        <v>1878</v>
      </c>
      <c r="BA265" s="4" t="str">
        <f>HYPERLINK("http://exon.niaid.nih.gov/transcriptome/C_felis/S1/links/SWISSP/cf-contig_598-SWISSP.txt","Eukaryotic translation initiation factor 2D")</f>
        <v>Eukaryotic translation initiation factor 2D</v>
      </c>
      <c r="BB265" t="str">
        <f>HYPERLINK("http://www.uniprot.org/uniprot/Q5RA63","9E-016")</f>
        <v>9E-016</v>
      </c>
      <c r="BC265" t="s">
        <v>3864</v>
      </c>
      <c r="BD265">
        <v>83.2</v>
      </c>
      <c r="BE265">
        <v>124</v>
      </c>
      <c r="BF265">
        <v>584</v>
      </c>
      <c r="BG265">
        <v>37</v>
      </c>
      <c r="BH265">
        <v>21</v>
      </c>
      <c r="BI265">
        <v>78</v>
      </c>
      <c r="BJ265">
        <v>2</v>
      </c>
      <c r="BK265">
        <v>455</v>
      </c>
      <c r="BL265">
        <v>49</v>
      </c>
      <c r="BM265">
        <v>1</v>
      </c>
      <c r="BN265">
        <v>1</v>
      </c>
      <c r="BO265" t="s">
        <v>12</v>
      </c>
      <c r="BQ265" t="s">
        <v>1676</v>
      </c>
      <c r="BR265" t="s">
        <v>2347</v>
      </c>
      <c r="BS265" s="4" t="str">
        <f>HYPERLINK("http://exon.niaid.nih.gov/transcriptome/C_felis/S1/links/CDD/cf-contig_598-CDD.txt","SUI1")</f>
        <v>SUI1</v>
      </c>
      <c r="BT265" t="str">
        <f>HYPERLINK("http://www.ncbi.nlm.nih.gov/Structure/cdd/cddsrv.cgi?uid=pfam01253&amp;version=v4.0","7E-017")</f>
        <v>7E-017</v>
      </c>
      <c r="BU265" t="s">
        <v>3865</v>
      </c>
      <c r="BV265" s="4" t="s">
        <v>3866</v>
      </c>
      <c r="BW265">
        <f>HYPERLINK("http://exon.niaid.nih.gov/transcriptome/C_felis/S1/links/GO/cf-contig_598-GO.txt",3E-21)</f>
        <v>2.9999999999999999E-21</v>
      </c>
      <c r="BX265" t="str">
        <f>HYPERLINK("http://amigo.geneontology.org/cgi-bin/amigo/term_details?term=GO:0003743","GO:0003743")</f>
        <v>GO:0003743</v>
      </c>
      <c r="BY265" t="s">
        <v>3867</v>
      </c>
      <c r="BZ265" t="s">
        <v>3868</v>
      </c>
      <c r="CA265" t="s">
        <v>42</v>
      </c>
      <c r="CB265" t="s">
        <v>42</v>
      </c>
      <c r="CD265" s="5">
        <v>7.0000000000000003E-16</v>
      </c>
      <c r="CE265" t="str">
        <f>HYPERLINK("http://amigo.geneontology.org/cgi-bin/amigo/term_details?term=GO:0005737","GO:0005737")</f>
        <v>GO:0005737</v>
      </c>
      <c r="CF265" t="s">
        <v>1966</v>
      </c>
      <c r="CG265" t="s">
        <v>1967</v>
      </c>
      <c r="CH265" t="s">
        <v>42</v>
      </c>
      <c r="CI265" t="s">
        <v>42</v>
      </c>
      <c r="CK265" s="5">
        <v>7.0000000000000003E-16</v>
      </c>
      <c r="CL265" t="str">
        <f>HYPERLINK("http://amigo.geneontology.org/cgi-bin/amigo/term_details?term=GO:0006413","GO:0006413")</f>
        <v>GO:0006413</v>
      </c>
      <c r="CM265" t="s">
        <v>3869</v>
      </c>
      <c r="CN265" t="s">
        <v>3870</v>
      </c>
      <c r="CO265" t="s">
        <v>3871</v>
      </c>
      <c r="CP265" t="s">
        <v>42</v>
      </c>
      <c r="CR265" s="5">
        <v>7.0000000000000003E-16</v>
      </c>
      <c r="CS265" s="4" t="str">
        <f>HYPERLINK("http://exon.niaid.nih.gov/transcriptome/C_felis/S1/links/KOG/cf-contig_598-KOG.txt","Filamentous baseplate protein Ligatin, contains PUA domain")</f>
        <v>Filamentous baseplate protein Ligatin, contains PUA domain</v>
      </c>
      <c r="CT265" t="str">
        <f>HYPERLINK("http://www.ncbi.nlm.nih.gov/COG/grace/shokog.cgi?KOG2522","1E-026")</f>
        <v>1E-026</v>
      </c>
      <c r="CU265" t="s">
        <v>1707</v>
      </c>
      <c r="CV265" s="4" t="str">
        <f>HYPERLINK("http://exon.niaid.nih.gov/transcriptome/C_felis/S1/links/PFAM/cf-contig_598-PFAM.txt","SUI1")</f>
        <v>SUI1</v>
      </c>
      <c r="CW265" t="str">
        <f>HYPERLINK("http://pfam.sanger.ac.uk/family?acc=PF01253","1E-017")</f>
        <v>1E-017</v>
      </c>
      <c r="CX265" s="4" t="str">
        <f>HYPERLINK("http://exon.niaid.nih.gov/transcriptome/C_felis/S1/links/SMART/cf-contig_598-SMART.txt","Sm")</f>
        <v>Sm</v>
      </c>
      <c r="CY265" t="str">
        <f>HYPERLINK("http://smart.embl-heidelberg.de/smart/do_annotation.pl?DOMAIN=Sm&amp;BLAST=DUMMY","0.020")</f>
        <v>0.020</v>
      </c>
      <c r="CZ265" s="4" t="s">
        <v>42</v>
      </c>
      <c r="DA265" t="s">
        <v>42</v>
      </c>
      <c r="DB265" t="s">
        <v>42</v>
      </c>
      <c r="DC265" t="s">
        <v>42</v>
      </c>
      <c r="DD265" t="s">
        <v>42</v>
      </c>
      <c r="DE265" t="s">
        <v>42</v>
      </c>
      <c r="DF265" t="s">
        <v>42</v>
      </c>
      <c r="DG265" t="s">
        <v>42</v>
      </c>
      <c r="DH265" s="4" t="s">
        <v>42</v>
      </c>
      <c r="DI265" t="s">
        <v>42</v>
      </c>
      <c r="DJ265" s="4" t="s">
        <v>42</v>
      </c>
      <c r="DK265" t="s">
        <v>42</v>
      </c>
      <c r="DL265" s="4">
        <v>486</v>
      </c>
      <c r="DM265">
        <v>1</v>
      </c>
      <c r="DN265" s="4">
        <v>498</v>
      </c>
      <c r="DO265">
        <v>1</v>
      </c>
      <c r="DP265" s="4">
        <v>507</v>
      </c>
      <c r="DQ265">
        <v>1</v>
      </c>
      <c r="DR265" s="4">
        <v>526</v>
      </c>
      <c r="DS265">
        <v>1</v>
      </c>
      <c r="DT265" s="4">
        <v>538</v>
      </c>
      <c r="DU265">
        <v>1</v>
      </c>
      <c r="DV265" s="4">
        <v>552</v>
      </c>
      <c r="DW265">
        <v>1</v>
      </c>
      <c r="DX265" s="4">
        <v>561</v>
      </c>
      <c r="DY265">
        <v>1</v>
      </c>
      <c r="DZ265" s="4">
        <v>569</v>
      </c>
      <c r="EA265">
        <v>1</v>
      </c>
      <c r="EB265" s="4">
        <v>574</v>
      </c>
      <c r="EC265">
        <v>1</v>
      </c>
      <c r="ED265" s="4">
        <v>578</v>
      </c>
      <c r="EE265">
        <v>1</v>
      </c>
      <c r="EF265" s="4">
        <v>584</v>
      </c>
      <c r="EG265">
        <v>1</v>
      </c>
      <c r="EH265" s="4">
        <v>591</v>
      </c>
      <c r="EI265">
        <v>1</v>
      </c>
      <c r="EJ265" s="4">
        <v>598</v>
      </c>
      <c r="EK265">
        <v>1</v>
      </c>
    </row>
    <row r="266" spans="1:141" x14ac:dyDescent="0.2">
      <c r="A266" t="str">
        <f>HYPERLINK("http://exon.niaid.nih.gov/transcriptome/C_felis/S1/links/cf/cf-contig_204.txt","cf-contig_204")</f>
        <v>cf-contig_204</v>
      </c>
      <c r="B266">
        <v>2</v>
      </c>
      <c r="C266" s="10" t="s">
        <v>4688</v>
      </c>
      <c r="D266">
        <v>2</v>
      </c>
      <c r="E266" t="str">
        <f>HYPERLINK("http://exon.niaid.nih.gov/transcriptome/C_felis/S1/links/cf/cf-5-36-asb-204.txt","Contig-204")</f>
        <v>Contig-204</v>
      </c>
      <c r="F266" t="str">
        <f>HYPERLINK("http://exon.niaid.nih.gov/transcriptome/C_felis/S1/links/cf/cf-5-36-204-CLU.txt","Contig204")</f>
        <v>Contig204</v>
      </c>
      <c r="G266" t="str">
        <f>HYPERLINK("http://exon.niaid.nih.gov/transcriptome/C_felis/S1/links/cf/cf-5-36-204-qual.txt","80.6")</f>
        <v>80.6</v>
      </c>
      <c r="H266" t="s">
        <v>11</v>
      </c>
      <c r="I266">
        <v>69.3</v>
      </c>
      <c r="J266">
        <v>261</v>
      </c>
      <c r="K266" t="s">
        <v>12</v>
      </c>
      <c r="L266">
        <v>2</v>
      </c>
      <c r="M266" t="s">
        <v>217</v>
      </c>
      <c r="N266">
        <v>267</v>
      </c>
      <c r="O266">
        <v>280</v>
      </c>
      <c r="P266">
        <v>219</v>
      </c>
      <c r="Q266" t="s">
        <v>1024</v>
      </c>
      <c r="R266">
        <v>2</v>
      </c>
      <c r="S266" s="7" t="str">
        <f>HYPERLINK("http://exon.niaid.nih.gov/transcriptome/C_felis/S1/links/Sigp/CF-CONTIG_204-SigP.txt","Cyt")</f>
        <v>Cyt</v>
      </c>
      <c r="U266">
        <v>2</v>
      </c>
      <c r="V266" s="4">
        <f>HYPERLINK("http://exon.niaid.nih.gov/transcriptome/C_felis/S1/links/cluster/cf-5-36-asb30-50-Id-CLU50.txt", 50)</f>
        <v>50</v>
      </c>
      <c r="W266">
        <f>HYPERLINK("http://exon.niaid.nih.gov/transcriptome/C_felis/S1/links/cluster/cf-5-36-asb30-50-Id-CLTL50.txt", 2)</f>
        <v>2</v>
      </c>
      <c r="X266" s="4">
        <f>HYPERLINK("http://exon.niaid.nih.gov/transcriptome/C_felis/S1/links/cluster/cf-5-36-asb35-50-Id-CLU43.txt", 43)</f>
        <v>43</v>
      </c>
      <c r="Y266">
        <f>HYPERLINK("http://exon.niaid.nih.gov/transcriptome/C_felis/S1/links/cluster/cf-5-36-asb35-50-Id-CLTL43.txt", 2)</f>
        <v>2</v>
      </c>
      <c r="Z266" s="4">
        <f>HYPERLINK("http://exon.niaid.nih.gov/transcriptome/C_felis/S1/links/cluster/cf-5-36-asb40-50-Id-CLU40.txt", 40)</f>
        <v>40</v>
      </c>
      <c r="AA266">
        <f>HYPERLINK("http://exon.niaid.nih.gov/transcriptome/C_felis/S1/links/cluster/cf-5-36-asb40-50-Id-CLTL40.txt", 2)</f>
        <v>2</v>
      </c>
      <c r="AB266" s="4" t="str">
        <f>HYPERLINK("http://exon.niaid.nih.gov/transcriptome/C_felis/S1/links/XC-ASB/cf-contig_204-XC-ASB.txt","XC-contig_207")</f>
        <v>XC-contig_207</v>
      </c>
      <c r="AC266">
        <v>0.19</v>
      </c>
      <c r="AD266" s="10" t="s">
        <v>4688</v>
      </c>
      <c r="AE266" t="s">
        <v>4605</v>
      </c>
      <c r="AF266" t="str">
        <f>HYPERLINK("http://exon.niaid.nih.gov/transcriptome/C_felis/S1/links/KOG/cf-contig_204-KOG.txt","KOG")</f>
        <v>KOG</v>
      </c>
      <c r="AG266" s="5">
        <v>5.9999999999999997E-18</v>
      </c>
      <c r="AH266">
        <v>8.5</v>
      </c>
      <c r="AI266" s="4" t="str">
        <f>HYPERLINK("http://exon.niaid.nih.gov/transcriptome/C_felis/S1/links/NR/cf-contig_204-NR.txt","glutaminyl-trna synthetase")</f>
        <v>glutaminyl-trna synthetase</v>
      </c>
      <c r="AJ266" t="str">
        <f>HYPERLINK("http://www.ncbi.nlm.nih.gov/sutils/blink.cgi?pid=157167670","5E-017")</f>
        <v>5E-017</v>
      </c>
      <c r="AK266" t="str">
        <f>HYPERLINK("http://www.ncbi.nlm.nih.gov/protein/157167670","gi|157167670")</f>
        <v>gi|157167670</v>
      </c>
      <c r="AL266">
        <v>91.3</v>
      </c>
      <c r="AM266">
        <v>64</v>
      </c>
      <c r="AN266">
        <v>782</v>
      </c>
      <c r="AO266">
        <v>63</v>
      </c>
      <c r="AP266">
        <v>8</v>
      </c>
      <c r="AQ266">
        <v>24</v>
      </c>
      <c r="AR266">
        <v>0</v>
      </c>
      <c r="AS266">
        <v>717</v>
      </c>
      <c r="AT266">
        <v>23</v>
      </c>
      <c r="AU266">
        <v>1</v>
      </c>
      <c r="AV266">
        <v>2</v>
      </c>
      <c r="AW266" t="s">
        <v>12</v>
      </c>
      <c r="AY266" t="s">
        <v>1676</v>
      </c>
      <c r="AZ266" t="s">
        <v>2267</v>
      </c>
      <c r="BA266" s="4" t="str">
        <f>HYPERLINK("http://exon.niaid.nih.gov/transcriptome/C_felis/S1/links/SWISSP/cf-contig_204-SWISSP.txt","Probable glutaminyl-tRNA synthetase")</f>
        <v>Probable glutaminyl-tRNA synthetase</v>
      </c>
      <c r="BB266" t="str">
        <f>HYPERLINK("http://www.uniprot.org/uniprot/Q9Y105","2E-016")</f>
        <v>2E-016</v>
      </c>
      <c r="BC266" t="s">
        <v>2432</v>
      </c>
      <c r="BD266">
        <v>84.3</v>
      </c>
      <c r="BE266">
        <v>65</v>
      </c>
      <c r="BF266">
        <v>778</v>
      </c>
      <c r="BG266">
        <v>56</v>
      </c>
      <c r="BH266">
        <v>8</v>
      </c>
      <c r="BI266">
        <v>29</v>
      </c>
      <c r="BJ266">
        <v>0</v>
      </c>
      <c r="BK266">
        <v>713</v>
      </c>
      <c r="BL266">
        <v>23</v>
      </c>
      <c r="BM266">
        <v>1</v>
      </c>
      <c r="BN266">
        <v>2</v>
      </c>
      <c r="BO266" t="s">
        <v>12</v>
      </c>
      <c r="BQ266" t="s">
        <v>1676</v>
      </c>
      <c r="BR266" t="s">
        <v>1804</v>
      </c>
      <c r="BS266" s="4" t="str">
        <f>HYPERLINK("http://exon.niaid.nih.gov/transcriptome/C_felis/S1/links/CDD/cf-contig_204-CDD.txt","PRK05347")</f>
        <v>PRK05347</v>
      </c>
      <c r="BT266" t="str">
        <f>HYPERLINK("http://www.ncbi.nlm.nih.gov/Structure/cdd/cddsrv.cgi?uid=PRK05347&amp;version=v4.0","5E-014")</f>
        <v>5E-014</v>
      </c>
      <c r="BU266" t="s">
        <v>2433</v>
      </c>
      <c r="BV266" s="4" t="s">
        <v>2434</v>
      </c>
      <c r="BW266">
        <f>HYPERLINK("http://exon.niaid.nih.gov/transcriptome/C_felis/S1/links/GO/cf-contig_204-GO.txt",0.0000000000000002)</f>
        <v>2E-16</v>
      </c>
      <c r="BX266" t="str">
        <f>HYPERLINK("http://amigo.geneontology.org/cgi-bin/amigo/term_details?term=GO:0004819","GO:0004819")</f>
        <v>GO:0004819</v>
      </c>
      <c r="BY266" t="s">
        <v>2435</v>
      </c>
      <c r="BZ266" t="s">
        <v>2436</v>
      </c>
      <c r="CA266" t="s">
        <v>2437</v>
      </c>
      <c r="CB266" t="str">
        <f>HYPERLINK("http://www.genome.jp/dbget-bin/www_bfind_sub?mode=bfind&amp;max_hit=1000&amp;dbkey=kegg&amp;keywords=EC:6.1.1.18","EC:6.1.1.18")</f>
        <v>EC:6.1.1.18</v>
      </c>
      <c r="CD266" s="5">
        <v>2E-16</v>
      </c>
      <c r="CE266" t="str">
        <f>HYPERLINK("http://amigo.geneontology.org/cgi-bin/amigo/term_details?term=GO:0005737","GO:0005737")</f>
        <v>GO:0005737</v>
      </c>
      <c r="CF266" t="s">
        <v>1966</v>
      </c>
      <c r="CG266" t="s">
        <v>1967</v>
      </c>
      <c r="CH266" t="s">
        <v>42</v>
      </c>
      <c r="CI266" t="s">
        <v>42</v>
      </c>
      <c r="CK266" s="5">
        <v>2E-16</v>
      </c>
      <c r="CL266" t="str">
        <f>HYPERLINK("http://amigo.geneontology.org/cgi-bin/amigo/term_details?term=GO:0006425","GO:0006425")</f>
        <v>GO:0006425</v>
      </c>
      <c r="CM266" t="s">
        <v>2438</v>
      </c>
      <c r="CN266" t="s">
        <v>2439</v>
      </c>
      <c r="CO266" t="s">
        <v>42</v>
      </c>
      <c r="CP266" t="s">
        <v>42</v>
      </c>
      <c r="CR266" s="5">
        <v>2E-16</v>
      </c>
      <c r="CS266" s="4" t="str">
        <f>HYPERLINK("http://exon.niaid.nih.gov/transcriptome/C_felis/S1/links/KOG/cf-contig_204-KOG.txt","Glutaminyl-tRNA synthetase")</f>
        <v>Glutaminyl-tRNA synthetase</v>
      </c>
      <c r="CT266" t="str">
        <f>HYPERLINK("http://www.ncbi.nlm.nih.gov/COG/grace/shokog.cgi?KOG1148","6E-018")</f>
        <v>6E-018</v>
      </c>
      <c r="CU266" t="s">
        <v>1707</v>
      </c>
      <c r="CV266" s="4" t="str">
        <f>HYPERLINK("http://exon.niaid.nih.gov/transcriptome/C_felis/S1/links/PFAM/cf-contig_204-PFAM.txt","tRNA-synt_1c_C")</f>
        <v>tRNA-synt_1c_C</v>
      </c>
      <c r="CW266" t="str">
        <f>HYPERLINK("http://pfam.sanger.ac.uk/family?acc=PF03950","4E-006")</f>
        <v>4E-006</v>
      </c>
      <c r="CX266" s="4" t="str">
        <f>HYPERLINK("http://exon.niaid.nih.gov/transcriptome/C_felis/S1/links/SMART/cf-contig_204-SMART.txt","CpcD")</f>
        <v>CpcD</v>
      </c>
      <c r="CY266" t="str">
        <f>HYPERLINK("http://smart.embl-heidelberg.de/smart/do_annotation.pl?DOMAIN=CpcD&amp;BLAST=DUMMY","0.29")</f>
        <v>0.29</v>
      </c>
      <c r="CZ266" s="4" t="s">
        <v>42</v>
      </c>
      <c r="DA266" t="s">
        <v>42</v>
      </c>
      <c r="DB266" t="s">
        <v>42</v>
      </c>
      <c r="DC266" t="s">
        <v>42</v>
      </c>
      <c r="DD266" t="s">
        <v>42</v>
      </c>
      <c r="DE266" t="s">
        <v>42</v>
      </c>
      <c r="DF266" t="s">
        <v>42</v>
      </c>
      <c r="DG266" t="s">
        <v>42</v>
      </c>
      <c r="DH266" s="4" t="s">
        <v>42</v>
      </c>
      <c r="DI266" t="s">
        <v>42</v>
      </c>
      <c r="DJ266" s="4" t="s">
        <v>42</v>
      </c>
      <c r="DK266" t="s">
        <v>42</v>
      </c>
      <c r="DL266" s="4">
        <f>HYPERLINK("http://exon.niaid.nih.gov/transcriptome/C_felis/S1/links/cluster/cf-5-36-asb30-50-Id-CLU50.txt", 50)</f>
        <v>50</v>
      </c>
      <c r="DM266">
        <f>HYPERLINK("http://exon.niaid.nih.gov/transcriptome/C_felis/S1/links/cluster/cf-5-36-asb30-50-Id-CLTL50.txt", 2)</f>
        <v>2</v>
      </c>
      <c r="DN266" s="4">
        <f>HYPERLINK("http://exon.niaid.nih.gov/transcriptome/C_felis/S1/links/cluster/cf-5-36-asb35-50-Id-CLU43.txt", 43)</f>
        <v>43</v>
      </c>
      <c r="DO266">
        <f>HYPERLINK("http://exon.niaid.nih.gov/transcriptome/C_felis/S1/links/cluster/cf-5-36-asb35-50-Id-CLTL43.txt", 2)</f>
        <v>2</v>
      </c>
      <c r="DP266" s="4">
        <f>HYPERLINK("http://exon.niaid.nih.gov/transcriptome/C_felis/S1/links/cluster/cf-5-36-asb40-50-Id-CLU40.txt", 40)</f>
        <v>40</v>
      </c>
      <c r="DQ266">
        <f>HYPERLINK("http://exon.niaid.nih.gov/transcriptome/C_felis/S1/links/cluster/cf-5-36-asb40-50-Id-CLTL40.txt", 2)</f>
        <v>2</v>
      </c>
      <c r="DR266" s="4">
        <v>170</v>
      </c>
      <c r="DS266">
        <v>1</v>
      </c>
      <c r="DT266" s="4">
        <v>174</v>
      </c>
      <c r="DU266">
        <v>1</v>
      </c>
      <c r="DV266" s="4">
        <v>186</v>
      </c>
      <c r="DW266">
        <v>1</v>
      </c>
      <c r="DX266" s="4">
        <v>188</v>
      </c>
      <c r="DY266">
        <v>1</v>
      </c>
      <c r="DZ266" s="4">
        <v>190</v>
      </c>
      <c r="EA266">
        <v>1</v>
      </c>
      <c r="EB266" s="4">
        <v>195</v>
      </c>
      <c r="EC266">
        <v>1</v>
      </c>
      <c r="ED266" s="4">
        <v>198</v>
      </c>
      <c r="EE266">
        <v>1</v>
      </c>
      <c r="EF266" s="4">
        <v>199</v>
      </c>
      <c r="EG266">
        <v>1</v>
      </c>
      <c r="EH266" s="4">
        <v>199</v>
      </c>
      <c r="EI266">
        <v>1</v>
      </c>
      <c r="EJ266" s="4">
        <v>204</v>
      </c>
      <c r="EK266">
        <v>1</v>
      </c>
    </row>
    <row r="267" spans="1:141" x14ac:dyDescent="0.2">
      <c r="A267" t="str">
        <f>HYPERLINK("http://exon.niaid.nih.gov/transcriptome/C_felis/S1/links/cf/cf-contig_205.txt","cf-contig_205")</f>
        <v>cf-contig_205</v>
      </c>
      <c r="B267">
        <v>1</v>
      </c>
      <c r="C267" s="10" t="s">
        <v>4688</v>
      </c>
      <c r="D267">
        <v>1</v>
      </c>
      <c r="E267" t="str">
        <f>HYPERLINK("http://exon.niaid.nih.gov/transcriptome/C_felis/S1/links/cf/cf-5-36-asb-205.txt","Contig-205")</f>
        <v>Contig-205</v>
      </c>
      <c r="F267" t="str">
        <f>HYPERLINK("http://exon.niaid.nih.gov/transcriptome/C_felis/S1/links/cf/cf-5-36-205-CLU.txt","Contig205")</f>
        <v>Contig205</v>
      </c>
      <c r="G267" t="str">
        <f>HYPERLINK("http://exon.niaid.nih.gov/transcriptome/C_felis/S1/links/cf/cf-5-36-205-qual.txt","60.4")</f>
        <v>60.4</v>
      </c>
      <c r="H267" t="s">
        <v>11</v>
      </c>
      <c r="I267">
        <v>66.2</v>
      </c>
      <c r="J267">
        <v>507</v>
      </c>
      <c r="K267" t="s">
        <v>12</v>
      </c>
      <c r="L267">
        <v>1</v>
      </c>
      <c r="M267" t="s">
        <v>218</v>
      </c>
      <c r="N267">
        <v>507</v>
      </c>
      <c r="O267">
        <v>526</v>
      </c>
      <c r="P267">
        <v>465</v>
      </c>
      <c r="Q267" t="s">
        <v>1025</v>
      </c>
      <c r="R267">
        <v>2</v>
      </c>
      <c r="S267" s="7" t="str">
        <f>HYPERLINK("http://exon.niaid.nih.gov/transcriptome/C_felis/S1/links/Sigp/CF-CONTIG_205-SigP.txt","Cyt")</f>
        <v>Cyt</v>
      </c>
      <c r="U267">
        <v>1</v>
      </c>
      <c r="V267" s="4">
        <f>HYPERLINK("http://exon.niaid.nih.gov/transcriptome/C_felis/S1/links/cluster/cf-5-36-asb30-50-Id-CLU50.txt", 50)</f>
        <v>50</v>
      </c>
      <c r="W267">
        <f>HYPERLINK("http://exon.niaid.nih.gov/transcriptome/C_felis/S1/links/cluster/cf-5-36-asb30-50-Id-CLTL50.txt", 2)</f>
        <v>2</v>
      </c>
      <c r="X267" s="4">
        <f>HYPERLINK("http://exon.niaid.nih.gov/transcriptome/C_felis/S1/links/cluster/cf-5-36-asb35-50-Id-CLU43.txt", 43)</f>
        <v>43</v>
      </c>
      <c r="Y267">
        <f>HYPERLINK("http://exon.niaid.nih.gov/transcriptome/C_felis/S1/links/cluster/cf-5-36-asb35-50-Id-CLTL43.txt", 2)</f>
        <v>2</v>
      </c>
      <c r="Z267" s="4">
        <f>HYPERLINK("http://exon.niaid.nih.gov/transcriptome/C_felis/S1/links/cluster/cf-5-36-asb40-50-Id-CLU40.txt", 40)</f>
        <v>40</v>
      </c>
      <c r="AA267">
        <f>HYPERLINK("http://exon.niaid.nih.gov/transcriptome/C_felis/S1/links/cluster/cf-5-36-asb40-50-Id-CLTL40.txt", 2)</f>
        <v>2</v>
      </c>
      <c r="AB267" s="4" t="str">
        <f>HYPERLINK("http://exon.niaid.nih.gov/transcriptome/C_felis/S1/links/XC-ASB/cf-contig_205-XC-ASB.txt","XC-contig_94")</f>
        <v>XC-contig_94</v>
      </c>
      <c r="AC267">
        <v>0.22</v>
      </c>
      <c r="AD267" s="10" t="s">
        <v>4688</v>
      </c>
      <c r="AE267" t="s">
        <v>4605</v>
      </c>
      <c r="AF267" t="str">
        <f>HYPERLINK("http://exon.niaid.nih.gov/transcriptome/C_felis/S1/links/KOG/cf-contig_205-KOG.txt","KOG")</f>
        <v>KOG</v>
      </c>
      <c r="AG267" s="5">
        <v>4.0000000000000001E-54</v>
      </c>
      <c r="AH267">
        <v>20.399999999999999</v>
      </c>
      <c r="AI267" s="4" t="str">
        <f>HYPERLINK("http://exon.niaid.nih.gov/transcriptome/C_felis/S1/links/NR/cf-contig_205-NR.txt","glutaminyl-trna synthetase")</f>
        <v>glutaminyl-trna synthetase</v>
      </c>
      <c r="AJ267" t="str">
        <f>HYPERLINK("http://www.ncbi.nlm.nih.gov/sutils/blink.cgi?pid=157167670","7E-055")</f>
        <v>7E-055</v>
      </c>
      <c r="AK267" t="str">
        <f>HYPERLINK("http://www.ncbi.nlm.nih.gov/protein/157167670","gi|157167670")</f>
        <v>gi|157167670</v>
      </c>
      <c r="AL267">
        <v>217</v>
      </c>
      <c r="AM267">
        <v>156</v>
      </c>
      <c r="AN267">
        <v>782</v>
      </c>
      <c r="AO267">
        <v>65</v>
      </c>
      <c r="AP267">
        <v>20</v>
      </c>
      <c r="AQ267">
        <v>54</v>
      </c>
      <c r="AR267">
        <v>3</v>
      </c>
      <c r="AS267">
        <v>625</v>
      </c>
      <c r="AT267">
        <v>2</v>
      </c>
      <c r="AU267">
        <v>1</v>
      </c>
      <c r="AV267">
        <v>2</v>
      </c>
      <c r="AW267" t="s">
        <v>12</v>
      </c>
      <c r="AY267" t="s">
        <v>1676</v>
      </c>
      <c r="AZ267" t="s">
        <v>2267</v>
      </c>
      <c r="BA267" s="4" t="str">
        <f>HYPERLINK("http://exon.niaid.nih.gov/transcriptome/C_felis/S1/links/SWISSP/cf-contig_205-SWISSP.txt","Probable glutaminyl-tRNA synthetase")</f>
        <v>Probable glutaminyl-tRNA synthetase</v>
      </c>
      <c r="BB267" t="str">
        <f>HYPERLINK("http://www.uniprot.org/uniprot/Q9Y105","1E-050")</f>
        <v>1E-050</v>
      </c>
      <c r="BC267" t="s">
        <v>2432</v>
      </c>
      <c r="BD267">
        <v>199</v>
      </c>
      <c r="BE267">
        <v>157</v>
      </c>
      <c r="BF267">
        <v>778</v>
      </c>
      <c r="BG267">
        <v>59</v>
      </c>
      <c r="BH267">
        <v>20</v>
      </c>
      <c r="BI267">
        <v>64</v>
      </c>
      <c r="BJ267">
        <v>4</v>
      </c>
      <c r="BK267">
        <v>621</v>
      </c>
      <c r="BL267">
        <v>5</v>
      </c>
      <c r="BM267">
        <v>1</v>
      </c>
      <c r="BN267">
        <v>2</v>
      </c>
      <c r="BO267" t="s">
        <v>12</v>
      </c>
      <c r="BQ267" t="s">
        <v>1676</v>
      </c>
      <c r="BR267" t="s">
        <v>1804</v>
      </c>
      <c r="BS267" s="4" t="str">
        <f>HYPERLINK("http://exon.niaid.nih.gov/transcriptome/C_felis/S1/links/CDD/cf-contig_205-CDD.txt","PRK05347")</f>
        <v>PRK05347</v>
      </c>
      <c r="BT267" t="str">
        <f>HYPERLINK("http://www.ncbi.nlm.nih.gov/Structure/cdd/cddsrv.cgi?uid=PRK05347&amp;version=v4.0","9E-042")</f>
        <v>9E-042</v>
      </c>
      <c r="BU267" t="s">
        <v>2440</v>
      </c>
      <c r="BV267" s="4" t="s">
        <v>2434</v>
      </c>
      <c r="BW267">
        <f>HYPERLINK("http://exon.niaid.nih.gov/transcriptome/C_felis/S1/links/GO/cf-contig_205-GO.txt",9E-51)</f>
        <v>8.9999999999999995E-51</v>
      </c>
      <c r="BX267" t="str">
        <f>HYPERLINK("http://amigo.geneontology.org/cgi-bin/amigo/term_details?term=GO:0004819","GO:0004819")</f>
        <v>GO:0004819</v>
      </c>
      <c r="BY267" t="s">
        <v>2435</v>
      </c>
      <c r="BZ267" t="s">
        <v>2436</v>
      </c>
      <c r="CA267" t="s">
        <v>2437</v>
      </c>
      <c r="CB267" t="str">
        <f>HYPERLINK("http://www.genome.jp/dbget-bin/www_bfind_sub?mode=bfind&amp;max_hit=1000&amp;dbkey=kegg&amp;keywords=EC:6.1.1.18","EC:6.1.1.18")</f>
        <v>EC:6.1.1.18</v>
      </c>
      <c r="CD267" s="5">
        <v>8.9999999999999995E-51</v>
      </c>
      <c r="CE267" t="str">
        <f>HYPERLINK("http://amigo.geneontology.org/cgi-bin/amigo/term_details?term=GO:0005737","GO:0005737")</f>
        <v>GO:0005737</v>
      </c>
      <c r="CF267" t="s">
        <v>1966</v>
      </c>
      <c r="CG267" t="s">
        <v>1967</v>
      </c>
      <c r="CH267" t="s">
        <v>42</v>
      </c>
      <c r="CI267" t="s">
        <v>42</v>
      </c>
      <c r="CK267" s="5">
        <v>8.9999999999999995E-51</v>
      </c>
      <c r="CL267" t="str">
        <f>HYPERLINK("http://amigo.geneontology.org/cgi-bin/amigo/term_details?term=GO:0006425","GO:0006425")</f>
        <v>GO:0006425</v>
      </c>
      <c r="CM267" t="s">
        <v>2438</v>
      </c>
      <c r="CN267" t="s">
        <v>2439</v>
      </c>
      <c r="CO267" t="s">
        <v>42</v>
      </c>
      <c r="CP267" t="s">
        <v>42</v>
      </c>
      <c r="CR267" s="5">
        <v>8.9999999999999995E-51</v>
      </c>
      <c r="CS267" s="4" t="str">
        <f>HYPERLINK("http://exon.niaid.nih.gov/transcriptome/C_felis/S1/links/KOG/cf-contig_205-KOG.txt","Glutaminyl-tRNA synthetase")</f>
        <v>Glutaminyl-tRNA synthetase</v>
      </c>
      <c r="CT267" t="str">
        <f>HYPERLINK("http://www.ncbi.nlm.nih.gov/COG/grace/shokog.cgi?KOG1148","4E-054")</f>
        <v>4E-054</v>
      </c>
      <c r="CU267" t="s">
        <v>1707</v>
      </c>
      <c r="CV267" s="4" t="str">
        <f>HYPERLINK("http://exon.niaid.nih.gov/transcriptome/C_felis/S1/links/PFAM/cf-contig_205-PFAM.txt","tRNA-synt_1c_C")</f>
        <v>tRNA-synt_1c_C</v>
      </c>
      <c r="CW267" t="str">
        <f>HYPERLINK("http://pfam.sanger.ac.uk/family?acc=PF03950","3E-026")</f>
        <v>3E-026</v>
      </c>
      <c r="CX267" s="4" t="str">
        <f>HYPERLINK("http://exon.niaid.nih.gov/transcriptome/C_felis/S1/links/SMART/cf-contig_205-SMART.txt","BAH")</f>
        <v>BAH</v>
      </c>
      <c r="CY267" t="str">
        <f>HYPERLINK("http://smart.embl-heidelberg.de/smart/do_annotation.pl?DOMAIN=BAH&amp;BLAST=DUMMY","0.19")</f>
        <v>0.19</v>
      </c>
      <c r="CZ267" s="4" t="s">
        <v>42</v>
      </c>
      <c r="DA267" t="s">
        <v>42</v>
      </c>
      <c r="DB267" t="s">
        <v>42</v>
      </c>
      <c r="DC267" t="s">
        <v>42</v>
      </c>
      <c r="DD267" t="s">
        <v>42</v>
      </c>
      <c r="DE267" t="s">
        <v>42</v>
      </c>
      <c r="DF267" t="s">
        <v>42</v>
      </c>
      <c r="DG267" t="s">
        <v>42</v>
      </c>
      <c r="DH267" s="4" t="s">
        <v>42</v>
      </c>
      <c r="DI267" t="s">
        <v>42</v>
      </c>
      <c r="DJ267" s="4" t="s">
        <v>42</v>
      </c>
      <c r="DK267" t="s">
        <v>42</v>
      </c>
      <c r="DL267" s="4">
        <f>HYPERLINK("http://exon.niaid.nih.gov/transcriptome/C_felis/S1/links/cluster/cf-5-36-asb30-50-Id-CLU50.txt", 50)</f>
        <v>50</v>
      </c>
      <c r="DM267">
        <f>HYPERLINK("http://exon.niaid.nih.gov/transcriptome/C_felis/S1/links/cluster/cf-5-36-asb30-50-Id-CLTL50.txt", 2)</f>
        <v>2</v>
      </c>
      <c r="DN267" s="4">
        <f>HYPERLINK("http://exon.niaid.nih.gov/transcriptome/C_felis/S1/links/cluster/cf-5-36-asb35-50-Id-CLU43.txt", 43)</f>
        <v>43</v>
      </c>
      <c r="DO267">
        <f>HYPERLINK("http://exon.niaid.nih.gov/transcriptome/C_felis/S1/links/cluster/cf-5-36-asb35-50-Id-CLTL43.txt", 2)</f>
        <v>2</v>
      </c>
      <c r="DP267" s="4">
        <f>HYPERLINK("http://exon.niaid.nih.gov/transcriptome/C_felis/S1/links/cluster/cf-5-36-asb40-50-Id-CLU40.txt", 40)</f>
        <v>40</v>
      </c>
      <c r="DQ267">
        <f>HYPERLINK("http://exon.niaid.nih.gov/transcriptome/C_felis/S1/links/cluster/cf-5-36-asb40-50-Id-CLTL40.txt", 2)</f>
        <v>2</v>
      </c>
      <c r="DR267" s="4">
        <v>171</v>
      </c>
      <c r="DS267">
        <v>1</v>
      </c>
      <c r="DT267" s="4">
        <v>175</v>
      </c>
      <c r="DU267">
        <v>1</v>
      </c>
      <c r="DV267" s="4">
        <v>187</v>
      </c>
      <c r="DW267">
        <v>1</v>
      </c>
      <c r="DX267" s="4">
        <v>189</v>
      </c>
      <c r="DY267">
        <v>1</v>
      </c>
      <c r="DZ267" s="4">
        <v>191</v>
      </c>
      <c r="EA267">
        <v>1</v>
      </c>
      <c r="EB267" s="4">
        <v>196</v>
      </c>
      <c r="EC267">
        <v>1</v>
      </c>
      <c r="ED267" s="4">
        <v>199</v>
      </c>
      <c r="EE267">
        <v>1</v>
      </c>
      <c r="EF267" s="4">
        <v>200</v>
      </c>
      <c r="EG267">
        <v>1</v>
      </c>
      <c r="EH267" s="4">
        <v>200</v>
      </c>
      <c r="EI267">
        <v>1</v>
      </c>
      <c r="EJ267" s="4">
        <v>205</v>
      </c>
      <c r="EK267">
        <v>1</v>
      </c>
    </row>
    <row r="268" spans="1:141" x14ac:dyDescent="0.2">
      <c r="A268" t="str">
        <f>HYPERLINK("http://exon.niaid.nih.gov/transcriptome/C_felis/S1/links/cf/cf-contig_385.txt","cf-contig_385")</f>
        <v>cf-contig_385</v>
      </c>
      <c r="B268">
        <v>1</v>
      </c>
      <c r="C268" s="10" t="s">
        <v>4753</v>
      </c>
      <c r="D268">
        <v>1</v>
      </c>
      <c r="E268" t="str">
        <f>HYPERLINK("http://exon.niaid.nih.gov/transcriptome/C_felis/S1/links/cf/cf-5-36-asb-385.txt","Contig-385")</f>
        <v>Contig-385</v>
      </c>
      <c r="F268" t="str">
        <f>HYPERLINK("http://exon.niaid.nih.gov/transcriptome/C_felis/S1/links/cf/cf-5-36-385-CLU.txt","Contig385")</f>
        <v>Contig385</v>
      </c>
      <c r="G268" t="str">
        <f>HYPERLINK("http://exon.niaid.nih.gov/transcriptome/C_felis/S1/links/cf/cf-5-36-385-qual.txt","65.8")</f>
        <v>65.8</v>
      </c>
      <c r="H268" t="s">
        <v>11</v>
      </c>
      <c r="I268">
        <v>72</v>
      </c>
      <c r="J268">
        <v>539</v>
      </c>
      <c r="K268" t="s">
        <v>12</v>
      </c>
      <c r="L268">
        <v>1</v>
      </c>
      <c r="M268" t="s">
        <v>398</v>
      </c>
      <c r="N268">
        <v>539</v>
      </c>
      <c r="O268">
        <v>558</v>
      </c>
      <c r="P268">
        <v>249</v>
      </c>
      <c r="Q268" t="s">
        <v>1205</v>
      </c>
      <c r="R268">
        <v>2</v>
      </c>
      <c r="S268" s="7" t="str">
        <f>HYPERLINK("http://exon.niaid.nih.gov/transcriptome/C_felis/S1/links/Sigp/CF-CONTIG_385-SigP.txt","Cyt")</f>
        <v>Cyt</v>
      </c>
      <c r="U268">
        <v>1</v>
      </c>
      <c r="V268" s="4">
        <v>313</v>
      </c>
      <c r="W268">
        <v>1</v>
      </c>
      <c r="X268" s="4">
        <v>321</v>
      </c>
      <c r="Y268">
        <v>1</v>
      </c>
      <c r="Z268" s="4">
        <v>322</v>
      </c>
      <c r="AA268">
        <v>1</v>
      </c>
      <c r="AB268" s="4" t="str">
        <f>HYPERLINK("http://exon.niaid.nih.gov/transcriptome/C_felis/S1/links/XC-ASB/cf-contig_385-XC-ASB.txt","XC-contig_226")</f>
        <v>XC-contig_226</v>
      </c>
      <c r="AC268">
        <v>0.23</v>
      </c>
      <c r="AD268" s="10" t="s">
        <v>4753</v>
      </c>
      <c r="AE268" t="s">
        <v>4605</v>
      </c>
      <c r="AF268" t="str">
        <f>HYPERLINK("http://exon.niaid.nih.gov/transcriptome/C_felis/S1/links/KOG/cf-contig_385-KOG.txt","KOG")</f>
        <v>KOG</v>
      </c>
      <c r="AG268" s="5">
        <v>2.0000000000000001E-22</v>
      </c>
      <c r="AH268">
        <v>10.6</v>
      </c>
      <c r="AI268" s="4" t="str">
        <f>HYPERLINK("http://exon.niaid.nih.gov/transcriptome/C_felis/S1/links/NR/cf-contig_385-NR.txt","glycyl-tRNA synthetase-like")</f>
        <v>glycyl-tRNA synthetase-like</v>
      </c>
      <c r="AJ268" t="str">
        <f>HYPERLINK("http://www.ncbi.nlm.nih.gov/sutils/blink.cgi?pid=350425387","1E-025")</f>
        <v>1E-025</v>
      </c>
      <c r="AK268" t="str">
        <f>HYPERLINK("http://www.ncbi.nlm.nih.gov/protein/350425387","gi|350425387")</f>
        <v>gi|350425387</v>
      </c>
      <c r="AL268">
        <v>120</v>
      </c>
      <c r="AM268">
        <v>82</v>
      </c>
      <c r="AN268">
        <v>741</v>
      </c>
      <c r="AO268">
        <v>71</v>
      </c>
      <c r="AP268">
        <v>11</v>
      </c>
      <c r="AQ268">
        <v>24</v>
      </c>
      <c r="AR268">
        <v>1</v>
      </c>
      <c r="AS268">
        <v>659</v>
      </c>
      <c r="AT268">
        <v>5</v>
      </c>
      <c r="AU268">
        <v>1</v>
      </c>
      <c r="AV268">
        <v>2</v>
      </c>
      <c r="AW268" t="s">
        <v>12</v>
      </c>
      <c r="AY268" t="s">
        <v>1676</v>
      </c>
      <c r="AZ268" t="s">
        <v>2234</v>
      </c>
      <c r="BA268" s="4" t="str">
        <f>HYPERLINK("http://exon.niaid.nih.gov/transcriptome/C_felis/S1/links/SWISSP/cf-contig_385-SWISSP.txt","Glycyl-tRNA synthetase")</f>
        <v>Glycyl-tRNA synthetase</v>
      </c>
      <c r="BB268" t="str">
        <f>HYPERLINK("http://www.uniprot.org/uniprot/Q04451","9E-025")</f>
        <v>9E-025</v>
      </c>
      <c r="BC268" t="s">
        <v>3030</v>
      </c>
      <c r="BD268">
        <v>113</v>
      </c>
      <c r="BE268">
        <v>80</v>
      </c>
      <c r="BF268">
        <v>680</v>
      </c>
      <c r="BG268">
        <v>66</v>
      </c>
      <c r="BH268">
        <v>12</v>
      </c>
      <c r="BI268">
        <v>27</v>
      </c>
      <c r="BJ268">
        <v>1</v>
      </c>
      <c r="BK268">
        <v>596</v>
      </c>
      <c r="BL268">
        <v>5</v>
      </c>
      <c r="BM268">
        <v>1</v>
      </c>
      <c r="BN268">
        <v>2</v>
      </c>
      <c r="BO268" t="s">
        <v>12</v>
      </c>
      <c r="BQ268" t="s">
        <v>1676</v>
      </c>
      <c r="BR268" t="s">
        <v>2037</v>
      </c>
      <c r="BS268" s="4" t="str">
        <f>HYPERLINK("http://exon.niaid.nih.gov/transcriptome/C_felis/S1/links/CDD/cf-contig_385-CDD.txt","PLN02734")</f>
        <v>PLN02734</v>
      </c>
      <c r="BT268" t="str">
        <f>HYPERLINK("http://www.ncbi.nlm.nih.gov/Structure/cdd/cddsrv.cgi?uid=PLN02734&amp;version=v4.0","4E-026")</f>
        <v>4E-026</v>
      </c>
      <c r="BU268" t="s">
        <v>3031</v>
      </c>
      <c r="BV268" s="4" t="s">
        <v>3032</v>
      </c>
      <c r="BW268">
        <f>HYPERLINK("http://exon.niaid.nih.gov/transcriptome/C_felis/S1/links/GO/cf-contig_385-GO.txt",7E-25)</f>
        <v>7.0000000000000004E-25</v>
      </c>
      <c r="BX268" t="str">
        <f>HYPERLINK("http://amigo.geneontology.org/cgi-bin/amigo/term_details?term=GO:0004820","GO:0004820")</f>
        <v>GO:0004820</v>
      </c>
      <c r="BY268" t="s">
        <v>3033</v>
      </c>
      <c r="BZ268" t="s">
        <v>3034</v>
      </c>
      <c r="CA268" t="s">
        <v>3035</v>
      </c>
      <c r="CB268" t="str">
        <f>HYPERLINK("http://www.genome.jp/dbget-bin/www_bfind_sub?mode=bfind&amp;max_hit=1000&amp;dbkey=kegg&amp;keywords=EC:6.1.1.14","EC:6.1.1.14")</f>
        <v>EC:6.1.1.14</v>
      </c>
      <c r="CD268" s="5">
        <v>3E-23</v>
      </c>
      <c r="CE268" t="str">
        <f>HYPERLINK("http://amigo.geneontology.org/cgi-bin/amigo/term_details?term=GO:0005737","GO:0005737")</f>
        <v>GO:0005737</v>
      </c>
      <c r="CF268" t="s">
        <v>1966</v>
      </c>
      <c r="CG268" t="s">
        <v>1967</v>
      </c>
      <c r="CH268" t="s">
        <v>42</v>
      </c>
      <c r="CI268" t="s">
        <v>42</v>
      </c>
      <c r="CK268" s="5">
        <v>3E-23</v>
      </c>
      <c r="CL268" t="str">
        <f>HYPERLINK("http://amigo.geneontology.org/cgi-bin/amigo/term_details?term=GO:0006426","GO:0006426")</f>
        <v>GO:0006426</v>
      </c>
      <c r="CM268" t="s">
        <v>3036</v>
      </c>
      <c r="CN268" t="s">
        <v>3037</v>
      </c>
      <c r="CO268" t="s">
        <v>42</v>
      </c>
      <c r="CP268" t="s">
        <v>42</v>
      </c>
      <c r="CR268" s="5">
        <v>3E-23</v>
      </c>
      <c r="CS268" s="4" t="str">
        <f>HYPERLINK("http://exon.niaid.nih.gov/transcriptome/C_felis/S1/links/KOG/cf-contig_385-KOG.txt","Glycyl-tRNA synthetase and related class II tRNA synthetase")</f>
        <v>Glycyl-tRNA synthetase and related class II tRNA synthetase</v>
      </c>
      <c r="CT268" t="str">
        <f>HYPERLINK("http://www.ncbi.nlm.nih.gov/COG/grace/shokog.cgi?KOG2298","2E-022")</f>
        <v>2E-022</v>
      </c>
      <c r="CU268" t="s">
        <v>1707</v>
      </c>
      <c r="CV268" s="4" t="str">
        <f>HYPERLINK("http://exon.niaid.nih.gov/transcriptome/C_felis/S1/links/PFAM/cf-contig_385-PFAM.txt","HGTP_anticodon")</f>
        <v>HGTP_anticodon</v>
      </c>
      <c r="CW268" t="str">
        <f>HYPERLINK("http://pfam.sanger.ac.uk/family?acc=PF03129","3E-013")</f>
        <v>3E-013</v>
      </c>
      <c r="CX268" s="4" t="str">
        <f>HYPERLINK("http://exon.niaid.nih.gov/transcriptome/C_felis/S1/links/SMART/cf-contig_385-SMART.txt","BTB")</f>
        <v>BTB</v>
      </c>
      <c r="CY268" t="str">
        <f>HYPERLINK("http://smart.embl-heidelberg.de/smart/do_annotation.pl?DOMAIN=BTB&amp;BLAST=DUMMY","0.31")</f>
        <v>0.31</v>
      </c>
      <c r="CZ268" s="4" t="s">
        <v>42</v>
      </c>
      <c r="DA268" t="s">
        <v>42</v>
      </c>
      <c r="DB268" t="s">
        <v>42</v>
      </c>
      <c r="DC268" t="s">
        <v>42</v>
      </c>
      <c r="DD268" t="s">
        <v>42</v>
      </c>
      <c r="DE268" t="s">
        <v>42</v>
      </c>
      <c r="DF268" t="s">
        <v>42</v>
      </c>
      <c r="DG268" t="s">
        <v>42</v>
      </c>
      <c r="DH268" s="4" t="s">
        <v>42</v>
      </c>
      <c r="DI268" t="s">
        <v>42</v>
      </c>
      <c r="DJ268" s="4" t="s">
        <v>42</v>
      </c>
      <c r="DK268" t="s">
        <v>42</v>
      </c>
      <c r="DL268" s="4">
        <v>313</v>
      </c>
      <c r="DM268">
        <v>1</v>
      </c>
      <c r="DN268" s="4">
        <v>321</v>
      </c>
      <c r="DO268">
        <v>1</v>
      </c>
      <c r="DP268" s="4">
        <v>322</v>
      </c>
      <c r="DQ268">
        <v>1</v>
      </c>
      <c r="DR268" s="4">
        <v>333</v>
      </c>
      <c r="DS268">
        <v>1</v>
      </c>
      <c r="DT268" s="4">
        <v>343</v>
      </c>
      <c r="DU268">
        <v>1</v>
      </c>
      <c r="DV268" s="4">
        <v>356</v>
      </c>
      <c r="DW268">
        <v>1</v>
      </c>
      <c r="DX268" s="4">
        <v>359</v>
      </c>
      <c r="DY268">
        <v>1</v>
      </c>
      <c r="DZ268" s="4">
        <v>364</v>
      </c>
      <c r="EA268">
        <v>1</v>
      </c>
      <c r="EB268" s="4">
        <v>369</v>
      </c>
      <c r="EC268">
        <v>1</v>
      </c>
      <c r="ED268" s="4">
        <v>373</v>
      </c>
      <c r="EE268">
        <v>1</v>
      </c>
      <c r="EF268" s="4">
        <v>378</v>
      </c>
      <c r="EG268">
        <v>1</v>
      </c>
      <c r="EH268" s="4">
        <v>380</v>
      </c>
      <c r="EI268">
        <v>1</v>
      </c>
      <c r="EJ268" s="4">
        <v>385</v>
      </c>
      <c r="EK268">
        <v>1</v>
      </c>
    </row>
    <row r="269" spans="1:141" x14ac:dyDescent="0.2">
      <c r="A269" t="str">
        <f>HYPERLINK("http://exon.niaid.nih.gov/transcriptome/C_felis/S1/links/cf/cf-contig_560.txt","cf-contig_560")</f>
        <v>cf-contig_560</v>
      </c>
      <c r="B269">
        <v>1</v>
      </c>
      <c r="C269" s="10" t="s">
        <v>4802</v>
      </c>
      <c r="D269">
        <v>1</v>
      </c>
      <c r="E269" t="str">
        <f>HYPERLINK("http://exon.niaid.nih.gov/transcriptome/C_felis/S1/links/cf/cf-5-36-asb-560.txt","Contig-560")</f>
        <v>Contig-560</v>
      </c>
      <c r="F269" t="str">
        <f>HYPERLINK("http://exon.niaid.nih.gov/transcriptome/C_felis/S1/links/cf/cf-5-36-560-CLU.txt","Contig560")</f>
        <v>Contig560</v>
      </c>
      <c r="G269" t="str">
        <f>HYPERLINK("http://exon.niaid.nih.gov/transcriptome/C_felis/S1/links/cf/cf-5-36-560-qual.txt","60.5")</f>
        <v>60.5</v>
      </c>
      <c r="H269" t="s">
        <v>11</v>
      </c>
      <c r="I269">
        <v>66.2</v>
      </c>
      <c r="J269">
        <v>670</v>
      </c>
      <c r="K269" t="s">
        <v>12</v>
      </c>
      <c r="L269">
        <v>1</v>
      </c>
      <c r="M269" t="s">
        <v>573</v>
      </c>
      <c r="N269">
        <v>670</v>
      </c>
      <c r="O269">
        <v>689</v>
      </c>
      <c r="P269">
        <v>471</v>
      </c>
      <c r="Q269" t="s">
        <v>1379</v>
      </c>
      <c r="R269">
        <v>3</v>
      </c>
      <c r="S269" s="7" t="s">
        <v>4585</v>
      </c>
      <c r="U269">
        <v>1</v>
      </c>
      <c r="V269" s="4">
        <v>457</v>
      </c>
      <c r="W269">
        <v>1</v>
      </c>
      <c r="X269" s="4">
        <v>467</v>
      </c>
      <c r="Y269">
        <v>1</v>
      </c>
      <c r="Z269" s="4">
        <v>474</v>
      </c>
      <c r="AA269">
        <v>1</v>
      </c>
      <c r="AB269" s="4" t="str">
        <f>HYPERLINK("http://exon.niaid.nih.gov/transcriptome/C_felis/S1/links/XC-ASB/cf-contig_560-XC-ASB.txt","XC-contig_5")</f>
        <v>XC-contig_5</v>
      </c>
      <c r="AC269">
        <v>2.1999999999999999E-2</v>
      </c>
      <c r="AD269" s="10" t="s">
        <v>4802</v>
      </c>
      <c r="AE269" t="s">
        <v>4605</v>
      </c>
      <c r="AF269" t="str">
        <f>HYPERLINK("http://exon.niaid.nih.gov/transcriptome/C_felis/S1/links/KOG/cf-contig_560-KOG.txt","KOG")</f>
        <v>KOG</v>
      </c>
      <c r="AG269" s="5">
        <v>7.0000000000000001E-52</v>
      </c>
      <c r="AH269">
        <v>67.3</v>
      </c>
      <c r="AI269" s="4" t="str">
        <f>HYPERLINK("http://exon.niaid.nih.gov/transcriptome/C_felis/S1/links/NR/cf-contig_560-NR.txt","hypothetical protein AND_14210")</f>
        <v>hypothetical protein AND_14210</v>
      </c>
      <c r="AJ269" t="str">
        <f>HYPERLINK("http://www.ncbi.nlm.nih.gov/sutils/blink.cgi?pid=312375398","4E-059")</f>
        <v>4E-059</v>
      </c>
      <c r="AK269" t="str">
        <f>HYPERLINK("http://www.ncbi.nlm.nih.gov/protein/312375398","gi|312375398")</f>
        <v>gi|312375398</v>
      </c>
      <c r="AL269">
        <v>228</v>
      </c>
      <c r="AM269">
        <v>164</v>
      </c>
      <c r="AN269">
        <v>241</v>
      </c>
      <c r="AO269">
        <v>67</v>
      </c>
      <c r="AP269">
        <v>68</v>
      </c>
      <c r="AQ269">
        <v>50</v>
      </c>
      <c r="AR269">
        <v>0</v>
      </c>
      <c r="AS269">
        <v>77</v>
      </c>
      <c r="AT269">
        <v>35</v>
      </c>
      <c r="AU269">
        <v>2</v>
      </c>
      <c r="AV269">
        <v>3</v>
      </c>
      <c r="AW269" t="s">
        <v>1689</v>
      </c>
      <c r="AY269" t="s">
        <v>1676</v>
      </c>
      <c r="AZ269" t="s">
        <v>2506</v>
      </c>
      <c r="BA269" s="4" t="str">
        <f>HYPERLINK("http://exon.niaid.nih.gov/transcriptome/C_felis/S1/links/SWISSP/cf-contig_560-SWISSP.txt","Probable 39S ribosomal protein L24, mitochondrial")</f>
        <v>Probable 39S ribosomal protein L24, mitochondrial</v>
      </c>
      <c r="BB269" t="str">
        <f>HYPERLINK("http://www.uniprot.org/uniprot/Q29MA5","5E-056")</f>
        <v>5E-056</v>
      </c>
      <c r="BC269" t="s">
        <v>3703</v>
      </c>
      <c r="BD269">
        <v>214</v>
      </c>
      <c r="BE269">
        <v>164</v>
      </c>
      <c r="BF269">
        <v>247</v>
      </c>
      <c r="BG269">
        <v>64</v>
      </c>
      <c r="BH269">
        <v>67</v>
      </c>
      <c r="BI269">
        <v>55</v>
      </c>
      <c r="BJ269">
        <v>0</v>
      </c>
      <c r="BK269">
        <v>83</v>
      </c>
      <c r="BL269">
        <v>35</v>
      </c>
      <c r="BM269">
        <v>2</v>
      </c>
      <c r="BN269">
        <v>3</v>
      </c>
      <c r="BO269" t="s">
        <v>1689</v>
      </c>
      <c r="BQ269" t="s">
        <v>1676</v>
      </c>
      <c r="BR269" t="s">
        <v>2809</v>
      </c>
      <c r="BS269" s="4" t="str">
        <f>HYPERLINK("http://exon.niaid.nih.gov/transcriptome/C_felis/S1/links/CDD/cf-contig_560-CDD.txt","rplX_bact")</f>
        <v>rplX_bact</v>
      </c>
      <c r="BT269" t="str">
        <f>HYPERLINK("http://www.ncbi.nlm.nih.gov/Structure/cdd/cddsrv.cgi?uid=TIGR01079&amp;version=v4.0","4E-016")</f>
        <v>4E-016</v>
      </c>
      <c r="BU269" t="s">
        <v>3704</v>
      </c>
      <c r="BV269" s="4" t="s">
        <v>3705</v>
      </c>
      <c r="BW269">
        <f>HYPERLINK("http://exon.niaid.nih.gov/transcriptome/C_felis/S1/links/GO/cf-contig_560-GO.txt",4E-56)</f>
        <v>4.0000000000000002E-56</v>
      </c>
      <c r="BX269" t="str">
        <f>HYPERLINK("http://amigo.geneontology.org/cgi-bin/amigo/term_details?term=GO:0003674","GO:0003674")</f>
        <v>GO:0003674</v>
      </c>
      <c r="BY269" t="s">
        <v>1851</v>
      </c>
      <c r="BZ269" t="s">
        <v>1852</v>
      </c>
      <c r="CA269" t="s">
        <v>1853</v>
      </c>
      <c r="CB269" t="s">
        <v>42</v>
      </c>
      <c r="CD269" s="5">
        <v>4.0000000000000002E-56</v>
      </c>
      <c r="CE269" t="str">
        <f>HYPERLINK("http://amigo.geneontology.org/cgi-bin/amigo/term_details?term=GO:0005575","GO:0005575")</f>
        <v>GO:0005575</v>
      </c>
      <c r="CF269" t="s">
        <v>1838</v>
      </c>
      <c r="CG269" t="s">
        <v>1839</v>
      </c>
      <c r="CH269" t="s">
        <v>1840</v>
      </c>
      <c r="CI269" t="s">
        <v>42</v>
      </c>
      <c r="CK269" s="5">
        <v>4.0000000000000002E-56</v>
      </c>
      <c r="CL269" t="str">
        <f>HYPERLINK("http://amigo.geneontology.org/cgi-bin/amigo/term_details?term=GO:0008150","GO:0008150")</f>
        <v>GO:0008150</v>
      </c>
      <c r="CM269" t="s">
        <v>1857</v>
      </c>
      <c r="CN269" t="s">
        <v>1858</v>
      </c>
      <c r="CO269" t="s">
        <v>1859</v>
      </c>
      <c r="CP269" t="s">
        <v>42</v>
      </c>
      <c r="CR269" s="5">
        <v>4.0000000000000002E-56</v>
      </c>
      <c r="CS269" s="4" t="str">
        <f>HYPERLINK("http://exon.niaid.nih.gov/transcriptome/C_felis/S1/links/KOG/cf-contig_560-KOG.txt","Mitochondrial/chloroplast ribosomal protein L24")</f>
        <v>Mitochondrial/chloroplast ribosomal protein L24</v>
      </c>
      <c r="CT269" t="str">
        <f>HYPERLINK("http://www.ncbi.nlm.nih.gov/COG/grace/shokog.cgi?KOG1708","7E-052")</f>
        <v>7E-052</v>
      </c>
      <c r="CU269" t="s">
        <v>1707</v>
      </c>
      <c r="CV269" s="4" t="str">
        <f>HYPERLINK("http://exon.niaid.nih.gov/transcriptome/C_felis/S1/links/PFAM/cf-contig_560-PFAM.txt","7tm_7")</f>
        <v>7tm_7</v>
      </c>
      <c r="CW269" t="str">
        <f>HYPERLINK("http://pfam.sanger.ac.uk/family?acc=PF08395","0.008")</f>
        <v>0.008</v>
      </c>
      <c r="CX269" s="4" t="str">
        <f>HYPERLINK("http://exon.niaid.nih.gov/transcriptome/C_felis/S1/links/SMART/cf-contig_560-SMART.txt","RING")</f>
        <v>RING</v>
      </c>
      <c r="CY269" t="str">
        <f>HYPERLINK("http://smart.embl-heidelberg.de/smart/do_annotation.pl?DOMAIN=RING&amp;BLAST=DUMMY","0.029")</f>
        <v>0.029</v>
      </c>
      <c r="CZ269" s="4" t="s">
        <v>42</v>
      </c>
      <c r="DA269" t="s">
        <v>42</v>
      </c>
      <c r="DB269" t="s">
        <v>42</v>
      </c>
      <c r="DC269" t="s">
        <v>42</v>
      </c>
      <c r="DD269" t="s">
        <v>42</v>
      </c>
      <c r="DE269" t="s">
        <v>42</v>
      </c>
      <c r="DF269" t="s">
        <v>42</v>
      </c>
      <c r="DG269" t="s">
        <v>42</v>
      </c>
      <c r="DH269" s="4" t="s">
        <v>42</v>
      </c>
      <c r="DI269" t="s">
        <v>42</v>
      </c>
      <c r="DJ269" s="4" t="s">
        <v>42</v>
      </c>
      <c r="DK269" t="s">
        <v>42</v>
      </c>
      <c r="DL269" s="4">
        <v>457</v>
      </c>
      <c r="DM269">
        <v>1</v>
      </c>
      <c r="DN269" s="4">
        <v>467</v>
      </c>
      <c r="DO269">
        <v>1</v>
      </c>
      <c r="DP269" s="4">
        <v>474</v>
      </c>
      <c r="DQ269">
        <v>1</v>
      </c>
      <c r="DR269" s="4">
        <v>490</v>
      </c>
      <c r="DS269">
        <v>1</v>
      </c>
      <c r="DT269" s="4">
        <v>502</v>
      </c>
      <c r="DU269">
        <v>1</v>
      </c>
      <c r="DV269" s="4">
        <v>516</v>
      </c>
      <c r="DW269">
        <v>1</v>
      </c>
      <c r="DX269" s="4">
        <v>524</v>
      </c>
      <c r="DY269">
        <v>1</v>
      </c>
      <c r="DZ269" s="4">
        <v>532</v>
      </c>
      <c r="EA269">
        <v>1</v>
      </c>
      <c r="EB269" s="4">
        <v>537</v>
      </c>
      <c r="EC269">
        <v>1</v>
      </c>
      <c r="ED269" s="4">
        <v>541</v>
      </c>
      <c r="EE269">
        <v>1</v>
      </c>
      <c r="EF269" s="4">
        <v>546</v>
      </c>
      <c r="EG269">
        <v>1</v>
      </c>
      <c r="EH269" s="4">
        <v>553</v>
      </c>
      <c r="EI269">
        <v>1</v>
      </c>
      <c r="EJ269" s="4">
        <v>560</v>
      </c>
      <c r="EK269">
        <v>1</v>
      </c>
    </row>
    <row r="270" spans="1:141" x14ac:dyDescent="0.2">
      <c r="A270" t="str">
        <f>HYPERLINK("http://exon.niaid.nih.gov/transcriptome/C_felis/S1/links/cf/cf-contig_453.txt","cf-contig_453")</f>
        <v>cf-contig_453</v>
      </c>
      <c r="B270">
        <v>1</v>
      </c>
      <c r="C270" s="10" t="s">
        <v>4771</v>
      </c>
      <c r="D270">
        <v>1</v>
      </c>
      <c r="E270" t="str">
        <f>HYPERLINK("http://exon.niaid.nih.gov/transcriptome/C_felis/S1/links/cf/cf-5-36-asb-453.txt","Contig-453")</f>
        <v>Contig-453</v>
      </c>
      <c r="F270" t="str">
        <f>HYPERLINK("http://exon.niaid.nih.gov/transcriptome/C_felis/S1/links/cf/cf-5-36-453-CLU.txt","Contig453")</f>
        <v>Contig453</v>
      </c>
      <c r="G270" t="str">
        <f>HYPERLINK("http://exon.niaid.nih.gov/transcriptome/C_felis/S1/links/cf/cf-5-36-453-qual.txt","63.")</f>
        <v>63.</v>
      </c>
      <c r="H270" t="s">
        <v>11</v>
      </c>
      <c r="I270">
        <v>64.7</v>
      </c>
      <c r="J270">
        <v>213</v>
      </c>
      <c r="K270" t="s">
        <v>12</v>
      </c>
      <c r="L270">
        <v>1</v>
      </c>
      <c r="M270" t="s">
        <v>466</v>
      </c>
      <c r="N270">
        <v>213</v>
      </c>
      <c r="O270">
        <v>232</v>
      </c>
      <c r="P270">
        <v>159</v>
      </c>
      <c r="Q270" t="s">
        <v>1272</v>
      </c>
      <c r="R270">
        <v>1</v>
      </c>
      <c r="S270" s="7" t="s">
        <v>4585</v>
      </c>
      <c r="U270">
        <v>1</v>
      </c>
      <c r="V270" s="4">
        <v>367</v>
      </c>
      <c r="W270">
        <v>1</v>
      </c>
      <c r="X270" s="4">
        <v>376</v>
      </c>
      <c r="Y270">
        <v>1</v>
      </c>
      <c r="Z270" s="4">
        <v>381</v>
      </c>
      <c r="AA270">
        <v>1</v>
      </c>
      <c r="AB270" s="4" t="str">
        <f>HYPERLINK("http://exon.niaid.nih.gov/transcriptome/C_felis/S1/links/XC-ASB/cf-contig_453-XC-ASB.txt","XC-contig_184")</f>
        <v>XC-contig_184</v>
      </c>
      <c r="AC270">
        <v>0.5</v>
      </c>
      <c r="AD270" s="10" t="s">
        <v>4771</v>
      </c>
      <c r="AE270" t="s">
        <v>4605</v>
      </c>
      <c r="AF270" t="str">
        <f>HYPERLINK("http://exon.niaid.nih.gov/transcriptome/C_felis/S1/links/KOG/cf-contig_453-KOG.txt","KOG")</f>
        <v>KOG</v>
      </c>
      <c r="AG270" s="5">
        <v>4.9999999999999999E-17</v>
      </c>
      <c r="AH270">
        <v>27.3</v>
      </c>
      <c r="AI270" s="4" t="str">
        <f>HYPERLINK("http://exon.niaid.nih.gov/transcriptome/C_felis/S1/links/NR/cf-contig_453-NR.txt","similar to AGAP003644-PA")</f>
        <v>similar to AGAP003644-PA</v>
      </c>
      <c r="AJ270" t="str">
        <f>HYPERLINK("http://www.ncbi.nlm.nih.gov/sutils/blink.cgi?pid=91087153","1E-015")</f>
        <v>1E-015</v>
      </c>
      <c r="AK270" t="str">
        <f>HYPERLINK("http://www.ncbi.nlm.nih.gov/protein/91087153","gi|91087153")</f>
        <v>gi|91087153</v>
      </c>
      <c r="AL270">
        <v>86.7</v>
      </c>
      <c r="AM270">
        <v>51</v>
      </c>
      <c r="AN270">
        <v>204</v>
      </c>
      <c r="AO270">
        <v>78</v>
      </c>
      <c r="AP270">
        <v>25</v>
      </c>
      <c r="AQ270">
        <v>11</v>
      </c>
      <c r="AR270">
        <v>0</v>
      </c>
      <c r="AS270">
        <v>153</v>
      </c>
      <c r="AT270">
        <v>4</v>
      </c>
      <c r="AU270">
        <v>1</v>
      </c>
      <c r="AV270">
        <v>1</v>
      </c>
      <c r="AW270" t="s">
        <v>12</v>
      </c>
      <c r="AY270" t="s">
        <v>1676</v>
      </c>
      <c r="AZ270" t="s">
        <v>1878</v>
      </c>
      <c r="BA270" s="4" t="str">
        <f>HYPERLINK("http://exon.niaid.nih.gov/transcriptome/C_felis/S1/links/SWISSP/cf-contig_453-SWISSP.txt","28S ribosomal protein S11, mitochondrial")</f>
        <v>28S ribosomal protein S11, mitochondrial</v>
      </c>
      <c r="BB270" t="str">
        <f>HYPERLINK("http://www.uniprot.org/uniprot/P82911","5E-010")</f>
        <v>5E-010</v>
      </c>
      <c r="BC270" t="s">
        <v>3307</v>
      </c>
      <c r="BD270">
        <v>63.2</v>
      </c>
      <c r="BE270">
        <v>51</v>
      </c>
      <c r="BF270">
        <v>197</v>
      </c>
      <c r="BG270">
        <v>57</v>
      </c>
      <c r="BH270">
        <v>26</v>
      </c>
      <c r="BI270">
        <v>22</v>
      </c>
      <c r="BJ270">
        <v>0</v>
      </c>
      <c r="BK270">
        <v>146</v>
      </c>
      <c r="BL270">
        <v>4</v>
      </c>
      <c r="BM270">
        <v>1</v>
      </c>
      <c r="BN270">
        <v>1</v>
      </c>
      <c r="BO270" t="s">
        <v>12</v>
      </c>
      <c r="BQ270" t="s">
        <v>1676</v>
      </c>
      <c r="BR270" t="s">
        <v>1679</v>
      </c>
      <c r="BS270" s="4" t="str">
        <f>HYPERLINK("http://exon.niaid.nih.gov/transcriptome/C_felis/S1/links/CDD/cf-contig_453-CDD.txt","PRK05309")</f>
        <v>PRK05309</v>
      </c>
      <c r="BT270" t="str">
        <f>HYPERLINK("http://www.ncbi.nlm.nih.gov/Structure/cdd/cddsrv.cgi?uid=PRK05309&amp;version=v4.0","4E-008")</f>
        <v>4E-008</v>
      </c>
      <c r="BU270" t="s">
        <v>3308</v>
      </c>
      <c r="BV270" s="4" t="s">
        <v>3309</v>
      </c>
      <c r="BW270">
        <f>HYPERLINK("http://exon.niaid.nih.gov/transcriptome/C_felis/S1/links/GO/cf-contig_453-GO.txt",0.0000000000000008)</f>
        <v>7.9999999999999998E-16</v>
      </c>
      <c r="BX270" t="str">
        <f>HYPERLINK("http://amigo.geneontology.org/cgi-bin/amigo/term_details?term=GO:0003735","GO:0003735")</f>
        <v>GO:0003735</v>
      </c>
      <c r="BY270" t="s">
        <v>1929</v>
      </c>
      <c r="BZ270" t="s">
        <v>1930</v>
      </c>
      <c r="CA270" t="s">
        <v>1931</v>
      </c>
      <c r="CB270" t="s">
        <v>42</v>
      </c>
      <c r="CD270" s="5">
        <v>7.9999999999999998E-16</v>
      </c>
      <c r="CE270" t="str">
        <f>HYPERLINK("http://amigo.geneontology.org/cgi-bin/amigo/term_details?term=GO:0005763","GO:0005763")</f>
        <v>GO:0005763</v>
      </c>
      <c r="CF270" t="s">
        <v>3310</v>
      </c>
      <c r="CG270" t="s">
        <v>3311</v>
      </c>
      <c r="CH270" t="s">
        <v>3312</v>
      </c>
      <c r="CI270" t="s">
        <v>42</v>
      </c>
      <c r="CK270" s="5">
        <v>7.9999999999999998E-16</v>
      </c>
      <c r="CL270" t="str">
        <f>HYPERLINK("http://amigo.geneontology.org/cgi-bin/amigo/term_details?term=GO:0006412","GO:0006412")</f>
        <v>GO:0006412</v>
      </c>
      <c r="CM270" t="s">
        <v>1935</v>
      </c>
      <c r="CN270" t="s">
        <v>1936</v>
      </c>
      <c r="CO270" t="s">
        <v>1937</v>
      </c>
      <c r="CP270" t="s">
        <v>42</v>
      </c>
      <c r="CR270" s="5">
        <v>7.9999999999999998E-16</v>
      </c>
      <c r="CS270" s="4" t="str">
        <f>HYPERLINK("http://exon.niaid.nih.gov/transcriptome/C_felis/S1/links/KOG/cf-contig_453-KOG.txt","Mitochondrial/chloroplast ribosomal protein S11")</f>
        <v>Mitochondrial/chloroplast ribosomal protein S11</v>
      </c>
      <c r="CT270" t="str">
        <f>HYPERLINK("http://www.ncbi.nlm.nih.gov/COG/grace/shokog.cgi?KOG0408","5E-017")</f>
        <v>5E-017</v>
      </c>
      <c r="CU270" t="s">
        <v>1707</v>
      </c>
      <c r="CV270" s="4" t="str">
        <f>HYPERLINK("http://exon.niaid.nih.gov/transcriptome/C_felis/S1/links/PFAM/cf-contig_453-PFAM.txt","Ribosomal_S11")</f>
        <v>Ribosomal_S11</v>
      </c>
      <c r="CW270" t="str">
        <f>HYPERLINK("http://pfam.sanger.ac.uk/family?acc=PF00411","2E-007")</f>
        <v>2E-007</v>
      </c>
      <c r="CX270" s="4" t="str">
        <f>HYPERLINK("http://exon.niaid.nih.gov/transcriptome/C_felis/S1/links/SMART/cf-contig_453-SMART.txt","RRM")</f>
        <v>RRM</v>
      </c>
      <c r="CY270" t="str">
        <f>HYPERLINK("http://smart.embl-heidelberg.de/smart/do_annotation.pl?DOMAIN=RRM&amp;BLAST=DUMMY","0.14")</f>
        <v>0.14</v>
      </c>
      <c r="CZ270" s="4" t="s">
        <v>42</v>
      </c>
      <c r="DA270" t="s">
        <v>42</v>
      </c>
      <c r="DB270" t="s">
        <v>42</v>
      </c>
      <c r="DC270" t="s">
        <v>42</v>
      </c>
      <c r="DD270" t="s">
        <v>42</v>
      </c>
      <c r="DE270" t="s">
        <v>42</v>
      </c>
      <c r="DF270" t="s">
        <v>42</v>
      </c>
      <c r="DG270" t="s">
        <v>42</v>
      </c>
      <c r="DH270" s="4" t="s">
        <v>42</v>
      </c>
      <c r="DI270" t="s">
        <v>42</v>
      </c>
      <c r="DJ270" s="4" t="s">
        <v>42</v>
      </c>
      <c r="DK270" t="s">
        <v>42</v>
      </c>
      <c r="DL270" s="4">
        <v>367</v>
      </c>
      <c r="DM270">
        <v>1</v>
      </c>
      <c r="DN270" s="4">
        <v>376</v>
      </c>
      <c r="DO270">
        <v>1</v>
      </c>
      <c r="DP270" s="4">
        <v>381</v>
      </c>
      <c r="DQ270">
        <v>1</v>
      </c>
      <c r="DR270" s="4">
        <v>396</v>
      </c>
      <c r="DS270">
        <v>1</v>
      </c>
      <c r="DT270" s="4">
        <v>406</v>
      </c>
      <c r="DU270">
        <v>1</v>
      </c>
      <c r="DV270" s="4">
        <v>420</v>
      </c>
      <c r="DW270">
        <v>1</v>
      </c>
      <c r="DX270" s="4">
        <v>423</v>
      </c>
      <c r="DY270">
        <v>1</v>
      </c>
      <c r="DZ270" s="4">
        <v>428</v>
      </c>
      <c r="EA270">
        <v>1</v>
      </c>
      <c r="EB270" s="4">
        <v>433</v>
      </c>
      <c r="EC270">
        <v>1</v>
      </c>
      <c r="ED270" s="4">
        <v>437</v>
      </c>
      <c r="EE270">
        <v>1</v>
      </c>
      <c r="EF270" s="4">
        <v>442</v>
      </c>
      <c r="EG270">
        <v>1</v>
      </c>
      <c r="EH270" s="4">
        <v>447</v>
      </c>
      <c r="EI270">
        <v>1</v>
      </c>
      <c r="EJ270" s="4">
        <v>453</v>
      </c>
      <c r="EK270">
        <v>1</v>
      </c>
    </row>
    <row r="271" spans="1:141" x14ac:dyDescent="0.2">
      <c r="A271" t="str">
        <f>HYPERLINK("http://exon.niaid.nih.gov/transcriptome/C_felis/S1/links/cf/cf-contig_201.txt","cf-contig_201")</f>
        <v>cf-contig_201</v>
      </c>
      <c r="B271">
        <v>2</v>
      </c>
      <c r="C271" s="10" t="s">
        <v>4685</v>
      </c>
      <c r="D271">
        <v>2</v>
      </c>
      <c r="E271" t="str">
        <f>HYPERLINK("http://exon.niaid.nih.gov/transcriptome/C_felis/S1/links/cf/cf-5-36-asb-201.txt","Contig-201")</f>
        <v>Contig-201</v>
      </c>
      <c r="F271" t="str">
        <f>HYPERLINK("http://exon.niaid.nih.gov/transcriptome/C_felis/S1/links/cf/cf-5-36-201-CLU.txt","Contig201")</f>
        <v>Contig201</v>
      </c>
      <c r="G271" t="str">
        <f>HYPERLINK("http://exon.niaid.nih.gov/transcriptome/C_felis/S1/links/cf/cf-5-36-201-qual.txt","72.4")</f>
        <v>72.4</v>
      </c>
      <c r="H271" t="s">
        <v>11</v>
      </c>
      <c r="I271">
        <v>52.5</v>
      </c>
      <c r="J271">
        <v>591</v>
      </c>
      <c r="K271" t="s">
        <v>12</v>
      </c>
      <c r="L271">
        <v>2</v>
      </c>
      <c r="M271" t="s">
        <v>214</v>
      </c>
      <c r="N271">
        <v>590</v>
      </c>
      <c r="O271">
        <v>610</v>
      </c>
      <c r="P271">
        <v>498</v>
      </c>
      <c r="Q271" t="s">
        <v>1021</v>
      </c>
      <c r="R271">
        <v>2</v>
      </c>
      <c r="S271" s="7" t="str">
        <f>HYPERLINK("http://exon.niaid.nih.gov/transcriptome/C_felis/S1/links/Sigp/CF-CONTIG_201-SigP.txt","BL")</f>
        <v>BL</v>
      </c>
      <c r="U271">
        <v>2</v>
      </c>
      <c r="V271" s="4">
        <f>HYPERLINK("http://exon.niaid.nih.gov/transcriptome/C_felis/S1/links/cluster/cf-5-36-asb30-50-Id-CLU49.txt", 49)</f>
        <v>49</v>
      </c>
      <c r="W271">
        <f>HYPERLINK("http://exon.niaid.nih.gov/transcriptome/C_felis/S1/links/cluster/cf-5-36-asb30-50-Id-CLTL49.txt", 2)</f>
        <v>2</v>
      </c>
      <c r="X271" s="4">
        <f>HYPERLINK("http://exon.niaid.nih.gov/transcriptome/C_felis/S1/links/cluster/cf-5-36-asb35-50-Id-CLU42.txt", 42)</f>
        <v>42</v>
      </c>
      <c r="Y271">
        <f>HYPERLINK("http://exon.niaid.nih.gov/transcriptome/C_felis/S1/links/cluster/cf-5-36-asb35-50-Id-CLTL42.txt", 2)</f>
        <v>2</v>
      </c>
      <c r="Z271" s="4">
        <f>HYPERLINK("http://exon.niaid.nih.gov/transcriptome/C_felis/S1/links/cluster/cf-5-36-asb40-50-Id-CLU39.txt", 39)</f>
        <v>39</v>
      </c>
      <c r="AA271">
        <f>HYPERLINK("http://exon.niaid.nih.gov/transcriptome/C_felis/S1/links/cluster/cf-5-36-asb40-50-Id-CLTL39.txt", 2)</f>
        <v>2</v>
      </c>
      <c r="AB271" s="4" t="str">
        <f>HYPERLINK("http://exon.niaid.nih.gov/transcriptome/C_felis/S1/links/XC-ASB/cf-contig_201-XC-ASB.txt","XC-contig_89")</f>
        <v>XC-contig_89</v>
      </c>
      <c r="AC271">
        <v>1.7</v>
      </c>
      <c r="AD271" s="10" t="s">
        <v>4685</v>
      </c>
      <c r="AE271" t="s">
        <v>4605</v>
      </c>
      <c r="AF271" t="str">
        <f>HYPERLINK("http://exon.niaid.nih.gov/transcriptome/C_felis/S1/links/KOG/cf-contig_201-KOG.txt","KOG")</f>
        <v>KOG</v>
      </c>
      <c r="AG271">
        <v>4.0000000000000001E-8</v>
      </c>
      <c r="AH271">
        <v>33.799999999999997</v>
      </c>
      <c r="AI271" s="4" t="str">
        <f>HYPERLINK("http://exon.niaid.nih.gov/transcriptome/C_felis/S1/links/NR/cf-contig_201-NR.txt","polyadenylate-binding protein 1-like isoform 1")</f>
        <v>polyadenylate-binding protein 1-like isoform 1</v>
      </c>
      <c r="AJ271" t="str">
        <f>HYPERLINK("http://www.ncbi.nlm.nih.gov/sutils/blink.cgi?pid=328782034","1E-045")</f>
        <v>1E-045</v>
      </c>
      <c r="AK271" t="str">
        <f>HYPERLINK("http://www.ncbi.nlm.nih.gov/protein/328782034","gi|328782034")</f>
        <v>gi|328782034</v>
      </c>
      <c r="AL271">
        <v>187</v>
      </c>
      <c r="AM271">
        <v>136</v>
      </c>
      <c r="AN271">
        <v>601</v>
      </c>
      <c r="AO271">
        <v>72</v>
      </c>
      <c r="AP271">
        <v>23</v>
      </c>
      <c r="AQ271">
        <v>39</v>
      </c>
      <c r="AR271">
        <v>3</v>
      </c>
      <c r="AS271">
        <v>465</v>
      </c>
      <c r="AT271">
        <v>1</v>
      </c>
      <c r="AU271">
        <v>1</v>
      </c>
      <c r="AV271">
        <v>1</v>
      </c>
      <c r="AW271" t="s">
        <v>12</v>
      </c>
      <c r="AY271" t="s">
        <v>1676</v>
      </c>
      <c r="AZ271" t="s">
        <v>2135</v>
      </c>
      <c r="BA271" s="4" t="str">
        <f>HYPERLINK("http://exon.niaid.nih.gov/transcriptome/C_felis/S1/links/SWISSP/cf-contig_201-SWISSP.txt","Polyadenylate-binding protein 4")</f>
        <v>Polyadenylate-binding protein 4</v>
      </c>
      <c r="BB271" t="str">
        <f>HYPERLINK("http://www.uniprot.org/uniprot/Q13310","6E-038")</f>
        <v>6E-038</v>
      </c>
      <c r="BC271" t="s">
        <v>2412</v>
      </c>
      <c r="BD271">
        <v>157</v>
      </c>
      <c r="BE271">
        <v>120</v>
      </c>
      <c r="BF271">
        <v>644</v>
      </c>
      <c r="BG271">
        <v>69</v>
      </c>
      <c r="BH271">
        <v>19</v>
      </c>
      <c r="BI271">
        <v>38</v>
      </c>
      <c r="BJ271">
        <v>0</v>
      </c>
      <c r="BK271">
        <v>514</v>
      </c>
      <c r="BL271">
        <v>28</v>
      </c>
      <c r="BM271">
        <v>1</v>
      </c>
      <c r="BN271">
        <v>1</v>
      </c>
      <c r="BO271" t="s">
        <v>12</v>
      </c>
      <c r="BQ271" t="s">
        <v>1676</v>
      </c>
      <c r="BR271" t="s">
        <v>1690</v>
      </c>
      <c r="BS271" s="4" t="str">
        <f>HYPERLINK("http://exon.niaid.nih.gov/transcriptome/C_felis/S1/links/CDD/cf-contig_201-CDD.txt","PABP")</f>
        <v>PABP</v>
      </c>
      <c r="BT271" t="str">
        <f>HYPERLINK("http://www.ncbi.nlm.nih.gov/Structure/cdd/cddsrv.cgi?uid=pfam00658&amp;version=v4.0","3E-032")</f>
        <v>3E-032</v>
      </c>
      <c r="BU271" t="s">
        <v>2413</v>
      </c>
      <c r="BV271" s="4" t="s">
        <v>2414</v>
      </c>
      <c r="BW271">
        <f>HYPERLINK("http://exon.niaid.nih.gov/transcriptome/C_felis/S1/links/GO/cf-contig_201-GO.txt",1E-38)</f>
        <v>9.9999999999999996E-39</v>
      </c>
      <c r="BX271" t="str">
        <f>HYPERLINK("http://amigo.geneontology.org/cgi-bin/amigo/term_details?term=GO:0000166","GO:0000166")</f>
        <v>GO:0000166</v>
      </c>
      <c r="BY271" t="s">
        <v>2415</v>
      </c>
      <c r="BZ271" t="s">
        <v>2416</v>
      </c>
      <c r="CA271" t="s">
        <v>42</v>
      </c>
      <c r="CB271" t="s">
        <v>42</v>
      </c>
      <c r="CD271" s="5">
        <v>5.0000000000000003E-38</v>
      </c>
      <c r="CE271" t="str">
        <f>HYPERLINK("http://amigo.geneontology.org/cgi-bin/amigo/term_details?term=GO:0005737","GO:0005737")</f>
        <v>GO:0005737</v>
      </c>
      <c r="CF271" t="s">
        <v>1966</v>
      </c>
      <c r="CG271" t="s">
        <v>1967</v>
      </c>
      <c r="CH271" t="s">
        <v>42</v>
      </c>
      <c r="CI271" t="s">
        <v>42</v>
      </c>
      <c r="CK271" s="5">
        <v>5.0000000000000003E-38</v>
      </c>
      <c r="CL271" t="str">
        <f>HYPERLINK("http://amigo.geneontology.org/cgi-bin/amigo/term_details?term=GO:0006396","GO:0006396")</f>
        <v>GO:0006396</v>
      </c>
      <c r="CM271" t="s">
        <v>2417</v>
      </c>
      <c r="CN271" t="s">
        <v>2418</v>
      </c>
      <c r="CO271" t="s">
        <v>42</v>
      </c>
      <c r="CP271" t="s">
        <v>42</v>
      </c>
      <c r="CR271" s="5">
        <v>5.0000000000000003E-38</v>
      </c>
      <c r="CS271" s="4" t="str">
        <f>HYPERLINK("http://exon.niaid.nih.gov/transcriptome/C_felis/S1/links/KOG/cf-contig_201-KOG.txt","Polyadenylate-binding protein (RRM superfamily)")</f>
        <v>Polyadenylate-binding protein (RRM superfamily)</v>
      </c>
      <c r="CT271" t="str">
        <f>HYPERLINK("http://www.ncbi.nlm.nih.gov/COG/grace/shokog.cgi?KOG0123","4E-008")</f>
        <v>4E-008</v>
      </c>
      <c r="CU271" t="s">
        <v>2419</v>
      </c>
      <c r="CV271" s="4" t="str">
        <f>HYPERLINK("http://exon.niaid.nih.gov/transcriptome/C_felis/S1/links/PFAM/cf-contig_201-PFAM.txt","PABP")</f>
        <v>PABP</v>
      </c>
      <c r="CW271" t="str">
        <f>HYPERLINK("http://pfam.sanger.ac.uk/family?acc=PF00658","6E-033")</f>
        <v>6E-033</v>
      </c>
      <c r="CX271" s="4" t="str">
        <f>HYPERLINK("http://exon.niaid.nih.gov/transcriptome/C_felis/S1/links/SMART/cf-contig_201-SMART.txt","PolyA")</f>
        <v>PolyA</v>
      </c>
      <c r="CY271" t="str">
        <f>HYPERLINK("http://smart.embl-heidelberg.de/smart/do_annotation.pl?DOMAIN=PolyA&amp;BLAST=DUMMY","4E-026")</f>
        <v>4E-026</v>
      </c>
      <c r="CZ271" s="4" t="s">
        <v>42</v>
      </c>
      <c r="DA271" t="s">
        <v>42</v>
      </c>
      <c r="DB271" t="s">
        <v>42</v>
      </c>
      <c r="DC271" t="s">
        <v>42</v>
      </c>
      <c r="DD271" t="s">
        <v>42</v>
      </c>
      <c r="DE271" t="s">
        <v>42</v>
      </c>
      <c r="DF271" t="s">
        <v>42</v>
      </c>
      <c r="DG271" t="s">
        <v>42</v>
      </c>
      <c r="DH271" s="4" t="s">
        <v>42</v>
      </c>
      <c r="DI271" t="s">
        <v>42</v>
      </c>
      <c r="DJ271" s="4" t="s">
        <v>42</v>
      </c>
      <c r="DK271" t="s">
        <v>42</v>
      </c>
      <c r="DL271" s="4">
        <f>HYPERLINK("http://exon.niaid.nih.gov/transcriptome/C_felis/S1/links/cluster/cf-5-36-asb30-50-Id-CLU49.txt", 49)</f>
        <v>49</v>
      </c>
      <c r="DM271">
        <f>HYPERLINK("http://exon.niaid.nih.gov/transcriptome/C_felis/S1/links/cluster/cf-5-36-asb30-50-Id-CLTL49.txt", 2)</f>
        <v>2</v>
      </c>
      <c r="DN271" s="4">
        <f>HYPERLINK("http://exon.niaid.nih.gov/transcriptome/C_felis/S1/links/cluster/cf-5-36-asb35-50-Id-CLU42.txt", 42)</f>
        <v>42</v>
      </c>
      <c r="DO271">
        <f>HYPERLINK("http://exon.niaid.nih.gov/transcriptome/C_felis/S1/links/cluster/cf-5-36-asb35-50-Id-CLTL42.txt", 2)</f>
        <v>2</v>
      </c>
      <c r="DP271" s="4">
        <f>HYPERLINK("http://exon.niaid.nih.gov/transcriptome/C_felis/S1/links/cluster/cf-5-36-asb40-50-Id-CLU39.txt", 39)</f>
        <v>39</v>
      </c>
      <c r="DQ271">
        <f>HYPERLINK("http://exon.niaid.nih.gov/transcriptome/C_felis/S1/links/cluster/cf-5-36-asb40-50-Id-CLTL39.txt", 2)</f>
        <v>2</v>
      </c>
      <c r="DR271" s="4">
        <f>HYPERLINK("http://exon.niaid.nih.gov/transcriptome/C_felis/S1/links/cluster/cf-5-36-asb45-50-Id-CLU36.txt", 36)</f>
        <v>36</v>
      </c>
      <c r="DS271">
        <f>HYPERLINK("http://exon.niaid.nih.gov/transcriptome/C_felis/S1/links/cluster/cf-5-36-asb45-50-Id-CLTL36.txt", 2)</f>
        <v>2</v>
      </c>
      <c r="DT271" s="4">
        <f>HYPERLINK("http://exon.niaid.nih.gov/transcriptome/C_felis/S1/links/cluster/cf-5-36-asb50-50-Id-CLU32.txt", 32)</f>
        <v>32</v>
      </c>
      <c r="DU271">
        <f>HYPERLINK("http://exon.niaid.nih.gov/transcriptome/C_felis/S1/links/cluster/cf-5-36-asb50-50-Id-CLTL32.txt", 2)</f>
        <v>2</v>
      </c>
      <c r="DV271" s="4">
        <v>183</v>
      </c>
      <c r="DW271">
        <v>1</v>
      </c>
      <c r="DX271" s="4">
        <v>185</v>
      </c>
      <c r="DY271">
        <v>1</v>
      </c>
      <c r="DZ271" s="4">
        <v>187</v>
      </c>
      <c r="EA271">
        <v>1</v>
      </c>
      <c r="EB271" s="4">
        <v>192</v>
      </c>
      <c r="EC271">
        <v>1</v>
      </c>
      <c r="ED271" s="4">
        <v>195</v>
      </c>
      <c r="EE271">
        <v>1</v>
      </c>
      <c r="EF271" s="4">
        <v>196</v>
      </c>
      <c r="EG271">
        <v>1</v>
      </c>
      <c r="EH271" s="4">
        <v>196</v>
      </c>
      <c r="EI271">
        <v>1</v>
      </c>
      <c r="EJ271" s="4">
        <v>201</v>
      </c>
      <c r="EK271">
        <v>1</v>
      </c>
    </row>
    <row r="272" spans="1:141" x14ac:dyDescent="0.2">
      <c r="A272" t="str">
        <f>HYPERLINK("http://exon.niaid.nih.gov/transcriptome/C_felis/S1/links/cf/cf-contig_738.txt","cf-contig_738")</f>
        <v>cf-contig_738</v>
      </c>
      <c r="B272">
        <v>1</v>
      </c>
      <c r="C272" s="10" t="s">
        <v>4860</v>
      </c>
      <c r="D272">
        <v>1</v>
      </c>
      <c r="E272" t="str">
        <f>HYPERLINK("http://exon.niaid.nih.gov/transcriptome/C_felis/S1/links/cf/cf-5-36-asb-738.txt","Contig-738")</f>
        <v>Contig-738</v>
      </c>
      <c r="F272" t="str">
        <f>HYPERLINK("http://exon.niaid.nih.gov/transcriptome/C_felis/S1/links/cf/cf-5-36-738-CLU.txt","Contig738")</f>
        <v>Contig738</v>
      </c>
      <c r="G272" t="str">
        <f>HYPERLINK("http://exon.niaid.nih.gov/transcriptome/C_felis/S1/links/cf/cf-5-36-738-qual.txt","64.2")</f>
        <v>64.2</v>
      </c>
      <c r="H272" t="s">
        <v>11</v>
      </c>
      <c r="I272">
        <v>67.400000000000006</v>
      </c>
      <c r="J272">
        <v>205</v>
      </c>
      <c r="K272" t="s">
        <v>12</v>
      </c>
      <c r="L272">
        <v>1</v>
      </c>
      <c r="M272" t="s">
        <v>751</v>
      </c>
      <c r="N272">
        <v>205</v>
      </c>
      <c r="O272">
        <v>224</v>
      </c>
      <c r="P272">
        <v>150</v>
      </c>
      <c r="Q272" t="s">
        <v>1557</v>
      </c>
      <c r="R272">
        <v>3</v>
      </c>
      <c r="S272" s="7" t="str">
        <f>HYPERLINK("http://exon.niaid.nih.gov/transcriptome/C_felis/S1/links/Sigp/CF-CONTIG_738-SigP.txt","SIG")</f>
        <v>SIG</v>
      </c>
      <c r="T272" t="s">
        <v>4586</v>
      </c>
      <c r="U272">
        <v>1</v>
      </c>
      <c r="V272" s="4">
        <v>598</v>
      </c>
      <c r="W272">
        <v>1</v>
      </c>
      <c r="X272" s="4">
        <v>614</v>
      </c>
      <c r="Y272">
        <v>1</v>
      </c>
      <c r="Z272" s="4">
        <v>628</v>
      </c>
      <c r="AA272">
        <v>1</v>
      </c>
      <c r="AB272" s="4" t="str">
        <f>HYPERLINK("http://exon.niaid.nih.gov/transcriptome/C_felis/S1/links/XC-ASB/cf-contig_738-XC-ASB.txt","XC-contig_119")</f>
        <v>XC-contig_119</v>
      </c>
      <c r="AC272">
        <v>1.2E-2</v>
      </c>
      <c r="AD272" s="10" t="s">
        <v>4860</v>
      </c>
      <c r="AE272" t="s">
        <v>4605</v>
      </c>
      <c r="AF272" t="str">
        <f>HYPERLINK("http://exon.niaid.nih.gov/transcriptome/C_felis/S1/links/KOG/cf-contig_738-KOG.txt","KOG")</f>
        <v>KOG</v>
      </c>
      <c r="AG272" s="5">
        <v>2.9999999999999999E-16</v>
      </c>
      <c r="AH272">
        <v>19</v>
      </c>
      <c r="AI272" s="4" t="str">
        <f>HYPERLINK("http://exon.niaid.nih.gov/transcriptome/C_felis/S1/links/NR/cf-contig_738-NR.txt","unnamed protein product")</f>
        <v>unnamed protein product</v>
      </c>
      <c r="AJ272" t="str">
        <f>HYPERLINK("http://www.ncbi.nlm.nih.gov/sutils/blink.cgi?pid=47221585","5E-014")</f>
        <v>5E-014</v>
      </c>
      <c r="AK272" t="str">
        <f>HYPERLINK("http://www.ncbi.nlm.nih.gov/protein/47221585","gi|47221585")</f>
        <v>gi|47221585</v>
      </c>
      <c r="AL272">
        <v>81.3</v>
      </c>
      <c r="AM272">
        <v>46</v>
      </c>
      <c r="AN272">
        <v>237</v>
      </c>
      <c r="AO272">
        <v>74</v>
      </c>
      <c r="AP272">
        <v>20</v>
      </c>
      <c r="AQ272">
        <v>12</v>
      </c>
      <c r="AR272">
        <v>0</v>
      </c>
      <c r="AS272">
        <v>190</v>
      </c>
      <c r="AT272">
        <v>2</v>
      </c>
      <c r="AU272">
        <v>1</v>
      </c>
      <c r="AV272">
        <v>2</v>
      </c>
      <c r="AW272" t="s">
        <v>12</v>
      </c>
      <c r="AY272" t="s">
        <v>1676</v>
      </c>
      <c r="AZ272" t="s">
        <v>4338</v>
      </c>
      <c r="BA272" s="4" t="str">
        <f>HYPERLINK("http://exon.niaid.nih.gov/transcriptome/C_felis/S1/links/SWISSP/cf-contig_738-SWISSP.txt","Ribosomal RNA small subunit methyltransferase NEP1")</f>
        <v>Ribosomal RNA small subunit methyltransferase NEP1</v>
      </c>
      <c r="BB272" t="str">
        <f>HYPERLINK("http://www.uniprot.org/uniprot/Q9W4J5","4E-015")</f>
        <v>4E-015</v>
      </c>
      <c r="BC272" t="s">
        <v>4339</v>
      </c>
      <c r="BD272">
        <v>80.099999999999994</v>
      </c>
      <c r="BE272">
        <v>44</v>
      </c>
      <c r="BF272">
        <v>252</v>
      </c>
      <c r="BG272">
        <v>77</v>
      </c>
      <c r="BH272">
        <v>18</v>
      </c>
      <c r="BI272">
        <v>10</v>
      </c>
      <c r="BJ272">
        <v>0</v>
      </c>
      <c r="BK272">
        <v>207</v>
      </c>
      <c r="BL272">
        <v>8</v>
      </c>
      <c r="BM272">
        <v>1</v>
      </c>
      <c r="BN272">
        <v>2</v>
      </c>
      <c r="BO272" t="s">
        <v>12</v>
      </c>
      <c r="BQ272" t="s">
        <v>1676</v>
      </c>
      <c r="BR272" t="s">
        <v>1804</v>
      </c>
      <c r="BS272" s="4" t="str">
        <f>HYPERLINK("http://exon.niaid.nih.gov/transcriptome/C_felis/S1/links/CDD/cf-contig_738-CDD.txt","EMG1")</f>
        <v>EMG1</v>
      </c>
      <c r="BT272" t="str">
        <f>HYPERLINK("http://www.ncbi.nlm.nih.gov/Structure/cdd/cddsrv.cgi?uid=pfam03587&amp;version=v4.0","1E-009")</f>
        <v>1E-009</v>
      </c>
      <c r="BU272" t="s">
        <v>4340</v>
      </c>
      <c r="BV272" s="4" t="s">
        <v>4341</v>
      </c>
      <c r="BW272">
        <f>HYPERLINK("http://exon.niaid.nih.gov/transcriptome/C_felis/S1/links/GO/cf-contig_738-GO.txt",0.000000000000003)</f>
        <v>2.9999999999999998E-15</v>
      </c>
      <c r="BX272" t="str">
        <f>HYPERLINK("http://amigo.geneontology.org/cgi-bin/amigo/term_details?term=GO:0008168","GO:0008168")</f>
        <v>GO:0008168</v>
      </c>
      <c r="BY272" t="s">
        <v>4342</v>
      </c>
      <c r="BZ272" t="s">
        <v>4343</v>
      </c>
      <c r="CA272" t="s">
        <v>4344</v>
      </c>
      <c r="CB272" t="str">
        <f>HYPERLINK("http://www.genome.jp/dbget-bin/www_bfind_sub?mode=bfind&amp;max_hit=1000&amp;dbkey=kegg&amp;keywords=EC:2.1.1","EC:2.1.1")</f>
        <v>EC:2.1.1</v>
      </c>
      <c r="CD272">
        <v>2.9999999999999998E-15</v>
      </c>
      <c r="CE272" t="str">
        <f>HYPERLINK("http://amigo.geneontology.org/cgi-bin/amigo/term_details?term=GO:0005730","GO:0005730")</f>
        <v>GO:0005730</v>
      </c>
      <c r="CF272" t="s">
        <v>4345</v>
      </c>
      <c r="CG272" t="s">
        <v>4346</v>
      </c>
      <c r="CH272" t="s">
        <v>42</v>
      </c>
      <c r="CI272" t="s">
        <v>42</v>
      </c>
      <c r="CK272">
        <v>2.9999999999999998E-15</v>
      </c>
      <c r="CL272" t="str">
        <f>HYPERLINK("http://amigo.geneontology.org/cgi-bin/amigo/term_details?term=GO:0006364","GO:0006364")</f>
        <v>GO:0006364</v>
      </c>
      <c r="CM272" t="s">
        <v>4347</v>
      </c>
      <c r="CN272" t="s">
        <v>4348</v>
      </c>
      <c r="CO272" t="s">
        <v>4349</v>
      </c>
      <c r="CP272" t="s">
        <v>42</v>
      </c>
      <c r="CR272">
        <v>2.9999999999999998E-15</v>
      </c>
      <c r="CS272" s="4" t="str">
        <f>HYPERLINK("http://exon.niaid.nih.gov/transcriptome/C_felis/S1/links/KOG/cf-contig_738-KOG.txt","Protein required for 18S rRNA maturation and 40S ribosome biogenesis")</f>
        <v>Protein required for 18S rRNA maturation and 40S ribosome biogenesis</v>
      </c>
      <c r="CT272" t="str">
        <f>HYPERLINK("http://www.ncbi.nlm.nih.gov/COG/grace/shokog.cgi?KOG3073","3E-016")</f>
        <v>3E-016</v>
      </c>
      <c r="CU272" t="s">
        <v>1707</v>
      </c>
      <c r="CV272" s="4" t="str">
        <f>HYPERLINK("http://exon.niaid.nih.gov/transcriptome/C_felis/S1/links/PFAM/cf-contig_738-PFAM.txt","EMG1")</f>
        <v>EMG1</v>
      </c>
      <c r="CW272" t="str">
        <f>HYPERLINK("http://pfam.sanger.ac.uk/family?acc=PF03587","2E-010")</f>
        <v>2E-010</v>
      </c>
      <c r="CX272" s="4" t="str">
        <f>HYPERLINK("http://exon.niaid.nih.gov/transcriptome/C_felis/S1/links/SMART/cf-contig_738-SMART.txt","RPOL8c")</f>
        <v>RPOL8c</v>
      </c>
      <c r="CY272" t="str">
        <f>HYPERLINK("http://smart.embl-heidelberg.de/smart/do_annotation.pl?DOMAIN=RPOL8c&amp;BLAST=DUMMY","0.60")</f>
        <v>0.60</v>
      </c>
      <c r="CZ272" s="4" t="s">
        <v>42</v>
      </c>
      <c r="DA272" t="s">
        <v>42</v>
      </c>
      <c r="DB272" t="s">
        <v>42</v>
      </c>
      <c r="DC272" t="s">
        <v>42</v>
      </c>
      <c r="DD272" t="s">
        <v>42</v>
      </c>
      <c r="DE272" t="s">
        <v>42</v>
      </c>
      <c r="DF272" t="s">
        <v>42</v>
      </c>
      <c r="DG272" t="s">
        <v>42</v>
      </c>
      <c r="DH272" s="4" t="s">
        <v>42</v>
      </c>
      <c r="DI272" t="s">
        <v>42</v>
      </c>
      <c r="DJ272" s="4" t="s">
        <v>42</v>
      </c>
      <c r="DK272" t="s">
        <v>42</v>
      </c>
      <c r="DL272" s="4">
        <v>598</v>
      </c>
      <c r="DM272">
        <v>1</v>
      </c>
      <c r="DN272" s="4">
        <v>614</v>
      </c>
      <c r="DO272">
        <v>1</v>
      </c>
      <c r="DP272" s="4">
        <v>628</v>
      </c>
      <c r="DQ272">
        <v>1</v>
      </c>
      <c r="DR272" s="4">
        <v>650</v>
      </c>
      <c r="DS272">
        <v>1</v>
      </c>
      <c r="DT272" s="4">
        <v>665</v>
      </c>
      <c r="DU272">
        <v>1</v>
      </c>
      <c r="DV272" s="4">
        <v>680</v>
      </c>
      <c r="DW272">
        <v>1</v>
      </c>
      <c r="DX272" s="4">
        <v>691</v>
      </c>
      <c r="DY272">
        <v>1</v>
      </c>
      <c r="DZ272" s="4">
        <v>701</v>
      </c>
      <c r="EA272">
        <v>1</v>
      </c>
      <c r="EB272" s="4">
        <v>707</v>
      </c>
      <c r="EC272">
        <v>1</v>
      </c>
      <c r="ED272" s="4">
        <v>712</v>
      </c>
      <c r="EE272">
        <v>1</v>
      </c>
      <c r="EF272" s="4">
        <v>718</v>
      </c>
      <c r="EG272">
        <v>1</v>
      </c>
      <c r="EH272" s="4">
        <v>729</v>
      </c>
      <c r="EI272">
        <v>1</v>
      </c>
      <c r="EJ272" s="4">
        <v>738</v>
      </c>
      <c r="EK272">
        <v>1</v>
      </c>
    </row>
    <row r="273" spans="1:141" x14ac:dyDescent="0.2">
      <c r="A273" t="str">
        <f>HYPERLINK("http://exon.niaid.nih.gov/transcriptome/C_felis/S1/links/cf/cf-contig_541.txt","cf-contig_541")</f>
        <v>cf-contig_541</v>
      </c>
      <c r="B273">
        <v>1</v>
      </c>
      <c r="C273" s="10" t="s">
        <v>4798</v>
      </c>
      <c r="D273">
        <v>1</v>
      </c>
      <c r="E273" t="str">
        <f>HYPERLINK("http://exon.niaid.nih.gov/transcriptome/C_felis/S1/links/cf/cf-5-36-asb-541.txt","Contig-541")</f>
        <v>Contig-541</v>
      </c>
      <c r="F273" t="str">
        <f>HYPERLINK("http://exon.niaid.nih.gov/transcriptome/C_felis/S1/links/cf/cf-5-36-541-CLU.txt","Contig541")</f>
        <v>Contig541</v>
      </c>
      <c r="G273" t="str">
        <f>HYPERLINK("http://exon.niaid.nih.gov/transcriptome/C_felis/S1/links/cf/cf-5-36-541-qual.txt","64.5")</f>
        <v>64.5</v>
      </c>
      <c r="H273" t="s">
        <v>11</v>
      </c>
      <c r="I273">
        <v>65.5</v>
      </c>
      <c r="J273">
        <v>369</v>
      </c>
      <c r="K273" t="s">
        <v>12</v>
      </c>
      <c r="L273">
        <v>1</v>
      </c>
      <c r="M273" t="s">
        <v>554</v>
      </c>
      <c r="N273">
        <v>369</v>
      </c>
      <c r="O273">
        <v>388</v>
      </c>
      <c r="P273">
        <v>315</v>
      </c>
      <c r="Q273" t="s">
        <v>1360</v>
      </c>
      <c r="R273">
        <v>2</v>
      </c>
      <c r="S273" s="7" t="s">
        <v>4585</v>
      </c>
      <c r="U273">
        <v>1</v>
      </c>
      <c r="V273" s="4">
        <v>443</v>
      </c>
      <c r="W273">
        <v>1</v>
      </c>
      <c r="X273" s="4">
        <v>453</v>
      </c>
      <c r="Y273">
        <v>1</v>
      </c>
      <c r="Z273" s="4">
        <v>459</v>
      </c>
      <c r="AA273">
        <v>1</v>
      </c>
      <c r="AB273" s="4" t="str">
        <f>HYPERLINK("http://exon.niaid.nih.gov/transcriptome/C_felis/S1/links/XC-ASB/cf-contig_541-XC-ASB.txt","XC-contig_76")</f>
        <v>XC-contig_76</v>
      </c>
      <c r="AC273">
        <v>0.54</v>
      </c>
      <c r="AD273" s="10" t="s">
        <v>4798</v>
      </c>
      <c r="AE273" t="s">
        <v>4605</v>
      </c>
      <c r="AF273" t="str">
        <f>HYPERLINK("http://exon.niaid.nih.gov/transcriptome/C_felis/S1/links/GO/cf-contig_541-GO.txt","GO")</f>
        <v>GO</v>
      </c>
      <c r="AG273" s="5">
        <v>2.0000000000000001E-37</v>
      </c>
      <c r="AH273">
        <v>30.1</v>
      </c>
      <c r="AI273" s="4" t="str">
        <f>HYPERLINK("http://exon.niaid.nih.gov/transcriptome/C_felis/S1/links/NR/cf-contig_541-NR.txt","protein transport protein sec13, putative")</f>
        <v>protein transport protein sec13, putative</v>
      </c>
      <c r="AJ273" t="str">
        <f>HYPERLINK("http://www.ncbi.nlm.nih.gov/sutils/blink.cgi?pid=242017223","1E-043")</f>
        <v>1E-043</v>
      </c>
      <c r="AK273" t="str">
        <f>HYPERLINK("http://www.ncbi.nlm.nih.gov/protein/242017223","gi|242017223")</f>
        <v>gi|242017223</v>
      </c>
      <c r="AL273">
        <v>179</v>
      </c>
      <c r="AM273">
        <v>254</v>
      </c>
      <c r="AN273">
        <v>361</v>
      </c>
      <c r="AO273">
        <v>82</v>
      </c>
      <c r="AP273">
        <v>71</v>
      </c>
      <c r="AQ273">
        <v>18</v>
      </c>
      <c r="AR273">
        <v>1</v>
      </c>
      <c r="AS273">
        <v>107</v>
      </c>
      <c r="AT273">
        <v>11</v>
      </c>
      <c r="AU273">
        <v>2</v>
      </c>
      <c r="AV273">
        <v>2</v>
      </c>
      <c r="AW273" t="s">
        <v>12</v>
      </c>
      <c r="AY273" t="s">
        <v>1676</v>
      </c>
      <c r="AZ273" t="s">
        <v>1751</v>
      </c>
      <c r="BA273" s="4" t="str">
        <f>HYPERLINK("http://exon.niaid.nih.gov/transcriptome/C_felis/S1/links/SWISSP/cf-contig_541-SWISSP.txt","Protein SEC13 homolog")</f>
        <v>Protein SEC13 homolog</v>
      </c>
      <c r="BB273" t="str">
        <f>HYPERLINK("http://www.uniprot.org/uniprot/P55735","2E-037")</f>
        <v>2E-037</v>
      </c>
      <c r="BC273" t="s">
        <v>3652</v>
      </c>
      <c r="BD273">
        <v>154</v>
      </c>
      <c r="BE273">
        <v>251</v>
      </c>
      <c r="BF273">
        <v>322</v>
      </c>
      <c r="BG273">
        <v>73</v>
      </c>
      <c r="BH273">
        <v>78</v>
      </c>
      <c r="BI273">
        <v>26</v>
      </c>
      <c r="BJ273">
        <v>1</v>
      </c>
      <c r="BK273">
        <v>60</v>
      </c>
      <c r="BL273">
        <v>11</v>
      </c>
      <c r="BM273">
        <v>3</v>
      </c>
      <c r="BN273">
        <v>2</v>
      </c>
      <c r="BO273" t="s">
        <v>12</v>
      </c>
      <c r="BQ273" t="s">
        <v>1676</v>
      </c>
      <c r="BR273" t="s">
        <v>1690</v>
      </c>
      <c r="BS273" s="4" t="str">
        <f>HYPERLINK("http://exon.niaid.nih.gov/transcriptome/C_felis/S1/links/CDD/cf-contig_541-CDD.txt","WD40")</f>
        <v>WD40</v>
      </c>
      <c r="BT273" t="str">
        <f>HYPERLINK("http://www.ncbi.nlm.nih.gov/Structure/cdd/cddsrv.cgi?uid=cd00200&amp;version=v4.0","5E-006")</f>
        <v>5E-006</v>
      </c>
      <c r="BU273" t="s">
        <v>3653</v>
      </c>
      <c r="BV273" s="4" t="s">
        <v>3654</v>
      </c>
      <c r="BW273">
        <f>HYPERLINK("http://exon.niaid.nih.gov/transcriptome/C_felis/S1/links/GO/cf-contig_541-GO.txt",2E-37)</f>
        <v>2.0000000000000001E-37</v>
      </c>
      <c r="BX273" t="str">
        <f>HYPERLINK("http://amigo.geneontology.org/cgi-bin/amigo/term_details?term=GO:0005515","GO:0005515")</f>
        <v>GO:0005515</v>
      </c>
      <c r="BY273" t="s">
        <v>2423</v>
      </c>
      <c r="BZ273" t="s">
        <v>2424</v>
      </c>
      <c r="CA273" t="s">
        <v>2425</v>
      </c>
      <c r="CB273" t="s">
        <v>42</v>
      </c>
      <c r="CD273" s="5">
        <v>2.0000000000000001E-37</v>
      </c>
      <c r="CE273" t="str">
        <f>HYPERLINK("http://amigo.geneontology.org/cgi-bin/amigo/term_details?term=GO:0000776","GO:0000776")</f>
        <v>GO:0000776</v>
      </c>
      <c r="CF273" t="s">
        <v>3655</v>
      </c>
      <c r="CG273" t="s">
        <v>3656</v>
      </c>
      <c r="CH273" t="s">
        <v>42</v>
      </c>
      <c r="CI273" t="s">
        <v>42</v>
      </c>
      <c r="CK273" s="5">
        <v>2.0000000000000001E-37</v>
      </c>
      <c r="CL273" t="str">
        <f>HYPERLINK("http://amigo.geneontology.org/cgi-bin/amigo/term_details?term=GO:0000087","GO:0000087")</f>
        <v>GO:0000087</v>
      </c>
      <c r="CM273" t="s">
        <v>3657</v>
      </c>
      <c r="CN273" t="s">
        <v>3658</v>
      </c>
      <c r="CO273" t="s">
        <v>3659</v>
      </c>
      <c r="CP273" t="s">
        <v>42</v>
      </c>
      <c r="CR273" s="5">
        <v>2.0000000000000001E-37</v>
      </c>
      <c r="CS273" s="4" t="str">
        <f>HYPERLINK("http://exon.niaid.nih.gov/transcriptome/C_felis/S1/links/KOG/cf-contig_541-KOG.txt","Vesicle coat complex COPII, subunit SEC13")</f>
        <v>Vesicle coat complex COPII, subunit SEC13</v>
      </c>
      <c r="CT273" t="str">
        <f>HYPERLINK("http://www.ncbi.nlm.nih.gov/COG/grace/shokog.cgi?KOG1332","7E-036")</f>
        <v>7E-036</v>
      </c>
      <c r="CU273" t="s">
        <v>1686</v>
      </c>
      <c r="CV273" s="4" t="str">
        <f>HYPERLINK("http://exon.niaid.nih.gov/transcriptome/C_felis/S1/links/PFAM/cf-contig_541-PFAM.txt","WD40")</f>
        <v>WD40</v>
      </c>
      <c r="CW273" t="str">
        <f>HYPERLINK("http://pfam.sanger.ac.uk/family?acc=PF00400","0.004")</f>
        <v>0.004</v>
      </c>
      <c r="CX273" s="4" t="str">
        <f>HYPERLINK("http://exon.niaid.nih.gov/transcriptome/C_felis/S1/links/SMART/cf-contig_541-SMART.txt","WD40")</f>
        <v>WD40</v>
      </c>
      <c r="CY273" t="str">
        <f>HYPERLINK("http://smart.embl-heidelberg.de/smart/do_annotation.pl?DOMAIN=WD40&amp;BLAST=DUMMY","3E-004")</f>
        <v>3E-004</v>
      </c>
      <c r="CZ273" s="4" t="s">
        <v>42</v>
      </c>
      <c r="DA273" t="s">
        <v>42</v>
      </c>
      <c r="DB273" t="s">
        <v>42</v>
      </c>
      <c r="DC273" t="s">
        <v>42</v>
      </c>
      <c r="DD273" t="s">
        <v>42</v>
      </c>
      <c r="DE273" t="s">
        <v>42</v>
      </c>
      <c r="DF273" t="s">
        <v>42</v>
      </c>
      <c r="DG273" t="s">
        <v>42</v>
      </c>
      <c r="DH273" s="4" t="s">
        <v>42</v>
      </c>
      <c r="DI273" t="s">
        <v>42</v>
      </c>
      <c r="DJ273" s="4" t="s">
        <v>42</v>
      </c>
      <c r="DK273" t="s">
        <v>42</v>
      </c>
      <c r="DL273" s="4">
        <v>443</v>
      </c>
      <c r="DM273">
        <v>1</v>
      </c>
      <c r="DN273" s="4">
        <v>453</v>
      </c>
      <c r="DO273">
        <v>1</v>
      </c>
      <c r="DP273" s="4">
        <v>459</v>
      </c>
      <c r="DQ273">
        <v>1</v>
      </c>
      <c r="DR273" s="4">
        <v>474</v>
      </c>
      <c r="DS273">
        <v>1</v>
      </c>
      <c r="DT273" s="4">
        <v>486</v>
      </c>
      <c r="DU273">
        <v>1</v>
      </c>
      <c r="DV273" s="4">
        <v>500</v>
      </c>
      <c r="DW273">
        <v>1</v>
      </c>
      <c r="DX273" s="4">
        <v>506</v>
      </c>
      <c r="DY273">
        <v>1</v>
      </c>
      <c r="DZ273" s="4">
        <v>514</v>
      </c>
      <c r="EA273">
        <v>1</v>
      </c>
      <c r="EB273" s="4">
        <v>519</v>
      </c>
      <c r="EC273">
        <v>1</v>
      </c>
      <c r="ED273" s="4">
        <v>523</v>
      </c>
      <c r="EE273">
        <v>1</v>
      </c>
      <c r="EF273" s="4">
        <v>528</v>
      </c>
      <c r="EG273">
        <v>1</v>
      </c>
      <c r="EH273" s="4">
        <v>534</v>
      </c>
      <c r="EI273">
        <v>1</v>
      </c>
      <c r="EJ273" s="4">
        <v>541</v>
      </c>
      <c r="EK273">
        <v>1</v>
      </c>
    </row>
    <row r="274" spans="1:141" x14ac:dyDescent="0.2">
      <c r="A274" t="str">
        <f>HYPERLINK("http://exon.niaid.nih.gov/transcriptome/C_felis/S1/links/cf/cf-contig_162.txt","cf-contig_162")</f>
        <v>cf-contig_162</v>
      </c>
      <c r="B274">
        <v>5</v>
      </c>
      <c r="C274" s="10" t="s">
        <v>4664</v>
      </c>
      <c r="D274">
        <v>5</v>
      </c>
      <c r="E274" t="str">
        <f>HYPERLINK("http://exon.niaid.nih.gov/transcriptome/C_felis/S1/links/cf/cf-5-36-asb-162.txt","Contig-162")</f>
        <v>Contig-162</v>
      </c>
      <c r="F274" t="str">
        <f>HYPERLINK("http://exon.niaid.nih.gov/transcriptome/C_felis/S1/links/cf/cf-5-36-162-CLU.txt","Contig162")</f>
        <v>Contig162</v>
      </c>
      <c r="G274" t="str">
        <f>HYPERLINK("http://exon.niaid.nih.gov/transcriptome/C_felis/S1/links/cf/cf-5-36-162-qual.txt","81.1")</f>
        <v>81.1</v>
      </c>
      <c r="H274" t="s">
        <v>11</v>
      </c>
      <c r="I274">
        <v>63.9</v>
      </c>
      <c r="J274">
        <v>293</v>
      </c>
      <c r="K274" t="s">
        <v>12</v>
      </c>
      <c r="L274">
        <v>5</v>
      </c>
      <c r="M274" t="s">
        <v>175</v>
      </c>
      <c r="N274">
        <v>300</v>
      </c>
      <c r="O274">
        <v>319</v>
      </c>
      <c r="P274">
        <v>252</v>
      </c>
      <c r="Q274" t="s">
        <v>982</v>
      </c>
      <c r="R274">
        <v>3</v>
      </c>
      <c r="S274" s="7" t="str">
        <f>HYPERLINK("http://exon.niaid.nih.gov/transcriptome/C_felis/S1/links/Sigp/CF-CONTIG_162-SigP.txt","Cyt")</f>
        <v>Cyt</v>
      </c>
      <c r="U274">
        <v>5</v>
      </c>
      <c r="V274" s="4">
        <v>147</v>
      </c>
      <c r="W274">
        <v>1</v>
      </c>
      <c r="X274" s="4">
        <v>147</v>
      </c>
      <c r="Y274">
        <v>1</v>
      </c>
      <c r="Z274" s="4">
        <v>144</v>
      </c>
      <c r="AA274">
        <v>1</v>
      </c>
      <c r="AB274" s="4" t="str">
        <f>HYPERLINK("http://exon.niaid.nih.gov/transcriptome/C_felis/S1/links/XC-ASB/cf-contig_162-XC-ASB.txt","XC-contig_231")</f>
        <v>XC-contig_231</v>
      </c>
      <c r="AC274">
        <v>6.0000000000000002E-58</v>
      </c>
      <c r="AD274" s="10" t="s">
        <v>4664</v>
      </c>
      <c r="AE274" t="s">
        <v>4605</v>
      </c>
      <c r="AF274" t="str">
        <f>HYPERLINK("http://exon.niaid.nih.gov/transcriptome/C_felis/S1/links/PFAM/cf-contig_162-PFAM.txt","PFAM")</f>
        <v>PFAM</v>
      </c>
      <c r="AG274" s="5">
        <v>2.0000000000000001E-42</v>
      </c>
      <c r="AH274">
        <v>92.2</v>
      </c>
      <c r="AI274" s="4" t="str">
        <f>HYPERLINK("http://exon.niaid.nih.gov/transcriptome/C_felis/S1/links/NR/cf-contig_162-NR.txt","60S ribosomal protein L37a")</f>
        <v>60S ribosomal protein L37a</v>
      </c>
      <c r="AJ274" t="str">
        <f>HYPERLINK("http://www.ncbi.nlm.nih.gov/sutils/blink.cgi?pid=169931071","2E-040")</f>
        <v>2E-040</v>
      </c>
      <c r="AK274" t="str">
        <f>HYPERLINK("http://www.ncbi.nlm.nih.gov/protein/169931071","gi|169931071")</f>
        <v>gi|169931071</v>
      </c>
      <c r="AL274">
        <v>168</v>
      </c>
      <c r="AM274">
        <v>83</v>
      </c>
      <c r="AN274">
        <v>92</v>
      </c>
      <c r="AO274">
        <v>92</v>
      </c>
      <c r="AP274">
        <v>91</v>
      </c>
      <c r="AQ274">
        <v>6</v>
      </c>
      <c r="AR274">
        <v>0</v>
      </c>
      <c r="AS274">
        <v>9</v>
      </c>
      <c r="AT274">
        <v>3</v>
      </c>
      <c r="AU274">
        <v>1</v>
      </c>
      <c r="AV274">
        <v>3</v>
      </c>
      <c r="AW274" t="s">
        <v>12</v>
      </c>
      <c r="AY274" t="s">
        <v>1676</v>
      </c>
      <c r="AZ274" t="s">
        <v>2292</v>
      </c>
      <c r="BA274" s="4" t="str">
        <f>HYPERLINK("http://exon.niaid.nih.gov/transcriptome/C_felis/S1/links/SWISSP/cf-contig_162-SWISSP.txt","60S ribosomal protein L37a")</f>
        <v>60S ribosomal protein L37a</v>
      </c>
      <c r="BB274" t="str">
        <f>HYPERLINK("http://www.uniprot.org/uniprot/Q9VMU4","1E-040")</f>
        <v>1E-040</v>
      </c>
      <c r="BC274" t="s">
        <v>2293</v>
      </c>
      <c r="BD274">
        <v>164</v>
      </c>
      <c r="BE274">
        <v>83</v>
      </c>
      <c r="BF274">
        <v>92</v>
      </c>
      <c r="BG274">
        <v>91</v>
      </c>
      <c r="BH274">
        <v>91</v>
      </c>
      <c r="BI274">
        <v>7</v>
      </c>
      <c r="BJ274">
        <v>0</v>
      </c>
      <c r="BK274">
        <v>9</v>
      </c>
      <c r="BL274">
        <v>3</v>
      </c>
      <c r="BM274">
        <v>1</v>
      </c>
      <c r="BN274">
        <v>3</v>
      </c>
      <c r="BO274" t="s">
        <v>12</v>
      </c>
      <c r="BQ274" t="s">
        <v>1676</v>
      </c>
      <c r="BR274" t="s">
        <v>1804</v>
      </c>
      <c r="BS274" s="4" t="str">
        <f>HYPERLINK("http://exon.niaid.nih.gov/transcriptome/C_felis/S1/links/CDD/cf-contig_162-CDD.txt","Ribosomal_L37ae")</f>
        <v>Ribosomal_L37ae</v>
      </c>
      <c r="BT274" t="str">
        <f>HYPERLINK("http://www.ncbi.nlm.nih.gov/Structure/cdd/cddsrv.cgi?uid=pfam01780&amp;version=v4.0","1E-041")</f>
        <v>1E-041</v>
      </c>
      <c r="BU274" t="s">
        <v>2294</v>
      </c>
      <c r="BV274" s="4" t="s">
        <v>2295</v>
      </c>
      <c r="BW274">
        <f>HYPERLINK("http://exon.niaid.nih.gov/transcriptome/C_felis/S1/links/GO/cf-contig_162-GO.txt",9E-41)</f>
        <v>9.0000000000000002E-41</v>
      </c>
      <c r="BX274" t="str">
        <f t="shared" ref="BX274:BX294" si="29">HYPERLINK("http://amigo.geneontology.org/cgi-bin/amigo/term_details?term=GO:0003735","GO:0003735")</f>
        <v>GO:0003735</v>
      </c>
      <c r="BY274" t="s">
        <v>1929</v>
      </c>
      <c r="BZ274" t="s">
        <v>1930</v>
      </c>
      <c r="CA274" t="s">
        <v>1931</v>
      </c>
      <c r="CB274" t="s">
        <v>42</v>
      </c>
      <c r="CD274" s="5">
        <v>9.0000000000000002E-41</v>
      </c>
      <c r="CE274" t="str">
        <f>HYPERLINK("http://amigo.geneontology.org/cgi-bin/amigo/term_details?term=GO:0022625","GO:0022625")</f>
        <v>GO:0022625</v>
      </c>
      <c r="CF274" t="s">
        <v>1932</v>
      </c>
      <c r="CG274" t="s">
        <v>1933</v>
      </c>
      <c r="CH274" t="s">
        <v>1934</v>
      </c>
      <c r="CI274" t="s">
        <v>42</v>
      </c>
      <c r="CK274" s="5">
        <v>9.0000000000000002E-41</v>
      </c>
      <c r="CL274" t="str">
        <f t="shared" ref="CL274:CL294" si="30">HYPERLINK("http://amigo.geneontology.org/cgi-bin/amigo/term_details?term=GO:0006412","GO:0006412")</f>
        <v>GO:0006412</v>
      </c>
      <c r="CM274" t="s">
        <v>1935</v>
      </c>
      <c r="CN274" t="s">
        <v>1936</v>
      </c>
      <c r="CO274" t="s">
        <v>1937</v>
      </c>
      <c r="CP274" t="s">
        <v>42</v>
      </c>
      <c r="CR274" s="5">
        <v>9.0000000000000002E-41</v>
      </c>
      <c r="CS274" s="4" t="str">
        <f>HYPERLINK("http://exon.niaid.nih.gov/transcriptome/C_felis/S1/links/KOG/cf-contig_162-KOG.txt","60S ribosomal protein L37")</f>
        <v>60S ribosomal protein L37</v>
      </c>
      <c r="CT274" t="str">
        <f>HYPERLINK("http://www.ncbi.nlm.nih.gov/COG/grace/shokog.cgi?KOG0402","2E-041")</f>
        <v>2E-041</v>
      </c>
      <c r="CU274" t="s">
        <v>1707</v>
      </c>
      <c r="CV274" s="4" t="str">
        <f>HYPERLINK("http://exon.niaid.nih.gov/transcriptome/C_felis/S1/links/PFAM/cf-contig_162-PFAM.txt","Ribosomal_L37ae")</f>
        <v>Ribosomal_L37ae</v>
      </c>
      <c r="CW274" t="str">
        <f>HYPERLINK("http://pfam.sanger.ac.uk/family?acc=PF01780","2E-042")</f>
        <v>2E-042</v>
      </c>
      <c r="CX274" s="4" t="str">
        <f>HYPERLINK("http://exon.niaid.nih.gov/transcriptome/C_felis/S1/links/SMART/cf-contig_162-SMART.txt","SprT")</f>
        <v>SprT</v>
      </c>
      <c r="CY274" t="str">
        <f>HYPERLINK("http://smart.embl-heidelberg.de/smart/do_annotation.pl?DOMAIN=SprT&amp;BLAST=DUMMY","0.011")</f>
        <v>0.011</v>
      </c>
      <c r="CZ274" s="4" t="s">
        <v>42</v>
      </c>
      <c r="DA274" t="s">
        <v>42</v>
      </c>
      <c r="DB274" t="s">
        <v>42</v>
      </c>
      <c r="DC274" t="s">
        <v>42</v>
      </c>
      <c r="DD274" t="s">
        <v>42</v>
      </c>
      <c r="DE274" t="s">
        <v>42</v>
      </c>
      <c r="DF274" t="s">
        <v>42</v>
      </c>
      <c r="DG274" t="s">
        <v>42</v>
      </c>
      <c r="DH274" s="4" t="s">
        <v>42</v>
      </c>
      <c r="DI274" t="s">
        <v>42</v>
      </c>
      <c r="DJ274" s="4" t="s">
        <v>42</v>
      </c>
      <c r="DK274" t="s">
        <v>42</v>
      </c>
      <c r="DL274" s="4">
        <v>147</v>
      </c>
      <c r="DM274">
        <v>1</v>
      </c>
      <c r="DN274" s="4">
        <v>147</v>
      </c>
      <c r="DO274">
        <v>1</v>
      </c>
      <c r="DP274" s="4">
        <v>144</v>
      </c>
      <c r="DQ274">
        <v>1</v>
      </c>
      <c r="DR274" s="4">
        <v>141</v>
      </c>
      <c r="DS274">
        <v>1</v>
      </c>
      <c r="DT274" s="4">
        <v>141</v>
      </c>
      <c r="DU274">
        <v>1</v>
      </c>
      <c r="DV274" s="4">
        <v>151</v>
      </c>
      <c r="DW274">
        <v>1</v>
      </c>
      <c r="DX274" s="4">
        <v>153</v>
      </c>
      <c r="DY274">
        <v>1</v>
      </c>
      <c r="DZ274" s="4">
        <v>153</v>
      </c>
      <c r="EA274">
        <v>1</v>
      </c>
      <c r="EB274" s="4">
        <v>158</v>
      </c>
      <c r="EC274">
        <v>1</v>
      </c>
      <c r="ED274" s="4">
        <v>159</v>
      </c>
      <c r="EE274">
        <v>1</v>
      </c>
      <c r="EF274" s="4">
        <v>160</v>
      </c>
      <c r="EG274">
        <v>1</v>
      </c>
      <c r="EH274" s="4">
        <v>159</v>
      </c>
      <c r="EI274">
        <v>1</v>
      </c>
      <c r="EJ274" s="4">
        <v>162</v>
      </c>
      <c r="EK274">
        <v>1</v>
      </c>
    </row>
    <row r="275" spans="1:141" x14ac:dyDescent="0.2">
      <c r="A275" t="str">
        <f>HYPERLINK("http://exon.niaid.nih.gov/transcriptome/C_felis/S1/links/cf/cf-contig_213.txt","cf-contig_213")</f>
        <v>cf-contig_213</v>
      </c>
      <c r="B275">
        <v>3</v>
      </c>
      <c r="C275" s="10" t="s">
        <v>4693</v>
      </c>
      <c r="D275">
        <v>3</v>
      </c>
      <c r="E275" t="str">
        <f>HYPERLINK("http://exon.niaid.nih.gov/transcriptome/C_felis/S1/links/cf/cf-5-36-asb-213.txt","Contig-213")</f>
        <v>Contig-213</v>
      </c>
      <c r="F275" t="str">
        <f>HYPERLINK("http://exon.niaid.nih.gov/transcriptome/C_felis/S1/links/cf/cf-5-36-213-CLU.txt","Contig213")</f>
        <v>Contig213</v>
      </c>
      <c r="G275" t="str">
        <f>HYPERLINK("http://exon.niaid.nih.gov/transcriptome/C_felis/S1/links/cf/cf-5-36-213-qual.txt","85.8")</f>
        <v>85.8</v>
      </c>
      <c r="H275" t="s">
        <v>11</v>
      </c>
      <c r="I275">
        <v>66.3</v>
      </c>
      <c r="J275">
        <v>334</v>
      </c>
      <c r="K275" t="s">
        <v>12</v>
      </c>
      <c r="L275">
        <v>3</v>
      </c>
      <c r="M275" t="s">
        <v>226</v>
      </c>
      <c r="N275">
        <v>361</v>
      </c>
      <c r="O275">
        <v>353</v>
      </c>
      <c r="P275">
        <v>234</v>
      </c>
      <c r="Q275" t="s">
        <v>1033</v>
      </c>
      <c r="R275">
        <v>3</v>
      </c>
      <c r="S275" s="7" t="str">
        <f>HYPERLINK("http://exon.niaid.nih.gov/transcriptome/C_felis/S1/links/Sigp/CF-CONTIG_213-SigP.txt","Cyt")</f>
        <v>Cyt</v>
      </c>
      <c r="U275">
        <v>3</v>
      </c>
      <c r="V275" s="4">
        <v>174</v>
      </c>
      <c r="W275">
        <v>1</v>
      </c>
      <c r="X275" s="4">
        <v>176</v>
      </c>
      <c r="Y275">
        <v>1</v>
      </c>
      <c r="Z275" s="4">
        <v>174</v>
      </c>
      <c r="AA275">
        <v>1</v>
      </c>
      <c r="AB275" s="4" t="str">
        <f>HYPERLINK("http://exon.niaid.nih.gov/transcriptome/C_felis/S1/links/XC-ASB/cf-contig_213-XC-ASB.txt","XC-contig_223")</f>
        <v>XC-contig_223</v>
      </c>
      <c r="AC275">
        <v>1E-42</v>
      </c>
      <c r="AD275" s="10" t="s">
        <v>4693</v>
      </c>
      <c r="AE275" t="s">
        <v>4605</v>
      </c>
      <c r="AF275" t="str">
        <f>HYPERLINK("http://exon.niaid.nih.gov/transcriptome/C_felis/S1/links/PFAM/cf-contig_213-PFAM.txt","PFAM")</f>
        <v>PFAM</v>
      </c>
      <c r="AG275" s="5">
        <v>8.0000000000000001E-35</v>
      </c>
      <c r="AH275">
        <v>100</v>
      </c>
      <c r="AI275" s="4" t="str">
        <f>HYPERLINK("http://exon.niaid.nih.gov/transcriptome/C_felis/S1/links/NR/cf-contig_213-NR.txt","ribosomal protein L38")</f>
        <v>ribosomal protein L38</v>
      </c>
      <c r="AJ275" t="str">
        <f>HYPERLINK("http://www.ncbi.nlm.nih.gov/sutils/blink.cgi?pid=344190581","5E-031")</f>
        <v>5E-031</v>
      </c>
      <c r="AK275" t="str">
        <f>HYPERLINK("http://www.ncbi.nlm.nih.gov/protein/344190581","gi|344190581")</f>
        <v>gi|344190581</v>
      </c>
      <c r="AL275">
        <v>137</v>
      </c>
      <c r="AM275">
        <v>68</v>
      </c>
      <c r="AN275">
        <v>69</v>
      </c>
      <c r="AO275">
        <v>100</v>
      </c>
      <c r="AP275">
        <v>100</v>
      </c>
      <c r="AQ275">
        <v>0</v>
      </c>
      <c r="AR275">
        <v>0</v>
      </c>
      <c r="AS275">
        <v>1</v>
      </c>
      <c r="AT275">
        <v>57</v>
      </c>
      <c r="AU275">
        <v>1</v>
      </c>
      <c r="AV275">
        <v>3</v>
      </c>
      <c r="AW275" t="s">
        <v>12</v>
      </c>
      <c r="AY275" t="s">
        <v>1676</v>
      </c>
      <c r="AZ275" t="s">
        <v>2461</v>
      </c>
      <c r="BA275" s="4" t="str">
        <f>HYPERLINK("http://exon.niaid.nih.gov/transcriptome/C_felis/S1/links/SWISSP/cf-contig_213-SWISSP.txt","60S ribosomal protein L38")</f>
        <v>60S ribosomal protein L38</v>
      </c>
      <c r="BB275" t="str">
        <f>HYPERLINK("http://www.uniprot.org/uniprot/Q6F450","3E-032")</f>
        <v>3E-032</v>
      </c>
      <c r="BC275" t="s">
        <v>2462</v>
      </c>
      <c r="BD275">
        <v>137</v>
      </c>
      <c r="BE275">
        <v>69</v>
      </c>
      <c r="BF275">
        <v>70</v>
      </c>
      <c r="BG275">
        <v>97</v>
      </c>
      <c r="BH275">
        <v>100</v>
      </c>
      <c r="BI275">
        <v>2</v>
      </c>
      <c r="BJ275">
        <v>0</v>
      </c>
      <c r="BK275">
        <v>1</v>
      </c>
      <c r="BL275">
        <v>54</v>
      </c>
      <c r="BM275">
        <v>1</v>
      </c>
      <c r="BN275">
        <v>3</v>
      </c>
      <c r="BO275" t="s">
        <v>12</v>
      </c>
      <c r="BQ275" t="s">
        <v>1676</v>
      </c>
      <c r="BR275" t="s">
        <v>2463</v>
      </c>
      <c r="BS275" s="4" t="str">
        <f>HYPERLINK("http://exon.niaid.nih.gov/transcriptome/C_felis/S1/links/CDD/cf-contig_213-CDD.txt","Ribosomal_L38e")</f>
        <v>Ribosomal_L38e</v>
      </c>
      <c r="BT275" t="str">
        <f>HYPERLINK("http://www.ncbi.nlm.nih.gov/Structure/cdd/cddsrv.cgi?uid=pfam01781&amp;version=v4.0","4E-034")</f>
        <v>4E-034</v>
      </c>
      <c r="BU275" t="s">
        <v>2464</v>
      </c>
      <c r="BV275" s="4" t="s">
        <v>2465</v>
      </c>
      <c r="BW275">
        <f>HYPERLINK("http://exon.niaid.nih.gov/transcriptome/C_felis/S1/links/GO/cf-contig_213-GO.txt",3E-29)</f>
        <v>3.0000000000000003E-29</v>
      </c>
      <c r="BX275" t="str">
        <f t="shared" si="29"/>
        <v>GO:0003735</v>
      </c>
      <c r="BY275" t="s">
        <v>1929</v>
      </c>
      <c r="BZ275" t="s">
        <v>1930</v>
      </c>
      <c r="CA275" t="s">
        <v>1931</v>
      </c>
      <c r="CB275" t="s">
        <v>42</v>
      </c>
      <c r="CD275" s="5">
        <v>3.0000000000000003E-29</v>
      </c>
      <c r="CE275" t="str">
        <f>HYPERLINK("http://amigo.geneontology.org/cgi-bin/amigo/term_details?term=GO:0005622","GO:0005622")</f>
        <v>GO:0005622</v>
      </c>
      <c r="CF275" t="s">
        <v>2085</v>
      </c>
      <c r="CG275" t="s">
        <v>2086</v>
      </c>
      <c r="CH275" t="s">
        <v>2087</v>
      </c>
      <c r="CI275" t="s">
        <v>42</v>
      </c>
      <c r="CK275" s="5">
        <v>3.0000000000000003E-29</v>
      </c>
      <c r="CL275" t="str">
        <f t="shared" si="30"/>
        <v>GO:0006412</v>
      </c>
      <c r="CM275" t="s">
        <v>1935</v>
      </c>
      <c r="CN275" t="s">
        <v>1936</v>
      </c>
      <c r="CO275" t="s">
        <v>1937</v>
      </c>
      <c r="CP275" t="s">
        <v>42</v>
      </c>
      <c r="CR275" s="5">
        <v>3.0000000000000003E-29</v>
      </c>
      <c r="CS275" s="4" t="str">
        <f>HYPERLINK("http://exon.niaid.nih.gov/transcriptome/C_felis/S1/links/KOG/cf-contig_213-KOG.txt","60S ribosomal protein L38")</f>
        <v>60S ribosomal protein L38</v>
      </c>
      <c r="CT275" t="str">
        <f>HYPERLINK("http://www.ncbi.nlm.nih.gov/COG/grace/shokog.cgi?KOG3499","1E-033")</f>
        <v>1E-033</v>
      </c>
      <c r="CU275" t="s">
        <v>1707</v>
      </c>
      <c r="CV275" s="4" t="str">
        <f>HYPERLINK("http://exon.niaid.nih.gov/transcriptome/C_felis/S1/links/PFAM/cf-contig_213-PFAM.txt","Ribosomal_L38e")</f>
        <v>Ribosomal_L38e</v>
      </c>
      <c r="CW275" t="str">
        <f>HYPERLINK("http://pfam.sanger.ac.uk/family?acc=PF01781","8E-035")</f>
        <v>8E-035</v>
      </c>
      <c r="CX275" s="4" t="str">
        <f>HYPERLINK("http://exon.niaid.nih.gov/transcriptome/C_felis/S1/links/SMART/cf-contig_213-SMART.txt","DWB")</f>
        <v>DWB</v>
      </c>
      <c r="CY275" t="str">
        <f>HYPERLINK("http://smart.embl-heidelberg.de/smart/do_annotation.pl?DOMAIN=DWB&amp;BLAST=DUMMY","0.068")</f>
        <v>0.068</v>
      </c>
      <c r="CZ275" s="4" t="s">
        <v>42</v>
      </c>
      <c r="DA275" t="s">
        <v>42</v>
      </c>
      <c r="DB275" t="s">
        <v>42</v>
      </c>
      <c r="DC275" t="s">
        <v>42</v>
      </c>
      <c r="DD275" t="s">
        <v>42</v>
      </c>
      <c r="DE275" t="s">
        <v>42</v>
      </c>
      <c r="DF275" t="s">
        <v>42</v>
      </c>
      <c r="DG275" t="s">
        <v>42</v>
      </c>
      <c r="DH275" s="4" t="s">
        <v>42</v>
      </c>
      <c r="DI275" t="s">
        <v>42</v>
      </c>
      <c r="DJ275" s="4" t="s">
        <v>42</v>
      </c>
      <c r="DK275" t="s">
        <v>42</v>
      </c>
      <c r="DL275" s="4">
        <v>174</v>
      </c>
      <c r="DM275">
        <v>1</v>
      </c>
      <c r="DN275" s="4">
        <v>176</v>
      </c>
      <c r="DO275">
        <v>1</v>
      </c>
      <c r="DP275" s="4">
        <v>174</v>
      </c>
      <c r="DQ275">
        <v>1</v>
      </c>
      <c r="DR275" s="4">
        <v>177</v>
      </c>
      <c r="DS275">
        <v>1</v>
      </c>
      <c r="DT275" s="4">
        <v>181</v>
      </c>
      <c r="DU275">
        <v>1</v>
      </c>
      <c r="DV275" s="4">
        <v>193</v>
      </c>
      <c r="DW275">
        <v>1</v>
      </c>
      <c r="DX275" s="4">
        <v>195</v>
      </c>
      <c r="DY275">
        <v>1</v>
      </c>
      <c r="DZ275" s="4">
        <v>197</v>
      </c>
      <c r="EA275">
        <v>1</v>
      </c>
      <c r="EB275" s="4">
        <v>202</v>
      </c>
      <c r="EC275">
        <v>1</v>
      </c>
      <c r="ED275" s="4">
        <v>205</v>
      </c>
      <c r="EE275">
        <v>1</v>
      </c>
      <c r="EF275" s="4">
        <v>206</v>
      </c>
      <c r="EG275">
        <v>1</v>
      </c>
      <c r="EH275" s="4">
        <v>208</v>
      </c>
      <c r="EI275">
        <v>1</v>
      </c>
      <c r="EJ275" s="4">
        <v>213</v>
      </c>
      <c r="EK275">
        <v>1</v>
      </c>
    </row>
    <row r="276" spans="1:141" x14ac:dyDescent="0.2">
      <c r="A276" t="str">
        <f>HYPERLINK("http://exon.niaid.nih.gov/transcriptome/C_felis/S1/links/cf/cf-contig_233.txt","cf-contig_233")</f>
        <v>cf-contig_233</v>
      </c>
      <c r="B276">
        <v>1</v>
      </c>
      <c r="C276" s="10" t="s">
        <v>4702</v>
      </c>
      <c r="D276">
        <v>1</v>
      </c>
      <c r="E276" t="str">
        <f>HYPERLINK("http://exon.niaid.nih.gov/transcriptome/C_felis/S1/links/cf/cf-5-36-asb-233.txt","Contig-233")</f>
        <v>Contig-233</v>
      </c>
      <c r="F276" t="str">
        <f>HYPERLINK("http://exon.niaid.nih.gov/transcriptome/C_felis/S1/links/cf/cf-5-36-233-CLU.txt","Contig233")</f>
        <v>Contig233</v>
      </c>
      <c r="G276" t="str">
        <f>HYPERLINK("http://exon.niaid.nih.gov/transcriptome/C_felis/S1/links/cf/cf-5-36-233-qual.txt","62.6")</f>
        <v>62.6</v>
      </c>
      <c r="H276" t="s">
        <v>11</v>
      </c>
      <c r="I276">
        <v>64.900000000000006</v>
      </c>
      <c r="J276">
        <v>323</v>
      </c>
      <c r="K276" t="s">
        <v>12</v>
      </c>
      <c r="L276">
        <v>1</v>
      </c>
      <c r="M276" t="s">
        <v>246</v>
      </c>
      <c r="N276">
        <v>323</v>
      </c>
      <c r="O276">
        <v>342</v>
      </c>
      <c r="P276">
        <v>276</v>
      </c>
      <c r="Q276" t="s">
        <v>1053</v>
      </c>
      <c r="R276">
        <v>3</v>
      </c>
      <c r="S276" s="7" t="str">
        <f>HYPERLINK("http://exon.niaid.nih.gov/transcriptome/C_felis/S1/links/Sigp/CF-CONTIG_233-SigP.txt","Cyt")</f>
        <v>Cyt</v>
      </c>
      <c r="U276">
        <v>1</v>
      </c>
      <c r="V276" s="4">
        <f>HYPERLINK("http://exon.niaid.nih.gov/transcriptome/C_felis/S1/links/cluster/cf-5-36-asb30-50-Id-CLU57.txt", 57)</f>
        <v>57</v>
      </c>
      <c r="W276">
        <f>HYPERLINK("http://exon.niaid.nih.gov/transcriptome/C_felis/S1/links/cluster/cf-5-36-asb30-50-Id-CLTL57.txt", 2)</f>
        <v>2</v>
      </c>
      <c r="X276" s="4">
        <f>HYPERLINK("http://exon.niaid.nih.gov/transcriptome/C_felis/S1/links/cluster/cf-5-36-asb35-50-Id-CLU50.txt", 50)</f>
        <v>50</v>
      </c>
      <c r="Y276">
        <f>HYPERLINK("http://exon.niaid.nih.gov/transcriptome/C_felis/S1/links/cluster/cf-5-36-asb35-50-Id-CLTL50.txt", 2)</f>
        <v>2</v>
      </c>
      <c r="Z276" s="4">
        <f>HYPERLINK("http://exon.niaid.nih.gov/transcriptome/C_felis/S1/links/cluster/cf-5-36-asb40-50-Id-CLU47.txt", 47)</f>
        <v>47</v>
      </c>
      <c r="AA276">
        <f>HYPERLINK("http://exon.niaid.nih.gov/transcriptome/C_felis/S1/links/cluster/cf-5-36-asb40-50-Id-CLTL47.txt", 2)</f>
        <v>2</v>
      </c>
      <c r="AB276" s="4" t="str">
        <f>HYPERLINK("http://exon.niaid.nih.gov/transcriptome/C_felis/S1/links/XC-ASB/cf-contig_233-XC-ASB.txt","XC-contig_74")</f>
        <v>XC-contig_74</v>
      </c>
      <c r="AC276">
        <v>9.2999999999999999E-2</v>
      </c>
      <c r="AD276" s="10" t="s">
        <v>4702</v>
      </c>
      <c r="AE276" t="s">
        <v>4605</v>
      </c>
      <c r="AF276" t="str">
        <f>HYPERLINK("http://exon.niaid.nih.gov/transcriptome/C_felis/S1/links/NR/cf-contig_233-NR.txt","NR")</f>
        <v>NR</v>
      </c>
      <c r="AG276" s="5">
        <v>1.9999999999999999E-38</v>
      </c>
      <c r="AH276">
        <v>41.9</v>
      </c>
      <c r="AI276" s="4" t="str">
        <f>HYPERLINK("http://exon.niaid.nih.gov/transcriptome/C_felis/S1/links/NR/cf-contig_233-NR.txt","ribosomal protein L10A")</f>
        <v>ribosomal protein L10A</v>
      </c>
      <c r="AJ276" t="str">
        <f>HYPERLINK("http://www.ncbi.nlm.nih.gov/sutils/blink.cgi?pid=112983523","2E-038")</f>
        <v>2E-038</v>
      </c>
      <c r="AK276" t="str">
        <f>HYPERLINK("http://www.ncbi.nlm.nih.gov/protein/112983523","gi|112983523")</f>
        <v>gi|112983523</v>
      </c>
      <c r="AL276">
        <v>162</v>
      </c>
      <c r="AM276">
        <v>90</v>
      </c>
      <c r="AN276">
        <v>217</v>
      </c>
      <c r="AO276">
        <v>87</v>
      </c>
      <c r="AP276">
        <v>42</v>
      </c>
      <c r="AQ276">
        <v>11</v>
      </c>
      <c r="AR276">
        <v>0</v>
      </c>
      <c r="AS276">
        <v>127</v>
      </c>
      <c r="AT276">
        <v>6</v>
      </c>
      <c r="AU276">
        <v>1</v>
      </c>
      <c r="AV276">
        <v>3</v>
      </c>
      <c r="AW276" t="s">
        <v>12</v>
      </c>
      <c r="AY276" t="s">
        <v>1676</v>
      </c>
      <c r="AZ276" t="s">
        <v>2037</v>
      </c>
      <c r="BA276" s="4" t="str">
        <f>HYPERLINK("http://exon.niaid.nih.gov/transcriptome/C_felis/S1/links/SWISSP/cf-contig_233-SWISSP.txt","60S ribosomal protein L10a")</f>
        <v>60S ribosomal protein L10a</v>
      </c>
      <c r="BB276" t="str">
        <f>HYPERLINK("http://www.uniprot.org/uniprot/Q963B6","3E-038")</f>
        <v>3E-038</v>
      </c>
      <c r="BC276" t="s">
        <v>2542</v>
      </c>
      <c r="BD276">
        <v>156</v>
      </c>
      <c r="BE276">
        <v>91</v>
      </c>
      <c r="BF276">
        <v>217</v>
      </c>
      <c r="BG276">
        <v>84</v>
      </c>
      <c r="BH276">
        <v>42</v>
      </c>
      <c r="BI276">
        <v>14</v>
      </c>
      <c r="BJ276">
        <v>0</v>
      </c>
      <c r="BK276">
        <v>126</v>
      </c>
      <c r="BL276">
        <v>2</v>
      </c>
      <c r="BM276">
        <v>2</v>
      </c>
      <c r="BN276">
        <v>3</v>
      </c>
      <c r="BO276" t="s">
        <v>1689</v>
      </c>
      <c r="BQ276" t="s">
        <v>1676</v>
      </c>
      <c r="BR276" t="s">
        <v>2031</v>
      </c>
      <c r="BS276" s="4" t="str">
        <f>HYPERLINK("http://exon.niaid.nih.gov/transcriptome/C_felis/S1/links/CDD/cf-contig_233-CDD.txt","PTZ00029")</f>
        <v>PTZ00029</v>
      </c>
      <c r="BT276" t="str">
        <f>HYPERLINK("http://www.ncbi.nlm.nih.gov/Structure/cdd/cddsrv.cgi?uid=PTZ00029&amp;version=v4.0","2E-035")</f>
        <v>2E-035</v>
      </c>
      <c r="BU276" t="s">
        <v>2543</v>
      </c>
      <c r="BV276" s="4" t="s">
        <v>2544</v>
      </c>
      <c r="BW276">
        <f>HYPERLINK("http://exon.niaid.nih.gov/transcriptome/C_felis/S1/links/GO/cf-contig_233-GO.txt",4E-34)</f>
        <v>3.9999999999999997E-34</v>
      </c>
      <c r="BX276" t="str">
        <f t="shared" si="29"/>
        <v>GO:0003735</v>
      </c>
      <c r="BY276" t="s">
        <v>1929</v>
      </c>
      <c r="BZ276" t="s">
        <v>1930</v>
      </c>
      <c r="CA276" t="s">
        <v>1931</v>
      </c>
      <c r="CB276" t="s">
        <v>42</v>
      </c>
      <c r="CD276" s="5">
        <v>3.9999999999999997E-34</v>
      </c>
      <c r="CE276" t="str">
        <f>HYPERLINK("http://amigo.geneontology.org/cgi-bin/amigo/term_details?term=GO:0022625","GO:0022625")</f>
        <v>GO:0022625</v>
      </c>
      <c r="CF276" t="s">
        <v>1932</v>
      </c>
      <c r="CG276" t="s">
        <v>1933</v>
      </c>
      <c r="CH276" t="s">
        <v>1934</v>
      </c>
      <c r="CI276" t="s">
        <v>42</v>
      </c>
      <c r="CK276" s="5">
        <v>3.9999999999999997E-34</v>
      </c>
      <c r="CL276" t="str">
        <f t="shared" si="30"/>
        <v>GO:0006412</v>
      </c>
      <c r="CM276" t="s">
        <v>1935</v>
      </c>
      <c r="CN276" t="s">
        <v>1936</v>
      </c>
      <c r="CO276" t="s">
        <v>1937</v>
      </c>
      <c r="CP276" t="s">
        <v>42</v>
      </c>
      <c r="CR276" s="5">
        <v>3.9999999999999997E-34</v>
      </c>
      <c r="CS276" s="4" t="str">
        <f>HYPERLINK("http://exon.niaid.nih.gov/transcriptome/C_felis/S1/links/KOG/cf-contig_233-KOG.txt","60S ribosomal protein L10A")</f>
        <v>60S ribosomal protein L10A</v>
      </c>
      <c r="CT276" t="str">
        <f>HYPERLINK("http://www.ncbi.nlm.nih.gov/COG/grace/shokog.cgi?KOG1570","1E-034")</f>
        <v>1E-034</v>
      </c>
      <c r="CU276" t="s">
        <v>1707</v>
      </c>
      <c r="CV276" s="4" t="str">
        <f>HYPERLINK("http://exon.niaid.nih.gov/transcriptome/C_felis/S1/links/PFAM/cf-contig_233-PFAM.txt","Ribosomal_L1")</f>
        <v>Ribosomal_L1</v>
      </c>
      <c r="CW276" t="str">
        <f>HYPERLINK("http://pfam.sanger.ac.uk/family?acc=PF00687","2E-023")</f>
        <v>2E-023</v>
      </c>
      <c r="CX276" s="4" t="str">
        <f>HYPERLINK("http://exon.niaid.nih.gov/transcriptome/C_felis/S1/links/SMART/cf-contig_233-SMART.txt","BPI2")</f>
        <v>BPI2</v>
      </c>
      <c r="CY276" t="str">
        <f>HYPERLINK("http://smart.embl-heidelberg.de/smart/do_annotation.pl?DOMAIN=BPI2&amp;BLAST=DUMMY","0.18")</f>
        <v>0.18</v>
      </c>
      <c r="CZ276" s="4" t="s">
        <v>42</v>
      </c>
      <c r="DA276" t="s">
        <v>42</v>
      </c>
      <c r="DB276" t="s">
        <v>42</v>
      </c>
      <c r="DC276" t="s">
        <v>42</v>
      </c>
      <c r="DD276" t="s">
        <v>42</v>
      </c>
      <c r="DE276" t="s">
        <v>42</v>
      </c>
      <c r="DF276" t="s">
        <v>42</v>
      </c>
      <c r="DG276" t="s">
        <v>42</v>
      </c>
      <c r="DH276" s="4" t="s">
        <v>42</v>
      </c>
      <c r="DI276" t="s">
        <v>42</v>
      </c>
      <c r="DJ276" s="4" t="s">
        <v>42</v>
      </c>
      <c r="DK276" t="s">
        <v>42</v>
      </c>
      <c r="DL276" s="4">
        <f>HYPERLINK("http://exon.niaid.nih.gov/transcriptome/C_felis/S1/links/cluster/cf-5-36-asb30-50-Id-CLU57.txt", 57)</f>
        <v>57</v>
      </c>
      <c r="DM276">
        <f>HYPERLINK("http://exon.niaid.nih.gov/transcriptome/C_felis/S1/links/cluster/cf-5-36-asb30-50-Id-CLTL57.txt", 2)</f>
        <v>2</v>
      </c>
      <c r="DN276" s="4">
        <f>HYPERLINK("http://exon.niaid.nih.gov/transcriptome/C_felis/S1/links/cluster/cf-5-36-asb35-50-Id-CLU50.txt", 50)</f>
        <v>50</v>
      </c>
      <c r="DO276">
        <f>HYPERLINK("http://exon.niaid.nih.gov/transcriptome/C_felis/S1/links/cluster/cf-5-36-asb35-50-Id-CLTL50.txt", 2)</f>
        <v>2</v>
      </c>
      <c r="DP276" s="4">
        <f>HYPERLINK("http://exon.niaid.nih.gov/transcriptome/C_felis/S1/links/cluster/cf-5-36-asb40-50-Id-CLU47.txt", 47)</f>
        <v>47</v>
      </c>
      <c r="DQ276">
        <f>HYPERLINK("http://exon.niaid.nih.gov/transcriptome/C_felis/S1/links/cluster/cf-5-36-asb40-50-Id-CLTL47.txt", 2)</f>
        <v>2</v>
      </c>
      <c r="DR276" s="4">
        <v>191</v>
      </c>
      <c r="DS276">
        <v>1</v>
      </c>
      <c r="DT276" s="4">
        <v>197</v>
      </c>
      <c r="DU276">
        <v>1</v>
      </c>
      <c r="DV276" s="4">
        <v>209</v>
      </c>
      <c r="DW276">
        <v>1</v>
      </c>
      <c r="DX276" s="4">
        <v>211</v>
      </c>
      <c r="DY276">
        <v>1</v>
      </c>
      <c r="DZ276" s="4">
        <v>215</v>
      </c>
      <c r="EA276">
        <v>1</v>
      </c>
      <c r="EB276" s="4">
        <v>220</v>
      </c>
      <c r="EC276">
        <v>1</v>
      </c>
      <c r="ED276" s="4">
        <v>223</v>
      </c>
      <c r="EE276">
        <v>1</v>
      </c>
      <c r="EF276" s="4">
        <v>226</v>
      </c>
      <c r="EG276">
        <v>1</v>
      </c>
      <c r="EH276" s="4">
        <v>228</v>
      </c>
      <c r="EI276">
        <v>1</v>
      </c>
      <c r="EJ276" s="4">
        <v>233</v>
      </c>
      <c r="EK276">
        <v>1</v>
      </c>
    </row>
    <row r="277" spans="1:141" x14ac:dyDescent="0.2">
      <c r="A277" t="str">
        <f>HYPERLINK("http://exon.niaid.nih.gov/transcriptome/C_felis/S1/links/cf/cf-contig_109.txt","cf-contig_109")</f>
        <v>cf-contig_109</v>
      </c>
      <c r="B277">
        <v>7</v>
      </c>
      <c r="C277" s="10" t="s">
        <v>4631</v>
      </c>
      <c r="D277">
        <v>7</v>
      </c>
      <c r="E277" t="str">
        <f>HYPERLINK("http://exon.niaid.nih.gov/transcriptome/C_felis/S1/links/cf/cf-5-36-asb-109.txt","Contig-109")</f>
        <v>Contig-109</v>
      </c>
      <c r="F277" t="str">
        <f>HYPERLINK("http://exon.niaid.nih.gov/transcriptome/C_felis/S1/links/cf/cf-5-36-109-CLU.txt","Contig109")</f>
        <v>Contig109</v>
      </c>
      <c r="G277" t="str">
        <f>HYPERLINK("http://exon.niaid.nih.gov/transcriptome/C_felis/S1/links/cf/cf-5-36-109-qual.txt","92.1")</f>
        <v>92.1</v>
      </c>
      <c r="H277">
        <v>0.2</v>
      </c>
      <c r="I277">
        <v>59.4</v>
      </c>
      <c r="J277">
        <v>565</v>
      </c>
      <c r="K277" t="s">
        <v>12</v>
      </c>
      <c r="L277">
        <v>7</v>
      </c>
      <c r="M277" t="s">
        <v>122</v>
      </c>
      <c r="N277">
        <v>588</v>
      </c>
      <c r="O277">
        <v>586</v>
      </c>
      <c r="P277">
        <v>528</v>
      </c>
      <c r="Q277" t="s">
        <v>929</v>
      </c>
      <c r="R277">
        <v>2</v>
      </c>
      <c r="S277" s="7" t="str">
        <f>HYPERLINK("http://exon.niaid.nih.gov/transcriptome/C_felis/S1/links/Sigp/CF-CONTIG_109-SigP.txt","Cyt")</f>
        <v>Cyt</v>
      </c>
      <c r="U277">
        <v>7</v>
      </c>
      <c r="V277" s="4">
        <v>122</v>
      </c>
      <c r="W277">
        <v>1</v>
      </c>
      <c r="X277" s="4">
        <v>117</v>
      </c>
      <c r="Y277">
        <v>1</v>
      </c>
      <c r="Z277" s="4">
        <v>114</v>
      </c>
      <c r="AA277">
        <v>1</v>
      </c>
      <c r="AB277" s="4" t="str">
        <f>HYPERLINK("http://exon.niaid.nih.gov/transcriptome/C_felis/S1/links/XC-ASB/cf-contig_109-XC-ASB.txt","XC-contig_155")</f>
        <v>XC-contig_155</v>
      </c>
      <c r="AC277">
        <v>3.5999999999999997E-2</v>
      </c>
      <c r="AD277" s="10" t="s">
        <v>4631</v>
      </c>
      <c r="AE277" t="s">
        <v>4605</v>
      </c>
      <c r="AF277" t="str">
        <f>HYPERLINK("http://exon.niaid.nih.gov/transcriptome/C_felis/S1/links/NR/cf-contig_109-NR.txt","NR")</f>
        <v>NR</v>
      </c>
      <c r="AG277" s="5">
        <v>2.0000000000000001E-62</v>
      </c>
      <c r="AH277">
        <v>94</v>
      </c>
      <c r="AI277" s="4" t="str">
        <f>HYPERLINK("http://exon.niaid.nih.gov/transcriptome/C_felis/S1/links/NR/cf-contig_109-NR.txt","similar to ribosomal protein L14")</f>
        <v>similar to ribosomal protein L14</v>
      </c>
      <c r="AJ277" t="str">
        <f>HYPERLINK("http://www.ncbi.nlm.nih.gov/sutils/blink.cgi?pid=91079965","2E-062")</f>
        <v>2E-062</v>
      </c>
      <c r="AK277" t="str">
        <f>HYPERLINK("http://www.ncbi.nlm.nih.gov/protein/91079965","gi|91079965")</f>
        <v>gi|91079965</v>
      </c>
      <c r="AL277">
        <v>242</v>
      </c>
      <c r="AM277">
        <v>156</v>
      </c>
      <c r="AN277">
        <v>167</v>
      </c>
      <c r="AO277">
        <v>71</v>
      </c>
      <c r="AP277">
        <v>94</v>
      </c>
      <c r="AQ277">
        <v>44</v>
      </c>
      <c r="AR277">
        <v>0</v>
      </c>
      <c r="AS277">
        <v>1</v>
      </c>
      <c r="AT277">
        <v>47</v>
      </c>
      <c r="AU277">
        <v>1</v>
      </c>
      <c r="AV277">
        <v>2</v>
      </c>
      <c r="AW277" t="s">
        <v>12</v>
      </c>
      <c r="AY277" t="s">
        <v>1676</v>
      </c>
      <c r="AZ277" t="s">
        <v>1878</v>
      </c>
      <c r="BA277" s="4" t="str">
        <f>HYPERLINK("http://exon.niaid.nih.gov/transcriptome/C_felis/S1/links/SWISSP/cf-contig_109-SWISSP.txt","60S ribosomal protein L14")</f>
        <v>60S ribosomal protein L14</v>
      </c>
      <c r="BB277" t="str">
        <f>HYPERLINK("http://www.uniprot.org/uniprot/P55841","2E-040")</f>
        <v>2E-040</v>
      </c>
      <c r="BC277" t="s">
        <v>2079</v>
      </c>
      <c r="BD277">
        <v>165</v>
      </c>
      <c r="BE277">
        <v>138</v>
      </c>
      <c r="BF277">
        <v>166</v>
      </c>
      <c r="BG277">
        <v>56</v>
      </c>
      <c r="BH277">
        <v>84</v>
      </c>
      <c r="BI277">
        <v>61</v>
      </c>
      <c r="BJ277">
        <v>0</v>
      </c>
      <c r="BK277">
        <v>1</v>
      </c>
      <c r="BL277">
        <v>47</v>
      </c>
      <c r="BM277">
        <v>1</v>
      </c>
      <c r="BN277">
        <v>2</v>
      </c>
      <c r="BO277" t="s">
        <v>12</v>
      </c>
      <c r="BQ277" t="s">
        <v>1676</v>
      </c>
      <c r="BR277" t="s">
        <v>1804</v>
      </c>
      <c r="BS277" s="4" t="str">
        <f>HYPERLINK("http://exon.niaid.nih.gov/transcriptome/C_felis/S1/links/CDD/cf-contig_109-CDD.txt","Ribosomal_L14e")</f>
        <v>Ribosomal_L14e</v>
      </c>
      <c r="BT277" t="str">
        <f>HYPERLINK("http://www.ncbi.nlm.nih.gov/Structure/cdd/cddsrv.cgi?uid=pfam01929&amp;version=v4.0","2E-030")</f>
        <v>2E-030</v>
      </c>
      <c r="BU277" t="s">
        <v>2080</v>
      </c>
      <c r="BV277" s="4" t="s">
        <v>2081</v>
      </c>
      <c r="BW277">
        <f>HYPERLINK("http://exon.niaid.nih.gov/transcriptome/C_felis/S1/links/GO/cf-contig_109-GO.txt",1E-40)</f>
        <v>9.9999999999999993E-41</v>
      </c>
      <c r="BX277" t="str">
        <f t="shared" si="29"/>
        <v>GO:0003735</v>
      </c>
      <c r="BY277" t="s">
        <v>1929</v>
      </c>
      <c r="BZ277" t="s">
        <v>1930</v>
      </c>
      <c r="CA277" t="s">
        <v>1931</v>
      </c>
      <c r="CB277" t="s">
        <v>42</v>
      </c>
      <c r="CD277" s="5">
        <v>9.9999999999999993E-41</v>
      </c>
      <c r="CE277" t="str">
        <f>HYPERLINK("http://amigo.geneontology.org/cgi-bin/amigo/term_details?term=GO:0022625","GO:0022625")</f>
        <v>GO:0022625</v>
      </c>
      <c r="CF277" t="s">
        <v>1932</v>
      </c>
      <c r="CG277" t="s">
        <v>1933</v>
      </c>
      <c r="CH277" t="s">
        <v>1934</v>
      </c>
      <c r="CI277" t="s">
        <v>42</v>
      </c>
      <c r="CK277" s="5">
        <v>9.9999999999999993E-41</v>
      </c>
      <c r="CL277" t="str">
        <f t="shared" si="30"/>
        <v>GO:0006412</v>
      </c>
      <c r="CM277" t="s">
        <v>1935</v>
      </c>
      <c r="CN277" t="s">
        <v>1936</v>
      </c>
      <c r="CO277" t="s">
        <v>1937</v>
      </c>
      <c r="CP277" t="s">
        <v>42</v>
      </c>
      <c r="CR277" s="5">
        <v>9.9999999999999993E-41</v>
      </c>
      <c r="CS277" s="4" t="str">
        <f>HYPERLINK("http://exon.niaid.nih.gov/transcriptome/C_felis/S1/links/KOG/cf-contig_109-KOG.txt","60S ribosomal protein L14")</f>
        <v>60S ribosomal protein L14</v>
      </c>
      <c r="CT277" t="str">
        <f>HYPERLINK("http://www.ncbi.nlm.nih.gov/COG/grace/shokog.cgi?KOG3421","5E-046")</f>
        <v>5E-046</v>
      </c>
      <c r="CU277" t="s">
        <v>1707</v>
      </c>
      <c r="CV277" s="4" t="str">
        <f>HYPERLINK("http://exon.niaid.nih.gov/transcriptome/C_felis/S1/links/PFAM/cf-contig_109-PFAM.txt","Ribosomal_L14e")</f>
        <v>Ribosomal_L14e</v>
      </c>
      <c r="CW277" t="str">
        <f>HYPERLINK("http://pfam.sanger.ac.uk/family?acc=PF01929","5E-031")</f>
        <v>5E-031</v>
      </c>
      <c r="CX277" s="4" t="str">
        <f>HYPERLINK("http://exon.niaid.nih.gov/transcriptome/C_felis/S1/links/SMART/cf-contig_109-SMART.txt","CaMBD")</f>
        <v>CaMBD</v>
      </c>
      <c r="CY277" t="str">
        <f>HYPERLINK("http://smart.embl-heidelberg.de/smart/do_annotation.pl?DOMAIN=CaMBD&amp;BLAST=DUMMY","0.10")</f>
        <v>0.10</v>
      </c>
      <c r="CZ277" s="4" t="s">
        <v>42</v>
      </c>
      <c r="DA277" t="s">
        <v>42</v>
      </c>
      <c r="DB277" t="s">
        <v>42</v>
      </c>
      <c r="DC277" t="s">
        <v>42</v>
      </c>
      <c r="DD277" t="s">
        <v>42</v>
      </c>
      <c r="DE277" t="s">
        <v>42</v>
      </c>
      <c r="DF277" t="s">
        <v>42</v>
      </c>
      <c r="DG277" t="s">
        <v>42</v>
      </c>
      <c r="DH277" s="4" t="s">
        <v>42</v>
      </c>
      <c r="DI277" t="s">
        <v>42</v>
      </c>
      <c r="DJ277" s="4" t="s">
        <v>42</v>
      </c>
      <c r="DK277" t="s">
        <v>42</v>
      </c>
      <c r="DL277" s="4">
        <v>122</v>
      </c>
      <c r="DM277">
        <v>1</v>
      </c>
      <c r="DN277" s="4">
        <v>117</v>
      </c>
      <c r="DO277">
        <v>1</v>
      </c>
      <c r="DP277" s="4">
        <v>114</v>
      </c>
      <c r="DQ277">
        <v>1</v>
      </c>
      <c r="DR277" s="4">
        <v>105</v>
      </c>
      <c r="DS277">
        <v>1</v>
      </c>
      <c r="DT277" s="4">
        <v>103</v>
      </c>
      <c r="DU277">
        <v>1</v>
      </c>
      <c r="DV277" s="4">
        <v>112</v>
      </c>
      <c r="DW277">
        <v>1</v>
      </c>
      <c r="DX277" s="4">
        <v>114</v>
      </c>
      <c r="DY277">
        <v>1</v>
      </c>
      <c r="DZ277" s="4">
        <v>113</v>
      </c>
      <c r="EA277">
        <v>1</v>
      </c>
      <c r="EB277" s="4">
        <v>113</v>
      </c>
      <c r="EC277">
        <v>1</v>
      </c>
      <c r="ED277" s="4">
        <v>114</v>
      </c>
      <c r="EE277">
        <v>1</v>
      </c>
      <c r="EF277" s="4">
        <v>111</v>
      </c>
      <c r="EG277">
        <v>1</v>
      </c>
      <c r="EH277" s="4">
        <v>108</v>
      </c>
      <c r="EI277">
        <v>1</v>
      </c>
      <c r="EJ277" s="4">
        <v>109</v>
      </c>
      <c r="EK277">
        <v>1</v>
      </c>
    </row>
    <row r="278" spans="1:141" x14ac:dyDescent="0.2">
      <c r="A278" t="str">
        <f>HYPERLINK("http://exon.niaid.nih.gov/transcriptome/C_felis/S1/links/cf/cf-contig_196.txt","cf-contig_196")</f>
        <v>cf-contig_196</v>
      </c>
      <c r="B278">
        <v>4</v>
      </c>
      <c r="C278" s="10" t="s">
        <v>4682</v>
      </c>
      <c r="D278">
        <v>4</v>
      </c>
      <c r="E278" t="str">
        <f>HYPERLINK("http://exon.niaid.nih.gov/transcriptome/C_felis/S1/links/cf/cf-5-36-asb-196.txt","Contig-196")</f>
        <v>Contig-196</v>
      </c>
      <c r="F278" t="str">
        <f>HYPERLINK("http://exon.niaid.nih.gov/transcriptome/C_felis/S1/links/cf/cf-5-36-196-CLU.txt","Contig196")</f>
        <v>Contig196</v>
      </c>
      <c r="G278" t="str">
        <f>HYPERLINK("http://exon.niaid.nih.gov/transcriptome/C_felis/S1/links/cf/cf-5-36-196-qual.txt","90.8")</f>
        <v>90.8</v>
      </c>
      <c r="H278" t="s">
        <v>11</v>
      </c>
      <c r="I278">
        <v>59.8</v>
      </c>
      <c r="J278">
        <v>342</v>
      </c>
      <c r="K278" t="s">
        <v>12</v>
      </c>
      <c r="L278">
        <v>4</v>
      </c>
      <c r="M278" t="s">
        <v>209</v>
      </c>
      <c r="N278">
        <v>352</v>
      </c>
      <c r="O278">
        <v>361</v>
      </c>
      <c r="P278">
        <v>294</v>
      </c>
      <c r="Q278" t="s">
        <v>1016</v>
      </c>
      <c r="R278">
        <v>1</v>
      </c>
      <c r="S278" s="7" t="str">
        <f>HYPERLINK("http://exon.niaid.nih.gov/transcriptome/C_felis/S1/links/Sigp/CF-CONTIG_196-SigP.txt","Cyt")</f>
        <v>Cyt</v>
      </c>
      <c r="U278">
        <v>4</v>
      </c>
      <c r="V278" s="4">
        <v>167</v>
      </c>
      <c r="W278">
        <v>1</v>
      </c>
      <c r="X278" s="4">
        <v>169</v>
      </c>
      <c r="Y278">
        <v>1</v>
      </c>
      <c r="Z278" s="4">
        <v>167</v>
      </c>
      <c r="AA278">
        <v>1</v>
      </c>
      <c r="AB278" s="4" t="str">
        <f>HYPERLINK("http://exon.niaid.nih.gov/transcriptome/C_felis/S1/links/XC-ASB/cf-contig_196-XC-ASB.txt","XC-contig_121")</f>
        <v>XC-contig_121</v>
      </c>
      <c r="AC278">
        <v>1E-27</v>
      </c>
      <c r="AD278" s="10" t="s">
        <v>4682</v>
      </c>
      <c r="AE278" t="s">
        <v>4605</v>
      </c>
      <c r="AF278" t="str">
        <f>HYPERLINK("http://exon.niaid.nih.gov/transcriptome/C_felis/S1/links/NR/cf-contig_196-NR.txt","NR")</f>
        <v>NR</v>
      </c>
      <c r="AG278" s="5">
        <v>4.9999999999999999E-48</v>
      </c>
      <c r="AH278">
        <v>69.2</v>
      </c>
      <c r="AI278" s="4" t="str">
        <f>HYPERLINK("http://exon.niaid.nih.gov/transcriptome/C_felis/S1/links/NR/cf-contig_196-NR.txt","similar to ribosomal protein L23e")</f>
        <v>similar to ribosomal protein L23e</v>
      </c>
      <c r="AJ278" t="str">
        <f>HYPERLINK("http://www.ncbi.nlm.nih.gov/sutils/blink.cgi?pid=91085777","5E-048")</f>
        <v>5E-048</v>
      </c>
      <c r="AK278" t="str">
        <f>HYPERLINK("http://www.ncbi.nlm.nih.gov/protein/91085777","gi|91085777")</f>
        <v>gi|91085777</v>
      </c>
      <c r="AL278">
        <v>194</v>
      </c>
      <c r="AM278">
        <v>96</v>
      </c>
      <c r="AN278">
        <v>140</v>
      </c>
      <c r="AO278">
        <v>98</v>
      </c>
      <c r="AP278">
        <v>69</v>
      </c>
      <c r="AQ278">
        <v>1</v>
      </c>
      <c r="AR278">
        <v>0</v>
      </c>
      <c r="AS278">
        <v>44</v>
      </c>
      <c r="AT278">
        <v>4</v>
      </c>
      <c r="AU278">
        <v>1</v>
      </c>
      <c r="AV278">
        <v>1</v>
      </c>
      <c r="AW278" t="s">
        <v>12</v>
      </c>
      <c r="AY278" t="s">
        <v>1676</v>
      </c>
      <c r="AZ278" t="s">
        <v>1878</v>
      </c>
      <c r="BA278" s="4" t="str">
        <f>HYPERLINK("http://exon.niaid.nih.gov/transcriptome/C_felis/S1/links/SWISSP/cf-contig_196-SWISSP.txt","60S ribosomal protein L23")</f>
        <v>60S ribosomal protein L23</v>
      </c>
      <c r="BB278" t="str">
        <f>HYPERLINK("http://www.uniprot.org/uniprot/P48159","1E-047")</f>
        <v>1E-047</v>
      </c>
      <c r="BC278" t="s">
        <v>2394</v>
      </c>
      <c r="BD278">
        <v>188</v>
      </c>
      <c r="BE278">
        <v>96</v>
      </c>
      <c r="BF278">
        <v>140</v>
      </c>
      <c r="BG278">
        <v>96</v>
      </c>
      <c r="BH278">
        <v>69</v>
      </c>
      <c r="BI278">
        <v>3</v>
      </c>
      <c r="BJ278">
        <v>0</v>
      </c>
      <c r="BK278">
        <v>44</v>
      </c>
      <c r="BL278">
        <v>4</v>
      </c>
      <c r="BM278">
        <v>1</v>
      </c>
      <c r="BN278">
        <v>1</v>
      </c>
      <c r="BO278" t="s">
        <v>12</v>
      </c>
      <c r="BQ278" t="s">
        <v>1676</v>
      </c>
      <c r="BR278" t="s">
        <v>1804</v>
      </c>
      <c r="BS278" s="4" t="str">
        <f>HYPERLINK("http://exon.niaid.nih.gov/transcriptome/C_felis/S1/links/CDD/cf-contig_196-CDD.txt","PTZ00054")</f>
        <v>PTZ00054</v>
      </c>
      <c r="BT278" t="str">
        <f>HYPERLINK("http://www.ncbi.nlm.nih.gov/Structure/cdd/cddsrv.cgi?uid=PTZ00054&amp;version=v4.0","1E-055")</f>
        <v>1E-055</v>
      </c>
      <c r="BU278" t="s">
        <v>2395</v>
      </c>
      <c r="BV278" s="4" t="s">
        <v>2396</v>
      </c>
      <c r="BW278">
        <f>HYPERLINK("http://exon.niaid.nih.gov/transcriptome/C_felis/S1/links/GO/cf-contig_196-GO.txt",8E-48)</f>
        <v>7.9999999999999998E-48</v>
      </c>
      <c r="BX278" t="str">
        <f t="shared" si="29"/>
        <v>GO:0003735</v>
      </c>
      <c r="BY278" t="s">
        <v>1929</v>
      </c>
      <c r="BZ278" t="s">
        <v>1930</v>
      </c>
      <c r="CA278" t="s">
        <v>1931</v>
      </c>
      <c r="CB278" t="s">
        <v>42</v>
      </c>
      <c r="CD278" s="5">
        <v>7.9999999999999998E-48</v>
      </c>
      <c r="CE278" t="str">
        <f>HYPERLINK("http://amigo.geneontology.org/cgi-bin/amigo/term_details?term=GO:0022625","GO:0022625")</f>
        <v>GO:0022625</v>
      </c>
      <c r="CF278" t="s">
        <v>1932</v>
      </c>
      <c r="CG278" t="s">
        <v>1933</v>
      </c>
      <c r="CH278" t="s">
        <v>1934</v>
      </c>
      <c r="CI278" t="s">
        <v>42</v>
      </c>
      <c r="CK278" s="5">
        <v>7.9999999999999998E-48</v>
      </c>
      <c r="CL278" t="str">
        <f t="shared" si="30"/>
        <v>GO:0006412</v>
      </c>
      <c r="CM278" t="s">
        <v>1935</v>
      </c>
      <c r="CN278" t="s">
        <v>1936</v>
      </c>
      <c r="CO278" t="s">
        <v>1937</v>
      </c>
      <c r="CP278" t="s">
        <v>42</v>
      </c>
      <c r="CR278" s="5">
        <v>7.9999999999999998E-48</v>
      </c>
      <c r="CS278" s="4" t="str">
        <f>HYPERLINK("http://exon.niaid.nih.gov/transcriptome/C_felis/S1/links/KOG/cf-contig_196-KOG.txt","60S ribosomal protein L14/L17/L23")</f>
        <v>60S ribosomal protein L14/L17/L23</v>
      </c>
      <c r="CT278" t="str">
        <f>HYPERLINK("http://www.ncbi.nlm.nih.gov/COG/grace/shokog.cgi?KOG0901","1E-039")</f>
        <v>1E-039</v>
      </c>
      <c r="CU278" t="s">
        <v>1707</v>
      </c>
      <c r="CV278" s="4" t="str">
        <f>HYPERLINK("http://exon.niaid.nih.gov/transcriptome/C_felis/S1/links/PFAM/cf-contig_196-PFAM.txt","Ribosomal_L14")</f>
        <v>Ribosomal_L14</v>
      </c>
      <c r="CW278" t="str">
        <f>HYPERLINK("http://pfam.sanger.ac.uk/family?acc=PF00238","3E-032")</f>
        <v>3E-032</v>
      </c>
      <c r="CX278" s="4" t="str">
        <f>HYPERLINK("http://exon.niaid.nih.gov/transcriptome/C_felis/S1/links/SMART/cf-contig_196-SMART.txt","PUA")</f>
        <v>PUA</v>
      </c>
      <c r="CY278" t="str">
        <f>HYPERLINK("http://smart.embl-heidelberg.de/smart/do_annotation.pl?DOMAIN=PUA&amp;BLAST=DUMMY","0.053")</f>
        <v>0.053</v>
      </c>
      <c r="CZ278" s="4" t="s">
        <v>42</v>
      </c>
      <c r="DA278" t="s">
        <v>42</v>
      </c>
      <c r="DB278" t="s">
        <v>42</v>
      </c>
      <c r="DC278" t="s">
        <v>42</v>
      </c>
      <c r="DD278" t="s">
        <v>42</v>
      </c>
      <c r="DE278" t="s">
        <v>42</v>
      </c>
      <c r="DF278" t="s">
        <v>42</v>
      </c>
      <c r="DG278" t="s">
        <v>42</v>
      </c>
      <c r="DH278" s="4" t="s">
        <v>42</v>
      </c>
      <c r="DI278" t="s">
        <v>42</v>
      </c>
      <c r="DJ278" s="4" t="s">
        <v>42</v>
      </c>
      <c r="DK278" t="s">
        <v>42</v>
      </c>
      <c r="DL278" s="4">
        <v>167</v>
      </c>
      <c r="DM278">
        <v>1</v>
      </c>
      <c r="DN278" s="4">
        <v>169</v>
      </c>
      <c r="DO278">
        <v>1</v>
      </c>
      <c r="DP278" s="4">
        <v>167</v>
      </c>
      <c r="DQ278">
        <v>1</v>
      </c>
      <c r="DR278" s="4">
        <v>166</v>
      </c>
      <c r="DS278">
        <v>1</v>
      </c>
      <c r="DT278" s="4">
        <v>170</v>
      </c>
      <c r="DU278">
        <v>1</v>
      </c>
      <c r="DV278" s="4">
        <v>180</v>
      </c>
      <c r="DW278">
        <v>1</v>
      </c>
      <c r="DX278" s="4">
        <v>182</v>
      </c>
      <c r="DY278">
        <v>1</v>
      </c>
      <c r="DZ278" s="4">
        <v>184</v>
      </c>
      <c r="EA278">
        <v>1</v>
      </c>
      <c r="EB278" s="4">
        <v>189</v>
      </c>
      <c r="EC278">
        <v>1</v>
      </c>
      <c r="ED278" s="4">
        <v>190</v>
      </c>
      <c r="EE278">
        <v>1</v>
      </c>
      <c r="EF278" s="4">
        <v>191</v>
      </c>
      <c r="EG278">
        <v>1</v>
      </c>
      <c r="EH278" s="4">
        <v>191</v>
      </c>
      <c r="EI278">
        <v>1</v>
      </c>
      <c r="EJ278" s="4">
        <v>196</v>
      </c>
      <c r="EK278">
        <v>1</v>
      </c>
    </row>
    <row r="279" spans="1:141" x14ac:dyDescent="0.2">
      <c r="A279" t="str">
        <f>HYPERLINK("http://exon.niaid.nih.gov/transcriptome/C_felis/S1/links/cf/cf-contig_587.txt","cf-contig_587")</f>
        <v>cf-contig_587</v>
      </c>
      <c r="B279">
        <v>1</v>
      </c>
      <c r="C279" s="10" t="s">
        <v>4813</v>
      </c>
      <c r="D279">
        <v>1</v>
      </c>
      <c r="E279" t="str">
        <f>HYPERLINK("http://exon.niaid.nih.gov/transcriptome/C_felis/S1/links/cf/cf-5-36-asb-587.txt","Contig-587")</f>
        <v>Contig-587</v>
      </c>
      <c r="F279" t="str">
        <f>HYPERLINK("http://exon.niaid.nih.gov/transcriptome/C_felis/S1/links/cf/cf-5-36-587-CLU.txt","Contig587")</f>
        <v>Contig587</v>
      </c>
      <c r="G279" t="str">
        <f>HYPERLINK("http://exon.niaid.nih.gov/transcriptome/C_felis/S1/links/cf/cf-5-36-587-qual.txt","61.9")</f>
        <v>61.9</v>
      </c>
      <c r="H279" t="s">
        <v>11</v>
      </c>
      <c r="I279">
        <v>57.6</v>
      </c>
      <c r="J279">
        <v>337</v>
      </c>
      <c r="K279" t="s">
        <v>12</v>
      </c>
      <c r="L279">
        <v>1</v>
      </c>
      <c r="M279" t="s">
        <v>600</v>
      </c>
      <c r="N279">
        <v>337</v>
      </c>
      <c r="O279">
        <v>356</v>
      </c>
      <c r="P279">
        <v>276</v>
      </c>
      <c r="Q279" t="s">
        <v>1406</v>
      </c>
      <c r="R279">
        <v>1</v>
      </c>
      <c r="S279" s="7" t="str">
        <f>HYPERLINK("http://exon.niaid.nih.gov/transcriptome/C_felis/S1/links/Sigp/CF-CONTIG_587-SigP.txt","Cyt")</f>
        <v>Cyt</v>
      </c>
      <c r="U279">
        <v>1</v>
      </c>
      <c r="V279" s="4">
        <v>478</v>
      </c>
      <c r="W279">
        <v>1</v>
      </c>
      <c r="X279" s="4">
        <v>489</v>
      </c>
      <c r="Y279">
        <v>1</v>
      </c>
      <c r="Z279" s="4">
        <v>498</v>
      </c>
      <c r="AA279">
        <v>1</v>
      </c>
      <c r="AB279" s="4" t="str">
        <f>HYPERLINK("http://exon.niaid.nih.gov/transcriptome/C_felis/S1/links/XC-ASB/cf-contig_587-XC-ASB.txt","XC-contig_88")</f>
        <v>XC-contig_88</v>
      </c>
      <c r="AC279">
        <v>0.35</v>
      </c>
      <c r="AD279" s="10" t="s">
        <v>4813</v>
      </c>
      <c r="AE279" t="s">
        <v>4605</v>
      </c>
      <c r="AF279" t="str">
        <f>HYPERLINK("http://exon.niaid.nih.gov/transcriptome/C_felis/S1/links/NR/cf-contig_587-NR.txt","NR")</f>
        <v>NR</v>
      </c>
      <c r="AG279" s="5">
        <v>5E-36</v>
      </c>
      <c r="AH279">
        <v>56.1</v>
      </c>
      <c r="AI279" s="4" t="str">
        <f>HYPERLINK("http://exon.niaid.nih.gov/transcriptome/C_felis/S1/links/NR/cf-contig_587-NR.txt","ribosomal protein L24")</f>
        <v>ribosomal protein L24</v>
      </c>
      <c r="AJ279" t="str">
        <f>HYPERLINK("http://www.ncbi.nlm.nih.gov/sutils/blink.cgi?pid=342356329","5E-036")</f>
        <v>5E-036</v>
      </c>
      <c r="AK279" t="str">
        <f>HYPERLINK("http://www.ncbi.nlm.nih.gov/protein/342356329","gi|342356329")</f>
        <v>gi|342356329</v>
      </c>
      <c r="AL279">
        <v>154</v>
      </c>
      <c r="AM279">
        <v>86</v>
      </c>
      <c r="AN279">
        <v>155</v>
      </c>
      <c r="AO279">
        <v>93</v>
      </c>
      <c r="AP279">
        <v>56</v>
      </c>
      <c r="AQ279">
        <v>6</v>
      </c>
      <c r="AR279">
        <v>1</v>
      </c>
      <c r="AS279">
        <v>69</v>
      </c>
      <c r="AT279">
        <v>19</v>
      </c>
      <c r="AU279">
        <v>1</v>
      </c>
      <c r="AV279">
        <v>1</v>
      </c>
      <c r="AW279" t="s">
        <v>12</v>
      </c>
      <c r="AY279" t="s">
        <v>1676</v>
      </c>
      <c r="AZ279" t="s">
        <v>2242</v>
      </c>
      <c r="BA279" s="4" t="str">
        <f>HYPERLINK("http://exon.niaid.nih.gov/transcriptome/C_felis/S1/links/SWISSP/cf-contig_587-SWISSP.txt","60S ribosomal protein L24")</f>
        <v>60S ribosomal protein L24</v>
      </c>
      <c r="BB279" t="str">
        <f>HYPERLINK("http://www.uniprot.org/uniprot/Q962T5","5E-036")</f>
        <v>5E-036</v>
      </c>
      <c r="BC279" t="s">
        <v>3818</v>
      </c>
      <c r="BD279">
        <v>149</v>
      </c>
      <c r="BE279">
        <v>86</v>
      </c>
      <c r="BF279">
        <v>155</v>
      </c>
      <c r="BG279">
        <v>89</v>
      </c>
      <c r="BH279">
        <v>56</v>
      </c>
      <c r="BI279">
        <v>9</v>
      </c>
      <c r="BJ279">
        <v>1</v>
      </c>
      <c r="BK279">
        <v>69</v>
      </c>
      <c r="BL279">
        <v>19</v>
      </c>
      <c r="BM279">
        <v>1</v>
      </c>
      <c r="BN279">
        <v>1</v>
      </c>
      <c r="BO279" t="s">
        <v>12</v>
      </c>
      <c r="BQ279" t="s">
        <v>1676</v>
      </c>
      <c r="BR279" t="s">
        <v>2031</v>
      </c>
      <c r="BS279" s="4" t="str">
        <f>HYPERLINK("http://exon.niaid.nih.gov/transcriptome/C_felis/S1/links/CDD/cf-contig_587-CDD.txt","PTZ00033")</f>
        <v>PTZ00033</v>
      </c>
      <c r="BT279" t="str">
        <f>HYPERLINK("http://www.ncbi.nlm.nih.gov/Structure/cdd/cddsrv.cgi?uid=PTZ00033&amp;version=v4.0","1E-006")</f>
        <v>1E-006</v>
      </c>
      <c r="BU279" t="s">
        <v>3819</v>
      </c>
      <c r="BV279" s="4" t="s">
        <v>3820</v>
      </c>
      <c r="BW279">
        <f>HYPERLINK("http://exon.niaid.nih.gov/transcriptome/C_felis/S1/links/GO/cf-contig_587-GO.txt",1E-32)</f>
        <v>1.0000000000000001E-32</v>
      </c>
      <c r="BX279" t="str">
        <f t="shared" si="29"/>
        <v>GO:0003735</v>
      </c>
      <c r="BY279" t="s">
        <v>1929</v>
      </c>
      <c r="BZ279" t="s">
        <v>1930</v>
      </c>
      <c r="CA279" t="s">
        <v>1931</v>
      </c>
      <c r="CB279" t="s">
        <v>42</v>
      </c>
      <c r="CD279" s="5">
        <v>1.0000000000000001E-32</v>
      </c>
      <c r="CE279" t="str">
        <f>HYPERLINK("http://amigo.geneontology.org/cgi-bin/amigo/term_details?term=GO:0022625","GO:0022625")</f>
        <v>GO:0022625</v>
      </c>
      <c r="CF279" t="s">
        <v>1932</v>
      </c>
      <c r="CG279" t="s">
        <v>1933</v>
      </c>
      <c r="CH279" t="s">
        <v>1934</v>
      </c>
      <c r="CI279" t="s">
        <v>42</v>
      </c>
      <c r="CK279" s="5">
        <v>1.0000000000000001E-32</v>
      </c>
      <c r="CL279" t="str">
        <f t="shared" si="30"/>
        <v>GO:0006412</v>
      </c>
      <c r="CM279" t="s">
        <v>1935</v>
      </c>
      <c r="CN279" t="s">
        <v>1936</v>
      </c>
      <c r="CO279" t="s">
        <v>1937</v>
      </c>
      <c r="CP279" t="s">
        <v>42</v>
      </c>
      <c r="CR279" s="5">
        <v>1.0000000000000001E-32</v>
      </c>
      <c r="CS279" s="4" t="str">
        <f>HYPERLINK("http://exon.niaid.nih.gov/transcriptome/C_felis/S1/links/KOG/cf-contig_587-KOG.txt","60s ribosomal protein L24")</f>
        <v>60s ribosomal protein L24</v>
      </c>
      <c r="CT279" t="str">
        <f>HYPERLINK("http://www.ncbi.nlm.nih.gov/COG/grace/shokog.cgi?KOG1722","6E-029")</f>
        <v>6E-029</v>
      </c>
      <c r="CU279" t="s">
        <v>1707</v>
      </c>
      <c r="CV279" s="4" t="str">
        <f>HYPERLINK("http://exon.niaid.nih.gov/transcriptome/C_felis/S1/links/PFAM/cf-contig_587-PFAM.txt","FecCD")</f>
        <v>FecCD</v>
      </c>
      <c r="CW279" t="str">
        <f>HYPERLINK("http://pfam.sanger.ac.uk/family?acc=PF01032","0.001")</f>
        <v>0.001</v>
      </c>
      <c r="CX279" s="4" t="str">
        <f>HYPERLINK("http://exon.niaid.nih.gov/transcriptome/C_felis/S1/links/SMART/cf-contig_587-SMART.txt","HMG17")</f>
        <v>HMG17</v>
      </c>
      <c r="CY279" t="str">
        <f>HYPERLINK("http://smart.embl-heidelberg.de/smart/do_annotation.pl?DOMAIN=HMG17&amp;BLAST=DUMMY","0.022")</f>
        <v>0.022</v>
      </c>
      <c r="CZ279" s="4" t="s">
        <v>42</v>
      </c>
      <c r="DA279" t="s">
        <v>42</v>
      </c>
      <c r="DB279" t="s">
        <v>42</v>
      </c>
      <c r="DC279" t="s">
        <v>42</v>
      </c>
      <c r="DD279" t="s">
        <v>42</v>
      </c>
      <c r="DE279" t="s">
        <v>42</v>
      </c>
      <c r="DF279" t="s">
        <v>42</v>
      </c>
      <c r="DG279" t="s">
        <v>42</v>
      </c>
      <c r="DH279" s="4" t="s">
        <v>42</v>
      </c>
      <c r="DI279" t="s">
        <v>42</v>
      </c>
      <c r="DJ279" s="4" t="s">
        <v>42</v>
      </c>
      <c r="DK279" t="s">
        <v>42</v>
      </c>
      <c r="DL279" s="4">
        <v>478</v>
      </c>
      <c r="DM279">
        <v>1</v>
      </c>
      <c r="DN279" s="4">
        <v>489</v>
      </c>
      <c r="DO279">
        <v>1</v>
      </c>
      <c r="DP279" s="4">
        <v>498</v>
      </c>
      <c r="DQ279">
        <v>1</v>
      </c>
      <c r="DR279" s="4">
        <v>517</v>
      </c>
      <c r="DS279">
        <v>1</v>
      </c>
      <c r="DT279" s="4">
        <v>529</v>
      </c>
      <c r="DU279">
        <v>1</v>
      </c>
      <c r="DV279" s="4">
        <v>543</v>
      </c>
      <c r="DW279">
        <v>1</v>
      </c>
      <c r="DX279" s="4">
        <v>551</v>
      </c>
      <c r="DY279">
        <v>1</v>
      </c>
      <c r="DZ279" s="4">
        <v>559</v>
      </c>
      <c r="EA279">
        <v>1</v>
      </c>
      <c r="EB279" s="4">
        <v>564</v>
      </c>
      <c r="EC279">
        <v>1</v>
      </c>
      <c r="ED279" s="4">
        <v>568</v>
      </c>
      <c r="EE279">
        <v>1</v>
      </c>
      <c r="EF279" s="4">
        <v>573</v>
      </c>
      <c r="EG279">
        <v>1</v>
      </c>
      <c r="EH279" s="4">
        <v>580</v>
      </c>
      <c r="EI279">
        <v>1</v>
      </c>
      <c r="EJ279" s="4">
        <v>587</v>
      </c>
      <c r="EK279">
        <v>1</v>
      </c>
    </row>
    <row r="280" spans="1:141" x14ac:dyDescent="0.2">
      <c r="A280" t="str">
        <f>HYPERLINK("http://exon.niaid.nih.gov/transcriptome/C_felis/S1/links/cf/cf-contig_181.txt","cf-contig_181")</f>
        <v>cf-contig_181</v>
      </c>
      <c r="B280">
        <v>1</v>
      </c>
      <c r="C280" s="10" t="s">
        <v>4672</v>
      </c>
      <c r="D280">
        <v>1</v>
      </c>
      <c r="E280" t="str">
        <f>HYPERLINK("http://exon.niaid.nih.gov/transcriptome/C_felis/S1/links/cf/cf-5-36-asb-181.txt","Contig-181")</f>
        <v>Contig-181</v>
      </c>
      <c r="F280" t="str">
        <f>HYPERLINK("http://exon.niaid.nih.gov/transcriptome/C_felis/S1/links/cf/cf-5-36-181-CLU.txt","Contig181")</f>
        <v>Contig181</v>
      </c>
      <c r="G280" t="str">
        <f>HYPERLINK("http://exon.niaid.nih.gov/transcriptome/C_felis/S1/links/cf/cf-5-36-181-qual.txt","65.1")</f>
        <v>65.1</v>
      </c>
      <c r="H280" t="s">
        <v>11</v>
      </c>
      <c r="I280">
        <v>66.599999999999994</v>
      </c>
      <c r="J280">
        <v>283</v>
      </c>
      <c r="K280" t="s">
        <v>12</v>
      </c>
      <c r="L280">
        <v>1</v>
      </c>
      <c r="M280" t="s">
        <v>194</v>
      </c>
      <c r="N280">
        <v>283</v>
      </c>
      <c r="O280">
        <v>302</v>
      </c>
      <c r="P280">
        <v>243</v>
      </c>
      <c r="Q280" t="s">
        <v>1001</v>
      </c>
      <c r="R280">
        <v>1</v>
      </c>
      <c r="S280" s="7" t="s">
        <v>4585</v>
      </c>
      <c r="U280">
        <v>1</v>
      </c>
      <c r="V280" s="4">
        <f>HYPERLINK("http://exon.niaid.nih.gov/transcriptome/C_felis/S1/links/cluster/cf-5-36-asb30-50-Id-CLU47.txt", 47)</f>
        <v>47</v>
      </c>
      <c r="W280">
        <f>HYPERLINK("http://exon.niaid.nih.gov/transcriptome/C_felis/S1/links/cluster/cf-5-36-asb30-50-Id-CLTL47.txt", 2)</f>
        <v>2</v>
      </c>
      <c r="X280" s="4">
        <f>HYPERLINK("http://exon.niaid.nih.gov/transcriptome/C_felis/S1/links/cluster/cf-5-36-asb35-50-Id-CLU40.txt", 40)</f>
        <v>40</v>
      </c>
      <c r="Y280">
        <f>HYPERLINK("http://exon.niaid.nih.gov/transcriptome/C_felis/S1/links/cluster/cf-5-36-asb35-50-Id-CLTL40.txt", 2)</f>
        <v>2</v>
      </c>
      <c r="Z280" s="4">
        <f>HYPERLINK("http://exon.niaid.nih.gov/transcriptome/C_felis/S1/links/cluster/cf-5-36-asb40-50-Id-CLU37.txt", 37)</f>
        <v>37</v>
      </c>
      <c r="AA280">
        <f>HYPERLINK("http://exon.niaid.nih.gov/transcriptome/C_felis/S1/links/cluster/cf-5-36-asb40-50-Id-CLTL37.txt", 2)</f>
        <v>2</v>
      </c>
      <c r="AB280" s="4" t="str">
        <f>HYPERLINK("http://exon.niaid.nih.gov/transcriptome/C_felis/S1/links/XC-ASB/cf-contig_181-XC-ASB.txt","XC-contig_112")</f>
        <v>XC-contig_112</v>
      </c>
      <c r="AC280">
        <v>0.28000000000000003</v>
      </c>
      <c r="AD280" s="10" t="s">
        <v>4672</v>
      </c>
      <c r="AE280" t="s">
        <v>4605</v>
      </c>
      <c r="AF280" t="str">
        <f>HYPERLINK("http://exon.niaid.nih.gov/transcriptome/C_felis/S1/links/NR/cf-contig_181-NR.txt","NR")</f>
        <v>NR</v>
      </c>
      <c r="AG280" s="5">
        <v>2.0000000000000001E-32</v>
      </c>
      <c r="AH280">
        <v>53</v>
      </c>
      <c r="AI280" s="4" t="str">
        <f>HYPERLINK("http://exon.niaid.nih.gov/transcriptome/C_felis/S1/links/NR/cf-contig_181-NR.txt","ribosomal protein L26e")</f>
        <v>ribosomal protein L26e</v>
      </c>
      <c r="AJ280" t="str">
        <f>HYPERLINK("http://www.ncbi.nlm.nih.gov/sutils/blink.cgi?pid=70909801","2E-032")</f>
        <v>2E-032</v>
      </c>
      <c r="AK280" t="str">
        <f>HYPERLINK("http://www.ncbi.nlm.nih.gov/protein/70909801","gi|70909801")</f>
        <v>gi|70909801</v>
      </c>
      <c r="AL280">
        <v>142</v>
      </c>
      <c r="AM280">
        <v>78</v>
      </c>
      <c r="AN280">
        <v>149</v>
      </c>
      <c r="AO280">
        <v>89</v>
      </c>
      <c r="AP280">
        <v>53</v>
      </c>
      <c r="AQ280">
        <v>8</v>
      </c>
      <c r="AR280">
        <v>0</v>
      </c>
      <c r="AS280">
        <v>69</v>
      </c>
      <c r="AT280">
        <v>1</v>
      </c>
      <c r="AU280">
        <v>1</v>
      </c>
      <c r="AV280">
        <v>1</v>
      </c>
      <c r="AW280" t="s">
        <v>12</v>
      </c>
      <c r="AY280" t="s">
        <v>1676</v>
      </c>
      <c r="AZ280" t="s">
        <v>2344</v>
      </c>
      <c r="BA280" s="4" t="str">
        <f>HYPERLINK("http://exon.niaid.nih.gov/transcriptome/C_felis/S1/links/SWISSP/cf-contig_181-SWISSP.txt","60S ribosomal protein L26")</f>
        <v>60S ribosomal protein L26</v>
      </c>
      <c r="BB280" t="str">
        <f>HYPERLINK("http://www.uniprot.org/uniprot/Q95WA0","4E-025")</f>
        <v>4E-025</v>
      </c>
      <c r="BC280" t="s">
        <v>2340</v>
      </c>
      <c r="BD280">
        <v>113</v>
      </c>
      <c r="BE280">
        <v>71</v>
      </c>
      <c r="BF280">
        <v>144</v>
      </c>
      <c r="BG280">
        <v>78</v>
      </c>
      <c r="BH280">
        <v>50</v>
      </c>
      <c r="BI280">
        <v>16</v>
      </c>
      <c r="BJ280">
        <v>0</v>
      </c>
      <c r="BK280">
        <v>69</v>
      </c>
      <c r="BL280">
        <v>1</v>
      </c>
      <c r="BM280">
        <v>1</v>
      </c>
      <c r="BN280">
        <v>1</v>
      </c>
      <c r="BO280" t="s">
        <v>12</v>
      </c>
      <c r="BQ280" t="s">
        <v>1676</v>
      </c>
      <c r="BR280" t="s">
        <v>2341</v>
      </c>
      <c r="BS280" s="4" t="str">
        <f>HYPERLINK("http://exon.niaid.nih.gov/transcriptome/C_felis/S1/links/CDD/cf-contig_181-CDD.txt","PTZ00194")</f>
        <v>PTZ00194</v>
      </c>
      <c r="BT280" t="str">
        <f>HYPERLINK("http://www.ncbi.nlm.nih.gov/Structure/cdd/cddsrv.cgi?uid=PTZ00194&amp;version=v4.0","4E-025")</f>
        <v>4E-025</v>
      </c>
      <c r="BU280" t="s">
        <v>2345</v>
      </c>
      <c r="BV280" s="4" t="s">
        <v>2343</v>
      </c>
      <c r="BW280">
        <f>HYPERLINK("http://exon.niaid.nih.gov/transcriptome/C_felis/S1/links/GO/cf-contig_181-GO.txt",5E-30)</f>
        <v>4.9999999999999997E-30</v>
      </c>
      <c r="BX280" t="str">
        <f t="shared" si="29"/>
        <v>GO:0003735</v>
      </c>
      <c r="BY280" t="s">
        <v>1929</v>
      </c>
      <c r="BZ280" t="s">
        <v>1930</v>
      </c>
      <c r="CA280" t="s">
        <v>1931</v>
      </c>
      <c r="CB280" t="s">
        <v>42</v>
      </c>
      <c r="CD280" s="5">
        <v>4.9999999999999997E-30</v>
      </c>
      <c r="CE280" t="str">
        <f>HYPERLINK("http://amigo.geneontology.org/cgi-bin/amigo/term_details?term=GO:0022625","GO:0022625")</f>
        <v>GO:0022625</v>
      </c>
      <c r="CF280" t="s">
        <v>1932</v>
      </c>
      <c r="CG280" t="s">
        <v>1933</v>
      </c>
      <c r="CH280" t="s">
        <v>1934</v>
      </c>
      <c r="CI280" t="s">
        <v>42</v>
      </c>
      <c r="CK280" s="5">
        <v>4.9999999999999997E-30</v>
      </c>
      <c r="CL280" t="str">
        <f t="shared" si="30"/>
        <v>GO:0006412</v>
      </c>
      <c r="CM280" t="s">
        <v>1935</v>
      </c>
      <c r="CN280" t="s">
        <v>1936</v>
      </c>
      <c r="CO280" t="s">
        <v>1937</v>
      </c>
      <c r="CP280" t="s">
        <v>42</v>
      </c>
      <c r="CR280" s="5">
        <v>4.9999999999999997E-30</v>
      </c>
      <c r="CS280" s="4" t="str">
        <f>HYPERLINK("http://exon.niaid.nih.gov/transcriptome/C_felis/S1/links/KOG/cf-contig_181-KOG.txt","60S ribosomal protein L26")</f>
        <v>60S ribosomal protein L26</v>
      </c>
      <c r="CT280" t="str">
        <f>HYPERLINK("http://www.ncbi.nlm.nih.gov/COG/grace/shokog.cgi?KOG3401","4E-025")</f>
        <v>4E-025</v>
      </c>
      <c r="CU280" t="s">
        <v>1707</v>
      </c>
      <c r="CV280" s="4" t="str">
        <f>HYPERLINK("http://exon.niaid.nih.gov/transcriptome/C_felis/S1/links/PFAM/cf-contig_181-PFAM.txt","DUF1736")</f>
        <v>DUF1736</v>
      </c>
      <c r="CW280" t="str">
        <f>HYPERLINK("http://pfam.sanger.ac.uk/family?acc=PF08409","0.25")</f>
        <v>0.25</v>
      </c>
      <c r="CX280" s="4" t="str">
        <f>HYPERLINK("http://exon.niaid.nih.gov/transcriptome/C_felis/S1/links/SMART/cf-contig_181-SMART.txt","VIT")</f>
        <v>VIT</v>
      </c>
      <c r="CY280" t="str">
        <f>HYPERLINK("http://smart.embl-heidelberg.de/smart/do_annotation.pl?DOMAIN=VIT&amp;BLAST=DUMMY","0.15")</f>
        <v>0.15</v>
      </c>
      <c r="CZ280" s="4" t="s">
        <v>42</v>
      </c>
      <c r="DA280" t="s">
        <v>42</v>
      </c>
      <c r="DB280" t="s">
        <v>42</v>
      </c>
      <c r="DC280" t="s">
        <v>42</v>
      </c>
      <c r="DD280" t="s">
        <v>42</v>
      </c>
      <c r="DE280" t="s">
        <v>42</v>
      </c>
      <c r="DF280" t="s">
        <v>42</v>
      </c>
      <c r="DG280" t="s">
        <v>42</v>
      </c>
      <c r="DH280" s="4" t="s">
        <v>42</v>
      </c>
      <c r="DI280" t="s">
        <v>42</v>
      </c>
      <c r="DJ280" s="4" t="s">
        <v>42</v>
      </c>
      <c r="DK280" t="s">
        <v>42</v>
      </c>
      <c r="DL280" s="4">
        <f>HYPERLINK("http://exon.niaid.nih.gov/transcriptome/C_felis/S1/links/cluster/cf-5-36-asb30-50-Id-CLU47.txt", 47)</f>
        <v>47</v>
      </c>
      <c r="DM280">
        <f>HYPERLINK("http://exon.niaid.nih.gov/transcriptome/C_felis/S1/links/cluster/cf-5-36-asb30-50-Id-CLTL47.txt", 2)</f>
        <v>2</v>
      </c>
      <c r="DN280" s="4">
        <f>HYPERLINK("http://exon.niaid.nih.gov/transcriptome/C_felis/S1/links/cluster/cf-5-36-asb35-50-Id-CLU40.txt", 40)</f>
        <v>40</v>
      </c>
      <c r="DO280">
        <f>HYPERLINK("http://exon.niaid.nih.gov/transcriptome/C_felis/S1/links/cluster/cf-5-36-asb35-50-Id-CLTL40.txt", 2)</f>
        <v>2</v>
      </c>
      <c r="DP280" s="4">
        <f>HYPERLINK("http://exon.niaid.nih.gov/transcriptome/C_felis/S1/links/cluster/cf-5-36-asb40-50-Id-CLU37.txt", 37)</f>
        <v>37</v>
      </c>
      <c r="DQ280">
        <f>HYPERLINK("http://exon.niaid.nih.gov/transcriptome/C_felis/S1/links/cluster/cf-5-36-asb40-50-Id-CLTL37.txt", 2)</f>
        <v>2</v>
      </c>
      <c r="DR280" s="4">
        <f>HYPERLINK("http://exon.niaid.nih.gov/transcriptome/C_felis/S1/links/cluster/cf-5-36-asb45-50-Id-CLU34.txt", 34)</f>
        <v>34</v>
      </c>
      <c r="DS280">
        <f>HYPERLINK("http://exon.niaid.nih.gov/transcriptome/C_felis/S1/links/cluster/cf-5-36-asb45-50-Id-CLTL34.txt", 2)</f>
        <v>2</v>
      </c>
      <c r="DT280" s="4">
        <v>157</v>
      </c>
      <c r="DU280">
        <v>1</v>
      </c>
      <c r="DV280" s="4">
        <v>167</v>
      </c>
      <c r="DW280">
        <v>1</v>
      </c>
      <c r="DX280" s="4">
        <v>169</v>
      </c>
      <c r="DY280">
        <v>1</v>
      </c>
      <c r="DZ280" s="4">
        <v>169</v>
      </c>
      <c r="EA280">
        <v>1</v>
      </c>
      <c r="EB280" s="4">
        <v>174</v>
      </c>
      <c r="EC280">
        <v>1</v>
      </c>
      <c r="ED280" s="4">
        <v>175</v>
      </c>
      <c r="EE280">
        <v>1</v>
      </c>
      <c r="EF280" s="4">
        <v>176</v>
      </c>
      <c r="EG280">
        <v>1</v>
      </c>
      <c r="EH280" s="4">
        <v>176</v>
      </c>
      <c r="EI280">
        <v>1</v>
      </c>
      <c r="EJ280" s="4">
        <v>181</v>
      </c>
      <c r="EK280">
        <v>1</v>
      </c>
    </row>
    <row r="281" spans="1:141" x14ac:dyDescent="0.2">
      <c r="A281" t="str">
        <f>HYPERLINK("http://exon.niaid.nih.gov/transcriptome/C_felis/S1/links/cf/cf-contig_243.txt","cf-contig_243")</f>
        <v>cf-contig_243</v>
      </c>
      <c r="B281">
        <v>2</v>
      </c>
      <c r="C281" s="10" t="s">
        <v>4711</v>
      </c>
      <c r="D281">
        <v>2</v>
      </c>
      <c r="E281" t="str">
        <f>HYPERLINK("http://exon.niaid.nih.gov/transcriptome/C_felis/S1/links/cf/cf-5-36-asb-243.txt","Contig-243")</f>
        <v>Contig-243</v>
      </c>
      <c r="F281" t="str">
        <f>HYPERLINK("http://exon.niaid.nih.gov/transcriptome/C_felis/S1/links/cf/cf-5-36-243-CLU.txt","Contig243")</f>
        <v>Contig243</v>
      </c>
      <c r="G281" t="str">
        <f>HYPERLINK("http://exon.niaid.nih.gov/transcriptome/C_felis/S1/links/cf/cf-5-36-243-qual.txt","70.")</f>
        <v>70.</v>
      </c>
      <c r="H281" t="s">
        <v>11</v>
      </c>
      <c r="I281">
        <v>64.3</v>
      </c>
      <c r="J281">
        <v>283</v>
      </c>
      <c r="K281" t="s">
        <v>12</v>
      </c>
      <c r="L281">
        <v>2</v>
      </c>
      <c r="M281" t="s">
        <v>256</v>
      </c>
      <c r="N281">
        <v>283</v>
      </c>
      <c r="O281">
        <v>311</v>
      </c>
      <c r="P281">
        <v>219</v>
      </c>
      <c r="Q281" t="s">
        <v>1063</v>
      </c>
      <c r="R281">
        <v>1</v>
      </c>
      <c r="S281" s="7" t="s">
        <v>4585</v>
      </c>
      <c r="U281">
        <v>2</v>
      </c>
      <c r="V281" s="4">
        <v>192</v>
      </c>
      <c r="W281">
        <v>1</v>
      </c>
      <c r="X281" s="4">
        <v>195</v>
      </c>
      <c r="Y281">
        <v>1</v>
      </c>
      <c r="Z281" s="4">
        <v>193</v>
      </c>
      <c r="AA281">
        <v>1</v>
      </c>
      <c r="AB281" s="4" t="str">
        <f>HYPERLINK("http://exon.niaid.nih.gov/transcriptome/C_felis/S1/links/XC-ASB/cf-contig_243-XC-ASB.txt","XC-contig_82")</f>
        <v>XC-contig_82</v>
      </c>
      <c r="AC281">
        <v>2.0000000000000001E-42</v>
      </c>
      <c r="AD281" s="10" t="s">
        <v>4711</v>
      </c>
      <c r="AE281" t="s">
        <v>4605</v>
      </c>
      <c r="AF281" t="str">
        <f>HYPERLINK("http://exon.niaid.nih.gov/transcriptome/C_felis/S1/links/NR/cf-contig_243-NR.txt","NR")</f>
        <v>NR</v>
      </c>
      <c r="AG281" s="5">
        <v>2.0000000000000002E-30</v>
      </c>
      <c r="AH281">
        <v>47</v>
      </c>
      <c r="AI281" s="4" t="str">
        <f>HYPERLINK("http://exon.niaid.nih.gov/transcriptome/C_felis/S1/links/NR/cf-contig_243-NR.txt","ribosomal protein L27A")</f>
        <v>ribosomal protein L27A</v>
      </c>
      <c r="AJ281" t="str">
        <f>HYPERLINK("http://www.ncbi.nlm.nih.gov/sutils/blink.cgi?pid=264667411","2E-030")</f>
        <v>2E-030</v>
      </c>
      <c r="AK281" t="str">
        <f>HYPERLINK("http://www.ncbi.nlm.nih.gov/protein/264667411","gi|264667411")</f>
        <v>gi|264667411</v>
      </c>
      <c r="AL281">
        <v>135</v>
      </c>
      <c r="AM281">
        <v>69</v>
      </c>
      <c r="AN281">
        <v>148</v>
      </c>
      <c r="AO281">
        <v>94</v>
      </c>
      <c r="AP281">
        <v>47</v>
      </c>
      <c r="AQ281">
        <v>4</v>
      </c>
      <c r="AR281">
        <v>0</v>
      </c>
      <c r="AS281">
        <v>79</v>
      </c>
      <c r="AT281">
        <v>22</v>
      </c>
      <c r="AU281">
        <v>1</v>
      </c>
      <c r="AV281">
        <v>1</v>
      </c>
      <c r="AW281" t="s">
        <v>12</v>
      </c>
      <c r="AY281" t="s">
        <v>1676</v>
      </c>
      <c r="AZ281" t="s">
        <v>2587</v>
      </c>
      <c r="BA281" s="4" t="str">
        <f>HYPERLINK("http://exon.niaid.nih.gov/transcriptome/C_felis/S1/links/SWISSP/cf-contig_243-SWISSP.txt","60S ribosomal protein L27a")</f>
        <v>60S ribosomal protein L27a</v>
      </c>
      <c r="BB281" t="str">
        <f>HYPERLINK("http://www.uniprot.org/uniprot/P47830","7E-025")</f>
        <v>7E-025</v>
      </c>
      <c r="BC281" t="s">
        <v>2588</v>
      </c>
      <c r="BD281">
        <v>112</v>
      </c>
      <c r="BE281">
        <v>69</v>
      </c>
      <c r="BF281">
        <v>148</v>
      </c>
      <c r="BG281">
        <v>74</v>
      </c>
      <c r="BH281">
        <v>47</v>
      </c>
      <c r="BI281">
        <v>18</v>
      </c>
      <c r="BJ281">
        <v>0</v>
      </c>
      <c r="BK281">
        <v>79</v>
      </c>
      <c r="BL281">
        <v>22</v>
      </c>
      <c r="BM281">
        <v>1</v>
      </c>
      <c r="BN281">
        <v>1</v>
      </c>
      <c r="BO281" t="s">
        <v>12</v>
      </c>
      <c r="BQ281" t="s">
        <v>1676</v>
      </c>
      <c r="BR281" t="s">
        <v>1832</v>
      </c>
      <c r="BS281" s="4" t="str">
        <f>HYPERLINK("http://exon.niaid.nih.gov/transcriptome/C_felis/S1/links/CDD/cf-contig_243-CDD.txt","PTZ00160")</f>
        <v>PTZ00160</v>
      </c>
      <c r="BT281" t="str">
        <f>HYPERLINK("http://www.ncbi.nlm.nih.gov/Structure/cdd/cddsrv.cgi?uid=PTZ00160&amp;version=v4.0","2E-030")</f>
        <v>2E-030</v>
      </c>
      <c r="BU281" t="s">
        <v>2589</v>
      </c>
      <c r="BV281" s="4" t="s">
        <v>2590</v>
      </c>
      <c r="BW281">
        <f>HYPERLINK("http://exon.niaid.nih.gov/transcriptome/C_felis/S1/links/GO/cf-contig_243-GO.txt",3E-24)</f>
        <v>3E-24</v>
      </c>
      <c r="BX281" t="str">
        <f t="shared" si="29"/>
        <v>GO:0003735</v>
      </c>
      <c r="BY281" t="s">
        <v>1929</v>
      </c>
      <c r="BZ281" t="s">
        <v>1930</v>
      </c>
      <c r="CA281" t="s">
        <v>1931</v>
      </c>
      <c r="CB281" t="s">
        <v>42</v>
      </c>
      <c r="CD281" s="5">
        <v>3E-24</v>
      </c>
      <c r="CE281" t="str">
        <f>HYPERLINK("http://amigo.geneontology.org/cgi-bin/amigo/term_details?term=GO:0005622","GO:0005622")</f>
        <v>GO:0005622</v>
      </c>
      <c r="CF281" t="s">
        <v>2085</v>
      </c>
      <c r="CG281" t="s">
        <v>2086</v>
      </c>
      <c r="CH281" t="s">
        <v>2087</v>
      </c>
      <c r="CI281" t="s">
        <v>42</v>
      </c>
      <c r="CK281" s="5">
        <v>3E-24</v>
      </c>
      <c r="CL281" t="str">
        <f t="shared" si="30"/>
        <v>GO:0006412</v>
      </c>
      <c r="CM281" t="s">
        <v>1935</v>
      </c>
      <c r="CN281" t="s">
        <v>1936</v>
      </c>
      <c r="CO281" t="s">
        <v>1937</v>
      </c>
      <c r="CP281" t="s">
        <v>42</v>
      </c>
      <c r="CR281" s="5">
        <v>3E-24</v>
      </c>
      <c r="CS281" s="4" t="str">
        <f>HYPERLINK("http://exon.niaid.nih.gov/transcriptome/C_felis/S1/links/KOG/cf-contig_243-KOG.txt","60s ribosomal protein L15/L27")</f>
        <v>60s ribosomal protein L15/L27</v>
      </c>
      <c r="CT281" t="str">
        <f>HYPERLINK("http://www.ncbi.nlm.nih.gov/COG/grace/shokog.cgi?KOG1742","5E-025")</f>
        <v>5E-025</v>
      </c>
      <c r="CU281" t="s">
        <v>1707</v>
      </c>
      <c r="CV281" s="4" t="str">
        <f>HYPERLINK("http://exon.niaid.nih.gov/transcriptome/C_felis/S1/links/PFAM/cf-contig_243-PFAM.txt","Ribosomal_L18e")</f>
        <v>Ribosomal_L18e</v>
      </c>
      <c r="CW281" t="str">
        <f>HYPERLINK("http://pfam.sanger.ac.uk/family?acc=PF00828","2E-014")</f>
        <v>2E-014</v>
      </c>
      <c r="CX281" s="4" t="str">
        <f>HYPERLINK("http://exon.niaid.nih.gov/transcriptome/C_felis/S1/links/SMART/cf-contig_243-SMART.txt","HTTM")</f>
        <v>HTTM</v>
      </c>
      <c r="CY281" t="str">
        <f>HYPERLINK("http://smart.embl-heidelberg.de/smart/do_annotation.pl?DOMAIN=HTTM&amp;BLAST=DUMMY","0.019")</f>
        <v>0.019</v>
      </c>
      <c r="CZ281" s="4" t="s">
        <v>42</v>
      </c>
      <c r="DA281" t="s">
        <v>42</v>
      </c>
      <c r="DB281" t="s">
        <v>42</v>
      </c>
      <c r="DC281" t="s">
        <v>42</v>
      </c>
      <c r="DD281" t="s">
        <v>42</v>
      </c>
      <c r="DE281" t="s">
        <v>42</v>
      </c>
      <c r="DF281" t="s">
        <v>42</v>
      </c>
      <c r="DG281" t="s">
        <v>42</v>
      </c>
      <c r="DH281" s="4" t="s">
        <v>42</v>
      </c>
      <c r="DI281" t="s">
        <v>42</v>
      </c>
      <c r="DJ281" s="4" t="s">
        <v>42</v>
      </c>
      <c r="DK281" t="s">
        <v>42</v>
      </c>
      <c r="DL281" s="4">
        <v>192</v>
      </c>
      <c r="DM281">
        <v>1</v>
      </c>
      <c r="DN281" s="4">
        <v>195</v>
      </c>
      <c r="DO281">
        <v>1</v>
      </c>
      <c r="DP281" s="4">
        <v>193</v>
      </c>
      <c r="DQ281">
        <v>1</v>
      </c>
      <c r="DR281" s="4">
        <v>201</v>
      </c>
      <c r="DS281">
        <v>1</v>
      </c>
      <c r="DT281" s="4">
        <v>207</v>
      </c>
      <c r="DU281">
        <v>1</v>
      </c>
      <c r="DV281" s="4">
        <v>219</v>
      </c>
      <c r="DW281">
        <v>1</v>
      </c>
      <c r="DX281" s="4">
        <v>221</v>
      </c>
      <c r="DY281">
        <v>1</v>
      </c>
      <c r="DZ281" s="4">
        <v>225</v>
      </c>
      <c r="EA281">
        <v>1</v>
      </c>
      <c r="EB281" s="4">
        <v>230</v>
      </c>
      <c r="EC281">
        <v>1</v>
      </c>
      <c r="ED281" s="4">
        <v>233</v>
      </c>
      <c r="EE281">
        <v>1</v>
      </c>
      <c r="EF281" s="4">
        <v>236</v>
      </c>
      <c r="EG281">
        <v>1</v>
      </c>
      <c r="EH281" s="4">
        <v>238</v>
      </c>
      <c r="EI281">
        <v>1</v>
      </c>
      <c r="EJ281" s="4">
        <v>243</v>
      </c>
      <c r="EK281">
        <v>1</v>
      </c>
    </row>
    <row r="282" spans="1:141" x14ac:dyDescent="0.2">
      <c r="A282" t="str">
        <f>HYPERLINK("http://exon.niaid.nih.gov/transcriptome/C_felis/S1/links/cf/cf-contig_595.txt","cf-contig_595")</f>
        <v>cf-contig_595</v>
      </c>
      <c r="B282">
        <v>1</v>
      </c>
      <c r="C282" s="10" t="s">
        <v>4817</v>
      </c>
      <c r="D282">
        <v>1</v>
      </c>
      <c r="E282" t="str">
        <f>HYPERLINK("http://exon.niaid.nih.gov/transcriptome/C_felis/S1/links/cf/cf-5-36-asb-595.txt","Contig-595")</f>
        <v>Contig-595</v>
      </c>
      <c r="F282" t="str">
        <f>HYPERLINK("http://exon.niaid.nih.gov/transcriptome/C_felis/S1/links/cf/cf-5-36-595-CLU.txt","Contig595")</f>
        <v>Contig595</v>
      </c>
      <c r="G282" t="str">
        <f>HYPERLINK("http://exon.niaid.nih.gov/transcriptome/C_felis/S1/links/cf/cf-5-36-595-qual.txt","65.5")</f>
        <v>65.5</v>
      </c>
      <c r="H282" t="s">
        <v>11</v>
      </c>
      <c r="I282">
        <v>62.6</v>
      </c>
      <c r="J282">
        <v>334</v>
      </c>
      <c r="K282" t="s">
        <v>12</v>
      </c>
      <c r="L282">
        <v>1</v>
      </c>
      <c r="M282" t="s">
        <v>608</v>
      </c>
      <c r="N282">
        <v>334</v>
      </c>
      <c r="O282">
        <v>353</v>
      </c>
      <c r="P282">
        <v>288</v>
      </c>
      <c r="Q282" t="s">
        <v>1414</v>
      </c>
      <c r="R282">
        <v>3</v>
      </c>
      <c r="S282" s="7" t="str">
        <f>HYPERLINK("http://exon.niaid.nih.gov/transcriptome/C_felis/S1/links/Sigp/CF-CONTIG_595-SigP.txt","Cyt")</f>
        <v>Cyt</v>
      </c>
      <c r="U282">
        <v>1</v>
      </c>
      <c r="V282" s="4">
        <f>HYPERLINK("http://exon.niaid.nih.gov/transcriptome/C_felis/S1/links/cluster/cf-5-36-asb30-50-Id-CLU87.txt", 87)</f>
        <v>87</v>
      </c>
      <c r="W282">
        <f>HYPERLINK("http://exon.niaid.nih.gov/transcriptome/C_felis/S1/links/cluster/cf-5-36-asb30-50-Id-CLTL87.txt", 2)</f>
        <v>2</v>
      </c>
      <c r="X282" s="4">
        <f>HYPERLINK("http://exon.niaid.nih.gov/transcriptome/C_felis/S1/links/cluster/cf-5-36-asb35-50-Id-CLU81.txt", 81)</f>
        <v>81</v>
      </c>
      <c r="Y282">
        <f>HYPERLINK("http://exon.niaid.nih.gov/transcriptome/C_felis/S1/links/cluster/cf-5-36-asb35-50-Id-CLTL81.txt", 2)</f>
        <v>2</v>
      </c>
      <c r="Z282" s="4">
        <f>HYPERLINK("http://exon.niaid.nih.gov/transcriptome/C_felis/S1/links/cluster/cf-5-36-asb40-50-Id-CLU73.txt", 73)</f>
        <v>73</v>
      </c>
      <c r="AA282">
        <f>HYPERLINK("http://exon.niaid.nih.gov/transcriptome/C_felis/S1/links/cluster/cf-5-36-asb40-50-Id-CLTL73.txt", 2)</f>
        <v>2</v>
      </c>
      <c r="AB282" s="4" t="str">
        <f>HYPERLINK("http://exon.niaid.nih.gov/transcriptome/C_felis/S1/links/XC-ASB/cf-contig_595-XC-ASB.txt","XC-contig_245")</f>
        <v>XC-contig_245</v>
      </c>
      <c r="AC282">
        <v>6.0000000000000003E-12</v>
      </c>
      <c r="AD282" s="10" t="s">
        <v>4817</v>
      </c>
      <c r="AE282" t="s">
        <v>4605</v>
      </c>
      <c r="AF282" t="str">
        <f>HYPERLINK("http://exon.niaid.nih.gov/transcriptome/C_felis/S1/links/NR/cf-contig_595-NR.txt","NR")</f>
        <v>NR</v>
      </c>
      <c r="AG282" s="5">
        <v>3.0000000000000001E-45</v>
      </c>
      <c r="AH282">
        <v>71.099999999999994</v>
      </c>
      <c r="AI282" s="4" t="str">
        <f>HYPERLINK("http://exon.niaid.nih.gov/transcriptome/C_felis/S1/links/NR/cf-contig_595-NR.txt","ribosomal protein L27e")</f>
        <v>ribosomal protein L27e</v>
      </c>
      <c r="AJ282" t="str">
        <f>HYPERLINK("http://www.ncbi.nlm.nih.gov/sutils/blink.cgi?pid=70909807","3E-045")</f>
        <v>3E-045</v>
      </c>
      <c r="AK282" t="str">
        <f>HYPERLINK("http://www.ncbi.nlm.nih.gov/protein/70909807","gi|70909807")</f>
        <v>gi|70909807</v>
      </c>
      <c r="AL282">
        <v>185</v>
      </c>
      <c r="AM282">
        <v>95</v>
      </c>
      <c r="AN282">
        <v>135</v>
      </c>
      <c r="AO282">
        <v>88</v>
      </c>
      <c r="AP282">
        <v>71</v>
      </c>
      <c r="AQ282">
        <v>11</v>
      </c>
      <c r="AR282">
        <v>0</v>
      </c>
      <c r="AS282">
        <v>40</v>
      </c>
      <c r="AT282">
        <v>3</v>
      </c>
      <c r="AU282">
        <v>1</v>
      </c>
      <c r="AV282">
        <v>3</v>
      </c>
      <c r="AW282" t="s">
        <v>12</v>
      </c>
      <c r="AY282" t="s">
        <v>1676</v>
      </c>
      <c r="AZ282" t="s">
        <v>3841</v>
      </c>
      <c r="BA282" s="4" t="str">
        <f>HYPERLINK("http://exon.niaid.nih.gov/transcriptome/C_felis/S1/links/SWISSP/cf-contig_595-SWISSP.txt","60S ribosomal protein L27")</f>
        <v>60S ribosomal protein L27</v>
      </c>
      <c r="BB282" t="str">
        <f>HYPERLINK("http://www.uniprot.org/uniprot/Q7ZV82","7E-033")</f>
        <v>7E-033</v>
      </c>
      <c r="BC282" t="s">
        <v>3842</v>
      </c>
      <c r="BD282">
        <v>139</v>
      </c>
      <c r="BE282">
        <v>96</v>
      </c>
      <c r="BF282">
        <v>136</v>
      </c>
      <c r="BG282">
        <v>69</v>
      </c>
      <c r="BH282">
        <v>71</v>
      </c>
      <c r="BI282">
        <v>30</v>
      </c>
      <c r="BJ282">
        <v>1</v>
      </c>
      <c r="BK282">
        <v>40</v>
      </c>
      <c r="BL282">
        <v>3</v>
      </c>
      <c r="BM282">
        <v>1</v>
      </c>
      <c r="BN282">
        <v>3</v>
      </c>
      <c r="BO282" t="s">
        <v>12</v>
      </c>
      <c r="BQ282" t="s">
        <v>1676</v>
      </c>
      <c r="BR282" t="s">
        <v>2736</v>
      </c>
      <c r="BS282" s="4" t="str">
        <f>HYPERLINK("http://exon.niaid.nih.gov/transcriptome/C_felis/S1/links/CDD/cf-contig_595-CDD.txt","Ribosomal_L27e")</f>
        <v>Ribosomal_L27e</v>
      </c>
      <c r="BT282" t="str">
        <f>HYPERLINK("http://www.ncbi.nlm.nih.gov/Structure/cdd/cddsrv.cgi?uid=pfam01777&amp;version=v4.0","1E-044")</f>
        <v>1E-044</v>
      </c>
      <c r="BU282" t="s">
        <v>3843</v>
      </c>
      <c r="BV282" s="4" t="s">
        <v>3844</v>
      </c>
      <c r="BW282">
        <f>HYPERLINK("http://exon.niaid.nih.gov/transcriptome/C_felis/S1/links/GO/cf-contig_595-GO.txt",4E-36)</f>
        <v>3.9999999999999998E-36</v>
      </c>
      <c r="BX282" t="str">
        <f t="shared" si="29"/>
        <v>GO:0003735</v>
      </c>
      <c r="BY282" t="s">
        <v>1929</v>
      </c>
      <c r="BZ282" t="s">
        <v>1930</v>
      </c>
      <c r="CA282" t="s">
        <v>1931</v>
      </c>
      <c r="CB282" t="s">
        <v>42</v>
      </c>
      <c r="CD282" s="5">
        <v>3.9999999999999998E-36</v>
      </c>
      <c r="CE282" t="str">
        <f>HYPERLINK("http://amigo.geneontology.org/cgi-bin/amigo/term_details?term=GO:0022625","GO:0022625")</f>
        <v>GO:0022625</v>
      </c>
      <c r="CF282" t="s">
        <v>1932</v>
      </c>
      <c r="CG282" t="s">
        <v>1933</v>
      </c>
      <c r="CH282" t="s">
        <v>1934</v>
      </c>
      <c r="CI282" t="s">
        <v>42</v>
      </c>
      <c r="CK282" s="5">
        <v>3.9999999999999998E-36</v>
      </c>
      <c r="CL282" t="str">
        <f t="shared" si="30"/>
        <v>GO:0006412</v>
      </c>
      <c r="CM282" t="s">
        <v>1935</v>
      </c>
      <c r="CN282" t="s">
        <v>1936</v>
      </c>
      <c r="CO282" t="s">
        <v>1937</v>
      </c>
      <c r="CP282" t="s">
        <v>42</v>
      </c>
      <c r="CR282" s="5">
        <v>3.9999999999999998E-36</v>
      </c>
      <c r="CS282" s="4" t="str">
        <f>HYPERLINK("http://exon.niaid.nih.gov/transcriptome/C_felis/S1/links/KOG/cf-contig_595-KOG.txt","60S ribosomal protein L27")</f>
        <v>60S ribosomal protein L27</v>
      </c>
      <c r="CT282" t="str">
        <f>HYPERLINK("http://www.ncbi.nlm.nih.gov/COG/grace/shokog.cgi?KOG3418","5E-037")</f>
        <v>5E-037</v>
      </c>
      <c r="CU282" t="s">
        <v>1707</v>
      </c>
      <c r="CV282" s="4" t="str">
        <f>HYPERLINK("http://exon.niaid.nih.gov/transcriptome/C_felis/S1/links/PFAM/cf-contig_595-PFAM.txt","Ribosomal_L27e")</f>
        <v>Ribosomal_L27e</v>
      </c>
      <c r="CW282" t="str">
        <f>HYPERLINK("http://pfam.sanger.ac.uk/family?acc=PF01777","3E-045")</f>
        <v>3E-045</v>
      </c>
      <c r="CX282" s="4" t="str">
        <f>HYPERLINK("http://exon.niaid.nih.gov/transcriptome/C_felis/S1/links/SMART/cf-contig_595-SMART.txt","MYSc")</f>
        <v>MYSc</v>
      </c>
      <c r="CY282" t="str">
        <f>HYPERLINK("http://smart.embl-heidelberg.de/smart/do_annotation.pl?DOMAIN=MYSc&amp;BLAST=DUMMY","0.12")</f>
        <v>0.12</v>
      </c>
      <c r="CZ282" s="4" t="s">
        <v>42</v>
      </c>
      <c r="DA282" t="s">
        <v>42</v>
      </c>
      <c r="DB282" t="s">
        <v>42</v>
      </c>
      <c r="DC282" t="s">
        <v>42</v>
      </c>
      <c r="DD282" t="s">
        <v>42</v>
      </c>
      <c r="DE282" t="s">
        <v>42</v>
      </c>
      <c r="DF282" t="s">
        <v>42</v>
      </c>
      <c r="DG282" t="s">
        <v>42</v>
      </c>
      <c r="DH282" s="4" t="s">
        <v>42</v>
      </c>
      <c r="DI282" t="s">
        <v>42</v>
      </c>
      <c r="DJ282" s="4" t="s">
        <v>42</v>
      </c>
      <c r="DK282" t="s">
        <v>42</v>
      </c>
      <c r="DL282" s="4">
        <f>HYPERLINK("http://exon.niaid.nih.gov/transcriptome/C_felis/S1/links/cluster/cf-5-36-asb30-50-Id-CLU87.txt", 87)</f>
        <v>87</v>
      </c>
      <c r="DM282">
        <f>HYPERLINK("http://exon.niaid.nih.gov/transcriptome/C_felis/S1/links/cluster/cf-5-36-asb30-50-Id-CLTL87.txt", 2)</f>
        <v>2</v>
      </c>
      <c r="DN282" s="4">
        <f>HYPERLINK("http://exon.niaid.nih.gov/transcriptome/C_felis/S1/links/cluster/cf-5-36-asb35-50-Id-CLU81.txt", 81)</f>
        <v>81</v>
      </c>
      <c r="DO282">
        <f>HYPERLINK("http://exon.niaid.nih.gov/transcriptome/C_felis/S1/links/cluster/cf-5-36-asb35-50-Id-CLTL81.txt", 2)</f>
        <v>2</v>
      </c>
      <c r="DP282" s="4">
        <f>HYPERLINK("http://exon.niaid.nih.gov/transcriptome/C_felis/S1/links/cluster/cf-5-36-asb40-50-Id-CLU73.txt", 73)</f>
        <v>73</v>
      </c>
      <c r="DQ282">
        <f>HYPERLINK("http://exon.niaid.nih.gov/transcriptome/C_felis/S1/links/cluster/cf-5-36-asb40-50-Id-CLTL73.txt", 2)</f>
        <v>2</v>
      </c>
      <c r="DR282" s="4">
        <f>HYPERLINK("http://exon.niaid.nih.gov/transcriptome/C_felis/S1/links/cluster/cf-5-36-asb45-50-Id-CLU59.txt", 59)</f>
        <v>59</v>
      </c>
      <c r="DS282">
        <f>HYPERLINK("http://exon.niaid.nih.gov/transcriptome/C_felis/S1/links/cluster/cf-5-36-asb45-50-Id-CLTL59.txt", 2)</f>
        <v>2</v>
      </c>
      <c r="DT282" s="4">
        <f>HYPERLINK("http://exon.niaid.nih.gov/transcriptome/C_felis/S1/links/cluster/cf-5-36-asb50-50-Id-CLU51.txt", 51)</f>
        <v>51</v>
      </c>
      <c r="DU282">
        <f>HYPERLINK("http://exon.niaid.nih.gov/transcriptome/C_felis/S1/links/cluster/cf-5-36-asb50-50-Id-CLTL51.txt", 2)</f>
        <v>2</v>
      </c>
      <c r="DV282" s="4">
        <f>HYPERLINK("http://exon.niaid.nih.gov/transcriptome/C_felis/S1/links/cluster/cf-5-36-asb55-50-Id-CLU47.txt", 47)</f>
        <v>47</v>
      </c>
      <c r="DW282">
        <f>HYPERLINK("http://exon.niaid.nih.gov/transcriptome/C_felis/S1/links/cluster/cf-5-36-asb55-50-Id-CLTL47.txt", 2)</f>
        <v>2</v>
      </c>
      <c r="DX282" s="4">
        <f>HYPERLINK("http://exon.niaid.nih.gov/transcriptome/C_felis/S1/links/cluster/cf-5-36-asb60-50-Id-CLU39.txt", 39)</f>
        <v>39</v>
      </c>
      <c r="DY282">
        <f>HYPERLINK("http://exon.niaid.nih.gov/transcriptome/C_felis/S1/links/cluster/cf-5-36-asb60-50-Id-CLTL39.txt", 2)</f>
        <v>2</v>
      </c>
      <c r="DZ282" s="4">
        <f>HYPERLINK("http://exon.niaid.nih.gov/transcriptome/C_felis/S1/links/cluster/cf-5-36-asb65-50-Id-CLU32.txt", 32)</f>
        <v>32</v>
      </c>
      <c r="EA282">
        <f>HYPERLINK("http://exon.niaid.nih.gov/transcriptome/C_felis/S1/links/cluster/cf-5-36-asb65-50-Id-CLTL32.txt", 2)</f>
        <v>2</v>
      </c>
      <c r="EB282" s="4">
        <f>HYPERLINK("http://exon.niaid.nih.gov/transcriptome/C_felis/S1/links/cluster/cf-5-36-asb70-50-Id-CLU27.txt", 27)</f>
        <v>27</v>
      </c>
      <c r="EC282">
        <f>HYPERLINK("http://exon.niaid.nih.gov/transcriptome/C_felis/S1/links/cluster/cf-5-36-asb70-50-Id-CLTL27.txt", 2)</f>
        <v>2</v>
      </c>
      <c r="ED282" s="4">
        <f>HYPERLINK("http://exon.niaid.nih.gov/transcriptome/C_felis/S1/links/cluster/cf-5-36-asb75-50-Id-CLU23.txt", 23)</f>
        <v>23</v>
      </c>
      <c r="EE282">
        <f>HYPERLINK("http://exon.niaid.nih.gov/transcriptome/C_felis/S1/links/cluster/cf-5-36-asb75-50-Id-CLTL23.txt", 2)</f>
        <v>2</v>
      </c>
      <c r="EF282" s="4">
        <v>581</v>
      </c>
      <c r="EG282">
        <v>1</v>
      </c>
      <c r="EH282" s="4">
        <v>588</v>
      </c>
      <c r="EI282">
        <v>1</v>
      </c>
      <c r="EJ282" s="4">
        <v>595</v>
      </c>
      <c r="EK282">
        <v>1</v>
      </c>
    </row>
    <row r="283" spans="1:141" x14ac:dyDescent="0.2">
      <c r="A283" t="str">
        <f>HYPERLINK("http://exon.niaid.nih.gov/transcriptome/C_felis/S1/links/cf/cf-contig_780.txt","cf-contig_780")</f>
        <v>cf-contig_780</v>
      </c>
      <c r="B283">
        <v>1</v>
      </c>
      <c r="C283" s="10" t="s">
        <v>4817</v>
      </c>
      <c r="D283">
        <v>1</v>
      </c>
      <c r="E283" t="str">
        <f>HYPERLINK("http://exon.niaid.nih.gov/transcriptome/C_felis/S1/links/cf/cf-5-36-asb-780.txt","Contig-780")</f>
        <v>Contig-780</v>
      </c>
      <c r="F283" t="str">
        <f>HYPERLINK("http://exon.niaid.nih.gov/transcriptome/C_felis/S1/links/cf/cf-5-36-780-CLU.txt","Contig780")</f>
        <v>Contig780</v>
      </c>
      <c r="G283" t="str">
        <f>HYPERLINK("http://exon.niaid.nih.gov/transcriptome/C_felis/S1/links/cf/cf-5-36-780-qual.txt","65.4")</f>
        <v>65.4</v>
      </c>
      <c r="H283" t="s">
        <v>11</v>
      </c>
      <c r="I283">
        <v>60.8</v>
      </c>
      <c r="J283">
        <v>402</v>
      </c>
      <c r="K283" t="s">
        <v>12</v>
      </c>
      <c r="L283">
        <v>1</v>
      </c>
      <c r="M283" t="s">
        <v>793</v>
      </c>
      <c r="N283">
        <v>402</v>
      </c>
      <c r="O283">
        <v>421</v>
      </c>
      <c r="P283">
        <v>354</v>
      </c>
      <c r="Q283" t="s">
        <v>1599</v>
      </c>
      <c r="R283">
        <v>2</v>
      </c>
      <c r="S283" s="7" t="str">
        <f>HYPERLINK("http://exon.niaid.nih.gov/transcriptome/C_felis/S1/links/Sigp/CF-CONTIG_780-SigP.txt","Cyt")</f>
        <v>Cyt</v>
      </c>
      <c r="U283">
        <v>1</v>
      </c>
      <c r="V283" s="4">
        <f>HYPERLINK("http://exon.niaid.nih.gov/transcriptome/C_felis/S1/links/cluster/cf-5-36-asb30-50-Id-CLU87.txt", 87)</f>
        <v>87</v>
      </c>
      <c r="W283">
        <f>HYPERLINK("http://exon.niaid.nih.gov/transcriptome/C_felis/S1/links/cluster/cf-5-36-asb30-50-Id-CLTL87.txt", 2)</f>
        <v>2</v>
      </c>
      <c r="X283" s="4">
        <f>HYPERLINK("http://exon.niaid.nih.gov/transcriptome/C_felis/S1/links/cluster/cf-5-36-asb35-50-Id-CLU81.txt", 81)</f>
        <v>81</v>
      </c>
      <c r="Y283">
        <f>HYPERLINK("http://exon.niaid.nih.gov/transcriptome/C_felis/S1/links/cluster/cf-5-36-asb35-50-Id-CLTL81.txt", 2)</f>
        <v>2</v>
      </c>
      <c r="Z283" s="4">
        <f>HYPERLINK("http://exon.niaid.nih.gov/transcriptome/C_felis/S1/links/cluster/cf-5-36-asb40-50-Id-CLU73.txt", 73)</f>
        <v>73</v>
      </c>
      <c r="AA283">
        <f>HYPERLINK("http://exon.niaid.nih.gov/transcriptome/C_felis/S1/links/cluster/cf-5-36-asb40-50-Id-CLTL73.txt", 2)</f>
        <v>2</v>
      </c>
      <c r="AB283" s="4" t="str">
        <f>HYPERLINK("http://exon.niaid.nih.gov/transcriptome/C_felis/S1/links/XC-ASB/cf-contig_780-XC-ASB.txt","XC-contig_245")</f>
        <v>XC-contig_245</v>
      </c>
      <c r="AC283">
        <v>7.0000000000000001E-12</v>
      </c>
      <c r="AD283" s="10" t="s">
        <v>4817</v>
      </c>
      <c r="AE283" t="s">
        <v>4605</v>
      </c>
      <c r="AF283" t="str">
        <f>HYPERLINK("http://exon.niaid.nih.gov/transcriptome/C_felis/S1/links/NR/cf-contig_780-NR.txt","NR")</f>
        <v>NR</v>
      </c>
      <c r="AG283" s="5">
        <v>3.0000000000000002E-55</v>
      </c>
      <c r="AH283">
        <v>85.9</v>
      </c>
      <c r="AI283" s="4" t="str">
        <f>HYPERLINK("http://exon.niaid.nih.gov/transcriptome/C_felis/S1/links/NR/cf-contig_780-NR.txt","ribosomal protein L27e")</f>
        <v>ribosomal protein L27e</v>
      </c>
      <c r="AJ283" t="str">
        <f>HYPERLINK("http://www.ncbi.nlm.nih.gov/sutils/blink.cgi?pid=70909807","3E-055")</f>
        <v>3E-055</v>
      </c>
      <c r="AK283" t="str">
        <f>HYPERLINK("http://www.ncbi.nlm.nih.gov/protein/70909807","gi|70909807")</f>
        <v>gi|70909807</v>
      </c>
      <c r="AL283">
        <v>218</v>
      </c>
      <c r="AM283">
        <v>115</v>
      </c>
      <c r="AN283">
        <v>135</v>
      </c>
      <c r="AO283">
        <v>87</v>
      </c>
      <c r="AP283">
        <v>86</v>
      </c>
      <c r="AQ283">
        <v>15</v>
      </c>
      <c r="AR283">
        <v>0</v>
      </c>
      <c r="AS283">
        <v>20</v>
      </c>
      <c r="AT283">
        <v>8</v>
      </c>
      <c r="AU283">
        <v>1</v>
      </c>
      <c r="AV283">
        <v>2</v>
      </c>
      <c r="AW283" t="s">
        <v>12</v>
      </c>
      <c r="AY283" t="s">
        <v>1676</v>
      </c>
      <c r="AZ283" t="s">
        <v>3841</v>
      </c>
      <c r="BA283" s="4" t="str">
        <f>HYPERLINK("http://exon.niaid.nih.gov/transcriptome/C_felis/S1/links/SWISSP/cf-contig_780-SWISSP.txt","60S ribosomal protein L27")</f>
        <v>60S ribosomal protein L27</v>
      </c>
      <c r="BB283" t="str">
        <f>HYPERLINK("http://www.uniprot.org/uniprot/P61354","7E-041")</f>
        <v>7E-041</v>
      </c>
      <c r="BC283" t="s">
        <v>4495</v>
      </c>
      <c r="BD283">
        <v>165</v>
      </c>
      <c r="BE283">
        <v>116</v>
      </c>
      <c r="BF283">
        <v>136</v>
      </c>
      <c r="BG283">
        <v>66</v>
      </c>
      <c r="BH283">
        <v>86</v>
      </c>
      <c r="BI283">
        <v>39</v>
      </c>
      <c r="BJ283">
        <v>1</v>
      </c>
      <c r="BK283">
        <v>20</v>
      </c>
      <c r="BL283">
        <v>8</v>
      </c>
      <c r="BM283">
        <v>1</v>
      </c>
      <c r="BN283">
        <v>2</v>
      </c>
      <c r="BO283" t="s">
        <v>12</v>
      </c>
      <c r="BQ283" t="s">
        <v>1676</v>
      </c>
      <c r="BR283" t="s">
        <v>1684</v>
      </c>
      <c r="BS283" s="4" t="str">
        <f>HYPERLINK("http://exon.niaid.nih.gov/transcriptome/C_felis/S1/links/CDD/cf-contig_780-CDD.txt","Ribosomal_L27e")</f>
        <v>Ribosomal_L27e</v>
      </c>
      <c r="BT283" t="str">
        <f>HYPERLINK("http://www.ncbi.nlm.nih.gov/Structure/cdd/cddsrv.cgi?uid=pfam01777&amp;version=v4.0","2E-044")</f>
        <v>2E-044</v>
      </c>
      <c r="BU283" t="s">
        <v>4496</v>
      </c>
      <c r="BV283" s="4" t="s">
        <v>3844</v>
      </c>
      <c r="BW283">
        <f>HYPERLINK("http://exon.niaid.nih.gov/transcriptome/C_felis/S1/links/GO/cf-contig_780-GO.txt",7E-44)</f>
        <v>6.9999999999999995E-44</v>
      </c>
      <c r="BX283" t="str">
        <f t="shared" si="29"/>
        <v>GO:0003735</v>
      </c>
      <c r="BY283" t="s">
        <v>1929</v>
      </c>
      <c r="BZ283" t="s">
        <v>1930</v>
      </c>
      <c r="CA283" t="s">
        <v>1931</v>
      </c>
      <c r="CB283" t="s">
        <v>42</v>
      </c>
      <c r="CD283" s="5">
        <v>6.9999999999999995E-44</v>
      </c>
      <c r="CE283" t="str">
        <f>HYPERLINK("http://amigo.geneontology.org/cgi-bin/amigo/term_details?term=GO:0022625","GO:0022625")</f>
        <v>GO:0022625</v>
      </c>
      <c r="CF283" t="s">
        <v>1932</v>
      </c>
      <c r="CG283" t="s">
        <v>1933</v>
      </c>
      <c r="CH283" t="s">
        <v>1934</v>
      </c>
      <c r="CI283" t="s">
        <v>42</v>
      </c>
      <c r="CK283" s="5">
        <v>6.9999999999999995E-44</v>
      </c>
      <c r="CL283" t="str">
        <f t="shared" si="30"/>
        <v>GO:0006412</v>
      </c>
      <c r="CM283" t="s">
        <v>1935</v>
      </c>
      <c r="CN283" t="s">
        <v>1936</v>
      </c>
      <c r="CO283" t="s">
        <v>1937</v>
      </c>
      <c r="CP283" t="s">
        <v>42</v>
      </c>
      <c r="CR283" s="5">
        <v>6.9999999999999995E-44</v>
      </c>
      <c r="CS283" s="4" t="str">
        <f>HYPERLINK("http://exon.niaid.nih.gov/transcriptome/C_felis/S1/links/KOG/cf-contig_780-KOG.txt","60S ribosomal protein L27")</f>
        <v>60S ribosomal protein L27</v>
      </c>
      <c r="CT283" t="str">
        <f>HYPERLINK("http://www.ncbi.nlm.nih.gov/COG/grace/shokog.cgi?KOG3418","4E-045")</f>
        <v>4E-045</v>
      </c>
      <c r="CU283" t="s">
        <v>1707</v>
      </c>
      <c r="CV283" s="4" t="str">
        <f>HYPERLINK("http://exon.niaid.nih.gov/transcriptome/C_felis/S1/links/PFAM/cf-contig_780-PFAM.txt","Ribosomal_L27e")</f>
        <v>Ribosomal_L27e</v>
      </c>
      <c r="CW283" t="str">
        <f>HYPERLINK("http://pfam.sanger.ac.uk/family?acc=PF01777","5E-045")</f>
        <v>5E-045</v>
      </c>
      <c r="CX283" s="4" t="str">
        <f>HYPERLINK("http://exon.niaid.nih.gov/transcriptome/C_felis/S1/links/SMART/cf-contig_780-SMART.txt","MYSc")</f>
        <v>MYSc</v>
      </c>
      <c r="CY283" t="str">
        <f>HYPERLINK("http://smart.embl-heidelberg.de/smart/do_annotation.pl?DOMAIN=MYSc&amp;BLAST=DUMMY","0.15")</f>
        <v>0.15</v>
      </c>
      <c r="CZ283" s="4" t="s">
        <v>42</v>
      </c>
      <c r="DA283" t="s">
        <v>42</v>
      </c>
      <c r="DB283" t="s">
        <v>42</v>
      </c>
      <c r="DC283" t="s">
        <v>42</v>
      </c>
      <c r="DD283" t="s">
        <v>42</v>
      </c>
      <c r="DE283" t="s">
        <v>42</v>
      </c>
      <c r="DF283" t="s">
        <v>42</v>
      </c>
      <c r="DG283" t="s">
        <v>42</v>
      </c>
      <c r="DH283" s="4" t="s">
        <v>42</v>
      </c>
      <c r="DI283" t="s">
        <v>42</v>
      </c>
      <c r="DJ283" s="4" t="s">
        <v>42</v>
      </c>
      <c r="DK283" t="s">
        <v>42</v>
      </c>
      <c r="DL283" s="4">
        <f>HYPERLINK("http://exon.niaid.nih.gov/transcriptome/C_felis/S1/links/cluster/cf-5-36-asb30-50-Id-CLU87.txt", 87)</f>
        <v>87</v>
      </c>
      <c r="DM283">
        <f>HYPERLINK("http://exon.niaid.nih.gov/transcriptome/C_felis/S1/links/cluster/cf-5-36-asb30-50-Id-CLTL87.txt", 2)</f>
        <v>2</v>
      </c>
      <c r="DN283" s="4">
        <f>HYPERLINK("http://exon.niaid.nih.gov/transcriptome/C_felis/S1/links/cluster/cf-5-36-asb35-50-Id-CLU81.txt", 81)</f>
        <v>81</v>
      </c>
      <c r="DO283">
        <f>HYPERLINK("http://exon.niaid.nih.gov/transcriptome/C_felis/S1/links/cluster/cf-5-36-asb35-50-Id-CLTL81.txt", 2)</f>
        <v>2</v>
      </c>
      <c r="DP283" s="4">
        <f>HYPERLINK("http://exon.niaid.nih.gov/transcriptome/C_felis/S1/links/cluster/cf-5-36-asb40-50-Id-CLU73.txt", 73)</f>
        <v>73</v>
      </c>
      <c r="DQ283">
        <f>HYPERLINK("http://exon.niaid.nih.gov/transcriptome/C_felis/S1/links/cluster/cf-5-36-asb40-50-Id-CLTL73.txt", 2)</f>
        <v>2</v>
      </c>
      <c r="DR283" s="4">
        <f>HYPERLINK("http://exon.niaid.nih.gov/transcriptome/C_felis/S1/links/cluster/cf-5-36-asb45-50-Id-CLU59.txt", 59)</f>
        <v>59</v>
      </c>
      <c r="DS283">
        <f>HYPERLINK("http://exon.niaid.nih.gov/transcriptome/C_felis/S1/links/cluster/cf-5-36-asb45-50-Id-CLTL59.txt", 2)</f>
        <v>2</v>
      </c>
      <c r="DT283" s="4">
        <f>HYPERLINK("http://exon.niaid.nih.gov/transcriptome/C_felis/S1/links/cluster/cf-5-36-asb50-50-Id-CLU51.txt", 51)</f>
        <v>51</v>
      </c>
      <c r="DU283">
        <f>HYPERLINK("http://exon.niaid.nih.gov/transcriptome/C_felis/S1/links/cluster/cf-5-36-asb50-50-Id-CLTL51.txt", 2)</f>
        <v>2</v>
      </c>
      <c r="DV283" s="4">
        <f>HYPERLINK("http://exon.niaid.nih.gov/transcriptome/C_felis/S1/links/cluster/cf-5-36-asb55-50-Id-CLU47.txt", 47)</f>
        <v>47</v>
      </c>
      <c r="DW283">
        <f>HYPERLINK("http://exon.niaid.nih.gov/transcriptome/C_felis/S1/links/cluster/cf-5-36-asb55-50-Id-CLTL47.txt", 2)</f>
        <v>2</v>
      </c>
      <c r="DX283" s="4">
        <f>HYPERLINK("http://exon.niaid.nih.gov/transcriptome/C_felis/S1/links/cluster/cf-5-36-asb60-50-Id-CLU39.txt", 39)</f>
        <v>39</v>
      </c>
      <c r="DY283">
        <f>HYPERLINK("http://exon.niaid.nih.gov/transcriptome/C_felis/S1/links/cluster/cf-5-36-asb60-50-Id-CLTL39.txt", 2)</f>
        <v>2</v>
      </c>
      <c r="DZ283" s="4">
        <f>HYPERLINK("http://exon.niaid.nih.gov/transcriptome/C_felis/S1/links/cluster/cf-5-36-asb65-50-Id-CLU32.txt", 32)</f>
        <v>32</v>
      </c>
      <c r="EA283">
        <f>HYPERLINK("http://exon.niaid.nih.gov/transcriptome/C_felis/S1/links/cluster/cf-5-36-asb65-50-Id-CLTL32.txt", 2)</f>
        <v>2</v>
      </c>
      <c r="EB283" s="4">
        <f>HYPERLINK("http://exon.niaid.nih.gov/transcriptome/C_felis/S1/links/cluster/cf-5-36-asb70-50-Id-CLU27.txt", 27)</f>
        <v>27</v>
      </c>
      <c r="EC283">
        <f>HYPERLINK("http://exon.niaid.nih.gov/transcriptome/C_felis/S1/links/cluster/cf-5-36-asb70-50-Id-CLTL27.txt", 2)</f>
        <v>2</v>
      </c>
      <c r="ED283" s="4">
        <f>HYPERLINK("http://exon.niaid.nih.gov/transcriptome/C_felis/S1/links/cluster/cf-5-36-asb75-50-Id-CLU23.txt", 23)</f>
        <v>23</v>
      </c>
      <c r="EE283">
        <f>HYPERLINK("http://exon.niaid.nih.gov/transcriptome/C_felis/S1/links/cluster/cf-5-36-asb75-50-Id-CLTL23.txt", 2)</f>
        <v>2</v>
      </c>
      <c r="EF283" s="4">
        <v>759</v>
      </c>
      <c r="EG283">
        <v>1</v>
      </c>
      <c r="EH283" s="4">
        <v>771</v>
      </c>
      <c r="EI283">
        <v>1</v>
      </c>
      <c r="EJ283" s="4">
        <v>780</v>
      </c>
      <c r="EK283">
        <v>1</v>
      </c>
    </row>
    <row r="284" spans="1:141" x14ac:dyDescent="0.2">
      <c r="A284" t="str">
        <f>HYPERLINK("http://exon.niaid.nih.gov/transcriptome/C_felis/S1/links/cf/cf-contig_177.txt","cf-contig_177")</f>
        <v>cf-contig_177</v>
      </c>
      <c r="B284">
        <v>4</v>
      </c>
      <c r="C284" s="10" t="s">
        <v>4669</v>
      </c>
      <c r="D284">
        <v>4</v>
      </c>
      <c r="E284" t="str">
        <f>HYPERLINK("http://exon.niaid.nih.gov/transcriptome/C_felis/S1/links/cf/cf-5-36-asb-177.txt","Contig-177")</f>
        <v>Contig-177</v>
      </c>
      <c r="F284" t="str">
        <f>HYPERLINK("http://exon.niaid.nih.gov/transcriptome/C_felis/S1/links/cf/cf-5-36-177-CLU.txt","Contig177")</f>
        <v>Contig177</v>
      </c>
      <c r="G284" t="str">
        <f>HYPERLINK("http://exon.niaid.nih.gov/transcriptome/C_felis/S1/links/cf/cf-5-36-177-qual.txt","87.2")</f>
        <v>87.2</v>
      </c>
      <c r="H284" t="s">
        <v>11</v>
      </c>
      <c r="I284">
        <v>63.1</v>
      </c>
      <c r="J284">
        <v>488</v>
      </c>
      <c r="K284" t="s">
        <v>12</v>
      </c>
      <c r="L284">
        <v>4</v>
      </c>
      <c r="M284" t="s">
        <v>190</v>
      </c>
      <c r="N284">
        <v>467</v>
      </c>
      <c r="O284">
        <v>507</v>
      </c>
      <c r="P284">
        <v>420</v>
      </c>
      <c r="Q284" t="s">
        <v>997</v>
      </c>
      <c r="R284">
        <v>1</v>
      </c>
      <c r="S284" s="7" t="str">
        <f>HYPERLINK("http://exon.niaid.nih.gov/transcriptome/C_felis/S1/links/Sigp/CF-CONTIG_177-SigP.txt","Cyt")</f>
        <v>Cyt</v>
      </c>
      <c r="U284">
        <v>4</v>
      </c>
      <c r="V284" s="4">
        <v>156</v>
      </c>
      <c r="W284">
        <v>1</v>
      </c>
      <c r="X284" s="4">
        <v>158</v>
      </c>
      <c r="Y284">
        <v>1</v>
      </c>
      <c r="Z284" s="4">
        <v>156</v>
      </c>
      <c r="AA284">
        <v>1</v>
      </c>
      <c r="AB284" s="4" t="str">
        <f>HYPERLINK("http://exon.niaid.nih.gov/transcriptome/C_felis/S1/links/XC-ASB/cf-contig_177-XC-ASB.txt","XC-contig_79")</f>
        <v>XC-contig_79</v>
      </c>
      <c r="AC284">
        <v>0.11</v>
      </c>
      <c r="AD284" s="10" t="s">
        <v>4669</v>
      </c>
      <c r="AE284" t="s">
        <v>4605</v>
      </c>
      <c r="AF284" t="str">
        <f>HYPERLINK("http://exon.niaid.nih.gov/transcriptome/C_felis/S1/links/NR/cf-contig_177-NR.txt","NR")</f>
        <v>NR</v>
      </c>
      <c r="AG284" s="5">
        <v>2.0000000000000001E-53</v>
      </c>
      <c r="AH284">
        <v>100</v>
      </c>
      <c r="AI284" s="4" t="str">
        <f>HYPERLINK("http://exon.niaid.nih.gov/transcriptome/C_felis/S1/links/NR/cf-contig_177-NR.txt","ribosomal protein L28e")</f>
        <v>ribosomal protein L28e</v>
      </c>
      <c r="AJ284" t="str">
        <f>HYPERLINK("http://www.ncbi.nlm.nih.gov/sutils/blink.cgi?pid=70909829","2E-053")</f>
        <v>2E-053</v>
      </c>
      <c r="AK284" t="str">
        <f>HYPERLINK("http://www.ncbi.nlm.nih.gov/protein/70909829","gi|70909829")</f>
        <v>gi|70909829</v>
      </c>
      <c r="AL284">
        <v>212</v>
      </c>
      <c r="AM284">
        <v>136</v>
      </c>
      <c r="AN284">
        <v>137</v>
      </c>
      <c r="AO284">
        <v>75</v>
      </c>
      <c r="AP284">
        <v>100</v>
      </c>
      <c r="AQ284">
        <v>34</v>
      </c>
      <c r="AR284">
        <v>1</v>
      </c>
      <c r="AS284">
        <v>1</v>
      </c>
      <c r="AT284">
        <v>43</v>
      </c>
      <c r="AU284">
        <v>1</v>
      </c>
      <c r="AV284">
        <v>1</v>
      </c>
      <c r="AW284" t="s">
        <v>12</v>
      </c>
      <c r="AY284" t="s">
        <v>1676</v>
      </c>
      <c r="AZ284" t="s">
        <v>2029</v>
      </c>
      <c r="BA284" s="4" t="str">
        <f>HYPERLINK("http://exon.niaid.nih.gov/transcriptome/C_felis/S1/links/SWISSP/cf-contig_177-SWISSP.txt","60S ribosomal protein L28")</f>
        <v>60S ribosomal protein L28</v>
      </c>
      <c r="BB284" t="str">
        <f>HYPERLINK("http://www.uniprot.org/uniprot/Q962T2","7E-044")</f>
        <v>7E-044</v>
      </c>
      <c r="BC284" t="s">
        <v>2332</v>
      </c>
      <c r="BD284">
        <v>176</v>
      </c>
      <c r="BE284">
        <v>129</v>
      </c>
      <c r="BF284">
        <v>139</v>
      </c>
      <c r="BG284">
        <v>65</v>
      </c>
      <c r="BH284">
        <v>94</v>
      </c>
      <c r="BI284">
        <v>45</v>
      </c>
      <c r="BJ284">
        <v>1</v>
      </c>
      <c r="BK284">
        <v>1</v>
      </c>
      <c r="BL284">
        <v>43</v>
      </c>
      <c r="BM284">
        <v>1</v>
      </c>
      <c r="BN284">
        <v>1</v>
      </c>
      <c r="BO284" t="s">
        <v>12</v>
      </c>
      <c r="BQ284" t="s">
        <v>1676</v>
      </c>
      <c r="BR284" t="s">
        <v>2031</v>
      </c>
      <c r="BS284" s="4" t="str">
        <f>HYPERLINK("http://exon.niaid.nih.gov/transcriptome/C_felis/S1/links/CDD/cf-contig_177-CDD.txt","Ribosomal_L28e")</f>
        <v>Ribosomal_L28e</v>
      </c>
      <c r="BT284" t="str">
        <f>HYPERLINK("http://www.ncbi.nlm.nih.gov/Structure/cdd/cddsrv.cgi?uid=pfam01778&amp;version=v4.0","3E-036")</f>
        <v>3E-036</v>
      </c>
      <c r="BU284" t="s">
        <v>2333</v>
      </c>
      <c r="BV284" s="4" t="s">
        <v>2334</v>
      </c>
      <c r="BW284">
        <f>HYPERLINK("http://exon.niaid.nih.gov/transcriptome/C_felis/S1/links/GO/cf-contig_177-GO.txt",1E-43)</f>
        <v>1.0000000000000001E-43</v>
      </c>
      <c r="BX284" t="str">
        <f t="shared" si="29"/>
        <v>GO:0003735</v>
      </c>
      <c r="BY284" t="s">
        <v>1929</v>
      </c>
      <c r="BZ284" t="s">
        <v>1930</v>
      </c>
      <c r="CA284" t="s">
        <v>1931</v>
      </c>
      <c r="CB284" t="s">
        <v>42</v>
      </c>
      <c r="CD284" s="5">
        <v>1.0000000000000001E-43</v>
      </c>
      <c r="CE284" t="str">
        <f>HYPERLINK("http://amigo.geneontology.org/cgi-bin/amigo/term_details?term=GO:0022625","GO:0022625")</f>
        <v>GO:0022625</v>
      </c>
      <c r="CF284" t="s">
        <v>1932</v>
      </c>
      <c r="CG284" t="s">
        <v>1933</v>
      </c>
      <c r="CH284" t="s">
        <v>1934</v>
      </c>
      <c r="CI284" t="s">
        <v>42</v>
      </c>
      <c r="CK284" s="5">
        <v>1.0000000000000001E-43</v>
      </c>
      <c r="CL284" t="str">
        <f t="shared" si="30"/>
        <v>GO:0006412</v>
      </c>
      <c r="CM284" t="s">
        <v>1935</v>
      </c>
      <c r="CN284" t="s">
        <v>1936</v>
      </c>
      <c r="CO284" t="s">
        <v>1937</v>
      </c>
      <c r="CP284" t="s">
        <v>42</v>
      </c>
      <c r="CR284" s="5">
        <v>1.0000000000000001E-43</v>
      </c>
      <c r="CS284" s="4" t="str">
        <f>HYPERLINK("http://exon.niaid.nih.gov/transcriptome/C_felis/S1/links/KOG/cf-contig_177-KOG.txt","60S ribosomal protein L28")</f>
        <v>60S ribosomal protein L28</v>
      </c>
      <c r="CT284" t="str">
        <f>HYPERLINK("http://www.ncbi.nlm.nih.gov/COG/grace/shokog.cgi?KOG3412","2E-041")</f>
        <v>2E-041</v>
      </c>
      <c r="CU284" t="s">
        <v>1707</v>
      </c>
      <c r="CV284" s="4" t="str">
        <f>HYPERLINK("http://exon.niaid.nih.gov/transcriptome/C_felis/S1/links/PFAM/cf-contig_177-PFAM.txt","Ribosomal_L28e")</f>
        <v>Ribosomal_L28e</v>
      </c>
      <c r="CW284" t="str">
        <f>HYPERLINK("http://pfam.sanger.ac.uk/family?acc=PF01778","6E-037")</f>
        <v>6E-037</v>
      </c>
      <c r="CX284" s="4" t="str">
        <f>HYPERLINK("http://exon.niaid.nih.gov/transcriptome/C_felis/S1/links/SMART/cf-contig_177-SMART.txt","POLBc")</f>
        <v>POLBc</v>
      </c>
      <c r="CY284" t="str">
        <f>HYPERLINK("http://smart.embl-heidelberg.de/smart/do_annotation.pl?DOMAIN=POLBc&amp;BLAST=DUMMY","0.12")</f>
        <v>0.12</v>
      </c>
      <c r="CZ284" s="4" t="s">
        <v>42</v>
      </c>
      <c r="DA284" t="s">
        <v>42</v>
      </c>
      <c r="DB284" t="s">
        <v>42</v>
      </c>
      <c r="DC284" t="s">
        <v>42</v>
      </c>
      <c r="DD284" t="s">
        <v>42</v>
      </c>
      <c r="DE284" t="s">
        <v>42</v>
      </c>
      <c r="DF284" t="s">
        <v>42</v>
      </c>
      <c r="DG284" t="s">
        <v>42</v>
      </c>
      <c r="DH284" s="4" t="s">
        <v>42</v>
      </c>
      <c r="DI284" t="s">
        <v>42</v>
      </c>
      <c r="DJ284" s="4" t="s">
        <v>42</v>
      </c>
      <c r="DK284" t="s">
        <v>42</v>
      </c>
      <c r="DL284" s="4">
        <v>156</v>
      </c>
      <c r="DM284">
        <v>1</v>
      </c>
      <c r="DN284" s="4">
        <v>158</v>
      </c>
      <c r="DO284">
        <v>1</v>
      </c>
      <c r="DP284" s="4">
        <v>156</v>
      </c>
      <c r="DQ284">
        <v>1</v>
      </c>
      <c r="DR284" s="4">
        <v>153</v>
      </c>
      <c r="DS284">
        <v>1</v>
      </c>
      <c r="DT284" s="4">
        <v>153</v>
      </c>
      <c r="DU284">
        <v>1</v>
      </c>
      <c r="DV284" s="4">
        <v>163</v>
      </c>
      <c r="DW284">
        <v>1</v>
      </c>
      <c r="DX284" s="4">
        <v>165</v>
      </c>
      <c r="DY284">
        <v>1</v>
      </c>
      <c r="DZ284" s="4">
        <v>165</v>
      </c>
      <c r="EA284">
        <v>1</v>
      </c>
      <c r="EB284" s="4">
        <v>170</v>
      </c>
      <c r="EC284">
        <v>1</v>
      </c>
      <c r="ED284" s="4">
        <v>171</v>
      </c>
      <c r="EE284">
        <v>1</v>
      </c>
      <c r="EF284" s="4">
        <v>172</v>
      </c>
      <c r="EG284">
        <v>1</v>
      </c>
      <c r="EH284" s="4">
        <v>172</v>
      </c>
      <c r="EI284">
        <v>1</v>
      </c>
      <c r="EJ284" s="4">
        <v>177</v>
      </c>
      <c r="EK284">
        <v>1</v>
      </c>
    </row>
    <row r="285" spans="1:141" x14ac:dyDescent="0.2">
      <c r="A285" t="str">
        <f>HYPERLINK("http://exon.niaid.nih.gov/transcriptome/C_felis/S1/links/cf/cf-contig_396.txt","cf-contig_396")</f>
        <v>cf-contig_396</v>
      </c>
      <c r="B285">
        <v>1</v>
      </c>
      <c r="C285" s="10" t="s">
        <v>4756</v>
      </c>
      <c r="D285">
        <v>1</v>
      </c>
      <c r="E285" t="str">
        <f>HYPERLINK("http://exon.niaid.nih.gov/transcriptome/C_felis/S1/links/cf/cf-5-36-asb-396.txt","Contig-396")</f>
        <v>Contig-396</v>
      </c>
      <c r="F285" t="str">
        <f>HYPERLINK("http://exon.niaid.nih.gov/transcriptome/C_felis/S1/links/cf/cf-5-36-396-CLU.txt","Contig396")</f>
        <v>Contig396</v>
      </c>
      <c r="G285" t="str">
        <f>HYPERLINK("http://exon.niaid.nih.gov/transcriptome/C_felis/S1/links/cf/cf-5-36-396-qual.txt","52.7")</f>
        <v>52.7</v>
      </c>
      <c r="H285" t="s">
        <v>11</v>
      </c>
      <c r="I285">
        <v>62.2</v>
      </c>
      <c r="J285">
        <v>230</v>
      </c>
      <c r="K285" t="s">
        <v>12</v>
      </c>
      <c r="L285">
        <v>1</v>
      </c>
      <c r="M285" t="s">
        <v>409</v>
      </c>
      <c r="N285">
        <v>230</v>
      </c>
      <c r="O285">
        <v>249</v>
      </c>
      <c r="P285">
        <v>228</v>
      </c>
      <c r="Q285" t="s">
        <v>1216</v>
      </c>
      <c r="R285">
        <v>1</v>
      </c>
      <c r="S285" s="7" t="str">
        <f>HYPERLINK("http://exon.niaid.nih.gov/transcriptome/C_felis/S1/links/Sigp/CF-CONTIG_396-SigP.txt","Cyt")</f>
        <v>Cyt</v>
      </c>
      <c r="U285">
        <v>1</v>
      </c>
      <c r="V285" s="4">
        <v>323</v>
      </c>
      <c r="W285">
        <v>1</v>
      </c>
      <c r="X285" s="4">
        <v>331</v>
      </c>
      <c r="Y285">
        <v>1</v>
      </c>
      <c r="Z285" s="4">
        <v>332</v>
      </c>
      <c r="AA285">
        <v>1</v>
      </c>
      <c r="AB285" s="4" t="str">
        <f>HYPERLINK("http://exon.niaid.nih.gov/transcriptome/C_felis/S1/links/XC-ASB/cf-contig_396-XC-ASB.txt","XC-contig_97")</f>
        <v>XC-contig_97</v>
      </c>
      <c r="AC285">
        <v>6E-34</v>
      </c>
      <c r="AD285" s="10" t="s">
        <v>4756</v>
      </c>
      <c r="AE285" t="s">
        <v>4605</v>
      </c>
      <c r="AF285" t="str">
        <f>HYPERLINK("http://exon.niaid.nih.gov/transcriptome/C_felis/S1/links/NR/cf-contig_396-NR.txt","NR")</f>
        <v>NR</v>
      </c>
      <c r="AG285" s="5">
        <v>2.0000000000000001E-22</v>
      </c>
      <c r="AH285">
        <v>81.599999999999994</v>
      </c>
      <c r="AI285" s="4" t="str">
        <f>HYPERLINK("http://exon.niaid.nih.gov/transcriptome/C_felis/S1/links/NR/cf-contig_396-NR.txt","ribosomal protein L29")</f>
        <v>ribosomal protein L29</v>
      </c>
      <c r="AJ285" t="str">
        <f>HYPERLINK("http://www.ncbi.nlm.nih.gov/sutils/blink.cgi?pid=121512028","2E-022")</f>
        <v>2E-022</v>
      </c>
      <c r="AK285" t="str">
        <f>HYPERLINK("http://www.ncbi.nlm.nih.gov/protein/121512028","gi|121512028")</f>
        <v>gi|121512028</v>
      </c>
      <c r="AL285">
        <v>109</v>
      </c>
      <c r="AM285">
        <v>57</v>
      </c>
      <c r="AN285">
        <v>71</v>
      </c>
      <c r="AO285">
        <v>89</v>
      </c>
      <c r="AP285">
        <v>82</v>
      </c>
      <c r="AQ285">
        <v>6</v>
      </c>
      <c r="AR285">
        <v>0</v>
      </c>
      <c r="AS285">
        <v>14</v>
      </c>
      <c r="AT285">
        <v>25</v>
      </c>
      <c r="AU285">
        <v>1</v>
      </c>
      <c r="AV285">
        <v>1</v>
      </c>
      <c r="AW285" t="s">
        <v>12</v>
      </c>
      <c r="AY285" t="s">
        <v>1676</v>
      </c>
      <c r="AZ285" t="s">
        <v>1717</v>
      </c>
      <c r="BA285" s="4" t="str">
        <f>HYPERLINK("http://exon.niaid.nih.gov/transcriptome/C_felis/S1/links/SWISSP/cf-contig_396-SWISSP.txt","60S ribosomal protein L29")</f>
        <v>60S ribosomal protein L29</v>
      </c>
      <c r="BB285" t="str">
        <f>HYPERLINK("http://www.uniprot.org/uniprot/Q24154","4E-010")</f>
        <v>4E-010</v>
      </c>
      <c r="BC285" t="s">
        <v>3072</v>
      </c>
      <c r="BD285">
        <v>63.5</v>
      </c>
      <c r="BE285">
        <v>56</v>
      </c>
      <c r="BF285">
        <v>76</v>
      </c>
      <c r="BG285">
        <v>54</v>
      </c>
      <c r="BH285">
        <v>75</v>
      </c>
      <c r="BI285">
        <v>26</v>
      </c>
      <c r="BJ285">
        <v>0</v>
      </c>
      <c r="BK285">
        <v>14</v>
      </c>
      <c r="BL285">
        <v>25</v>
      </c>
      <c r="BM285">
        <v>1</v>
      </c>
      <c r="BN285">
        <v>1</v>
      </c>
      <c r="BO285" t="s">
        <v>12</v>
      </c>
      <c r="BQ285" t="s">
        <v>1676</v>
      </c>
      <c r="BR285" t="s">
        <v>1804</v>
      </c>
      <c r="BS285" s="4" t="str">
        <f>HYPERLINK("http://exon.niaid.nih.gov/transcriptome/C_felis/S1/links/CDD/cf-contig_396-CDD.txt","Ribosomal_L29e")</f>
        <v>Ribosomal_L29e</v>
      </c>
      <c r="BT285" t="str">
        <f>HYPERLINK("http://www.ncbi.nlm.nih.gov/Structure/cdd/cddsrv.cgi?uid=pfam01779&amp;version=v4.0","9E-010")</f>
        <v>9E-010</v>
      </c>
      <c r="BU285" t="s">
        <v>3073</v>
      </c>
      <c r="BV285" s="4" t="s">
        <v>3074</v>
      </c>
      <c r="BW285">
        <f>HYPERLINK("http://exon.niaid.nih.gov/transcriptome/C_felis/S1/links/GO/cf-contig_396-GO.txt",0.0000000003)</f>
        <v>3E-10</v>
      </c>
      <c r="BX285" t="str">
        <f t="shared" si="29"/>
        <v>GO:0003735</v>
      </c>
      <c r="BY285" t="s">
        <v>1929</v>
      </c>
      <c r="BZ285" t="s">
        <v>1930</v>
      </c>
      <c r="CA285" t="s">
        <v>1931</v>
      </c>
      <c r="CB285" t="s">
        <v>42</v>
      </c>
      <c r="CD285">
        <v>3E-10</v>
      </c>
      <c r="CE285" t="str">
        <f>HYPERLINK("http://amigo.geneontology.org/cgi-bin/amigo/term_details?term=GO:0022625","GO:0022625")</f>
        <v>GO:0022625</v>
      </c>
      <c r="CF285" t="s">
        <v>1932</v>
      </c>
      <c r="CG285" t="s">
        <v>1933</v>
      </c>
      <c r="CH285" t="s">
        <v>1934</v>
      </c>
      <c r="CI285" t="s">
        <v>42</v>
      </c>
      <c r="CK285">
        <v>3E-10</v>
      </c>
      <c r="CL285" t="str">
        <f t="shared" si="30"/>
        <v>GO:0006412</v>
      </c>
      <c r="CM285" t="s">
        <v>1935</v>
      </c>
      <c r="CN285" t="s">
        <v>1936</v>
      </c>
      <c r="CO285" t="s">
        <v>1937</v>
      </c>
      <c r="CP285" t="s">
        <v>42</v>
      </c>
      <c r="CR285">
        <v>3E-10</v>
      </c>
      <c r="CS285" s="4" t="str">
        <f>HYPERLINK("http://exon.niaid.nih.gov/transcriptome/C_felis/S1/links/KOG/cf-contig_396-KOG.txt","60S ribosomal protein L29")</f>
        <v>60S ribosomal protein L29</v>
      </c>
      <c r="CT285" t="str">
        <f>HYPERLINK("http://www.ncbi.nlm.nih.gov/COG/grace/shokog.cgi?KOG3504","3E-013")</f>
        <v>3E-013</v>
      </c>
      <c r="CU285" t="s">
        <v>1707</v>
      </c>
      <c r="CV285" s="4" t="str">
        <f>HYPERLINK("http://exon.niaid.nih.gov/transcriptome/C_felis/S1/links/PFAM/cf-contig_396-PFAM.txt","Ribosomal_L29e")</f>
        <v>Ribosomal_L29e</v>
      </c>
      <c r="CW285" t="str">
        <f>HYPERLINK("http://pfam.sanger.ac.uk/family?acc=PF01779","2E-010")</f>
        <v>2E-010</v>
      </c>
      <c r="CX285" s="4" t="str">
        <f>HYPERLINK("http://exon.niaid.nih.gov/transcriptome/C_felis/S1/links/SMART/cf-contig_396-SMART.txt","BRO1")</f>
        <v>BRO1</v>
      </c>
      <c r="CY285" t="str">
        <f>HYPERLINK("http://smart.embl-heidelberg.de/smart/do_annotation.pl?DOMAIN=BRO1&amp;BLAST=DUMMY","0.013")</f>
        <v>0.013</v>
      </c>
      <c r="CZ285" s="4" t="s">
        <v>42</v>
      </c>
      <c r="DA285" t="s">
        <v>42</v>
      </c>
      <c r="DB285" t="s">
        <v>42</v>
      </c>
      <c r="DC285" t="s">
        <v>42</v>
      </c>
      <c r="DD285" t="s">
        <v>42</v>
      </c>
      <c r="DE285" t="s">
        <v>42</v>
      </c>
      <c r="DF285" t="s">
        <v>42</v>
      </c>
      <c r="DG285" t="s">
        <v>42</v>
      </c>
      <c r="DH285" s="4" t="s">
        <v>42</v>
      </c>
      <c r="DI285" t="s">
        <v>42</v>
      </c>
      <c r="DJ285" s="4" t="s">
        <v>42</v>
      </c>
      <c r="DK285" t="s">
        <v>42</v>
      </c>
      <c r="DL285" s="4">
        <v>323</v>
      </c>
      <c r="DM285">
        <v>1</v>
      </c>
      <c r="DN285" s="4">
        <v>331</v>
      </c>
      <c r="DO285">
        <v>1</v>
      </c>
      <c r="DP285" s="4">
        <v>332</v>
      </c>
      <c r="DQ285">
        <v>1</v>
      </c>
      <c r="DR285" s="4">
        <v>343</v>
      </c>
      <c r="DS285">
        <v>1</v>
      </c>
      <c r="DT285" s="4">
        <v>353</v>
      </c>
      <c r="DU285">
        <v>1</v>
      </c>
      <c r="DV285" s="4">
        <v>366</v>
      </c>
      <c r="DW285">
        <v>1</v>
      </c>
      <c r="DX285" s="4">
        <v>369</v>
      </c>
      <c r="DY285">
        <v>1</v>
      </c>
      <c r="DZ285" s="4">
        <v>374</v>
      </c>
      <c r="EA285">
        <v>1</v>
      </c>
      <c r="EB285" s="4">
        <v>379</v>
      </c>
      <c r="EC285">
        <v>1</v>
      </c>
      <c r="ED285" s="4">
        <v>383</v>
      </c>
      <c r="EE285">
        <v>1</v>
      </c>
      <c r="EF285" s="4">
        <v>388</v>
      </c>
      <c r="EG285">
        <v>1</v>
      </c>
      <c r="EH285" s="4">
        <v>390</v>
      </c>
      <c r="EI285">
        <v>1</v>
      </c>
      <c r="EJ285" s="4">
        <v>396</v>
      </c>
      <c r="EK285">
        <v>1</v>
      </c>
    </row>
    <row r="286" spans="1:141" x14ac:dyDescent="0.2">
      <c r="A286" t="str">
        <f>HYPERLINK("http://exon.niaid.nih.gov/transcriptome/C_felis/S1/links/cf/cf-contig_214.txt","cf-contig_214")</f>
        <v>cf-contig_214</v>
      </c>
      <c r="B286">
        <v>2</v>
      </c>
      <c r="C286" s="10" t="s">
        <v>4694</v>
      </c>
      <c r="D286">
        <v>2</v>
      </c>
      <c r="E286" t="str">
        <f>HYPERLINK("http://exon.niaid.nih.gov/transcriptome/C_felis/S1/links/cf/cf-5-36-asb-214.txt","Contig-214")</f>
        <v>Contig-214</v>
      </c>
      <c r="F286" t="str">
        <f>HYPERLINK("http://exon.niaid.nih.gov/transcriptome/C_felis/S1/links/cf/cf-5-36-214-CLU.txt","Contig214")</f>
        <v>Contig214</v>
      </c>
      <c r="G286" t="str">
        <f>HYPERLINK("http://exon.niaid.nih.gov/transcriptome/C_felis/S1/links/cf/cf-5-36-214-qual.txt","78.2")</f>
        <v>78.2</v>
      </c>
      <c r="H286" t="s">
        <v>11</v>
      </c>
      <c r="I286">
        <v>62.3</v>
      </c>
      <c r="J286">
        <v>342</v>
      </c>
      <c r="K286" t="s">
        <v>12</v>
      </c>
      <c r="L286">
        <v>2</v>
      </c>
      <c r="M286" t="s">
        <v>227</v>
      </c>
      <c r="N286">
        <v>339</v>
      </c>
      <c r="O286">
        <v>361</v>
      </c>
      <c r="P286">
        <v>306</v>
      </c>
      <c r="Q286" t="s">
        <v>1034</v>
      </c>
      <c r="R286">
        <v>2</v>
      </c>
      <c r="S286" s="7" t="str">
        <f>HYPERLINK("http://exon.niaid.nih.gov/transcriptome/C_felis/S1/links/Sigp/CF-CONTIG_214-SigP.txt","Cyt")</f>
        <v>Cyt</v>
      </c>
      <c r="U286">
        <v>2</v>
      </c>
      <c r="V286" s="4">
        <f>HYPERLINK("http://exon.niaid.nih.gov/transcriptome/C_felis/S1/links/cluster/cf-5-36-asb30-50-Id-CLU53.txt", 53)</f>
        <v>53</v>
      </c>
      <c r="W286">
        <f>HYPERLINK("http://exon.niaid.nih.gov/transcriptome/C_felis/S1/links/cluster/cf-5-36-asb30-50-Id-CLTL53.txt", 2)</f>
        <v>2</v>
      </c>
      <c r="X286" s="4">
        <f>HYPERLINK("http://exon.niaid.nih.gov/transcriptome/C_felis/S1/links/cluster/cf-5-36-asb35-50-Id-CLU46.txt", 46)</f>
        <v>46</v>
      </c>
      <c r="Y286">
        <f>HYPERLINK("http://exon.niaid.nih.gov/transcriptome/C_felis/S1/links/cluster/cf-5-36-asb35-50-Id-CLTL46.txt", 2)</f>
        <v>2</v>
      </c>
      <c r="Z286" s="4">
        <f>HYPERLINK("http://exon.niaid.nih.gov/transcriptome/C_felis/S1/links/cluster/cf-5-36-asb40-50-Id-CLU43.txt", 43)</f>
        <v>43</v>
      </c>
      <c r="AA286">
        <f>HYPERLINK("http://exon.niaid.nih.gov/transcriptome/C_felis/S1/links/cluster/cf-5-36-asb40-50-Id-CLTL43.txt", 2)</f>
        <v>2</v>
      </c>
      <c r="AB286" s="4" t="str">
        <f>HYPERLINK("http://exon.niaid.nih.gov/transcriptome/C_felis/S1/links/XC-ASB/cf-contig_214-XC-ASB.txt","XC-contig_78")</f>
        <v>XC-contig_78</v>
      </c>
      <c r="AC286">
        <v>1.6E-2</v>
      </c>
      <c r="AD286" s="10" t="s">
        <v>4694</v>
      </c>
      <c r="AE286" t="s">
        <v>4605</v>
      </c>
      <c r="AF286" t="str">
        <f>HYPERLINK("http://exon.niaid.nih.gov/transcriptome/C_felis/S1/links/NR/cf-contig_214-NR.txt","NR")</f>
        <v>NR</v>
      </c>
      <c r="AG286" s="5">
        <v>1.9999999999999999E-47</v>
      </c>
      <c r="AH286">
        <v>88</v>
      </c>
      <c r="AI286" s="4" t="str">
        <f>HYPERLINK("http://exon.niaid.nih.gov/transcriptome/C_felis/S1/links/NR/cf-contig_214-NR.txt","ribosomal protein L30")</f>
        <v>ribosomal protein L30</v>
      </c>
      <c r="AJ286" t="str">
        <f>HYPERLINK("http://www.ncbi.nlm.nih.gov/sutils/blink.cgi?pid=22758848","2E-047")</f>
        <v>2E-047</v>
      </c>
      <c r="AK286" t="str">
        <f>HYPERLINK("http://www.ncbi.nlm.nih.gov/protein/22758848","gi|22758848")</f>
        <v>gi|22758848</v>
      </c>
      <c r="AL286">
        <v>192</v>
      </c>
      <c r="AM286">
        <v>100</v>
      </c>
      <c r="AN286">
        <v>114</v>
      </c>
      <c r="AO286">
        <v>93</v>
      </c>
      <c r="AP286">
        <v>89</v>
      </c>
      <c r="AQ286">
        <v>7</v>
      </c>
      <c r="AR286">
        <v>0</v>
      </c>
      <c r="AS286">
        <v>14</v>
      </c>
      <c r="AT286">
        <v>5</v>
      </c>
      <c r="AU286">
        <v>1</v>
      </c>
      <c r="AV286">
        <v>2</v>
      </c>
      <c r="AW286" t="s">
        <v>12</v>
      </c>
      <c r="AY286" t="s">
        <v>1676</v>
      </c>
      <c r="AZ286" t="s">
        <v>2466</v>
      </c>
      <c r="BA286" s="4" t="str">
        <f>HYPERLINK("http://exon.niaid.nih.gov/transcriptome/C_felis/S1/links/SWISSP/cf-contig_214-SWISSP.txt","60S ribosomal protein L30")</f>
        <v>60S ribosomal protein L30</v>
      </c>
      <c r="BB286" t="str">
        <f>HYPERLINK("http://www.uniprot.org/uniprot/P58375","4E-047")</f>
        <v>4E-047</v>
      </c>
      <c r="BC286" t="s">
        <v>2467</v>
      </c>
      <c r="BD286">
        <v>186</v>
      </c>
      <c r="BE286">
        <v>98</v>
      </c>
      <c r="BF286">
        <v>113</v>
      </c>
      <c r="BG286">
        <v>89</v>
      </c>
      <c r="BH286">
        <v>88</v>
      </c>
      <c r="BI286">
        <v>10</v>
      </c>
      <c r="BJ286">
        <v>0</v>
      </c>
      <c r="BK286">
        <v>14</v>
      </c>
      <c r="BL286">
        <v>5</v>
      </c>
      <c r="BM286">
        <v>1</v>
      </c>
      <c r="BN286">
        <v>2</v>
      </c>
      <c r="BO286" t="s">
        <v>12</v>
      </c>
      <c r="BQ286" t="s">
        <v>1676</v>
      </c>
      <c r="BR286" t="s">
        <v>2031</v>
      </c>
      <c r="BS286" s="4" t="str">
        <f>HYPERLINK("http://exon.niaid.nih.gov/transcriptome/C_felis/S1/links/CDD/cf-contig_214-CDD.txt","PTZ00106")</f>
        <v>PTZ00106</v>
      </c>
      <c r="BT286" t="str">
        <f>HYPERLINK("http://www.ncbi.nlm.nih.gov/Structure/cdd/cddsrv.cgi?uid=PTZ00106&amp;version=v4.0","5E-053")</f>
        <v>5E-053</v>
      </c>
      <c r="BU286" t="s">
        <v>2468</v>
      </c>
      <c r="BV286" s="4" t="s">
        <v>2469</v>
      </c>
      <c r="BW286">
        <f>HYPERLINK("http://exon.niaid.nih.gov/transcriptome/C_felis/S1/links/GO/cf-contig_214-GO.txt",6E-43)</f>
        <v>6.0000000000000001E-43</v>
      </c>
      <c r="BX286" t="str">
        <f t="shared" si="29"/>
        <v>GO:0003735</v>
      </c>
      <c r="BY286" t="s">
        <v>1929</v>
      </c>
      <c r="BZ286" t="s">
        <v>1930</v>
      </c>
      <c r="CA286" t="s">
        <v>1931</v>
      </c>
      <c r="CB286" t="s">
        <v>42</v>
      </c>
      <c r="CD286" s="5">
        <v>6.0000000000000001E-43</v>
      </c>
      <c r="CE286" t="str">
        <f>HYPERLINK("http://amigo.geneontology.org/cgi-bin/amigo/term_details?term=GO:0005622","GO:0005622")</f>
        <v>GO:0005622</v>
      </c>
      <c r="CF286" t="s">
        <v>2085</v>
      </c>
      <c r="CG286" t="s">
        <v>2086</v>
      </c>
      <c r="CH286" t="s">
        <v>2087</v>
      </c>
      <c r="CI286" t="s">
        <v>42</v>
      </c>
      <c r="CK286" s="5">
        <v>6.0000000000000001E-43</v>
      </c>
      <c r="CL286" t="str">
        <f t="shared" si="30"/>
        <v>GO:0006412</v>
      </c>
      <c r="CM286" t="s">
        <v>1935</v>
      </c>
      <c r="CN286" t="s">
        <v>1936</v>
      </c>
      <c r="CO286" t="s">
        <v>1937</v>
      </c>
      <c r="CP286" t="s">
        <v>42</v>
      </c>
      <c r="CR286" s="5">
        <v>6.0000000000000001E-43</v>
      </c>
      <c r="CS286" s="4" t="str">
        <f>HYPERLINK("http://exon.niaid.nih.gov/transcriptome/C_felis/S1/links/KOG/cf-contig_214-KOG.txt","60S ribosomal protein L30")</f>
        <v>60S ribosomal protein L30</v>
      </c>
      <c r="CT286" t="str">
        <f>HYPERLINK("http://www.ncbi.nlm.nih.gov/COG/grace/shokog.cgi?KOG2988","2E-045")</f>
        <v>2E-045</v>
      </c>
      <c r="CU286" t="s">
        <v>1707</v>
      </c>
      <c r="CV286" s="4" t="str">
        <f>HYPERLINK("http://exon.niaid.nih.gov/transcriptome/C_felis/S1/links/PFAM/cf-contig_214-PFAM.txt","Ribosomal_L7Ae")</f>
        <v>Ribosomal_L7Ae</v>
      </c>
      <c r="CW286" t="str">
        <f>HYPERLINK("http://pfam.sanger.ac.uk/family?acc=PF01248","4E-026")</f>
        <v>4E-026</v>
      </c>
      <c r="CX286" s="4" t="str">
        <f>HYPERLINK("http://exon.niaid.nih.gov/transcriptome/C_felis/S1/links/SMART/cf-contig_214-SMART.txt","LIM")</f>
        <v>LIM</v>
      </c>
      <c r="CY286" t="str">
        <f>HYPERLINK("http://smart.embl-heidelberg.de/smart/do_annotation.pl?DOMAIN=LIM&amp;BLAST=DUMMY","0.37")</f>
        <v>0.37</v>
      </c>
      <c r="CZ286" s="4" t="s">
        <v>42</v>
      </c>
      <c r="DA286" t="s">
        <v>42</v>
      </c>
      <c r="DB286" t="s">
        <v>42</v>
      </c>
      <c r="DC286" t="s">
        <v>42</v>
      </c>
      <c r="DD286" t="s">
        <v>42</v>
      </c>
      <c r="DE286" t="s">
        <v>42</v>
      </c>
      <c r="DF286" t="s">
        <v>42</v>
      </c>
      <c r="DG286" t="s">
        <v>42</v>
      </c>
      <c r="DH286" s="4" t="s">
        <v>42</v>
      </c>
      <c r="DI286" t="s">
        <v>42</v>
      </c>
      <c r="DJ286" s="4" t="s">
        <v>42</v>
      </c>
      <c r="DK286" t="s">
        <v>42</v>
      </c>
      <c r="DL286" s="4">
        <f>HYPERLINK("http://exon.niaid.nih.gov/transcriptome/C_felis/S1/links/cluster/cf-5-36-asb30-50-Id-CLU53.txt", 53)</f>
        <v>53</v>
      </c>
      <c r="DM286">
        <f>HYPERLINK("http://exon.niaid.nih.gov/transcriptome/C_felis/S1/links/cluster/cf-5-36-asb30-50-Id-CLTL53.txt", 2)</f>
        <v>2</v>
      </c>
      <c r="DN286" s="4">
        <f>HYPERLINK("http://exon.niaid.nih.gov/transcriptome/C_felis/S1/links/cluster/cf-5-36-asb35-50-Id-CLU46.txt", 46)</f>
        <v>46</v>
      </c>
      <c r="DO286">
        <f>HYPERLINK("http://exon.niaid.nih.gov/transcriptome/C_felis/S1/links/cluster/cf-5-36-asb35-50-Id-CLTL46.txt", 2)</f>
        <v>2</v>
      </c>
      <c r="DP286" s="4">
        <f>HYPERLINK("http://exon.niaid.nih.gov/transcriptome/C_felis/S1/links/cluster/cf-5-36-asb40-50-Id-CLU43.txt", 43)</f>
        <v>43</v>
      </c>
      <c r="DQ286">
        <f>HYPERLINK("http://exon.niaid.nih.gov/transcriptome/C_felis/S1/links/cluster/cf-5-36-asb40-50-Id-CLTL43.txt", 2)</f>
        <v>2</v>
      </c>
      <c r="DR286" s="4">
        <f>HYPERLINK("http://exon.niaid.nih.gov/transcriptome/C_felis/S1/links/cluster/cf-5-36-asb45-50-Id-CLU38.txt", 38)</f>
        <v>38</v>
      </c>
      <c r="DS286">
        <f>HYPERLINK("http://exon.niaid.nih.gov/transcriptome/C_felis/S1/links/cluster/cf-5-36-asb45-50-Id-CLTL38.txt", 2)</f>
        <v>2</v>
      </c>
      <c r="DT286" s="4">
        <f>HYPERLINK("http://exon.niaid.nih.gov/transcriptome/C_felis/S1/links/cluster/cf-5-36-asb50-50-Id-CLU34.txt", 34)</f>
        <v>34</v>
      </c>
      <c r="DU286">
        <f>HYPERLINK("http://exon.niaid.nih.gov/transcriptome/C_felis/S1/links/cluster/cf-5-36-asb50-50-Id-CLTL34.txt", 2)</f>
        <v>2</v>
      </c>
      <c r="DV286" s="4">
        <f>HYPERLINK("http://exon.niaid.nih.gov/transcriptome/C_felis/S1/links/cluster/cf-5-36-asb55-50-Id-CLU31.txt", 31)</f>
        <v>31</v>
      </c>
      <c r="DW286">
        <f>HYPERLINK("http://exon.niaid.nih.gov/transcriptome/C_felis/S1/links/cluster/cf-5-36-asb55-50-Id-CLTL31.txt", 2)</f>
        <v>2</v>
      </c>
      <c r="DX286" s="4">
        <f>HYPERLINK("http://exon.niaid.nih.gov/transcriptome/C_felis/S1/links/cluster/cf-5-36-asb60-50-Id-CLU28.txt", 28)</f>
        <v>28</v>
      </c>
      <c r="DY286">
        <f>HYPERLINK("http://exon.niaid.nih.gov/transcriptome/C_felis/S1/links/cluster/cf-5-36-asb60-50-Id-CLTL28.txt", 2)</f>
        <v>2</v>
      </c>
      <c r="DZ286" s="4">
        <f>HYPERLINK("http://exon.niaid.nih.gov/transcriptome/C_felis/S1/links/cluster/cf-5-36-asb65-50-Id-CLU24.txt", 24)</f>
        <v>24</v>
      </c>
      <c r="EA286">
        <f>HYPERLINK("http://exon.niaid.nih.gov/transcriptome/C_felis/S1/links/cluster/cf-5-36-asb65-50-Id-CLTL24.txt", 2)</f>
        <v>2</v>
      </c>
      <c r="EB286" s="4">
        <f>HYPERLINK("http://exon.niaid.nih.gov/transcriptome/C_felis/S1/links/cluster/cf-5-36-asb70-50-Id-CLU19.txt", 19)</f>
        <v>19</v>
      </c>
      <c r="EC286">
        <f>HYPERLINK("http://exon.niaid.nih.gov/transcriptome/C_felis/S1/links/cluster/cf-5-36-asb70-50-Id-CLTL19.txt", 2)</f>
        <v>2</v>
      </c>
      <c r="ED286" s="4">
        <f>HYPERLINK("http://exon.niaid.nih.gov/transcriptome/C_felis/S1/links/cluster/cf-5-36-asb75-50-Id-CLU16.txt", 16)</f>
        <v>16</v>
      </c>
      <c r="EE286">
        <f>HYPERLINK("http://exon.niaid.nih.gov/transcriptome/C_felis/S1/links/cluster/cf-5-36-asb75-50-Id-CLTL16.txt", 2)</f>
        <v>2</v>
      </c>
      <c r="EF286" s="4">
        <v>207</v>
      </c>
      <c r="EG286">
        <v>1</v>
      </c>
      <c r="EH286" s="4">
        <v>209</v>
      </c>
      <c r="EI286">
        <v>1</v>
      </c>
      <c r="EJ286" s="4">
        <v>214</v>
      </c>
      <c r="EK286">
        <v>1</v>
      </c>
    </row>
    <row r="287" spans="1:141" x14ac:dyDescent="0.2">
      <c r="A287" t="str">
        <f>HYPERLINK("http://exon.niaid.nih.gov/transcriptome/C_felis/S1/links/cf/cf-contig_215.txt","cf-contig_215")</f>
        <v>cf-contig_215</v>
      </c>
      <c r="B287">
        <v>1</v>
      </c>
      <c r="C287" s="10" t="s">
        <v>4694</v>
      </c>
      <c r="D287">
        <v>1</v>
      </c>
      <c r="E287" t="str">
        <f>HYPERLINK("http://exon.niaid.nih.gov/transcriptome/C_felis/S1/links/cf/cf-5-36-asb-215.txt","Contig-215")</f>
        <v>Contig-215</v>
      </c>
      <c r="F287" t="str">
        <f>HYPERLINK("http://exon.niaid.nih.gov/transcriptome/C_felis/S1/links/cf/cf-5-36-215-CLU.txt","Contig215")</f>
        <v>Contig215</v>
      </c>
      <c r="G287" t="str">
        <f>HYPERLINK("http://exon.niaid.nih.gov/transcriptome/C_felis/S1/links/cf/cf-5-36-215-qual.txt","57.6")</f>
        <v>57.6</v>
      </c>
      <c r="H287" t="s">
        <v>11</v>
      </c>
      <c r="I287">
        <v>63.6</v>
      </c>
      <c r="J287">
        <v>294</v>
      </c>
      <c r="K287" t="s">
        <v>12</v>
      </c>
      <c r="L287">
        <v>1</v>
      </c>
      <c r="M287" t="s">
        <v>228</v>
      </c>
      <c r="N287">
        <v>294</v>
      </c>
      <c r="O287">
        <v>313</v>
      </c>
      <c r="P287">
        <v>261</v>
      </c>
      <c r="Q287" t="s">
        <v>1035</v>
      </c>
      <c r="R287">
        <v>1</v>
      </c>
      <c r="S287" s="7" t="str">
        <f>HYPERLINK("http://exon.niaid.nih.gov/transcriptome/C_felis/S1/links/Sigp/CF-CONTIG_215-SigP.txt","Cyt")</f>
        <v>Cyt</v>
      </c>
      <c r="U287">
        <v>1</v>
      </c>
      <c r="V287" s="4">
        <f>HYPERLINK("http://exon.niaid.nih.gov/transcriptome/C_felis/S1/links/cluster/cf-5-36-asb30-50-Id-CLU53.txt", 53)</f>
        <v>53</v>
      </c>
      <c r="W287">
        <f>HYPERLINK("http://exon.niaid.nih.gov/transcriptome/C_felis/S1/links/cluster/cf-5-36-asb30-50-Id-CLTL53.txt", 2)</f>
        <v>2</v>
      </c>
      <c r="X287" s="4">
        <f>HYPERLINK("http://exon.niaid.nih.gov/transcriptome/C_felis/S1/links/cluster/cf-5-36-asb35-50-Id-CLU46.txt", 46)</f>
        <v>46</v>
      </c>
      <c r="Y287">
        <f>HYPERLINK("http://exon.niaid.nih.gov/transcriptome/C_felis/S1/links/cluster/cf-5-36-asb35-50-Id-CLTL46.txt", 2)</f>
        <v>2</v>
      </c>
      <c r="Z287" s="4">
        <f>HYPERLINK("http://exon.niaid.nih.gov/transcriptome/C_felis/S1/links/cluster/cf-5-36-asb40-50-Id-CLU43.txt", 43)</f>
        <v>43</v>
      </c>
      <c r="AA287">
        <f>HYPERLINK("http://exon.niaid.nih.gov/transcriptome/C_felis/S1/links/cluster/cf-5-36-asb40-50-Id-CLTL43.txt", 2)</f>
        <v>2</v>
      </c>
      <c r="AB287" s="4" t="str">
        <f>HYPERLINK("http://exon.niaid.nih.gov/transcriptome/C_felis/S1/links/XC-ASB/cf-contig_215-XC-ASB.txt","XC-contig_78")</f>
        <v>XC-contig_78</v>
      </c>
      <c r="AC287">
        <v>9.8000000000000004E-2</v>
      </c>
      <c r="AD287" s="10" t="s">
        <v>4694</v>
      </c>
      <c r="AE287" t="s">
        <v>4605</v>
      </c>
      <c r="AF287" t="str">
        <f>HYPERLINK("http://exon.niaid.nih.gov/transcriptome/C_felis/S1/links/NR/cf-contig_215-NR.txt","NR")</f>
        <v>NR</v>
      </c>
      <c r="AG287" s="5">
        <v>6.0000000000000006E-39</v>
      </c>
      <c r="AH287">
        <v>74.5</v>
      </c>
      <c r="AI287" s="4" t="str">
        <f>HYPERLINK("http://exon.niaid.nih.gov/transcriptome/C_felis/S1/links/NR/cf-contig_215-NR.txt","ribosomal protein L30")</f>
        <v>ribosomal protein L30</v>
      </c>
      <c r="AJ287" t="str">
        <f>HYPERLINK("http://www.ncbi.nlm.nih.gov/sutils/blink.cgi?pid=22758848","6E-039")</f>
        <v>6E-039</v>
      </c>
      <c r="AK287" t="str">
        <f>HYPERLINK("http://www.ncbi.nlm.nih.gov/protein/22758848","gi|22758848")</f>
        <v>gi|22758848</v>
      </c>
      <c r="AL287">
        <v>164</v>
      </c>
      <c r="AM287">
        <v>84</v>
      </c>
      <c r="AN287">
        <v>114</v>
      </c>
      <c r="AO287">
        <v>91</v>
      </c>
      <c r="AP287">
        <v>75</v>
      </c>
      <c r="AQ287">
        <v>7</v>
      </c>
      <c r="AR287">
        <v>0</v>
      </c>
      <c r="AS287">
        <v>30</v>
      </c>
      <c r="AT287">
        <v>7</v>
      </c>
      <c r="AU287">
        <v>1</v>
      </c>
      <c r="AV287">
        <v>1</v>
      </c>
      <c r="AW287" t="s">
        <v>12</v>
      </c>
      <c r="AY287" t="s">
        <v>1676</v>
      </c>
      <c r="AZ287" t="s">
        <v>2466</v>
      </c>
      <c r="BA287" s="4" t="str">
        <f>HYPERLINK("http://exon.niaid.nih.gov/transcriptome/C_felis/S1/links/SWISSP/cf-contig_215-SWISSP.txt","60S ribosomal protein L30")</f>
        <v>60S ribosomal protein L30</v>
      </c>
      <c r="BB287" t="str">
        <f>HYPERLINK("http://www.uniprot.org/uniprot/P58375","2E-037")</f>
        <v>2E-037</v>
      </c>
      <c r="BC287" t="s">
        <v>2467</v>
      </c>
      <c r="BD287">
        <v>154</v>
      </c>
      <c r="BE287">
        <v>82</v>
      </c>
      <c r="BF287">
        <v>113</v>
      </c>
      <c r="BG287">
        <v>86</v>
      </c>
      <c r="BH287">
        <v>73</v>
      </c>
      <c r="BI287">
        <v>11</v>
      </c>
      <c r="BJ287">
        <v>0</v>
      </c>
      <c r="BK287">
        <v>30</v>
      </c>
      <c r="BL287">
        <v>7</v>
      </c>
      <c r="BM287">
        <v>1</v>
      </c>
      <c r="BN287">
        <v>1</v>
      </c>
      <c r="BO287" t="s">
        <v>12</v>
      </c>
      <c r="BQ287" t="s">
        <v>1676</v>
      </c>
      <c r="BR287" t="s">
        <v>2031</v>
      </c>
      <c r="BS287" s="4" t="str">
        <f>HYPERLINK("http://exon.niaid.nih.gov/transcriptome/C_felis/S1/links/CDD/cf-contig_215-CDD.txt","PTZ00106")</f>
        <v>PTZ00106</v>
      </c>
      <c r="BT287" t="str">
        <f>HYPERLINK("http://www.ncbi.nlm.nih.gov/Structure/cdd/cddsrv.cgi?uid=PTZ00106&amp;version=v4.0","5E-041")</f>
        <v>5E-041</v>
      </c>
      <c r="BU287" t="s">
        <v>2470</v>
      </c>
      <c r="BV287" s="4" t="s">
        <v>2469</v>
      </c>
      <c r="BW287">
        <f>HYPERLINK("http://exon.niaid.nih.gov/transcriptome/C_felis/S1/links/GO/cf-contig_215-GO.txt",6E-35)</f>
        <v>5.9999999999999998E-35</v>
      </c>
      <c r="BX287" t="str">
        <f t="shared" si="29"/>
        <v>GO:0003735</v>
      </c>
      <c r="BY287" t="s">
        <v>1929</v>
      </c>
      <c r="BZ287" t="s">
        <v>1930</v>
      </c>
      <c r="CA287" t="s">
        <v>1931</v>
      </c>
      <c r="CB287" t="s">
        <v>42</v>
      </c>
      <c r="CD287" s="5">
        <v>5.9999999999999998E-35</v>
      </c>
      <c r="CE287" t="str">
        <f>HYPERLINK("http://amigo.geneontology.org/cgi-bin/amigo/term_details?term=GO:0005622","GO:0005622")</f>
        <v>GO:0005622</v>
      </c>
      <c r="CF287" t="s">
        <v>2085</v>
      </c>
      <c r="CG287" t="s">
        <v>2086</v>
      </c>
      <c r="CH287" t="s">
        <v>2087</v>
      </c>
      <c r="CI287" t="s">
        <v>42</v>
      </c>
      <c r="CK287" s="5">
        <v>5.9999999999999998E-35</v>
      </c>
      <c r="CL287" t="str">
        <f t="shared" si="30"/>
        <v>GO:0006412</v>
      </c>
      <c r="CM287" t="s">
        <v>1935</v>
      </c>
      <c r="CN287" t="s">
        <v>1936</v>
      </c>
      <c r="CO287" t="s">
        <v>1937</v>
      </c>
      <c r="CP287" t="s">
        <v>42</v>
      </c>
      <c r="CR287" s="5">
        <v>5.9999999999999998E-35</v>
      </c>
      <c r="CS287" s="4" t="str">
        <f>HYPERLINK("http://exon.niaid.nih.gov/transcriptome/C_felis/S1/links/KOG/cf-contig_215-KOG.txt","60S ribosomal protein L30")</f>
        <v>60S ribosomal protein L30</v>
      </c>
      <c r="CT287" t="str">
        <f>HYPERLINK("http://www.ncbi.nlm.nih.gov/COG/grace/shokog.cgi?KOG2988","2E-036")</f>
        <v>2E-036</v>
      </c>
      <c r="CU287" t="s">
        <v>1707</v>
      </c>
      <c r="CV287" s="4" t="str">
        <f>HYPERLINK("http://exon.niaid.nih.gov/transcriptome/C_felis/S1/links/PFAM/cf-contig_215-PFAM.txt","Ribosomal_L7Ae")</f>
        <v>Ribosomal_L7Ae</v>
      </c>
      <c r="CW287" t="str">
        <f>HYPERLINK("http://pfam.sanger.ac.uk/family?acc=PF01248","4E-019")</f>
        <v>4E-019</v>
      </c>
      <c r="CX287" s="4" t="str">
        <f>HYPERLINK("http://exon.niaid.nih.gov/transcriptome/C_felis/S1/links/SMART/cf-contig_215-SMART.txt","POL3Bc")</f>
        <v>POL3Bc</v>
      </c>
      <c r="CY287" t="str">
        <f>HYPERLINK("http://smart.embl-heidelberg.de/smart/do_annotation.pl?DOMAIN=POL3Bc&amp;BLAST=DUMMY","0.33")</f>
        <v>0.33</v>
      </c>
      <c r="CZ287" s="4" t="s">
        <v>42</v>
      </c>
      <c r="DA287" t="s">
        <v>42</v>
      </c>
      <c r="DB287" t="s">
        <v>42</v>
      </c>
      <c r="DC287" t="s">
        <v>42</v>
      </c>
      <c r="DD287" t="s">
        <v>42</v>
      </c>
      <c r="DE287" t="s">
        <v>42</v>
      </c>
      <c r="DF287" t="s">
        <v>42</v>
      </c>
      <c r="DG287" t="s">
        <v>42</v>
      </c>
      <c r="DH287" s="4" t="s">
        <v>42</v>
      </c>
      <c r="DI287" t="s">
        <v>42</v>
      </c>
      <c r="DJ287" s="4" t="s">
        <v>42</v>
      </c>
      <c r="DK287" t="s">
        <v>42</v>
      </c>
      <c r="DL287" s="4">
        <f>HYPERLINK("http://exon.niaid.nih.gov/transcriptome/C_felis/S1/links/cluster/cf-5-36-asb30-50-Id-CLU53.txt", 53)</f>
        <v>53</v>
      </c>
      <c r="DM287">
        <f>HYPERLINK("http://exon.niaid.nih.gov/transcriptome/C_felis/S1/links/cluster/cf-5-36-asb30-50-Id-CLTL53.txt", 2)</f>
        <v>2</v>
      </c>
      <c r="DN287" s="4">
        <f>HYPERLINK("http://exon.niaid.nih.gov/transcriptome/C_felis/S1/links/cluster/cf-5-36-asb35-50-Id-CLU46.txt", 46)</f>
        <v>46</v>
      </c>
      <c r="DO287">
        <f>HYPERLINK("http://exon.niaid.nih.gov/transcriptome/C_felis/S1/links/cluster/cf-5-36-asb35-50-Id-CLTL46.txt", 2)</f>
        <v>2</v>
      </c>
      <c r="DP287" s="4">
        <f>HYPERLINK("http://exon.niaid.nih.gov/transcriptome/C_felis/S1/links/cluster/cf-5-36-asb40-50-Id-CLU43.txt", 43)</f>
        <v>43</v>
      </c>
      <c r="DQ287">
        <f>HYPERLINK("http://exon.niaid.nih.gov/transcriptome/C_felis/S1/links/cluster/cf-5-36-asb40-50-Id-CLTL43.txt", 2)</f>
        <v>2</v>
      </c>
      <c r="DR287" s="4">
        <f>HYPERLINK("http://exon.niaid.nih.gov/transcriptome/C_felis/S1/links/cluster/cf-5-36-asb45-50-Id-CLU38.txt", 38)</f>
        <v>38</v>
      </c>
      <c r="DS287">
        <f>HYPERLINK("http://exon.niaid.nih.gov/transcriptome/C_felis/S1/links/cluster/cf-5-36-asb45-50-Id-CLTL38.txt", 2)</f>
        <v>2</v>
      </c>
      <c r="DT287" s="4">
        <f>HYPERLINK("http://exon.niaid.nih.gov/transcriptome/C_felis/S1/links/cluster/cf-5-36-asb50-50-Id-CLU34.txt", 34)</f>
        <v>34</v>
      </c>
      <c r="DU287">
        <f>HYPERLINK("http://exon.niaid.nih.gov/transcriptome/C_felis/S1/links/cluster/cf-5-36-asb50-50-Id-CLTL34.txt", 2)</f>
        <v>2</v>
      </c>
      <c r="DV287" s="4">
        <f>HYPERLINK("http://exon.niaid.nih.gov/transcriptome/C_felis/S1/links/cluster/cf-5-36-asb55-50-Id-CLU31.txt", 31)</f>
        <v>31</v>
      </c>
      <c r="DW287">
        <f>HYPERLINK("http://exon.niaid.nih.gov/transcriptome/C_felis/S1/links/cluster/cf-5-36-asb55-50-Id-CLTL31.txt", 2)</f>
        <v>2</v>
      </c>
      <c r="DX287" s="4">
        <f>HYPERLINK("http://exon.niaid.nih.gov/transcriptome/C_felis/S1/links/cluster/cf-5-36-asb60-50-Id-CLU28.txt", 28)</f>
        <v>28</v>
      </c>
      <c r="DY287">
        <f>HYPERLINK("http://exon.niaid.nih.gov/transcriptome/C_felis/S1/links/cluster/cf-5-36-asb60-50-Id-CLTL28.txt", 2)</f>
        <v>2</v>
      </c>
      <c r="DZ287" s="4">
        <f>HYPERLINK("http://exon.niaid.nih.gov/transcriptome/C_felis/S1/links/cluster/cf-5-36-asb65-50-Id-CLU24.txt", 24)</f>
        <v>24</v>
      </c>
      <c r="EA287">
        <f>HYPERLINK("http://exon.niaid.nih.gov/transcriptome/C_felis/S1/links/cluster/cf-5-36-asb65-50-Id-CLTL24.txt", 2)</f>
        <v>2</v>
      </c>
      <c r="EB287" s="4">
        <f>HYPERLINK("http://exon.niaid.nih.gov/transcriptome/C_felis/S1/links/cluster/cf-5-36-asb70-50-Id-CLU19.txt", 19)</f>
        <v>19</v>
      </c>
      <c r="EC287">
        <f>HYPERLINK("http://exon.niaid.nih.gov/transcriptome/C_felis/S1/links/cluster/cf-5-36-asb70-50-Id-CLTL19.txt", 2)</f>
        <v>2</v>
      </c>
      <c r="ED287" s="4">
        <f>HYPERLINK("http://exon.niaid.nih.gov/transcriptome/C_felis/S1/links/cluster/cf-5-36-asb75-50-Id-CLU16.txt", 16)</f>
        <v>16</v>
      </c>
      <c r="EE287">
        <f>HYPERLINK("http://exon.niaid.nih.gov/transcriptome/C_felis/S1/links/cluster/cf-5-36-asb75-50-Id-CLTL16.txt", 2)</f>
        <v>2</v>
      </c>
      <c r="EF287" s="4">
        <v>208</v>
      </c>
      <c r="EG287">
        <v>1</v>
      </c>
      <c r="EH287" s="4">
        <v>210</v>
      </c>
      <c r="EI287">
        <v>1</v>
      </c>
      <c r="EJ287" s="4">
        <v>215</v>
      </c>
      <c r="EK287">
        <v>1</v>
      </c>
    </row>
    <row r="288" spans="1:141" x14ac:dyDescent="0.2">
      <c r="A288" t="str">
        <f>HYPERLINK("http://exon.niaid.nih.gov/transcriptome/C_felis/S1/links/cf/cf-contig_186.txt","cf-contig_186")</f>
        <v>cf-contig_186</v>
      </c>
      <c r="B288">
        <v>4</v>
      </c>
      <c r="C288" s="10" t="s">
        <v>4675</v>
      </c>
      <c r="D288">
        <v>4</v>
      </c>
      <c r="E288" t="str">
        <f>HYPERLINK("http://exon.niaid.nih.gov/transcriptome/C_felis/S1/links/cf/cf-5-36-asb-186.txt","Contig-186")</f>
        <v>Contig-186</v>
      </c>
      <c r="F288" t="str">
        <f>HYPERLINK("http://exon.niaid.nih.gov/transcriptome/C_felis/S1/links/cf/cf-5-36-186-CLU.txt","Contig186")</f>
        <v>Contig186</v>
      </c>
      <c r="G288" t="str">
        <f>HYPERLINK("http://exon.niaid.nih.gov/transcriptome/C_felis/S1/links/cf/cf-5-36-186-qual.txt","75.3")</f>
        <v>75.3</v>
      </c>
      <c r="H288" t="s">
        <v>11</v>
      </c>
      <c r="I288">
        <v>63.4</v>
      </c>
      <c r="J288">
        <v>442</v>
      </c>
      <c r="K288" t="s">
        <v>12</v>
      </c>
      <c r="L288">
        <v>4</v>
      </c>
      <c r="M288" t="s">
        <v>199</v>
      </c>
      <c r="N288">
        <v>442</v>
      </c>
      <c r="O288">
        <v>462</v>
      </c>
      <c r="P288">
        <v>399</v>
      </c>
      <c r="Q288" t="s">
        <v>1006</v>
      </c>
      <c r="R288">
        <v>3</v>
      </c>
      <c r="S288" s="7" t="str">
        <f>HYPERLINK("http://exon.niaid.nih.gov/transcriptome/C_felis/S1/links/Sigp/CF-CONTIG_186-SigP.txt","Cyt")</f>
        <v>Cyt</v>
      </c>
      <c r="U288">
        <v>4</v>
      </c>
      <c r="V288" s="4">
        <v>161</v>
      </c>
      <c r="W288">
        <v>1</v>
      </c>
      <c r="X288" s="4">
        <v>163</v>
      </c>
      <c r="Y288">
        <v>1</v>
      </c>
      <c r="Z288" s="4">
        <v>161</v>
      </c>
      <c r="AA288">
        <v>1</v>
      </c>
      <c r="AB288" s="4" t="str">
        <f>HYPERLINK("http://exon.niaid.nih.gov/transcriptome/C_felis/S1/links/XC-ASB/cf-contig_186-XC-ASB.txt","XC-contig_98")</f>
        <v>XC-contig_98</v>
      </c>
      <c r="AC288">
        <v>1E-83</v>
      </c>
      <c r="AD288" s="10" t="s">
        <v>4675</v>
      </c>
      <c r="AE288" t="s">
        <v>4605</v>
      </c>
      <c r="AF288" t="str">
        <f>HYPERLINK("http://exon.niaid.nih.gov/transcriptome/C_felis/S1/links/NR/cf-contig_186-NR.txt","NR")</f>
        <v>NR</v>
      </c>
      <c r="AG288" s="5">
        <v>3.0000000000000001E-61</v>
      </c>
      <c r="AH288">
        <v>100</v>
      </c>
      <c r="AI288" s="4" t="str">
        <f>HYPERLINK("http://exon.niaid.nih.gov/transcriptome/C_felis/S1/links/NR/cf-contig_186-NR.txt","ribosomal protein L35")</f>
        <v>ribosomal protein L35</v>
      </c>
      <c r="AJ288" t="str">
        <f>HYPERLINK("http://www.ncbi.nlm.nih.gov/sutils/blink.cgi?pid=121512030","3E-061")</f>
        <v>3E-061</v>
      </c>
      <c r="AK288" t="str">
        <f>HYPERLINK("http://www.ncbi.nlm.nih.gov/protein/121512030","gi|121512030")</f>
        <v>gi|121512030</v>
      </c>
      <c r="AL288">
        <v>238</v>
      </c>
      <c r="AM288">
        <v>122</v>
      </c>
      <c r="AN288">
        <v>123</v>
      </c>
      <c r="AO288">
        <v>100</v>
      </c>
      <c r="AP288">
        <v>100</v>
      </c>
      <c r="AQ288">
        <v>0</v>
      </c>
      <c r="AR288">
        <v>0</v>
      </c>
      <c r="AS288">
        <v>1</v>
      </c>
      <c r="AT288">
        <v>33</v>
      </c>
      <c r="AU288">
        <v>1</v>
      </c>
      <c r="AV288">
        <v>3</v>
      </c>
      <c r="AW288" t="s">
        <v>12</v>
      </c>
      <c r="AY288" t="s">
        <v>1676</v>
      </c>
      <c r="AZ288" t="s">
        <v>1717</v>
      </c>
      <c r="BA288" s="4" t="str">
        <f>HYPERLINK("http://exon.niaid.nih.gov/transcriptome/C_felis/S1/links/SWISSP/cf-contig_186-SWISSP.txt","60S ribosomal protein L35")</f>
        <v>60S ribosomal protein L35</v>
      </c>
      <c r="BB288" t="str">
        <f>HYPERLINK("http://www.uniprot.org/uniprot/Q69CJ9","8E-043")</f>
        <v>8E-043</v>
      </c>
      <c r="BC288" t="s">
        <v>2358</v>
      </c>
      <c r="BD288">
        <v>172</v>
      </c>
      <c r="BE288">
        <v>122</v>
      </c>
      <c r="BF288">
        <v>123</v>
      </c>
      <c r="BG288">
        <v>71</v>
      </c>
      <c r="BH288">
        <v>100</v>
      </c>
      <c r="BI288">
        <v>35</v>
      </c>
      <c r="BJ288">
        <v>0</v>
      </c>
      <c r="BK288">
        <v>1</v>
      </c>
      <c r="BL288">
        <v>33</v>
      </c>
      <c r="BM288">
        <v>1</v>
      </c>
      <c r="BN288">
        <v>3</v>
      </c>
      <c r="BO288" t="s">
        <v>12</v>
      </c>
      <c r="BQ288" t="s">
        <v>1676</v>
      </c>
      <c r="BR288" t="s">
        <v>2359</v>
      </c>
      <c r="BS288" s="4" t="str">
        <f>HYPERLINK("http://exon.niaid.nih.gov/transcriptome/C_felis/S1/links/CDD/cf-contig_186-CDD.txt","Ribosomal_L29")</f>
        <v>Ribosomal_L29</v>
      </c>
      <c r="BT288" t="str">
        <f>HYPERLINK("http://www.ncbi.nlm.nih.gov/Structure/cdd/cddsrv.cgi?uid=pfam00831&amp;version=v4.0","7E-015")</f>
        <v>7E-015</v>
      </c>
      <c r="BU288" t="s">
        <v>2360</v>
      </c>
      <c r="BV288" s="4" t="s">
        <v>2361</v>
      </c>
      <c r="BW288">
        <f>HYPERLINK("http://exon.niaid.nih.gov/transcriptome/C_felis/S1/links/GO/cf-contig_186-GO.txt",3E-48)</f>
        <v>2.9999999999999999E-48</v>
      </c>
      <c r="BX288" t="str">
        <f t="shared" si="29"/>
        <v>GO:0003735</v>
      </c>
      <c r="BY288" t="s">
        <v>1929</v>
      </c>
      <c r="BZ288" t="s">
        <v>1930</v>
      </c>
      <c r="CA288" t="s">
        <v>1931</v>
      </c>
      <c r="CB288" t="s">
        <v>42</v>
      </c>
      <c r="CD288" s="5">
        <v>2.9999999999999999E-48</v>
      </c>
      <c r="CE288" t="str">
        <f t="shared" ref="CE288:CE294" si="31">HYPERLINK("http://amigo.geneontology.org/cgi-bin/amigo/term_details?term=GO:0022625","GO:0022625")</f>
        <v>GO:0022625</v>
      </c>
      <c r="CF288" t="s">
        <v>1932</v>
      </c>
      <c r="CG288" t="s">
        <v>1933</v>
      </c>
      <c r="CH288" t="s">
        <v>1934</v>
      </c>
      <c r="CI288" t="s">
        <v>42</v>
      </c>
      <c r="CK288" s="5">
        <v>2.9999999999999999E-48</v>
      </c>
      <c r="CL288" t="str">
        <f t="shared" si="30"/>
        <v>GO:0006412</v>
      </c>
      <c r="CM288" t="s">
        <v>1935</v>
      </c>
      <c r="CN288" t="s">
        <v>1936</v>
      </c>
      <c r="CO288" t="s">
        <v>1937</v>
      </c>
      <c r="CP288" t="s">
        <v>42</v>
      </c>
      <c r="CR288" s="5">
        <v>2.9999999999999999E-48</v>
      </c>
      <c r="CS288" s="4" t="str">
        <f>HYPERLINK("http://exon.niaid.nih.gov/transcriptome/C_felis/S1/links/KOG/cf-contig_186-KOG.txt","60S ribosomal protein L35")</f>
        <v>60S ribosomal protein L35</v>
      </c>
      <c r="CT288" t="str">
        <f>HYPERLINK("http://www.ncbi.nlm.nih.gov/COG/grace/shokog.cgi?KOG3436","7E-046")</f>
        <v>7E-046</v>
      </c>
      <c r="CU288" t="s">
        <v>1707</v>
      </c>
      <c r="CV288" s="4" t="str">
        <f>HYPERLINK("http://exon.niaid.nih.gov/transcriptome/C_felis/S1/links/PFAM/cf-contig_186-PFAM.txt","Ribosomal_L29")</f>
        <v>Ribosomal_L29</v>
      </c>
      <c r="CW288" t="str">
        <f>HYPERLINK("http://pfam.sanger.ac.uk/family?acc=PF00831","1E-015")</f>
        <v>1E-015</v>
      </c>
      <c r="CX288" s="4" t="str">
        <f>HYPERLINK("http://exon.niaid.nih.gov/transcriptome/C_felis/S1/links/SMART/cf-contig_186-SMART.txt","BOP1NT")</f>
        <v>BOP1NT</v>
      </c>
      <c r="CY288" t="str">
        <f>HYPERLINK("http://smart.embl-heidelberg.de/smart/do_annotation.pl?DOMAIN=BOP1NT&amp;BLAST=DUMMY","0.014")</f>
        <v>0.014</v>
      </c>
      <c r="CZ288" s="4" t="s">
        <v>42</v>
      </c>
      <c r="DA288" t="s">
        <v>42</v>
      </c>
      <c r="DB288" t="s">
        <v>42</v>
      </c>
      <c r="DC288" t="s">
        <v>42</v>
      </c>
      <c r="DD288" t="s">
        <v>42</v>
      </c>
      <c r="DE288" t="s">
        <v>42</v>
      </c>
      <c r="DF288" t="s">
        <v>42</v>
      </c>
      <c r="DG288" t="s">
        <v>42</v>
      </c>
      <c r="DH288" s="4" t="s">
        <v>42</v>
      </c>
      <c r="DI288" t="s">
        <v>42</v>
      </c>
      <c r="DJ288" s="4" t="s">
        <v>42</v>
      </c>
      <c r="DK288" t="s">
        <v>42</v>
      </c>
      <c r="DL288" s="4">
        <v>161</v>
      </c>
      <c r="DM288">
        <v>1</v>
      </c>
      <c r="DN288" s="4">
        <v>163</v>
      </c>
      <c r="DO288">
        <v>1</v>
      </c>
      <c r="DP288" s="4">
        <v>161</v>
      </c>
      <c r="DQ288">
        <v>1</v>
      </c>
      <c r="DR288" s="4">
        <v>160</v>
      </c>
      <c r="DS288">
        <v>1</v>
      </c>
      <c r="DT288" s="4">
        <v>162</v>
      </c>
      <c r="DU288">
        <v>1</v>
      </c>
      <c r="DV288" s="4">
        <v>172</v>
      </c>
      <c r="DW288">
        <v>1</v>
      </c>
      <c r="DX288" s="4">
        <v>174</v>
      </c>
      <c r="DY288">
        <v>1</v>
      </c>
      <c r="DZ288" s="4">
        <v>174</v>
      </c>
      <c r="EA288">
        <v>1</v>
      </c>
      <c r="EB288" s="4">
        <v>179</v>
      </c>
      <c r="EC288">
        <v>1</v>
      </c>
      <c r="ED288" s="4">
        <v>180</v>
      </c>
      <c r="EE288">
        <v>1</v>
      </c>
      <c r="EF288" s="4">
        <v>181</v>
      </c>
      <c r="EG288">
        <v>1</v>
      </c>
      <c r="EH288" s="4">
        <v>181</v>
      </c>
      <c r="EI288">
        <v>1</v>
      </c>
      <c r="EJ288" s="4">
        <v>186</v>
      </c>
      <c r="EK288">
        <v>1</v>
      </c>
    </row>
    <row r="289" spans="1:141" x14ac:dyDescent="0.2">
      <c r="A289" t="str">
        <f>HYPERLINK("http://exon.niaid.nih.gov/transcriptome/C_felis/S1/links/cf/cf-contig_182.txt","cf-contig_182")</f>
        <v>cf-contig_182</v>
      </c>
      <c r="B289">
        <v>4</v>
      </c>
      <c r="C289" s="10" t="s">
        <v>4673</v>
      </c>
      <c r="D289">
        <v>4</v>
      </c>
      <c r="E289" t="str">
        <f>HYPERLINK("http://exon.niaid.nih.gov/transcriptome/C_felis/S1/links/cf/cf-5-36-asb-182.txt","Contig-182")</f>
        <v>Contig-182</v>
      </c>
      <c r="F289" t="str">
        <f>HYPERLINK("http://exon.niaid.nih.gov/transcriptome/C_felis/S1/links/cf/cf-5-36-182-CLU.txt","Contig182")</f>
        <v>Contig182</v>
      </c>
      <c r="G289" t="str">
        <f>HYPERLINK("http://exon.niaid.nih.gov/transcriptome/C_felis/S1/links/cf/cf-5-36-182-qual.txt","69.")</f>
        <v>69.</v>
      </c>
      <c r="H289" t="s">
        <v>11</v>
      </c>
      <c r="I289">
        <v>60.9</v>
      </c>
      <c r="J289">
        <v>462</v>
      </c>
      <c r="K289" t="s">
        <v>12</v>
      </c>
      <c r="L289">
        <v>4</v>
      </c>
      <c r="M289" t="s">
        <v>195</v>
      </c>
      <c r="N289">
        <v>468</v>
      </c>
      <c r="O289">
        <v>489</v>
      </c>
      <c r="P289">
        <v>396</v>
      </c>
      <c r="Q289" t="s">
        <v>1002</v>
      </c>
      <c r="R289">
        <v>3</v>
      </c>
      <c r="S289" s="7" t="s">
        <v>4585</v>
      </c>
      <c r="U289">
        <v>4</v>
      </c>
      <c r="V289" s="4">
        <v>157</v>
      </c>
      <c r="W289">
        <v>1</v>
      </c>
      <c r="X289" s="4">
        <v>159</v>
      </c>
      <c r="Y289">
        <v>1</v>
      </c>
      <c r="Z289" s="4">
        <v>157</v>
      </c>
      <c r="AA289">
        <v>1</v>
      </c>
      <c r="AB289" s="4" t="str">
        <f>HYPERLINK("http://exon.niaid.nih.gov/transcriptome/C_felis/S1/links/XC-ASB/cf-contig_182-XC-ASB.txt","XC-contig_28")</f>
        <v>XC-contig_28</v>
      </c>
      <c r="AC289">
        <v>5.6000000000000001E-2</v>
      </c>
      <c r="AD289" s="10" t="s">
        <v>4673</v>
      </c>
      <c r="AE289" t="s">
        <v>4605</v>
      </c>
      <c r="AF289" t="str">
        <f>HYPERLINK("http://exon.niaid.nih.gov/transcriptome/C_felis/S1/links/NR/cf-contig_182-NR.txt","NR")</f>
        <v>NR</v>
      </c>
      <c r="AG289" s="5">
        <v>9.0000000000000002E-59</v>
      </c>
      <c r="AH289">
        <v>95</v>
      </c>
      <c r="AI289" s="4" t="str">
        <f>HYPERLINK("http://exon.niaid.nih.gov/transcriptome/C_felis/S1/links/NR/cf-contig_182-NR.txt","similar to ribosomal protein L35Ae")</f>
        <v>similar to ribosomal protein L35Ae</v>
      </c>
      <c r="AJ289" t="str">
        <f>HYPERLINK("http://www.ncbi.nlm.nih.gov/sutils/blink.cgi?pid=91094995","9E-059")</f>
        <v>9E-059</v>
      </c>
      <c r="AK289" t="str">
        <f>HYPERLINK("http://www.ncbi.nlm.nih.gov/protein/91094995","gi|91094995")</f>
        <v>gi|91094995</v>
      </c>
      <c r="AL289">
        <v>229</v>
      </c>
      <c r="AM289">
        <v>136</v>
      </c>
      <c r="AN289">
        <v>143</v>
      </c>
      <c r="AO289">
        <v>81</v>
      </c>
      <c r="AP289">
        <v>96</v>
      </c>
      <c r="AQ289">
        <v>25</v>
      </c>
      <c r="AR289">
        <v>5</v>
      </c>
      <c r="AS289">
        <v>7</v>
      </c>
      <c r="AT289">
        <v>18</v>
      </c>
      <c r="AU289">
        <v>1</v>
      </c>
      <c r="AV289">
        <v>3</v>
      </c>
      <c r="AW289" t="s">
        <v>12</v>
      </c>
      <c r="AY289" t="s">
        <v>1676</v>
      </c>
      <c r="AZ289" t="s">
        <v>1878</v>
      </c>
      <c r="BA289" s="4" t="str">
        <f>HYPERLINK("http://exon.niaid.nih.gov/transcriptome/C_felis/S1/links/SWISSP/cf-contig_182-SWISSP.txt","60S ribosomal protein L35a")</f>
        <v>60S ribosomal protein L35a</v>
      </c>
      <c r="BB289" t="str">
        <f>HYPERLINK("http://www.uniprot.org/uniprot/Q5R8K6","7E-037")</f>
        <v>7E-037</v>
      </c>
      <c r="BC289" t="s">
        <v>2346</v>
      </c>
      <c r="BD289">
        <v>152</v>
      </c>
      <c r="BE289">
        <v>107</v>
      </c>
      <c r="BF289">
        <v>110</v>
      </c>
      <c r="BG289">
        <v>66</v>
      </c>
      <c r="BH289">
        <v>98</v>
      </c>
      <c r="BI289">
        <v>37</v>
      </c>
      <c r="BJ289">
        <v>1</v>
      </c>
      <c r="BK289">
        <v>3</v>
      </c>
      <c r="BL289">
        <v>81</v>
      </c>
      <c r="BM289">
        <v>1</v>
      </c>
      <c r="BN289">
        <v>3</v>
      </c>
      <c r="BO289" t="s">
        <v>12</v>
      </c>
      <c r="BQ289" t="s">
        <v>1676</v>
      </c>
      <c r="BR289" t="s">
        <v>2347</v>
      </c>
      <c r="BS289" s="4" t="str">
        <f>HYPERLINK("http://exon.niaid.nih.gov/transcriptome/C_felis/S1/links/CDD/cf-contig_182-CDD.txt","Ribosomal_L35Ae")</f>
        <v>Ribosomal_L35Ae</v>
      </c>
      <c r="BT289" t="str">
        <f>HYPERLINK("http://www.ncbi.nlm.nih.gov/Structure/cdd/cddsrv.cgi?uid=pfam01247&amp;version=v4.0","1E-048")</f>
        <v>1E-048</v>
      </c>
      <c r="BU289" t="s">
        <v>2348</v>
      </c>
      <c r="BV289" s="4" t="s">
        <v>2349</v>
      </c>
      <c r="BW289">
        <f>HYPERLINK("http://exon.niaid.nih.gov/transcriptome/C_felis/S1/links/GO/cf-contig_182-GO.txt",6E-45)</f>
        <v>6.0000000000000002E-45</v>
      </c>
      <c r="BX289" t="str">
        <f t="shared" si="29"/>
        <v>GO:0003735</v>
      </c>
      <c r="BY289" t="s">
        <v>1929</v>
      </c>
      <c r="BZ289" t="s">
        <v>1930</v>
      </c>
      <c r="CA289" t="s">
        <v>1931</v>
      </c>
      <c r="CB289" t="s">
        <v>42</v>
      </c>
      <c r="CD289" s="5">
        <v>6.0000000000000002E-45</v>
      </c>
      <c r="CE289" t="str">
        <f t="shared" si="31"/>
        <v>GO:0022625</v>
      </c>
      <c r="CF289" t="s">
        <v>1932</v>
      </c>
      <c r="CG289" t="s">
        <v>1933</v>
      </c>
      <c r="CH289" t="s">
        <v>1934</v>
      </c>
      <c r="CI289" t="s">
        <v>42</v>
      </c>
      <c r="CK289" s="5">
        <v>6.0000000000000002E-45</v>
      </c>
      <c r="CL289" t="str">
        <f t="shared" si="30"/>
        <v>GO:0006412</v>
      </c>
      <c r="CM289" t="s">
        <v>1935</v>
      </c>
      <c r="CN289" t="s">
        <v>1936</v>
      </c>
      <c r="CO289" t="s">
        <v>1937</v>
      </c>
      <c r="CP289" t="s">
        <v>42</v>
      </c>
      <c r="CR289" s="5">
        <v>6.0000000000000002E-45</v>
      </c>
      <c r="CS289" s="4" t="str">
        <f>HYPERLINK("http://exon.niaid.nih.gov/transcriptome/C_felis/S1/links/KOG/cf-contig_182-KOG.txt","60S ribosomal protein L35A/L37")</f>
        <v>60S ribosomal protein L35A/L37</v>
      </c>
      <c r="CT289" t="str">
        <f>HYPERLINK("http://www.ncbi.nlm.nih.gov/COG/grace/shokog.cgi?KOG0887","1E-042")</f>
        <v>1E-042</v>
      </c>
      <c r="CU289" t="s">
        <v>1707</v>
      </c>
      <c r="CV289" s="4" t="str">
        <f>HYPERLINK("http://exon.niaid.nih.gov/transcriptome/C_felis/S1/links/PFAM/cf-contig_182-PFAM.txt","Ribosomal_L35Ae")</f>
        <v>Ribosomal_L35Ae</v>
      </c>
      <c r="CW289" t="str">
        <f>HYPERLINK("http://pfam.sanger.ac.uk/family?acc=PF01247","2E-049")</f>
        <v>2E-049</v>
      </c>
      <c r="CX289" s="4" t="str">
        <f>HYPERLINK("http://exon.niaid.nih.gov/transcriptome/C_felis/S1/links/SMART/cf-contig_182-SMART.txt","SPK")</f>
        <v>SPK</v>
      </c>
      <c r="CY289" t="str">
        <f>HYPERLINK("http://smart.embl-heidelberg.de/smart/do_annotation.pl?DOMAIN=SPK&amp;BLAST=DUMMY","0.032")</f>
        <v>0.032</v>
      </c>
      <c r="CZ289" s="4" t="s">
        <v>42</v>
      </c>
      <c r="DA289" t="s">
        <v>42</v>
      </c>
      <c r="DB289" t="s">
        <v>42</v>
      </c>
      <c r="DC289" t="s">
        <v>42</v>
      </c>
      <c r="DD289" t="s">
        <v>42</v>
      </c>
      <c r="DE289" t="s">
        <v>42</v>
      </c>
      <c r="DF289" t="s">
        <v>42</v>
      </c>
      <c r="DG289" t="s">
        <v>42</v>
      </c>
      <c r="DH289" s="4" t="s">
        <v>42</v>
      </c>
      <c r="DI289" t="s">
        <v>42</v>
      </c>
      <c r="DJ289" s="4" t="s">
        <v>42</v>
      </c>
      <c r="DK289" t="s">
        <v>42</v>
      </c>
      <c r="DL289" s="4">
        <v>157</v>
      </c>
      <c r="DM289">
        <v>1</v>
      </c>
      <c r="DN289" s="4">
        <v>159</v>
      </c>
      <c r="DO289">
        <v>1</v>
      </c>
      <c r="DP289" s="4">
        <v>157</v>
      </c>
      <c r="DQ289">
        <v>1</v>
      </c>
      <c r="DR289" s="4">
        <v>156</v>
      </c>
      <c r="DS289">
        <v>1</v>
      </c>
      <c r="DT289" s="4">
        <v>158</v>
      </c>
      <c r="DU289">
        <v>1</v>
      </c>
      <c r="DV289" s="4">
        <v>168</v>
      </c>
      <c r="DW289">
        <v>1</v>
      </c>
      <c r="DX289" s="4">
        <v>170</v>
      </c>
      <c r="DY289">
        <v>1</v>
      </c>
      <c r="DZ289" s="4">
        <v>170</v>
      </c>
      <c r="EA289">
        <v>1</v>
      </c>
      <c r="EB289" s="4">
        <v>175</v>
      </c>
      <c r="EC289">
        <v>1</v>
      </c>
      <c r="ED289" s="4">
        <v>176</v>
      </c>
      <c r="EE289">
        <v>1</v>
      </c>
      <c r="EF289" s="4">
        <v>177</v>
      </c>
      <c r="EG289">
        <v>1</v>
      </c>
      <c r="EH289" s="4">
        <v>177</v>
      </c>
      <c r="EI289">
        <v>1</v>
      </c>
      <c r="EJ289" s="4">
        <v>182</v>
      </c>
      <c r="EK289">
        <v>1</v>
      </c>
    </row>
    <row r="290" spans="1:141" x14ac:dyDescent="0.2">
      <c r="A290" t="str">
        <f>HYPERLINK("http://exon.niaid.nih.gov/transcriptome/C_felis/S1/links/cf/cf-contig_99.txt","cf-contig_99")</f>
        <v>cf-contig_99</v>
      </c>
      <c r="B290">
        <v>8</v>
      </c>
      <c r="C290" s="10" t="s">
        <v>4626</v>
      </c>
      <c r="D290">
        <v>8</v>
      </c>
      <c r="E290" t="str">
        <f>HYPERLINK("http://exon.niaid.nih.gov/transcriptome/C_felis/S1/links/cf/cf-5-36-asb-99.txt","Contig-99")</f>
        <v>Contig-99</v>
      </c>
      <c r="F290" t="str">
        <f>HYPERLINK("http://exon.niaid.nih.gov/transcriptome/C_felis/S1/links/cf/cf-5-36-99-CLU.txt","Contig99")</f>
        <v>Contig99</v>
      </c>
      <c r="G290" t="str">
        <f>HYPERLINK("http://exon.niaid.nih.gov/transcriptome/C_felis/S1/links/cf/cf-5-36-99-qual.txt","84.")</f>
        <v>84.</v>
      </c>
      <c r="H290" t="s">
        <v>11</v>
      </c>
      <c r="I290">
        <v>64</v>
      </c>
      <c r="J290">
        <v>184</v>
      </c>
      <c r="K290" t="s">
        <v>12</v>
      </c>
      <c r="L290">
        <v>8</v>
      </c>
      <c r="M290" t="s">
        <v>112</v>
      </c>
      <c r="N290">
        <v>183</v>
      </c>
      <c r="O290">
        <v>203</v>
      </c>
      <c r="P290">
        <v>156</v>
      </c>
      <c r="Q290" t="s">
        <v>919</v>
      </c>
      <c r="R290">
        <v>1</v>
      </c>
      <c r="S290" s="7" t="s">
        <v>4585</v>
      </c>
      <c r="U290">
        <v>8</v>
      </c>
      <c r="V290" s="4">
        <v>117</v>
      </c>
      <c r="W290">
        <v>1</v>
      </c>
      <c r="X290" s="4">
        <v>112</v>
      </c>
      <c r="Y290">
        <v>1</v>
      </c>
      <c r="Z290" s="4">
        <v>109</v>
      </c>
      <c r="AA290">
        <v>1</v>
      </c>
      <c r="AB290" s="4" t="str">
        <f>HYPERLINK("http://exon.niaid.nih.gov/transcriptome/C_felis/S1/links/XC-ASB/cf-contig_99-XC-ASB.txt","XC-contig_189")</f>
        <v>XC-contig_189</v>
      </c>
      <c r="AC290">
        <v>1.9999999999999999E-29</v>
      </c>
      <c r="AD290" s="10" t="s">
        <v>4626</v>
      </c>
      <c r="AE290" t="s">
        <v>4605</v>
      </c>
      <c r="AF290" t="str">
        <f>HYPERLINK("http://exon.niaid.nih.gov/transcriptome/C_felis/S1/links/PFAM/cf-contig_99-PFAM.txt","PFAM")</f>
        <v>PFAM</v>
      </c>
      <c r="AG290" s="5">
        <v>7.0000000000000007E-21</v>
      </c>
      <c r="AH290">
        <v>41.4</v>
      </c>
      <c r="AI290" s="4" t="str">
        <f>HYPERLINK("http://exon.niaid.nih.gov/transcriptome/C_felis/S1/links/NR/cf-contig_99-NR.txt","ribosomal protein L36A")</f>
        <v>ribosomal protein L36A</v>
      </c>
      <c r="AJ290" t="str">
        <f>HYPERLINK("http://www.ncbi.nlm.nih.gov/sutils/blink.cgi?pid=15213790","1E-015")</f>
        <v>1E-015</v>
      </c>
      <c r="AK290" t="str">
        <f>HYPERLINK("http://www.ncbi.nlm.nih.gov/protein/15213790","gi|15213790")</f>
        <v>gi|15213790</v>
      </c>
      <c r="AL290">
        <v>86.7</v>
      </c>
      <c r="AM290">
        <v>52</v>
      </c>
      <c r="AN290">
        <v>122</v>
      </c>
      <c r="AO290">
        <v>86</v>
      </c>
      <c r="AP290">
        <v>43</v>
      </c>
      <c r="AQ290">
        <v>7</v>
      </c>
      <c r="AR290">
        <v>4</v>
      </c>
      <c r="AS290">
        <v>70</v>
      </c>
      <c r="AT290">
        <v>10</v>
      </c>
      <c r="AU290">
        <v>1</v>
      </c>
      <c r="AV290">
        <v>1</v>
      </c>
      <c r="AW290" t="s">
        <v>12</v>
      </c>
      <c r="AY290" t="s">
        <v>1676</v>
      </c>
      <c r="AZ290" t="s">
        <v>2031</v>
      </c>
      <c r="BA290" s="4" t="str">
        <f>HYPERLINK("http://exon.niaid.nih.gov/transcriptome/C_felis/S1/links/SWISSP/cf-contig_99-SWISSP.txt","60S ribosomal protein L36")</f>
        <v>60S ribosomal protein L36</v>
      </c>
      <c r="BB290" t="str">
        <f>HYPERLINK("http://www.uniprot.org/uniprot/P49630","2E-015")</f>
        <v>2E-015</v>
      </c>
      <c r="BC290" t="s">
        <v>2043</v>
      </c>
      <c r="BD290">
        <v>80.900000000000006</v>
      </c>
      <c r="BE290">
        <v>45</v>
      </c>
      <c r="BF290">
        <v>115</v>
      </c>
      <c r="BG290">
        <v>87</v>
      </c>
      <c r="BH290">
        <v>40</v>
      </c>
      <c r="BI290">
        <v>6</v>
      </c>
      <c r="BJ290">
        <v>0</v>
      </c>
      <c r="BK290">
        <v>70</v>
      </c>
      <c r="BL290">
        <v>10</v>
      </c>
      <c r="BM290">
        <v>1</v>
      </c>
      <c r="BN290">
        <v>1</v>
      </c>
      <c r="BO290" t="s">
        <v>12</v>
      </c>
      <c r="BQ290" t="s">
        <v>1676</v>
      </c>
      <c r="BR290" t="s">
        <v>1804</v>
      </c>
      <c r="BS290" s="4" t="str">
        <f>HYPERLINK("http://exon.niaid.nih.gov/transcriptome/C_felis/S1/links/CDD/cf-contig_99-CDD.txt","Ribosomal_L36e")</f>
        <v>Ribosomal_L36e</v>
      </c>
      <c r="BT290" t="str">
        <f>HYPERLINK("http://www.ncbi.nlm.nih.gov/Structure/cdd/cddsrv.cgi?uid=pfam01158&amp;version=v4.0","3E-020")</f>
        <v>3E-020</v>
      </c>
      <c r="BU290" t="s">
        <v>2044</v>
      </c>
      <c r="BV290" s="4" t="s">
        <v>2045</v>
      </c>
      <c r="BW290">
        <f>HYPERLINK("http://exon.niaid.nih.gov/transcriptome/C_felis/S1/links/GO/cf-contig_99-GO.txt",0.000000000000002)</f>
        <v>2.0000000000000002E-15</v>
      </c>
      <c r="BX290" t="str">
        <f t="shared" si="29"/>
        <v>GO:0003735</v>
      </c>
      <c r="BY290" t="s">
        <v>1929</v>
      </c>
      <c r="BZ290" t="s">
        <v>1930</v>
      </c>
      <c r="CA290" t="s">
        <v>1931</v>
      </c>
      <c r="CB290" t="s">
        <v>42</v>
      </c>
      <c r="CD290">
        <v>2.0000000000000002E-15</v>
      </c>
      <c r="CE290" t="str">
        <f t="shared" si="31"/>
        <v>GO:0022625</v>
      </c>
      <c r="CF290" t="s">
        <v>1932</v>
      </c>
      <c r="CG290" t="s">
        <v>1933</v>
      </c>
      <c r="CH290" t="s">
        <v>1934</v>
      </c>
      <c r="CI290" t="s">
        <v>42</v>
      </c>
      <c r="CK290">
        <v>2.0000000000000002E-15</v>
      </c>
      <c r="CL290" t="str">
        <f t="shared" si="30"/>
        <v>GO:0006412</v>
      </c>
      <c r="CM290" t="s">
        <v>1935</v>
      </c>
      <c r="CN290" t="s">
        <v>1936</v>
      </c>
      <c r="CO290" t="s">
        <v>1937</v>
      </c>
      <c r="CP290" t="s">
        <v>42</v>
      </c>
      <c r="CR290">
        <v>2.0000000000000002E-15</v>
      </c>
      <c r="CS290" s="4" t="str">
        <f>HYPERLINK("http://exon.niaid.nih.gov/transcriptome/C_felis/S1/links/KOG/cf-contig_99-KOG.txt","60S ribosomal protein L36")</f>
        <v>60S ribosomal protein L36</v>
      </c>
      <c r="CT290" t="str">
        <f>HYPERLINK("http://www.ncbi.nlm.nih.gov/COG/grace/shokog.cgi?KOG3452","2E-018")</f>
        <v>2E-018</v>
      </c>
      <c r="CU290" t="s">
        <v>1707</v>
      </c>
      <c r="CV290" s="4" t="str">
        <f>HYPERLINK("http://exon.niaid.nih.gov/transcriptome/C_felis/S1/links/PFAM/cf-contig_99-PFAM.txt","Ribosomal_L36e")</f>
        <v>Ribosomal_L36e</v>
      </c>
      <c r="CW290" t="str">
        <f>HYPERLINK("http://pfam.sanger.ac.uk/family?acc=PF01158","7E-021")</f>
        <v>7E-021</v>
      </c>
      <c r="CX290" s="4" t="str">
        <f>HYPERLINK("http://exon.niaid.nih.gov/transcriptome/C_felis/S1/links/SMART/cf-contig_99-SMART.txt","B5")</f>
        <v>B5</v>
      </c>
      <c r="CY290" t="str">
        <f>HYPERLINK("http://smart.embl-heidelberg.de/smart/do_annotation.pl?DOMAIN=B5&amp;BLAST=DUMMY","0.15")</f>
        <v>0.15</v>
      </c>
      <c r="CZ290" s="4" t="s">
        <v>42</v>
      </c>
      <c r="DA290" t="s">
        <v>42</v>
      </c>
      <c r="DB290" t="s">
        <v>42</v>
      </c>
      <c r="DC290" t="s">
        <v>42</v>
      </c>
      <c r="DD290" t="s">
        <v>42</v>
      </c>
      <c r="DE290" t="s">
        <v>42</v>
      </c>
      <c r="DF290" t="s">
        <v>42</v>
      </c>
      <c r="DG290" t="s">
        <v>42</v>
      </c>
      <c r="DH290" s="4" t="s">
        <v>42</v>
      </c>
      <c r="DI290" t="s">
        <v>42</v>
      </c>
      <c r="DJ290" s="4" t="s">
        <v>42</v>
      </c>
      <c r="DK290" t="s">
        <v>42</v>
      </c>
      <c r="DL290" s="4">
        <v>117</v>
      </c>
      <c r="DM290">
        <v>1</v>
      </c>
      <c r="DN290" s="4">
        <v>112</v>
      </c>
      <c r="DO290">
        <v>1</v>
      </c>
      <c r="DP290" s="4">
        <v>109</v>
      </c>
      <c r="DQ290">
        <v>1</v>
      </c>
      <c r="DR290" s="4">
        <v>100</v>
      </c>
      <c r="DS290">
        <v>1</v>
      </c>
      <c r="DT290" s="4">
        <v>98</v>
      </c>
      <c r="DU290">
        <v>1</v>
      </c>
      <c r="DV290" s="4">
        <v>107</v>
      </c>
      <c r="DW290">
        <v>1</v>
      </c>
      <c r="DX290" s="4">
        <v>107</v>
      </c>
      <c r="DY290">
        <v>1</v>
      </c>
      <c r="DZ290" s="4">
        <v>106</v>
      </c>
      <c r="EA290">
        <v>1</v>
      </c>
      <c r="EB290" s="4">
        <v>106</v>
      </c>
      <c r="EC290">
        <v>1</v>
      </c>
      <c r="ED290" s="4">
        <v>107</v>
      </c>
      <c r="EE290">
        <v>1</v>
      </c>
      <c r="EF290" s="4">
        <v>104</v>
      </c>
      <c r="EG290">
        <v>1</v>
      </c>
      <c r="EH290" s="4">
        <v>101</v>
      </c>
      <c r="EI290">
        <v>1</v>
      </c>
      <c r="EJ290" s="4">
        <v>99</v>
      </c>
      <c r="EK290">
        <v>1</v>
      </c>
    </row>
    <row r="291" spans="1:141" x14ac:dyDescent="0.2">
      <c r="A291" t="str">
        <f>HYPERLINK("http://exon.niaid.nih.gov/transcriptome/C_felis/S1/links/cf/cf-contig_98.txt","cf-contig_98")</f>
        <v>cf-contig_98</v>
      </c>
      <c r="B291">
        <v>8</v>
      </c>
      <c r="C291" s="10" t="s">
        <v>4625</v>
      </c>
      <c r="D291">
        <v>8</v>
      </c>
      <c r="E291" t="str">
        <f>HYPERLINK("http://exon.niaid.nih.gov/transcriptome/C_felis/S1/links/cf/cf-5-36-asb-98.txt","Contig-98")</f>
        <v>Contig-98</v>
      </c>
      <c r="F291" t="str">
        <f>HYPERLINK("http://exon.niaid.nih.gov/transcriptome/C_felis/S1/links/cf/cf-5-36-98-CLU.txt","Contig98")</f>
        <v>Contig98</v>
      </c>
      <c r="G291" t="str">
        <f>HYPERLINK("http://exon.niaid.nih.gov/transcriptome/C_felis/S1/links/cf/cf-5-36-98-qual.txt","86.8")</f>
        <v>86.8</v>
      </c>
      <c r="H291" t="s">
        <v>11</v>
      </c>
      <c r="I291">
        <v>63.5</v>
      </c>
      <c r="J291">
        <v>253</v>
      </c>
      <c r="K291" t="s">
        <v>12</v>
      </c>
      <c r="L291">
        <v>8</v>
      </c>
      <c r="M291" t="s">
        <v>111</v>
      </c>
      <c r="N291">
        <v>253</v>
      </c>
      <c r="O291">
        <v>274</v>
      </c>
      <c r="P291">
        <v>84</v>
      </c>
      <c r="Q291" t="s">
        <v>918</v>
      </c>
      <c r="R291">
        <v>3</v>
      </c>
      <c r="S291" s="7" t="s">
        <v>4585</v>
      </c>
      <c r="U291">
        <v>8</v>
      </c>
      <c r="V291" s="4">
        <v>116</v>
      </c>
      <c r="W291">
        <v>1</v>
      </c>
      <c r="X291" s="4">
        <v>111</v>
      </c>
      <c r="Y291">
        <v>1</v>
      </c>
      <c r="Z291" s="4">
        <v>108</v>
      </c>
      <c r="AA291">
        <v>1</v>
      </c>
      <c r="AB291" s="4" t="str">
        <f>HYPERLINK("http://exon.niaid.nih.gov/transcriptome/C_felis/S1/links/XC-ASB/cf-contig_98-XC-ASB.txt","XC-contig_57")</f>
        <v>XC-contig_57</v>
      </c>
      <c r="AC291">
        <v>0.24</v>
      </c>
      <c r="AD291" s="10" t="s">
        <v>4625</v>
      </c>
      <c r="AE291" t="s">
        <v>4605</v>
      </c>
      <c r="AF291" t="str">
        <f>HYPERLINK("http://exon.niaid.nih.gov/transcriptome/C_felis/S1/links/KOG/cf-contig_98-KOG.txt","KOG")</f>
        <v>KOG</v>
      </c>
      <c r="AG291">
        <v>5.0000000000000003E-10</v>
      </c>
      <c r="AH291">
        <v>100</v>
      </c>
      <c r="AI291" s="4" t="str">
        <f>HYPERLINK("http://exon.niaid.nih.gov/transcriptome/C_felis/S1/links/NR/cf-contig_98-NR.txt","hypothetical protein AOR_1_1366184")</f>
        <v>hypothetical protein AOR_1_1366184</v>
      </c>
      <c r="AJ291" t="str">
        <f>HYPERLINK("http://www.ncbi.nlm.nih.gov/sutils/blink.cgi?pid=317138891","1E-006")</f>
        <v>1E-006</v>
      </c>
      <c r="AK291" t="str">
        <f>HYPERLINK("http://www.ncbi.nlm.nih.gov/protein/317138891","gi|317138891")</f>
        <v>gi|317138891</v>
      </c>
      <c r="AL291">
        <v>56.6</v>
      </c>
      <c r="AM291">
        <v>34</v>
      </c>
      <c r="AN291">
        <v>62</v>
      </c>
      <c r="AO291">
        <v>80</v>
      </c>
      <c r="AP291">
        <v>56</v>
      </c>
      <c r="AQ291">
        <v>7</v>
      </c>
      <c r="AR291">
        <v>0</v>
      </c>
      <c r="AS291">
        <v>28</v>
      </c>
      <c r="AT291">
        <v>54</v>
      </c>
      <c r="AU291">
        <v>1</v>
      </c>
      <c r="AV291">
        <v>3</v>
      </c>
      <c r="AW291" t="s">
        <v>12</v>
      </c>
      <c r="AX291">
        <v>2.9409999999999998</v>
      </c>
      <c r="AY291" t="s">
        <v>1676</v>
      </c>
      <c r="AZ291" t="s">
        <v>2039</v>
      </c>
      <c r="BA291" s="4" t="str">
        <f>HYPERLINK("http://exon.niaid.nih.gov/transcriptome/C_felis/S1/links/SWISSP/cf-contig_98-SWISSP.txt","60S ribosomal protein L41")</f>
        <v>60S ribosomal protein L41</v>
      </c>
      <c r="BB291" t="str">
        <f>HYPERLINK("http://www.uniprot.org/uniprot/Q7KF89","4E-007")</f>
        <v>4E-007</v>
      </c>
      <c r="BC291" t="s">
        <v>2040</v>
      </c>
      <c r="BD291">
        <v>53.5</v>
      </c>
      <c r="BE291">
        <v>24</v>
      </c>
      <c r="BF291">
        <v>25</v>
      </c>
      <c r="BG291">
        <v>100</v>
      </c>
      <c r="BH291">
        <v>100</v>
      </c>
      <c r="BI291">
        <v>0</v>
      </c>
      <c r="BJ291">
        <v>0</v>
      </c>
      <c r="BK291">
        <v>1</v>
      </c>
      <c r="BL291">
        <v>84</v>
      </c>
      <c r="BM291">
        <v>1</v>
      </c>
      <c r="BN291">
        <v>3</v>
      </c>
      <c r="BO291" t="s">
        <v>12</v>
      </c>
      <c r="BQ291" t="s">
        <v>1676</v>
      </c>
      <c r="BR291" t="s">
        <v>2031</v>
      </c>
      <c r="BS291" s="4" t="str">
        <f>HYPERLINK("http://exon.niaid.nih.gov/transcriptome/C_felis/S1/links/CDD/cf-contig_98-CDD.txt","Ribosomal_L41")</f>
        <v>Ribosomal_L41</v>
      </c>
      <c r="BT291" t="str">
        <f>HYPERLINK("http://www.ncbi.nlm.nih.gov/Structure/cdd/cddsrv.cgi?uid=pfam05162&amp;version=v4.0","1E-008")</f>
        <v>1E-008</v>
      </c>
      <c r="BU291" t="s">
        <v>2041</v>
      </c>
      <c r="BV291" s="4" t="s">
        <v>2042</v>
      </c>
      <c r="BW291">
        <f>HYPERLINK("http://exon.niaid.nih.gov/transcriptome/C_felis/S1/links/GO/cf-contig_98-GO.txt",0.0000003)</f>
        <v>2.9999999999999999E-7</v>
      </c>
      <c r="BX291" t="str">
        <f t="shared" si="29"/>
        <v>GO:0003735</v>
      </c>
      <c r="BY291" t="s">
        <v>1929</v>
      </c>
      <c r="BZ291" t="s">
        <v>1930</v>
      </c>
      <c r="CA291" t="s">
        <v>1931</v>
      </c>
      <c r="CB291" t="s">
        <v>42</v>
      </c>
      <c r="CD291">
        <v>2.9999999999999999E-7</v>
      </c>
      <c r="CE291" t="str">
        <f t="shared" si="31"/>
        <v>GO:0022625</v>
      </c>
      <c r="CF291" t="s">
        <v>1932</v>
      </c>
      <c r="CG291" t="s">
        <v>1933</v>
      </c>
      <c r="CH291" t="s">
        <v>1934</v>
      </c>
      <c r="CI291" t="s">
        <v>42</v>
      </c>
      <c r="CK291">
        <v>2.9999999999999999E-7</v>
      </c>
      <c r="CL291" t="str">
        <f t="shared" si="30"/>
        <v>GO:0006412</v>
      </c>
      <c r="CM291" t="s">
        <v>1935</v>
      </c>
      <c r="CN291" t="s">
        <v>1936</v>
      </c>
      <c r="CO291" t="s">
        <v>1937</v>
      </c>
      <c r="CP291" t="s">
        <v>42</v>
      </c>
      <c r="CR291">
        <v>2.9999999999999999E-7</v>
      </c>
      <c r="CS291" s="4" t="str">
        <f>HYPERLINK("http://exon.niaid.nih.gov/transcriptome/C_felis/S1/links/KOG/cf-contig_98-KOG.txt","Ribosomal protein L41")</f>
        <v>Ribosomal protein L41</v>
      </c>
      <c r="CT291" t="str">
        <f>HYPERLINK("http://www.ncbi.nlm.nih.gov/COG/grace/shokog.cgi?KOG4752","5E-010")</f>
        <v>5E-010</v>
      </c>
      <c r="CU291" t="s">
        <v>1707</v>
      </c>
      <c r="CV291" s="4" t="str">
        <f>HYPERLINK("http://exon.niaid.nih.gov/transcriptome/C_felis/S1/links/PFAM/cf-contig_98-PFAM.txt","Ribosomal_L41")</f>
        <v>Ribosomal_L41</v>
      </c>
      <c r="CW291" t="str">
        <f>HYPERLINK("http://pfam.sanger.ac.uk/family?acc=PF05162","3E-009")</f>
        <v>3E-009</v>
      </c>
      <c r="CX291" s="4" t="str">
        <f>HYPERLINK("http://exon.niaid.nih.gov/transcriptome/C_felis/S1/links/SMART/cf-contig_98-SMART.txt","DnaG_DnaB_bind")</f>
        <v>DnaG_DnaB_bind</v>
      </c>
      <c r="CY291" t="str">
        <f>HYPERLINK("http://smart.embl-heidelberg.de/smart/do_annotation.pl?DOMAIN=DnaG_DnaB_bind&amp;BLAST=DUMMY","0.030")</f>
        <v>0.030</v>
      </c>
      <c r="CZ291" s="4" t="s">
        <v>42</v>
      </c>
      <c r="DA291" t="s">
        <v>42</v>
      </c>
      <c r="DB291" t="s">
        <v>42</v>
      </c>
      <c r="DC291" t="s">
        <v>42</v>
      </c>
      <c r="DD291" t="s">
        <v>42</v>
      </c>
      <c r="DE291" t="s">
        <v>42</v>
      </c>
      <c r="DF291" t="s">
        <v>42</v>
      </c>
      <c r="DG291" t="s">
        <v>42</v>
      </c>
      <c r="DH291" s="4" t="s">
        <v>42</v>
      </c>
      <c r="DI291" t="s">
        <v>42</v>
      </c>
      <c r="DJ291" s="4" t="s">
        <v>42</v>
      </c>
      <c r="DK291" t="s">
        <v>42</v>
      </c>
      <c r="DL291" s="4">
        <v>116</v>
      </c>
      <c r="DM291">
        <v>1</v>
      </c>
      <c r="DN291" s="4">
        <v>111</v>
      </c>
      <c r="DO291">
        <v>1</v>
      </c>
      <c r="DP291" s="4">
        <v>108</v>
      </c>
      <c r="DQ291">
        <v>1</v>
      </c>
      <c r="DR291" s="4">
        <v>99</v>
      </c>
      <c r="DS291">
        <v>1</v>
      </c>
      <c r="DT291" s="4">
        <v>97</v>
      </c>
      <c r="DU291">
        <v>1</v>
      </c>
      <c r="DV291" s="4">
        <v>106</v>
      </c>
      <c r="DW291">
        <v>1</v>
      </c>
      <c r="DX291" s="4">
        <v>106</v>
      </c>
      <c r="DY291">
        <v>1</v>
      </c>
      <c r="DZ291" s="4">
        <v>105</v>
      </c>
      <c r="EA291">
        <v>1</v>
      </c>
      <c r="EB291" s="4">
        <v>105</v>
      </c>
      <c r="EC291">
        <v>1</v>
      </c>
      <c r="ED291" s="4">
        <v>106</v>
      </c>
      <c r="EE291">
        <v>1</v>
      </c>
      <c r="EF291" s="4">
        <v>103</v>
      </c>
      <c r="EG291">
        <v>1</v>
      </c>
      <c r="EH291" s="4">
        <v>100</v>
      </c>
      <c r="EI291">
        <v>1</v>
      </c>
      <c r="EJ291" s="4">
        <v>98</v>
      </c>
      <c r="EK291">
        <v>1</v>
      </c>
    </row>
    <row r="292" spans="1:141" x14ac:dyDescent="0.2">
      <c r="A292" t="str">
        <f>HYPERLINK("http://exon.niaid.nih.gov/transcriptome/C_felis/S1/links/cf/cf-contig_144.txt","cf-contig_144")</f>
        <v>cf-contig_144</v>
      </c>
      <c r="B292">
        <v>4</v>
      </c>
      <c r="C292" s="10" t="s">
        <v>4652</v>
      </c>
      <c r="D292">
        <v>4</v>
      </c>
      <c r="E292" t="str">
        <f>HYPERLINK("http://exon.niaid.nih.gov/transcriptome/C_felis/S1/links/cf/cf-5-36-asb-144.txt","Contig-144")</f>
        <v>Contig-144</v>
      </c>
      <c r="F292" t="str">
        <f>HYPERLINK("http://exon.niaid.nih.gov/transcriptome/C_felis/S1/links/cf/cf-5-36-144-CLU.txt","Contig144")</f>
        <v>Contig144</v>
      </c>
      <c r="G292" t="str">
        <f>HYPERLINK("http://exon.niaid.nih.gov/transcriptome/C_felis/S1/links/cf/cf-5-36-144-qual.txt","89.2")</f>
        <v>89.2</v>
      </c>
      <c r="H292" t="s">
        <v>11</v>
      </c>
      <c r="I292">
        <v>64.400000000000006</v>
      </c>
      <c r="J292">
        <v>317</v>
      </c>
      <c r="K292" t="s">
        <v>12</v>
      </c>
      <c r="L292">
        <v>4</v>
      </c>
      <c r="M292" t="s">
        <v>157</v>
      </c>
      <c r="N292">
        <v>317</v>
      </c>
      <c r="O292">
        <v>337</v>
      </c>
      <c r="P292">
        <v>258</v>
      </c>
      <c r="Q292" t="s">
        <v>964</v>
      </c>
      <c r="R292">
        <v>3</v>
      </c>
      <c r="S292" s="7" t="s">
        <v>4585</v>
      </c>
      <c r="U292">
        <v>4</v>
      </c>
      <c r="V292" s="4">
        <f>HYPERLINK("http://exon.niaid.nih.gov/transcriptome/C_felis/S1/links/cluster/cf-5-36-asb30-50-Id-CLU43.txt", 43)</f>
        <v>43</v>
      </c>
      <c r="W292">
        <f>HYPERLINK("http://exon.niaid.nih.gov/transcriptome/C_felis/S1/links/cluster/cf-5-36-asb30-50-Id-CLTL43.txt", 2)</f>
        <v>2</v>
      </c>
      <c r="X292" s="4">
        <f>HYPERLINK("http://exon.niaid.nih.gov/transcriptome/C_felis/S1/links/cluster/cf-5-36-asb35-50-Id-CLU36.txt", 36)</f>
        <v>36</v>
      </c>
      <c r="Y292">
        <f>HYPERLINK("http://exon.niaid.nih.gov/transcriptome/C_felis/S1/links/cluster/cf-5-36-asb35-50-Id-CLTL36.txt", 2)</f>
        <v>2</v>
      </c>
      <c r="Z292" s="4">
        <f>HYPERLINK("http://exon.niaid.nih.gov/transcriptome/C_felis/S1/links/cluster/cf-5-36-asb40-50-Id-CLU34.txt", 34)</f>
        <v>34</v>
      </c>
      <c r="AA292">
        <f>HYPERLINK("http://exon.niaid.nih.gov/transcriptome/C_felis/S1/links/cluster/cf-5-36-asb40-50-Id-CLTL34.txt", 2)</f>
        <v>2</v>
      </c>
      <c r="AB292" s="4" t="str">
        <f>HYPERLINK("http://exon.niaid.nih.gov/transcriptome/C_felis/S1/links/XC-ASB/cf-contig_144-XC-ASB.txt","XC-contig_81")</f>
        <v>XC-contig_81</v>
      </c>
      <c r="AC292">
        <v>0.61</v>
      </c>
      <c r="AD292" s="10" t="s">
        <v>4652</v>
      </c>
      <c r="AE292" t="s">
        <v>4605</v>
      </c>
      <c r="AF292" t="str">
        <f>HYPERLINK("http://exon.niaid.nih.gov/transcriptome/C_felis/S1/links/NR/cf-contig_144-NR.txt","NR")</f>
        <v>NR</v>
      </c>
      <c r="AG292" s="5">
        <v>2.0000000000000001E-42</v>
      </c>
      <c r="AH292">
        <v>80.7</v>
      </c>
      <c r="AI292" s="4" t="str">
        <f>HYPERLINK("http://exon.niaid.nih.gov/transcriptome/C_felis/S1/links/NR/cf-contig_144-NR.txt","ribosomal protein L44e")</f>
        <v>ribosomal protein L44e</v>
      </c>
      <c r="AJ292" t="str">
        <f>HYPERLINK("http://www.ncbi.nlm.nih.gov/sutils/blink.cgi?pid=70909937","2E-042")</f>
        <v>2E-042</v>
      </c>
      <c r="AK292" t="str">
        <f>HYPERLINK("http://www.ncbi.nlm.nih.gov/protein/70909937","gi|70909937")</f>
        <v>gi|70909937</v>
      </c>
      <c r="AL292">
        <v>175</v>
      </c>
      <c r="AM292">
        <v>83</v>
      </c>
      <c r="AN292">
        <v>104</v>
      </c>
      <c r="AO292">
        <v>97</v>
      </c>
      <c r="AP292">
        <v>81</v>
      </c>
      <c r="AQ292">
        <v>2</v>
      </c>
      <c r="AR292">
        <v>0</v>
      </c>
      <c r="AS292">
        <v>21</v>
      </c>
      <c r="AT292">
        <v>9</v>
      </c>
      <c r="AU292">
        <v>1</v>
      </c>
      <c r="AV292">
        <v>3</v>
      </c>
      <c r="AW292" t="s">
        <v>12</v>
      </c>
      <c r="AY292" t="s">
        <v>1676</v>
      </c>
      <c r="AZ292" t="s">
        <v>2154</v>
      </c>
      <c r="BA292" s="4" t="str">
        <f>HYPERLINK("http://exon.niaid.nih.gov/transcriptome/C_felis/S1/links/SWISSP/cf-contig_144-SWISSP.txt","60S ribosomal protein L44")</f>
        <v>60S ribosomal protein L44</v>
      </c>
      <c r="BB292" t="str">
        <f>HYPERLINK("http://www.uniprot.org/uniprot/Q9NB33","4E-041")</f>
        <v>4E-041</v>
      </c>
      <c r="BC292" t="s">
        <v>2227</v>
      </c>
      <c r="BD292">
        <v>166</v>
      </c>
      <c r="BE292">
        <v>83</v>
      </c>
      <c r="BF292">
        <v>104</v>
      </c>
      <c r="BG292">
        <v>92</v>
      </c>
      <c r="BH292">
        <v>81</v>
      </c>
      <c r="BI292">
        <v>6</v>
      </c>
      <c r="BJ292">
        <v>0</v>
      </c>
      <c r="BK292">
        <v>21</v>
      </c>
      <c r="BL292">
        <v>9</v>
      </c>
      <c r="BM292">
        <v>1</v>
      </c>
      <c r="BN292">
        <v>3</v>
      </c>
      <c r="BO292" t="s">
        <v>12</v>
      </c>
      <c r="BQ292" t="s">
        <v>1676</v>
      </c>
      <c r="BR292" t="s">
        <v>2143</v>
      </c>
      <c r="BS292" s="4" t="str">
        <f>HYPERLINK("http://exon.niaid.nih.gov/transcriptome/C_felis/S1/links/CDD/cf-contig_144-CDD.txt","Ribosomal_L44")</f>
        <v>Ribosomal_L44</v>
      </c>
      <c r="BT292" t="str">
        <f>HYPERLINK("http://www.ncbi.nlm.nih.gov/Structure/cdd/cddsrv.cgi?uid=pfam00935&amp;version=v4.0","2E-036")</f>
        <v>2E-036</v>
      </c>
      <c r="BU292" t="s">
        <v>2228</v>
      </c>
      <c r="BV292" s="4" t="s">
        <v>2229</v>
      </c>
      <c r="BW292">
        <f>HYPERLINK("http://exon.niaid.nih.gov/transcriptome/C_felis/S1/links/GO/cf-contig_144-GO.txt",2E-41)</f>
        <v>2E-41</v>
      </c>
      <c r="BX292" t="str">
        <f t="shared" si="29"/>
        <v>GO:0003735</v>
      </c>
      <c r="BY292" t="s">
        <v>1929</v>
      </c>
      <c r="BZ292" t="s">
        <v>1930</v>
      </c>
      <c r="CA292" t="s">
        <v>1931</v>
      </c>
      <c r="CB292" t="s">
        <v>42</v>
      </c>
      <c r="CD292" s="5">
        <v>2E-41</v>
      </c>
      <c r="CE292" t="str">
        <f t="shared" si="31"/>
        <v>GO:0022625</v>
      </c>
      <c r="CF292" t="s">
        <v>1932</v>
      </c>
      <c r="CG292" t="s">
        <v>1933</v>
      </c>
      <c r="CH292" t="s">
        <v>1934</v>
      </c>
      <c r="CI292" t="s">
        <v>42</v>
      </c>
      <c r="CK292" s="5">
        <v>2E-41</v>
      </c>
      <c r="CL292" t="str">
        <f t="shared" si="30"/>
        <v>GO:0006412</v>
      </c>
      <c r="CM292" t="s">
        <v>1935</v>
      </c>
      <c r="CN292" t="s">
        <v>1936</v>
      </c>
      <c r="CO292" t="s">
        <v>1937</v>
      </c>
      <c r="CP292" t="s">
        <v>42</v>
      </c>
      <c r="CR292" s="5">
        <v>2E-41</v>
      </c>
      <c r="CS292" s="4" t="str">
        <f>HYPERLINK("http://exon.niaid.nih.gov/transcriptome/C_felis/S1/links/KOG/cf-contig_144-KOG.txt","60S ribosomal protein L44")</f>
        <v>60S ribosomal protein L44</v>
      </c>
      <c r="CT292" t="str">
        <f>HYPERLINK("http://www.ncbi.nlm.nih.gov/COG/grace/shokog.cgi?KOG3464","1E-040")</f>
        <v>1E-040</v>
      </c>
      <c r="CU292" t="s">
        <v>1707</v>
      </c>
      <c r="CV292" s="4" t="str">
        <f>HYPERLINK("http://exon.niaid.nih.gov/transcriptome/C_felis/S1/links/PFAM/cf-contig_144-PFAM.txt","Ribosomal_L44")</f>
        <v>Ribosomal_L44</v>
      </c>
      <c r="CW292" t="str">
        <f>HYPERLINK("http://pfam.sanger.ac.uk/family?acc=PF00935","3E-037")</f>
        <v>3E-037</v>
      </c>
      <c r="CX292" s="4" t="str">
        <f>HYPERLINK("http://exon.niaid.nih.gov/transcriptome/C_felis/S1/links/SMART/cf-contig_144-SMART.txt","B561")</f>
        <v>B561</v>
      </c>
      <c r="CY292" t="str">
        <f>HYPERLINK("http://smart.embl-heidelberg.de/smart/do_annotation.pl?DOMAIN=B561&amp;BLAST=DUMMY","0.016")</f>
        <v>0.016</v>
      </c>
      <c r="CZ292" s="4" t="s">
        <v>42</v>
      </c>
      <c r="DA292" t="s">
        <v>42</v>
      </c>
      <c r="DB292" t="s">
        <v>42</v>
      </c>
      <c r="DC292" t="s">
        <v>42</v>
      </c>
      <c r="DD292" t="s">
        <v>42</v>
      </c>
      <c r="DE292" t="s">
        <v>42</v>
      </c>
      <c r="DF292" t="s">
        <v>42</v>
      </c>
      <c r="DG292" t="s">
        <v>42</v>
      </c>
      <c r="DH292" s="4" t="s">
        <v>42</v>
      </c>
      <c r="DI292" t="s">
        <v>42</v>
      </c>
      <c r="DJ292" s="4" t="s">
        <v>42</v>
      </c>
      <c r="DK292" t="s">
        <v>42</v>
      </c>
      <c r="DL292" s="4">
        <f>HYPERLINK("http://exon.niaid.nih.gov/transcriptome/C_felis/S1/links/cluster/cf-5-36-asb30-50-Id-CLU43.txt", 43)</f>
        <v>43</v>
      </c>
      <c r="DM292">
        <f>HYPERLINK("http://exon.niaid.nih.gov/transcriptome/C_felis/S1/links/cluster/cf-5-36-asb30-50-Id-CLTL43.txt", 2)</f>
        <v>2</v>
      </c>
      <c r="DN292" s="4">
        <f>HYPERLINK("http://exon.niaid.nih.gov/transcriptome/C_felis/S1/links/cluster/cf-5-36-asb35-50-Id-CLU36.txt", 36)</f>
        <v>36</v>
      </c>
      <c r="DO292">
        <f>HYPERLINK("http://exon.niaid.nih.gov/transcriptome/C_felis/S1/links/cluster/cf-5-36-asb35-50-Id-CLTL36.txt", 2)</f>
        <v>2</v>
      </c>
      <c r="DP292" s="4">
        <f>HYPERLINK("http://exon.niaid.nih.gov/transcriptome/C_felis/S1/links/cluster/cf-5-36-asb40-50-Id-CLU34.txt", 34)</f>
        <v>34</v>
      </c>
      <c r="DQ292">
        <f>HYPERLINK("http://exon.niaid.nih.gov/transcriptome/C_felis/S1/links/cluster/cf-5-36-asb40-50-Id-CLTL34.txt", 2)</f>
        <v>2</v>
      </c>
      <c r="DR292" s="4">
        <f>HYPERLINK("http://exon.niaid.nih.gov/transcriptome/C_felis/S1/links/cluster/cf-5-36-asb45-50-Id-CLU32.txt", 32)</f>
        <v>32</v>
      </c>
      <c r="DS292">
        <f>HYPERLINK("http://exon.niaid.nih.gov/transcriptome/C_felis/S1/links/cluster/cf-5-36-asb45-50-Id-CLTL32.txt", 2)</f>
        <v>2</v>
      </c>
      <c r="DT292" s="4">
        <f>HYPERLINK("http://exon.niaid.nih.gov/transcriptome/C_felis/S1/links/cluster/cf-5-36-asb50-50-Id-CLU28.txt", 28)</f>
        <v>28</v>
      </c>
      <c r="DU292">
        <f>HYPERLINK("http://exon.niaid.nih.gov/transcriptome/C_felis/S1/links/cluster/cf-5-36-asb50-50-Id-CLTL28.txt", 2)</f>
        <v>2</v>
      </c>
      <c r="DV292" s="4">
        <f>HYPERLINK("http://exon.niaid.nih.gov/transcriptome/C_felis/S1/links/cluster/cf-5-36-asb55-50-Id-CLU26.txt", 26)</f>
        <v>26</v>
      </c>
      <c r="DW292">
        <f>HYPERLINK("http://exon.niaid.nih.gov/transcriptome/C_felis/S1/links/cluster/cf-5-36-asb55-50-Id-CLTL26.txt", 2)</f>
        <v>2</v>
      </c>
      <c r="DX292" s="4">
        <f>HYPERLINK("http://exon.niaid.nih.gov/transcriptome/C_felis/S1/links/cluster/cf-5-36-asb60-50-Id-CLU23.txt", 23)</f>
        <v>23</v>
      </c>
      <c r="DY292">
        <f>HYPERLINK("http://exon.niaid.nih.gov/transcriptome/C_felis/S1/links/cluster/cf-5-36-asb60-50-Id-CLTL23.txt", 2)</f>
        <v>2</v>
      </c>
      <c r="DZ292" s="4">
        <f>HYPERLINK("http://exon.niaid.nih.gov/transcriptome/C_felis/S1/links/cluster/cf-5-36-asb65-50-Id-CLU20.txt", 20)</f>
        <v>20</v>
      </c>
      <c r="EA292">
        <f>HYPERLINK("http://exon.niaid.nih.gov/transcriptome/C_felis/S1/links/cluster/cf-5-36-asb65-50-Id-CLTL20.txt", 2)</f>
        <v>2</v>
      </c>
      <c r="EB292" s="4">
        <f>HYPERLINK("http://exon.niaid.nih.gov/transcriptome/C_felis/S1/links/cluster/cf-5-36-asb70-50-Id-CLU15.txt", 15)</f>
        <v>15</v>
      </c>
      <c r="EC292">
        <f>HYPERLINK("http://exon.niaid.nih.gov/transcriptome/C_felis/S1/links/cluster/cf-5-36-asb70-50-Id-CLTL15.txt", 2)</f>
        <v>2</v>
      </c>
      <c r="ED292" s="4">
        <f>HYPERLINK("http://exon.niaid.nih.gov/transcriptome/C_felis/S1/links/cluster/cf-5-36-asb75-50-Id-CLU13.txt", 13)</f>
        <v>13</v>
      </c>
      <c r="EE292">
        <f>HYPERLINK("http://exon.niaid.nih.gov/transcriptome/C_felis/S1/links/cluster/cf-5-36-asb75-50-Id-CLTL13.txt", 2)</f>
        <v>2</v>
      </c>
      <c r="EF292" s="4">
        <f>HYPERLINK("http://exon.niaid.nih.gov/transcriptome/C_felis/S1/links/cluster/cf-5-36-asb80-50-Id-CLU10.txt", 10)</f>
        <v>10</v>
      </c>
      <c r="EG292">
        <f>HYPERLINK("http://exon.niaid.nih.gov/transcriptome/C_felis/S1/links/cluster/cf-5-36-asb80-50-Id-CLTL10.txt", 2)</f>
        <v>2</v>
      </c>
      <c r="EH292" s="4">
        <f>HYPERLINK("http://exon.niaid.nih.gov/transcriptome/C_felis/S1/links/cluster/cf-5-36-asb90-50-Id-CLU4.txt", 4)</f>
        <v>4</v>
      </c>
      <c r="EI292">
        <f>HYPERLINK("http://exon.niaid.nih.gov/transcriptome/C_felis/S1/links/cluster/cf-5-36-asb90-50-Id-CLTL4.txt", 2)</f>
        <v>2</v>
      </c>
      <c r="EJ292" s="4">
        <v>144</v>
      </c>
      <c r="EK292">
        <v>1</v>
      </c>
    </row>
    <row r="293" spans="1:141" x14ac:dyDescent="0.2">
      <c r="A293" t="str">
        <f>HYPERLINK("http://exon.niaid.nih.gov/transcriptome/C_felis/S1/links/cf/cf-contig_145.txt","cf-contig_145")</f>
        <v>cf-contig_145</v>
      </c>
      <c r="B293">
        <v>1</v>
      </c>
      <c r="C293" s="10" t="s">
        <v>4652</v>
      </c>
      <c r="D293">
        <v>1</v>
      </c>
      <c r="E293" t="str">
        <f>HYPERLINK("http://exon.niaid.nih.gov/transcriptome/C_felis/S1/links/cf/cf-5-36-asb-145.txt","Contig-145")</f>
        <v>Contig-145</v>
      </c>
      <c r="F293" t="str">
        <f>HYPERLINK("http://exon.niaid.nih.gov/transcriptome/C_felis/S1/links/cf/cf-5-36-145-CLU.txt","Contig145")</f>
        <v>Contig145</v>
      </c>
      <c r="G293" t="str">
        <f>HYPERLINK("http://exon.niaid.nih.gov/transcriptome/C_felis/S1/links/cf/cf-5-36-145-qual.txt","64.5")</f>
        <v>64.5</v>
      </c>
      <c r="H293" t="s">
        <v>11</v>
      </c>
      <c r="I293">
        <v>64.7</v>
      </c>
      <c r="J293">
        <v>310</v>
      </c>
      <c r="K293" t="s">
        <v>12</v>
      </c>
      <c r="L293">
        <v>1</v>
      </c>
      <c r="M293" t="s">
        <v>158</v>
      </c>
      <c r="N293">
        <v>310</v>
      </c>
      <c r="O293">
        <v>329</v>
      </c>
      <c r="P293">
        <v>252</v>
      </c>
      <c r="Q293" t="s">
        <v>965</v>
      </c>
      <c r="R293">
        <v>2</v>
      </c>
      <c r="S293" s="7" t="s">
        <v>4585</v>
      </c>
      <c r="U293">
        <v>1</v>
      </c>
      <c r="V293" s="4">
        <f>HYPERLINK("http://exon.niaid.nih.gov/transcriptome/C_felis/S1/links/cluster/cf-5-36-asb30-50-Id-CLU43.txt", 43)</f>
        <v>43</v>
      </c>
      <c r="W293">
        <f>HYPERLINK("http://exon.niaid.nih.gov/transcriptome/C_felis/S1/links/cluster/cf-5-36-asb30-50-Id-CLTL43.txt", 2)</f>
        <v>2</v>
      </c>
      <c r="X293" s="4">
        <f>HYPERLINK("http://exon.niaid.nih.gov/transcriptome/C_felis/S1/links/cluster/cf-5-36-asb35-50-Id-CLU36.txt", 36)</f>
        <v>36</v>
      </c>
      <c r="Y293">
        <f>HYPERLINK("http://exon.niaid.nih.gov/transcriptome/C_felis/S1/links/cluster/cf-5-36-asb35-50-Id-CLTL36.txt", 2)</f>
        <v>2</v>
      </c>
      <c r="Z293" s="4">
        <f>HYPERLINK("http://exon.niaid.nih.gov/transcriptome/C_felis/S1/links/cluster/cf-5-36-asb40-50-Id-CLU34.txt", 34)</f>
        <v>34</v>
      </c>
      <c r="AA293">
        <f>HYPERLINK("http://exon.niaid.nih.gov/transcriptome/C_felis/S1/links/cluster/cf-5-36-asb40-50-Id-CLTL34.txt", 2)</f>
        <v>2</v>
      </c>
      <c r="AB293" s="4" t="str">
        <f>HYPERLINK("http://exon.niaid.nih.gov/transcriptome/C_felis/S1/links/XC-ASB/cf-contig_145-XC-ASB.txt","XC-contig_81")</f>
        <v>XC-contig_81</v>
      </c>
      <c r="AC293">
        <v>0.59</v>
      </c>
      <c r="AD293" s="10" t="s">
        <v>4652</v>
      </c>
      <c r="AE293" t="s">
        <v>4605</v>
      </c>
      <c r="AF293" t="str">
        <f>HYPERLINK("http://exon.niaid.nih.gov/transcriptome/C_felis/S1/links/NR/cf-contig_145-NR.txt","NR")</f>
        <v>NR</v>
      </c>
      <c r="AG293" s="5">
        <v>2.0000000000000001E-42</v>
      </c>
      <c r="AH293">
        <v>80.7</v>
      </c>
      <c r="AI293" s="4" t="str">
        <f>HYPERLINK("http://exon.niaid.nih.gov/transcriptome/C_felis/S1/links/NR/cf-contig_145-NR.txt","ribosomal protein L44e")</f>
        <v>ribosomal protein L44e</v>
      </c>
      <c r="AJ293" t="str">
        <f>HYPERLINK("http://www.ncbi.nlm.nih.gov/sutils/blink.cgi?pid=70909937","2E-042")</f>
        <v>2E-042</v>
      </c>
      <c r="AK293" t="str">
        <f>HYPERLINK("http://www.ncbi.nlm.nih.gov/protein/70909937","gi|70909937")</f>
        <v>gi|70909937</v>
      </c>
      <c r="AL293">
        <v>175</v>
      </c>
      <c r="AM293">
        <v>83</v>
      </c>
      <c r="AN293">
        <v>104</v>
      </c>
      <c r="AO293">
        <v>97</v>
      </c>
      <c r="AP293">
        <v>81</v>
      </c>
      <c r="AQ293">
        <v>2</v>
      </c>
      <c r="AR293">
        <v>0</v>
      </c>
      <c r="AS293">
        <v>21</v>
      </c>
      <c r="AT293">
        <v>2</v>
      </c>
      <c r="AU293">
        <v>1</v>
      </c>
      <c r="AV293">
        <v>2</v>
      </c>
      <c r="AW293" t="s">
        <v>12</v>
      </c>
      <c r="AY293" t="s">
        <v>1676</v>
      </c>
      <c r="AZ293" t="s">
        <v>2154</v>
      </c>
      <c r="BA293" s="4" t="str">
        <f>HYPERLINK("http://exon.niaid.nih.gov/transcriptome/C_felis/S1/links/SWISSP/cf-contig_145-SWISSP.txt","60S ribosomal protein L44")</f>
        <v>60S ribosomal protein L44</v>
      </c>
      <c r="BB293" t="str">
        <f>HYPERLINK("http://www.uniprot.org/uniprot/Q9NB33","4E-041")</f>
        <v>4E-041</v>
      </c>
      <c r="BC293" t="s">
        <v>2227</v>
      </c>
      <c r="BD293">
        <v>166</v>
      </c>
      <c r="BE293">
        <v>83</v>
      </c>
      <c r="BF293">
        <v>104</v>
      </c>
      <c r="BG293">
        <v>92</v>
      </c>
      <c r="BH293">
        <v>81</v>
      </c>
      <c r="BI293">
        <v>6</v>
      </c>
      <c r="BJ293">
        <v>0</v>
      </c>
      <c r="BK293">
        <v>21</v>
      </c>
      <c r="BL293">
        <v>2</v>
      </c>
      <c r="BM293">
        <v>1</v>
      </c>
      <c r="BN293">
        <v>2</v>
      </c>
      <c r="BO293" t="s">
        <v>12</v>
      </c>
      <c r="BQ293" t="s">
        <v>1676</v>
      </c>
      <c r="BR293" t="s">
        <v>2143</v>
      </c>
      <c r="BS293" s="4" t="str">
        <f>HYPERLINK("http://exon.niaid.nih.gov/transcriptome/C_felis/S1/links/CDD/cf-contig_145-CDD.txt","Ribosomal_L44")</f>
        <v>Ribosomal_L44</v>
      </c>
      <c r="BT293" t="str">
        <f>HYPERLINK("http://www.ncbi.nlm.nih.gov/Structure/cdd/cddsrv.cgi?uid=pfam00935&amp;version=v4.0","2E-036")</f>
        <v>2E-036</v>
      </c>
      <c r="BU293" t="s">
        <v>2230</v>
      </c>
      <c r="BV293" s="4" t="s">
        <v>2229</v>
      </c>
      <c r="BW293">
        <f>HYPERLINK("http://exon.niaid.nih.gov/transcriptome/C_felis/S1/links/GO/cf-contig_145-GO.txt",2E-41)</f>
        <v>2E-41</v>
      </c>
      <c r="BX293" t="str">
        <f t="shared" si="29"/>
        <v>GO:0003735</v>
      </c>
      <c r="BY293" t="s">
        <v>1929</v>
      </c>
      <c r="BZ293" t="s">
        <v>1930</v>
      </c>
      <c r="CA293" t="s">
        <v>1931</v>
      </c>
      <c r="CB293" t="s">
        <v>42</v>
      </c>
      <c r="CD293" s="5">
        <v>2E-41</v>
      </c>
      <c r="CE293" t="str">
        <f t="shared" si="31"/>
        <v>GO:0022625</v>
      </c>
      <c r="CF293" t="s">
        <v>1932</v>
      </c>
      <c r="CG293" t="s">
        <v>1933</v>
      </c>
      <c r="CH293" t="s">
        <v>1934</v>
      </c>
      <c r="CI293" t="s">
        <v>42</v>
      </c>
      <c r="CK293" s="5">
        <v>2E-41</v>
      </c>
      <c r="CL293" t="str">
        <f t="shared" si="30"/>
        <v>GO:0006412</v>
      </c>
      <c r="CM293" t="s">
        <v>1935</v>
      </c>
      <c r="CN293" t="s">
        <v>1936</v>
      </c>
      <c r="CO293" t="s">
        <v>1937</v>
      </c>
      <c r="CP293" t="s">
        <v>42</v>
      </c>
      <c r="CR293" s="5">
        <v>2E-41</v>
      </c>
      <c r="CS293" s="4" t="str">
        <f>HYPERLINK("http://exon.niaid.nih.gov/transcriptome/C_felis/S1/links/KOG/cf-contig_145-KOG.txt","60S ribosomal protein L44")</f>
        <v>60S ribosomal protein L44</v>
      </c>
      <c r="CT293" t="str">
        <f>HYPERLINK("http://www.ncbi.nlm.nih.gov/COG/grace/shokog.cgi?KOG3464","2E-040")</f>
        <v>2E-040</v>
      </c>
      <c r="CU293" t="s">
        <v>1707</v>
      </c>
      <c r="CV293" s="4" t="str">
        <f>HYPERLINK("http://exon.niaid.nih.gov/transcriptome/C_felis/S1/links/PFAM/cf-contig_145-PFAM.txt","Ribosomal_L44")</f>
        <v>Ribosomal_L44</v>
      </c>
      <c r="CW293" t="str">
        <f>HYPERLINK("http://pfam.sanger.ac.uk/family?acc=PF00935","3E-037")</f>
        <v>3E-037</v>
      </c>
      <c r="CX293" s="4" t="str">
        <f>HYPERLINK("http://exon.niaid.nih.gov/transcriptome/C_felis/S1/links/SMART/cf-contig_145-SMART.txt","B561")</f>
        <v>B561</v>
      </c>
      <c r="CY293" t="str">
        <f>HYPERLINK("http://smart.embl-heidelberg.de/smart/do_annotation.pl?DOMAIN=B561&amp;BLAST=DUMMY","0.016")</f>
        <v>0.016</v>
      </c>
      <c r="CZ293" s="4" t="s">
        <v>42</v>
      </c>
      <c r="DA293" t="s">
        <v>42</v>
      </c>
      <c r="DB293" t="s">
        <v>42</v>
      </c>
      <c r="DC293" t="s">
        <v>42</v>
      </c>
      <c r="DD293" t="s">
        <v>42</v>
      </c>
      <c r="DE293" t="s">
        <v>42</v>
      </c>
      <c r="DF293" t="s">
        <v>42</v>
      </c>
      <c r="DG293" t="s">
        <v>42</v>
      </c>
      <c r="DH293" s="4" t="s">
        <v>42</v>
      </c>
      <c r="DI293" t="s">
        <v>42</v>
      </c>
      <c r="DJ293" s="4" t="s">
        <v>42</v>
      </c>
      <c r="DK293" t="s">
        <v>42</v>
      </c>
      <c r="DL293" s="4">
        <f>HYPERLINK("http://exon.niaid.nih.gov/transcriptome/C_felis/S1/links/cluster/cf-5-36-asb30-50-Id-CLU43.txt", 43)</f>
        <v>43</v>
      </c>
      <c r="DM293">
        <f>HYPERLINK("http://exon.niaid.nih.gov/transcriptome/C_felis/S1/links/cluster/cf-5-36-asb30-50-Id-CLTL43.txt", 2)</f>
        <v>2</v>
      </c>
      <c r="DN293" s="4">
        <f>HYPERLINK("http://exon.niaid.nih.gov/transcriptome/C_felis/S1/links/cluster/cf-5-36-asb35-50-Id-CLU36.txt", 36)</f>
        <v>36</v>
      </c>
      <c r="DO293">
        <f>HYPERLINK("http://exon.niaid.nih.gov/transcriptome/C_felis/S1/links/cluster/cf-5-36-asb35-50-Id-CLTL36.txt", 2)</f>
        <v>2</v>
      </c>
      <c r="DP293" s="4">
        <f>HYPERLINK("http://exon.niaid.nih.gov/transcriptome/C_felis/S1/links/cluster/cf-5-36-asb40-50-Id-CLU34.txt", 34)</f>
        <v>34</v>
      </c>
      <c r="DQ293">
        <f>HYPERLINK("http://exon.niaid.nih.gov/transcriptome/C_felis/S1/links/cluster/cf-5-36-asb40-50-Id-CLTL34.txt", 2)</f>
        <v>2</v>
      </c>
      <c r="DR293" s="4">
        <f>HYPERLINK("http://exon.niaid.nih.gov/transcriptome/C_felis/S1/links/cluster/cf-5-36-asb45-50-Id-CLU32.txt", 32)</f>
        <v>32</v>
      </c>
      <c r="DS293">
        <f>HYPERLINK("http://exon.niaid.nih.gov/transcriptome/C_felis/S1/links/cluster/cf-5-36-asb45-50-Id-CLTL32.txt", 2)</f>
        <v>2</v>
      </c>
      <c r="DT293" s="4">
        <f>HYPERLINK("http://exon.niaid.nih.gov/transcriptome/C_felis/S1/links/cluster/cf-5-36-asb50-50-Id-CLU28.txt", 28)</f>
        <v>28</v>
      </c>
      <c r="DU293">
        <f>HYPERLINK("http://exon.niaid.nih.gov/transcriptome/C_felis/S1/links/cluster/cf-5-36-asb50-50-Id-CLTL28.txt", 2)</f>
        <v>2</v>
      </c>
      <c r="DV293" s="4">
        <f>HYPERLINK("http://exon.niaid.nih.gov/transcriptome/C_felis/S1/links/cluster/cf-5-36-asb55-50-Id-CLU26.txt", 26)</f>
        <v>26</v>
      </c>
      <c r="DW293">
        <f>HYPERLINK("http://exon.niaid.nih.gov/transcriptome/C_felis/S1/links/cluster/cf-5-36-asb55-50-Id-CLTL26.txt", 2)</f>
        <v>2</v>
      </c>
      <c r="DX293" s="4">
        <f>HYPERLINK("http://exon.niaid.nih.gov/transcriptome/C_felis/S1/links/cluster/cf-5-36-asb60-50-Id-CLU23.txt", 23)</f>
        <v>23</v>
      </c>
      <c r="DY293">
        <f>HYPERLINK("http://exon.niaid.nih.gov/transcriptome/C_felis/S1/links/cluster/cf-5-36-asb60-50-Id-CLTL23.txt", 2)</f>
        <v>2</v>
      </c>
      <c r="DZ293" s="4">
        <f>HYPERLINK("http://exon.niaid.nih.gov/transcriptome/C_felis/S1/links/cluster/cf-5-36-asb65-50-Id-CLU20.txt", 20)</f>
        <v>20</v>
      </c>
      <c r="EA293">
        <f>HYPERLINK("http://exon.niaid.nih.gov/transcriptome/C_felis/S1/links/cluster/cf-5-36-asb65-50-Id-CLTL20.txt", 2)</f>
        <v>2</v>
      </c>
      <c r="EB293" s="4">
        <f>HYPERLINK("http://exon.niaid.nih.gov/transcriptome/C_felis/S1/links/cluster/cf-5-36-asb70-50-Id-CLU15.txt", 15)</f>
        <v>15</v>
      </c>
      <c r="EC293">
        <f>HYPERLINK("http://exon.niaid.nih.gov/transcriptome/C_felis/S1/links/cluster/cf-5-36-asb70-50-Id-CLTL15.txt", 2)</f>
        <v>2</v>
      </c>
      <c r="ED293" s="4">
        <f>HYPERLINK("http://exon.niaid.nih.gov/transcriptome/C_felis/S1/links/cluster/cf-5-36-asb75-50-Id-CLU13.txt", 13)</f>
        <v>13</v>
      </c>
      <c r="EE293">
        <f>HYPERLINK("http://exon.niaid.nih.gov/transcriptome/C_felis/S1/links/cluster/cf-5-36-asb75-50-Id-CLTL13.txt", 2)</f>
        <v>2</v>
      </c>
      <c r="EF293" s="4">
        <f>HYPERLINK("http://exon.niaid.nih.gov/transcriptome/C_felis/S1/links/cluster/cf-5-36-asb80-50-Id-CLU10.txt", 10)</f>
        <v>10</v>
      </c>
      <c r="EG293">
        <f>HYPERLINK("http://exon.niaid.nih.gov/transcriptome/C_felis/S1/links/cluster/cf-5-36-asb80-50-Id-CLTL10.txt", 2)</f>
        <v>2</v>
      </c>
      <c r="EH293" s="4">
        <f>HYPERLINK("http://exon.niaid.nih.gov/transcriptome/C_felis/S1/links/cluster/cf-5-36-asb90-50-Id-CLU4.txt", 4)</f>
        <v>4</v>
      </c>
      <c r="EI293">
        <f>HYPERLINK("http://exon.niaid.nih.gov/transcriptome/C_felis/S1/links/cluster/cf-5-36-asb90-50-Id-CLTL4.txt", 2)</f>
        <v>2</v>
      </c>
      <c r="EJ293" s="4">
        <v>145</v>
      </c>
      <c r="EK293">
        <v>1</v>
      </c>
    </row>
    <row r="294" spans="1:141" x14ac:dyDescent="0.2">
      <c r="A294" t="str">
        <f>HYPERLINK("http://exon.niaid.nih.gov/transcriptome/C_felis/S1/links/cf/cf-contig_111.txt","cf-contig_111")</f>
        <v>cf-contig_111</v>
      </c>
      <c r="B294">
        <v>5</v>
      </c>
      <c r="C294" s="10" t="s">
        <v>4633</v>
      </c>
      <c r="D294">
        <v>5</v>
      </c>
      <c r="E294" t="str">
        <f>HYPERLINK("http://exon.niaid.nih.gov/transcriptome/C_felis/S1/links/cf/cf-5-36-asb-111.txt","Contig-111")</f>
        <v>Contig-111</v>
      </c>
      <c r="F294" t="str">
        <f>HYPERLINK("http://exon.niaid.nih.gov/transcriptome/C_felis/S1/links/cf/cf-5-36-111-CLU.txt","Contig111")</f>
        <v>Contig111</v>
      </c>
      <c r="G294" t="str">
        <f>HYPERLINK("http://exon.niaid.nih.gov/transcriptome/C_felis/S1/links/cf/cf-5-36-111-qual.txt","65.")</f>
        <v>65.</v>
      </c>
      <c r="H294">
        <v>0.1</v>
      </c>
      <c r="I294">
        <v>56.5</v>
      </c>
      <c r="J294">
        <v>479</v>
      </c>
      <c r="K294" t="s">
        <v>12</v>
      </c>
      <c r="L294">
        <v>5</v>
      </c>
      <c r="M294" t="s">
        <v>124</v>
      </c>
      <c r="N294">
        <v>481</v>
      </c>
      <c r="O294">
        <v>711</v>
      </c>
      <c r="P294">
        <v>411</v>
      </c>
      <c r="Q294" t="s">
        <v>931</v>
      </c>
      <c r="R294">
        <v>3</v>
      </c>
      <c r="S294" s="7" t="str">
        <f>HYPERLINK("http://exon.niaid.nih.gov/transcriptome/C_felis/S1/links/Sigp/CF-CONTIG_111-SigP.txt","Cyt")</f>
        <v>Cyt</v>
      </c>
      <c r="U294">
        <v>5</v>
      </c>
      <c r="V294" s="4">
        <v>124</v>
      </c>
      <c r="W294">
        <v>1</v>
      </c>
      <c r="X294" s="4">
        <v>119</v>
      </c>
      <c r="Y294">
        <v>1</v>
      </c>
      <c r="Z294" s="4">
        <v>116</v>
      </c>
      <c r="AA294">
        <v>1</v>
      </c>
      <c r="AB294" s="4" t="str">
        <f>HYPERLINK("http://exon.niaid.nih.gov/transcriptome/C_felis/S1/links/XC-ASB/cf-contig_111-XC-ASB.txt","XC-contig_26")</f>
        <v>XC-contig_26</v>
      </c>
      <c r="AC294">
        <v>2.0000000000000002E-5</v>
      </c>
      <c r="AD294" s="10" t="s">
        <v>4633</v>
      </c>
      <c r="AE294" t="s">
        <v>4605</v>
      </c>
      <c r="AF294" t="str">
        <f>HYPERLINK("http://exon.niaid.nih.gov/transcriptome/C_felis/S1/links/NR/cf-contig_111-NR.txt","NR")</f>
        <v>NR</v>
      </c>
      <c r="AG294" s="5">
        <v>5.9999999999999998E-38</v>
      </c>
      <c r="AH294">
        <v>33.4</v>
      </c>
      <c r="AI294" s="4" t="str">
        <f>HYPERLINK("http://exon.niaid.nih.gov/transcriptome/C_felis/S1/links/NR/cf-contig_111-NR.txt","ribosomal protein L4e")</f>
        <v>ribosomal protein L4e</v>
      </c>
      <c r="AJ294" t="str">
        <f>HYPERLINK("http://www.ncbi.nlm.nih.gov/sutils/blink.cgi?pid=70909603","6E-038")</f>
        <v>6E-038</v>
      </c>
      <c r="AK294" t="str">
        <f>HYPERLINK("http://www.ncbi.nlm.nih.gov/protein/70909603","gi|70909603")</f>
        <v>gi|70909603</v>
      </c>
      <c r="AL294">
        <v>162</v>
      </c>
      <c r="AM294">
        <v>133</v>
      </c>
      <c r="AN294">
        <v>404</v>
      </c>
      <c r="AO294">
        <v>64</v>
      </c>
      <c r="AP294">
        <v>33</v>
      </c>
      <c r="AQ294">
        <v>48</v>
      </c>
      <c r="AR294">
        <v>0</v>
      </c>
      <c r="AS294">
        <v>271</v>
      </c>
      <c r="AT294">
        <v>9</v>
      </c>
      <c r="AU294">
        <v>1</v>
      </c>
      <c r="AV294">
        <v>3</v>
      </c>
      <c r="AW294" t="s">
        <v>12</v>
      </c>
      <c r="AY294" t="s">
        <v>1676</v>
      </c>
      <c r="AZ294" t="s">
        <v>2088</v>
      </c>
      <c r="BA294" s="4" t="str">
        <f>HYPERLINK("http://exon.niaid.nih.gov/transcriptome/C_felis/S1/links/SWISSP/cf-contig_111-SWISSP.txt","60S ribosomal protein L4")</f>
        <v>60S ribosomal protein L4</v>
      </c>
      <c r="BB294" t="str">
        <f>HYPERLINK("http://www.uniprot.org/uniprot/P09180","2E-031")</f>
        <v>2E-031</v>
      </c>
      <c r="BC294" t="s">
        <v>2089</v>
      </c>
      <c r="BD294">
        <v>135</v>
      </c>
      <c r="BE294">
        <v>129</v>
      </c>
      <c r="BF294">
        <v>401</v>
      </c>
      <c r="BG294">
        <v>59</v>
      </c>
      <c r="BH294">
        <v>32</v>
      </c>
      <c r="BI294">
        <v>53</v>
      </c>
      <c r="BJ294">
        <v>3</v>
      </c>
      <c r="BK294">
        <v>271</v>
      </c>
      <c r="BL294">
        <v>9</v>
      </c>
      <c r="BM294">
        <v>1</v>
      </c>
      <c r="BN294">
        <v>3</v>
      </c>
      <c r="BO294" t="s">
        <v>12</v>
      </c>
      <c r="BQ294" t="s">
        <v>1676</v>
      </c>
      <c r="BR294" t="s">
        <v>1804</v>
      </c>
      <c r="BS294" s="4" t="str">
        <f>HYPERLINK("http://exon.niaid.nih.gov/transcriptome/C_felis/S1/links/CDD/cf-contig_111-CDD.txt","PLN00185")</f>
        <v>PLN00185</v>
      </c>
      <c r="BT294" t="str">
        <f>HYPERLINK("http://www.ncbi.nlm.nih.gov/Structure/cdd/cddsrv.cgi?uid=PLN00185&amp;version=v4.0","5E-024")</f>
        <v>5E-024</v>
      </c>
      <c r="BU294" t="s">
        <v>2090</v>
      </c>
      <c r="BV294" s="4" t="s">
        <v>2091</v>
      </c>
      <c r="BW294">
        <f>HYPERLINK("http://exon.niaid.nih.gov/transcriptome/C_felis/S1/links/GO/cf-contig_111-GO.txt",2E-31)</f>
        <v>2.0000000000000002E-31</v>
      </c>
      <c r="BX294" t="str">
        <f t="shared" si="29"/>
        <v>GO:0003735</v>
      </c>
      <c r="BY294" t="s">
        <v>1929</v>
      </c>
      <c r="BZ294" t="s">
        <v>1930</v>
      </c>
      <c r="CA294" t="s">
        <v>1931</v>
      </c>
      <c r="CB294" t="s">
        <v>42</v>
      </c>
      <c r="CD294" s="5">
        <v>2.0000000000000002E-31</v>
      </c>
      <c r="CE294" t="str">
        <f t="shared" si="31"/>
        <v>GO:0022625</v>
      </c>
      <c r="CF294" t="s">
        <v>1932</v>
      </c>
      <c r="CG294" t="s">
        <v>1933</v>
      </c>
      <c r="CH294" t="s">
        <v>1934</v>
      </c>
      <c r="CI294" t="s">
        <v>42</v>
      </c>
      <c r="CK294" s="5">
        <v>2.0000000000000002E-31</v>
      </c>
      <c r="CL294" t="str">
        <f t="shared" si="30"/>
        <v>GO:0006412</v>
      </c>
      <c r="CM294" t="s">
        <v>1935</v>
      </c>
      <c r="CN294" t="s">
        <v>1936</v>
      </c>
      <c r="CO294" t="s">
        <v>1937</v>
      </c>
      <c r="CP294" t="s">
        <v>42</v>
      </c>
      <c r="CR294" s="5">
        <v>2.0000000000000002E-31</v>
      </c>
      <c r="CS294" s="4" t="str">
        <f>HYPERLINK("http://exon.niaid.nih.gov/transcriptome/C_felis/S1/links/KOG/cf-contig_111-KOG.txt","Ribosomal protein RPL1/RPL2/RL4L4")</f>
        <v>Ribosomal protein RPL1/RPL2/RL4L4</v>
      </c>
      <c r="CT294" t="str">
        <f>HYPERLINK("http://www.ncbi.nlm.nih.gov/COG/grace/shokog.cgi?KOG1475","4E-012")</f>
        <v>4E-012</v>
      </c>
      <c r="CU294" t="s">
        <v>1817</v>
      </c>
      <c r="CV294" s="4" t="str">
        <f>HYPERLINK("http://exon.niaid.nih.gov/transcriptome/C_felis/S1/links/PFAM/cf-contig_111-PFAM.txt","SRP-alpha_N")</f>
        <v>SRP-alpha_N</v>
      </c>
      <c r="CW294" t="str">
        <f>HYPERLINK("http://pfam.sanger.ac.uk/family?acc=PF04086","0.001")</f>
        <v>0.001</v>
      </c>
      <c r="CX294" s="4" t="str">
        <f>HYPERLINK("http://exon.niaid.nih.gov/transcriptome/C_felis/S1/links/SMART/cf-contig_111-SMART.txt","HTH_DTXR")</f>
        <v>HTH_DTXR</v>
      </c>
      <c r="CY294" t="str">
        <f>HYPERLINK("http://smart.embl-heidelberg.de/smart/do_annotation.pl?DOMAIN=HTH_DTXR&amp;BLAST=DUMMY","0.28")</f>
        <v>0.28</v>
      </c>
      <c r="CZ294" s="4" t="s">
        <v>42</v>
      </c>
      <c r="DA294" t="s">
        <v>42</v>
      </c>
      <c r="DB294" t="s">
        <v>42</v>
      </c>
      <c r="DC294" t="s">
        <v>42</v>
      </c>
      <c r="DD294" t="s">
        <v>42</v>
      </c>
      <c r="DE294" t="s">
        <v>42</v>
      </c>
      <c r="DF294" t="s">
        <v>42</v>
      </c>
      <c r="DG294" t="s">
        <v>42</v>
      </c>
      <c r="DH294" s="4" t="s">
        <v>42</v>
      </c>
      <c r="DI294" t="s">
        <v>42</v>
      </c>
      <c r="DJ294" s="4" t="s">
        <v>42</v>
      </c>
      <c r="DK294" t="s">
        <v>42</v>
      </c>
      <c r="DL294" s="4">
        <v>124</v>
      </c>
      <c r="DM294">
        <v>1</v>
      </c>
      <c r="DN294" s="4">
        <v>119</v>
      </c>
      <c r="DO294">
        <v>1</v>
      </c>
      <c r="DP294" s="4">
        <v>116</v>
      </c>
      <c r="DQ294">
        <v>1</v>
      </c>
      <c r="DR294" s="4">
        <v>107</v>
      </c>
      <c r="DS294">
        <v>1</v>
      </c>
      <c r="DT294" s="4">
        <v>105</v>
      </c>
      <c r="DU294">
        <v>1</v>
      </c>
      <c r="DV294" s="4">
        <v>114</v>
      </c>
      <c r="DW294">
        <v>1</v>
      </c>
      <c r="DX294" s="4">
        <v>116</v>
      </c>
      <c r="DY294">
        <v>1</v>
      </c>
      <c r="DZ294" s="4">
        <v>115</v>
      </c>
      <c r="EA294">
        <v>1</v>
      </c>
      <c r="EB294" s="4">
        <v>115</v>
      </c>
      <c r="EC294">
        <v>1</v>
      </c>
      <c r="ED294" s="4">
        <v>116</v>
      </c>
      <c r="EE294">
        <v>1</v>
      </c>
      <c r="EF294" s="4">
        <v>113</v>
      </c>
      <c r="EG294">
        <v>1</v>
      </c>
      <c r="EH294" s="4">
        <v>110</v>
      </c>
      <c r="EI294">
        <v>1</v>
      </c>
      <c r="EJ294" s="4">
        <v>111</v>
      </c>
      <c r="EK294">
        <v>1</v>
      </c>
    </row>
    <row r="295" spans="1:141" x14ac:dyDescent="0.2">
      <c r="A295" t="str">
        <f>HYPERLINK("http://exon.niaid.nih.gov/transcriptome/C_felis/S1/links/cf/cf-contig_285.txt","cf-contig_285")</f>
        <v>cf-contig_285</v>
      </c>
      <c r="B295">
        <v>1</v>
      </c>
      <c r="C295" s="10" t="s">
        <v>4718</v>
      </c>
      <c r="D295">
        <v>1</v>
      </c>
      <c r="E295" t="str">
        <f>HYPERLINK("http://exon.niaid.nih.gov/transcriptome/C_felis/S1/links/cf/cf-5-36-asb-285.txt","Contig-285")</f>
        <v>Contig-285</v>
      </c>
      <c r="F295" t="str">
        <f>HYPERLINK("http://exon.niaid.nih.gov/transcriptome/C_felis/S1/links/cf/cf-5-36-285-CLU.txt","Contig285")</f>
        <v>Contig285</v>
      </c>
      <c r="G295" t="str">
        <f>HYPERLINK("http://exon.niaid.nih.gov/transcriptome/C_felis/S1/links/cf/cf-5-36-285-qual.txt","60.3")</f>
        <v>60.3</v>
      </c>
      <c r="H295" t="s">
        <v>11</v>
      </c>
      <c r="I295">
        <v>72.3</v>
      </c>
      <c r="J295">
        <v>140</v>
      </c>
      <c r="K295" t="s">
        <v>12</v>
      </c>
      <c r="L295">
        <v>1</v>
      </c>
      <c r="M295" t="s">
        <v>298</v>
      </c>
      <c r="N295">
        <v>140</v>
      </c>
      <c r="O295">
        <v>159</v>
      </c>
      <c r="P295">
        <v>114</v>
      </c>
      <c r="Q295" t="s">
        <v>1105</v>
      </c>
      <c r="R295">
        <v>2</v>
      </c>
      <c r="S295" s="7" t="s">
        <v>4585</v>
      </c>
      <c r="U295">
        <v>1</v>
      </c>
      <c r="V295" s="4">
        <f>HYPERLINK("http://exon.niaid.nih.gov/transcriptome/C_felis/S1/links/cluster/cf-5-36-asb30-50-Id-CLU62.txt", 62)</f>
        <v>62</v>
      </c>
      <c r="W295">
        <f>HYPERLINK("http://exon.niaid.nih.gov/transcriptome/C_felis/S1/links/cluster/cf-5-36-asb30-50-Id-CLTL62.txt", 2)</f>
        <v>2</v>
      </c>
      <c r="X295" s="4">
        <f>HYPERLINK("http://exon.niaid.nih.gov/transcriptome/C_felis/S1/links/cluster/cf-5-36-asb35-50-Id-CLU55.txt", 55)</f>
        <v>55</v>
      </c>
      <c r="Y295">
        <f>HYPERLINK("http://exon.niaid.nih.gov/transcriptome/C_felis/S1/links/cluster/cf-5-36-asb35-50-Id-CLTL55.txt", 2)</f>
        <v>2</v>
      </c>
      <c r="Z295" s="4">
        <f>HYPERLINK("http://exon.niaid.nih.gov/transcriptome/C_felis/S1/links/cluster/cf-5-36-asb40-50-Id-CLU51.txt", 51)</f>
        <v>51</v>
      </c>
      <c r="AA295">
        <f>HYPERLINK("http://exon.niaid.nih.gov/transcriptome/C_felis/S1/links/cluster/cf-5-36-asb40-50-Id-CLTL51.txt", 2)</f>
        <v>2</v>
      </c>
      <c r="AB295" s="4" t="str">
        <f>HYPERLINK("http://exon.niaid.nih.gov/transcriptome/C_felis/S1/links/XC-ASB/cf-contig_285-XC-ASB.txt","XC-contig_64")</f>
        <v>XC-contig_64</v>
      </c>
      <c r="AC295">
        <v>5.5E-2</v>
      </c>
      <c r="AD295" s="10" t="s">
        <v>4718</v>
      </c>
      <c r="AE295" t="s">
        <v>4605</v>
      </c>
      <c r="AF295" t="str">
        <f>HYPERLINK("http://exon.niaid.nih.gov/transcriptome/C_felis/S1/links/PFAM/cf-contig_285-PFAM.txt","PFAM")</f>
        <v>PFAM</v>
      </c>
      <c r="AG295">
        <v>2.0000000000000001E-9</v>
      </c>
      <c r="AH295">
        <v>27.7</v>
      </c>
      <c r="AI295" s="4" t="str">
        <f>HYPERLINK("http://exon.niaid.nih.gov/transcriptome/C_felis/S1/links/NR/cf-contig_285-NR.txt","60S ribosomal protein L6")</f>
        <v>60S ribosomal protein L6</v>
      </c>
      <c r="AJ295" t="str">
        <f>HYPERLINK("http://www.ncbi.nlm.nih.gov/sutils/blink.cgi?pid=332026913","3E-008")</f>
        <v>3E-008</v>
      </c>
      <c r="AK295" t="str">
        <f>HYPERLINK("http://www.ncbi.nlm.nih.gov/protein/332026913","gi|332026913")</f>
        <v>gi|332026913</v>
      </c>
      <c r="AL295">
        <v>62</v>
      </c>
      <c r="AM295">
        <v>29</v>
      </c>
      <c r="AN295">
        <v>303</v>
      </c>
      <c r="AO295">
        <v>90</v>
      </c>
      <c r="AP295">
        <v>10</v>
      </c>
      <c r="AQ295">
        <v>3</v>
      </c>
      <c r="AR295">
        <v>0</v>
      </c>
      <c r="AS295">
        <v>274</v>
      </c>
      <c r="AT295">
        <v>6</v>
      </c>
      <c r="AU295">
        <v>1</v>
      </c>
      <c r="AV295">
        <v>3</v>
      </c>
      <c r="AW295" t="s">
        <v>12</v>
      </c>
      <c r="AY295" t="s">
        <v>1676</v>
      </c>
      <c r="AZ295" t="s">
        <v>1900</v>
      </c>
      <c r="BA295" s="4" t="str">
        <f>HYPERLINK("http://exon.niaid.nih.gov/transcriptome/C_felis/S1/links/SWISSP/cf-contig_285-SWISSP.txt","60S ribosomal protein L6")</f>
        <v>60S ribosomal protein L6</v>
      </c>
      <c r="BB295" t="str">
        <f>HYPERLINK("http://www.uniprot.org/uniprot/P47991","1E-004")</f>
        <v>1E-004</v>
      </c>
      <c r="BC295" t="s">
        <v>2677</v>
      </c>
      <c r="BD295">
        <v>45.1</v>
      </c>
      <c r="BE295">
        <v>29</v>
      </c>
      <c r="BF295">
        <v>217</v>
      </c>
      <c r="BG295">
        <v>56</v>
      </c>
      <c r="BH295">
        <v>14</v>
      </c>
      <c r="BI295">
        <v>13</v>
      </c>
      <c r="BJ295">
        <v>0</v>
      </c>
      <c r="BK295">
        <v>188</v>
      </c>
      <c r="BL295">
        <v>6</v>
      </c>
      <c r="BM295">
        <v>1</v>
      </c>
      <c r="BN295">
        <v>3</v>
      </c>
      <c r="BO295" t="s">
        <v>12</v>
      </c>
      <c r="BQ295" t="s">
        <v>1676</v>
      </c>
      <c r="BR295" t="s">
        <v>1735</v>
      </c>
      <c r="BS295" s="4" t="str">
        <f>HYPERLINK("http://exon.niaid.nih.gov/transcriptome/C_felis/S1/links/CDD/cf-contig_285-CDD.txt","Ribosomal_L6e")</f>
        <v>Ribosomal_L6e</v>
      </c>
      <c r="BT295" t="str">
        <f>HYPERLINK("http://www.ncbi.nlm.nih.gov/Structure/cdd/cddsrv.cgi?uid=pfam01159&amp;version=v4.0","7E-009")</f>
        <v>7E-009</v>
      </c>
      <c r="BU295" t="s">
        <v>2678</v>
      </c>
      <c r="BV295" s="4" t="s">
        <v>42</v>
      </c>
      <c r="BW295" t="s">
        <v>42</v>
      </c>
      <c r="BX295" t="s">
        <v>42</v>
      </c>
      <c r="BY295" t="s">
        <v>42</v>
      </c>
      <c r="BZ295" t="s">
        <v>42</v>
      </c>
      <c r="CA295" t="s">
        <v>42</v>
      </c>
      <c r="CB295" t="s">
        <v>42</v>
      </c>
      <c r="CC295" t="s">
        <v>42</v>
      </c>
      <c r="CD295" t="s">
        <v>42</v>
      </c>
      <c r="CE295" t="s">
        <v>42</v>
      </c>
      <c r="CF295" t="s">
        <v>42</v>
      </c>
      <c r="CG295" t="s">
        <v>42</v>
      </c>
      <c r="CH295" t="s">
        <v>42</v>
      </c>
      <c r="CI295" t="s">
        <v>42</v>
      </c>
      <c r="CJ295" t="s">
        <v>42</v>
      </c>
      <c r="CK295" t="s">
        <v>42</v>
      </c>
      <c r="CL295" t="s">
        <v>42</v>
      </c>
      <c r="CM295" t="s">
        <v>42</v>
      </c>
      <c r="CN295" t="s">
        <v>42</v>
      </c>
      <c r="CO295" t="s">
        <v>42</v>
      </c>
      <c r="CP295" t="s">
        <v>42</v>
      </c>
      <c r="CQ295" t="s">
        <v>42</v>
      </c>
      <c r="CR295" t="s">
        <v>42</v>
      </c>
      <c r="CS295" s="4" t="str">
        <f>HYPERLINK("http://exon.niaid.nih.gov/transcriptome/C_felis/S1/links/KOG/cf-contig_285-KOG.txt","60s ribosomal protein L6")</f>
        <v>60s ribosomal protein L6</v>
      </c>
      <c r="CT295" t="str">
        <f>HYPERLINK("http://www.ncbi.nlm.nih.gov/COG/grace/shokog.cgi?KOG1694","9E-004")</f>
        <v>9E-004</v>
      </c>
      <c r="CU295" t="s">
        <v>1707</v>
      </c>
      <c r="CV295" s="4" t="str">
        <f>HYPERLINK("http://exon.niaid.nih.gov/transcriptome/C_felis/S1/links/PFAM/cf-contig_285-PFAM.txt","Ribosomal_L6e")</f>
        <v>Ribosomal_L6e</v>
      </c>
      <c r="CW295" t="str">
        <f>HYPERLINK("http://pfam.sanger.ac.uk/family?acc=PF01159","2E-009")</f>
        <v>2E-009</v>
      </c>
      <c r="CX295" s="4" t="str">
        <f>HYPERLINK("http://exon.niaid.nih.gov/transcriptome/C_felis/S1/links/SMART/cf-contig_285-SMART.txt","ProRS-C_1")</f>
        <v>ProRS-C_1</v>
      </c>
      <c r="CY295" t="str">
        <f>HYPERLINK("http://smart.embl-heidelberg.de/smart/do_annotation.pl?DOMAIN=ProRS-C_1&amp;BLAST=DUMMY","0.15")</f>
        <v>0.15</v>
      </c>
      <c r="CZ295" s="4" t="s">
        <v>42</v>
      </c>
      <c r="DA295" t="s">
        <v>42</v>
      </c>
      <c r="DB295" t="s">
        <v>42</v>
      </c>
      <c r="DC295" t="s">
        <v>42</v>
      </c>
      <c r="DD295" t="s">
        <v>42</v>
      </c>
      <c r="DE295" t="s">
        <v>42</v>
      </c>
      <c r="DF295" t="s">
        <v>42</v>
      </c>
      <c r="DG295" t="s">
        <v>42</v>
      </c>
      <c r="DH295" s="4" t="s">
        <v>42</v>
      </c>
      <c r="DI295" t="s">
        <v>42</v>
      </c>
      <c r="DJ295" s="4" t="s">
        <v>42</v>
      </c>
      <c r="DK295" t="s">
        <v>42</v>
      </c>
      <c r="DL295" s="4">
        <f>HYPERLINK("http://exon.niaid.nih.gov/transcriptome/C_felis/S1/links/cluster/cf-5-36-asb30-50-Id-CLU62.txt", 62)</f>
        <v>62</v>
      </c>
      <c r="DM295">
        <f>HYPERLINK("http://exon.niaid.nih.gov/transcriptome/C_felis/S1/links/cluster/cf-5-36-asb30-50-Id-CLTL62.txt", 2)</f>
        <v>2</v>
      </c>
      <c r="DN295" s="4">
        <f>HYPERLINK("http://exon.niaid.nih.gov/transcriptome/C_felis/S1/links/cluster/cf-5-36-asb35-50-Id-CLU55.txt", 55)</f>
        <v>55</v>
      </c>
      <c r="DO295">
        <f>HYPERLINK("http://exon.niaid.nih.gov/transcriptome/C_felis/S1/links/cluster/cf-5-36-asb35-50-Id-CLTL55.txt", 2)</f>
        <v>2</v>
      </c>
      <c r="DP295" s="4">
        <f>HYPERLINK("http://exon.niaid.nih.gov/transcriptome/C_felis/S1/links/cluster/cf-5-36-asb40-50-Id-CLU51.txt", 51)</f>
        <v>51</v>
      </c>
      <c r="DQ295">
        <f>HYPERLINK("http://exon.niaid.nih.gov/transcriptome/C_felis/S1/links/cluster/cf-5-36-asb40-50-Id-CLTL51.txt", 2)</f>
        <v>2</v>
      </c>
      <c r="DR295" s="4">
        <f>HYPERLINK("http://exon.niaid.nih.gov/transcriptome/C_felis/S1/links/cluster/cf-5-36-asb45-50-Id-CLU42.txt", 42)</f>
        <v>42</v>
      </c>
      <c r="DS295">
        <f>HYPERLINK("http://exon.niaid.nih.gov/transcriptome/C_felis/S1/links/cluster/cf-5-36-asb45-50-Id-CLTL42.txt", 2)</f>
        <v>2</v>
      </c>
      <c r="DT295" s="4">
        <f>HYPERLINK("http://exon.niaid.nih.gov/transcriptome/C_felis/S1/links/cluster/cf-5-36-asb50-50-Id-CLU37.txt", 37)</f>
        <v>37</v>
      </c>
      <c r="DU295">
        <f>HYPERLINK("http://exon.niaid.nih.gov/transcriptome/C_felis/S1/links/cluster/cf-5-36-asb50-50-Id-CLTL37.txt", 2)</f>
        <v>2</v>
      </c>
      <c r="DV295" s="4">
        <f>HYPERLINK("http://exon.niaid.nih.gov/transcriptome/C_felis/S1/links/cluster/cf-5-36-asb55-50-Id-CLU34.txt", 34)</f>
        <v>34</v>
      </c>
      <c r="DW295">
        <f>HYPERLINK("http://exon.niaid.nih.gov/transcriptome/C_felis/S1/links/cluster/cf-5-36-asb55-50-Id-CLTL34.txt", 2)</f>
        <v>2</v>
      </c>
      <c r="DX295" s="4">
        <f>HYPERLINK("http://exon.niaid.nih.gov/transcriptome/C_felis/S1/links/cluster/cf-5-36-asb60-50-Id-CLU31.txt", 31)</f>
        <v>31</v>
      </c>
      <c r="DY295">
        <f>HYPERLINK("http://exon.niaid.nih.gov/transcriptome/C_felis/S1/links/cluster/cf-5-36-asb60-50-Id-CLTL31.txt", 2)</f>
        <v>2</v>
      </c>
      <c r="DZ295" s="4">
        <f>HYPERLINK("http://exon.niaid.nih.gov/transcriptome/C_felis/S1/links/cluster/cf-5-36-asb65-50-Id-CLU25.txt", 25)</f>
        <v>25</v>
      </c>
      <c r="EA295">
        <f>HYPERLINK("http://exon.niaid.nih.gov/transcriptome/C_felis/S1/links/cluster/cf-5-36-asb65-50-Id-CLTL25.txt", 2)</f>
        <v>2</v>
      </c>
      <c r="EB295" s="4">
        <f>HYPERLINK("http://exon.niaid.nih.gov/transcriptome/C_felis/S1/links/cluster/cf-5-36-asb70-50-Id-CLU20.txt", 20)</f>
        <v>20</v>
      </c>
      <c r="EC295">
        <f>HYPERLINK("http://exon.niaid.nih.gov/transcriptome/C_felis/S1/links/cluster/cf-5-36-asb70-50-Id-CLTL20.txt", 2)</f>
        <v>2</v>
      </c>
      <c r="ED295" s="4">
        <f>HYPERLINK("http://exon.niaid.nih.gov/transcriptome/C_felis/S1/links/cluster/cf-5-36-asb75-50-Id-CLU17.txt", 17)</f>
        <v>17</v>
      </c>
      <c r="EE295">
        <f>HYPERLINK("http://exon.niaid.nih.gov/transcriptome/C_felis/S1/links/cluster/cf-5-36-asb75-50-Id-CLTL17.txt", 2)</f>
        <v>2</v>
      </c>
      <c r="EF295" s="4">
        <f>HYPERLINK("http://exon.niaid.nih.gov/transcriptome/C_felis/S1/links/cluster/cf-5-36-asb80-50-Id-CLU278.txt", 278)</f>
        <v>278</v>
      </c>
      <c r="EG295">
        <f>HYPERLINK("http://exon.niaid.nih.gov/transcriptome/C_felis/S1/links/cluster/cf-5-36-asb80-50-Id-CLTL278.txt", 1)</f>
        <v>1</v>
      </c>
      <c r="EH295" s="4">
        <v>280</v>
      </c>
      <c r="EI295">
        <v>1</v>
      </c>
      <c r="EJ295" s="4">
        <v>285</v>
      </c>
      <c r="EK295">
        <v>1</v>
      </c>
    </row>
    <row r="296" spans="1:141" x14ac:dyDescent="0.2">
      <c r="A296" t="str">
        <f>HYPERLINK("http://exon.niaid.nih.gov/transcriptome/C_felis/S1/links/cf/cf-contig_729.txt","cf-contig_729")</f>
        <v>cf-contig_729</v>
      </c>
      <c r="B296">
        <v>1</v>
      </c>
      <c r="C296" s="10" t="s">
        <v>4718</v>
      </c>
      <c r="D296">
        <v>1</v>
      </c>
      <c r="E296" t="str">
        <f>HYPERLINK("http://exon.niaid.nih.gov/transcriptome/C_felis/S1/links/cf/cf-5-36-asb-729.txt","Contig-729")</f>
        <v>Contig-729</v>
      </c>
      <c r="F296" t="str">
        <f>HYPERLINK("http://exon.niaid.nih.gov/transcriptome/C_felis/S1/links/cf/cf-5-36-729-CLU.txt","Contig729")</f>
        <v>Contig729</v>
      </c>
      <c r="G296" t="str">
        <f>HYPERLINK("http://exon.niaid.nih.gov/transcriptome/C_felis/S1/links/cf/cf-5-36-729-qual.txt","58.2")</f>
        <v>58.2</v>
      </c>
      <c r="H296" t="s">
        <v>11</v>
      </c>
      <c r="I296">
        <v>68.099999999999994</v>
      </c>
      <c r="J296">
        <v>144</v>
      </c>
      <c r="K296" t="s">
        <v>12</v>
      </c>
      <c r="L296">
        <v>1</v>
      </c>
      <c r="M296" t="s">
        <v>742</v>
      </c>
      <c r="N296">
        <v>144</v>
      </c>
      <c r="O296">
        <v>163</v>
      </c>
      <c r="P296">
        <v>126</v>
      </c>
      <c r="Q296" t="s">
        <v>1548</v>
      </c>
      <c r="R296">
        <v>1</v>
      </c>
      <c r="S296" s="7" t="s">
        <v>4585</v>
      </c>
      <c r="U296">
        <v>1</v>
      </c>
      <c r="V296" s="4">
        <f>HYPERLINK("http://exon.niaid.nih.gov/transcriptome/C_felis/S1/links/cluster/cf-5-36-asb30-50-Id-CLU62.txt", 62)</f>
        <v>62</v>
      </c>
      <c r="W296">
        <f>HYPERLINK("http://exon.niaid.nih.gov/transcriptome/C_felis/S1/links/cluster/cf-5-36-asb30-50-Id-CLTL62.txt", 2)</f>
        <v>2</v>
      </c>
      <c r="X296" s="4">
        <f>HYPERLINK("http://exon.niaid.nih.gov/transcriptome/C_felis/S1/links/cluster/cf-5-36-asb35-50-Id-CLU55.txt", 55)</f>
        <v>55</v>
      </c>
      <c r="Y296">
        <f>HYPERLINK("http://exon.niaid.nih.gov/transcriptome/C_felis/S1/links/cluster/cf-5-36-asb35-50-Id-CLTL55.txt", 2)</f>
        <v>2</v>
      </c>
      <c r="Z296" s="4">
        <f>HYPERLINK("http://exon.niaid.nih.gov/transcriptome/C_felis/S1/links/cluster/cf-5-36-asb40-50-Id-CLU51.txt", 51)</f>
        <v>51</v>
      </c>
      <c r="AA296">
        <f>HYPERLINK("http://exon.niaid.nih.gov/transcriptome/C_felis/S1/links/cluster/cf-5-36-asb40-50-Id-CLTL51.txt", 2)</f>
        <v>2</v>
      </c>
      <c r="AB296" s="4" t="str">
        <f>HYPERLINK("http://exon.niaid.nih.gov/transcriptome/C_felis/S1/links/XC-ASB/cf-contig_729-XC-ASB.txt","XC-contig_64")</f>
        <v>XC-contig_64</v>
      </c>
      <c r="AC296">
        <v>5.8999999999999997E-2</v>
      </c>
      <c r="AD296" s="10" t="s">
        <v>4718</v>
      </c>
      <c r="AE296" t="s">
        <v>4605</v>
      </c>
      <c r="AF296" t="str">
        <f>HYPERLINK("http://exon.niaid.nih.gov/transcriptome/C_felis/S1/links/PFAM/cf-contig_729-PFAM.txt","PFAM")</f>
        <v>PFAM</v>
      </c>
      <c r="AG296">
        <v>1E-10</v>
      </c>
      <c r="AH296">
        <v>29.6</v>
      </c>
      <c r="AI296" s="4" t="str">
        <f>HYPERLINK("http://exon.niaid.nih.gov/transcriptome/C_felis/S1/links/NR/cf-contig_729-NR.txt","60S ribosomal protein L6")</f>
        <v>60S ribosomal protein L6</v>
      </c>
      <c r="AJ296" t="str">
        <f>HYPERLINK("http://www.ncbi.nlm.nih.gov/sutils/blink.cgi?pid=332026913","9E-009")</f>
        <v>9E-009</v>
      </c>
      <c r="AK296" t="str">
        <f>HYPERLINK("http://www.ncbi.nlm.nih.gov/protein/332026913","gi|332026913")</f>
        <v>gi|332026913</v>
      </c>
      <c r="AL296">
        <v>63.9</v>
      </c>
      <c r="AM296">
        <v>31</v>
      </c>
      <c r="AN296">
        <v>303</v>
      </c>
      <c r="AO296">
        <v>87</v>
      </c>
      <c r="AP296">
        <v>11</v>
      </c>
      <c r="AQ296">
        <v>4</v>
      </c>
      <c r="AR296">
        <v>0</v>
      </c>
      <c r="AS296">
        <v>272</v>
      </c>
      <c r="AT296">
        <v>11</v>
      </c>
      <c r="AU296">
        <v>1</v>
      </c>
      <c r="AV296">
        <v>2</v>
      </c>
      <c r="AW296" t="s">
        <v>12</v>
      </c>
      <c r="AY296" t="s">
        <v>1676</v>
      </c>
      <c r="AZ296" t="s">
        <v>1900</v>
      </c>
      <c r="BA296" s="4" t="str">
        <f>HYPERLINK("http://exon.niaid.nih.gov/transcriptome/C_felis/S1/links/SWISSP/cf-contig_729-SWISSP.txt","60S ribosomal protein L6")</f>
        <v>60S ribosomal protein L6</v>
      </c>
      <c r="BB296" t="str">
        <f>HYPERLINK("http://www.uniprot.org/uniprot/P47991","4E-005")</f>
        <v>4E-005</v>
      </c>
      <c r="BC296" t="s">
        <v>2677</v>
      </c>
      <c r="BD296">
        <v>47</v>
      </c>
      <c r="BE296">
        <v>31</v>
      </c>
      <c r="BF296">
        <v>217</v>
      </c>
      <c r="BG296">
        <v>56</v>
      </c>
      <c r="BH296">
        <v>15</v>
      </c>
      <c r="BI296">
        <v>14</v>
      </c>
      <c r="BJ296">
        <v>0</v>
      </c>
      <c r="BK296">
        <v>186</v>
      </c>
      <c r="BL296">
        <v>11</v>
      </c>
      <c r="BM296">
        <v>1</v>
      </c>
      <c r="BN296">
        <v>2</v>
      </c>
      <c r="BO296" t="s">
        <v>12</v>
      </c>
      <c r="BQ296" t="s">
        <v>1676</v>
      </c>
      <c r="BR296" t="s">
        <v>1735</v>
      </c>
      <c r="BS296" s="4" t="str">
        <f>HYPERLINK("http://exon.niaid.nih.gov/transcriptome/C_felis/S1/links/CDD/cf-contig_729-CDD.txt","Ribosomal_L6e")</f>
        <v>Ribosomal_L6e</v>
      </c>
      <c r="BT296" t="str">
        <f>HYPERLINK("http://www.ncbi.nlm.nih.gov/Structure/cdd/cddsrv.cgi?uid=pfam01159&amp;version=v4.0","6E-010")</f>
        <v>6E-010</v>
      </c>
      <c r="BU296" t="s">
        <v>4316</v>
      </c>
      <c r="BV296" s="4" t="s">
        <v>4317</v>
      </c>
      <c r="BW296">
        <f>HYPERLINK("http://exon.niaid.nih.gov/transcriptome/C_felis/S1/links/GO/cf-contig_729-GO.txt",0.00003)</f>
        <v>3.0000000000000001E-5</v>
      </c>
      <c r="BX296" t="str">
        <f>HYPERLINK("http://amigo.geneontology.org/cgi-bin/amigo/term_details?term=GO:0003735","GO:0003735")</f>
        <v>GO:0003735</v>
      </c>
      <c r="BY296" t="s">
        <v>1929</v>
      </c>
      <c r="BZ296" t="s">
        <v>1930</v>
      </c>
      <c r="CA296" t="s">
        <v>1931</v>
      </c>
      <c r="CB296" t="s">
        <v>42</v>
      </c>
      <c r="CD296">
        <v>3.0000000000000001E-5</v>
      </c>
      <c r="CE296" t="str">
        <f>HYPERLINK("http://amigo.geneontology.org/cgi-bin/amigo/term_details?term=GO:0005622","GO:0005622")</f>
        <v>GO:0005622</v>
      </c>
      <c r="CF296" t="s">
        <v>2085</v>
      </c>
      <c r="CG296" t="s">
        <v>2086</v>
      </c>
      <c r="CH296" t="s">
        <v>2087</v>
      </c>
      <c r="CI296" t="s">
        <v>42</v>
      </c>
      <c r="CK296">
        <v>3.0000000000000001E-5</v>
      </c>
      <c r="CL296" t="str">
        <f>HYPERLINK("http://amigo.geneontology.org/cgi-bin/amigo/term_details?term=GO:0006412","GO:0006412")</f>
        <v>GO:0006412</v>
      </c>
      <c r="CM296" t="s">
        <v>1935</v>
      </c>
      <c r="CN296" t="s">
        <v>1936</v>
      </c>
      <c r="CO296" t="s">
        <v>1937</v>
      </c>
      <c r="CP296" t="s">
        <v>42</v>
      </c>
      <c r="CR296">
        <v>3.0000000000000001E-5</v>
      </c>
      <c r="CS296" s="4" t="str">
        <f>HYPERLINK("http://exon.niaid.nih.gov/transcriptome/C_felis/S1/links/KOG/cf-contig_729-KOG.txt","60s ribosomal protein L6")</f>
        <v>60s ribosomal protein L6</v>
      </c>
      <c r="CT296" t="str">
        <f>HYPERLINK("http://www.ncbi.nlm.nih.gov/COG/grace/shokog.cgi?KOG1694","2E-004")</f>
        <v>2E-004</v>
      </c>
      <c r="CU296" t="s">
        <v>1707</v>
      </c>
      <c r="CV296" s="4" t="str">
        <f>HYPERLINK("http://exon.niaid.nih.gov/transcriptome/C_felis/S1/links/PFAM/cf-contig_729-PFAM.txt","Ribosomal_L6e")</f>
        <v>Ribosomal_L6e</v>
      </c>
      <c r="CW296" t="str">
        <f>HYPERLINK("http://pfam.sanger.ac.uk/family?acc=PF01159","1E-010")</f>
        <v>1E-010</v>
      </c>
      <c r="CX296" s="4" t="str">
        <f>HYPERLINK("http://exon.niaid.nih.gov/transcriptome/C_felis/S1/links/SMART/cf-contig_729-SMART.txt","ProRS-C_1")</f>
        <v>ProRS-C_1</v>
      </c>
      <c r="CY296" t="str">
        <f>HYPERLINK("http://smart.embl-heidelberg.de/smart/do_annotation.pl?DOMAIN=ProRS-C_1&amp;BLAST=DUMMY","0.16")</f>
        <v>0.16</v>
      </c>
      <c r="CZ296" s="4" t="s">
        <v>42</v>
      </c>
      <c r="DA296" t="s">
        <v>42</v>
      </c>
      <c r="DB296" t="s">
        <v>42</v>
      </c>
      <c r="DC296" t="s">
        <v>42</v>
      </c>
      <c r="DD296" t="s">
        <v>42</v>
      </c>
      <c r="DE296" t="s">
        <v>42</v>
      </c>
      <c r="DF296" t="s">
        <v>42</v>
      </c>
      <c r="DG296" t="s">
        <v>42</v>
      </c>
      <c r="DH296" s="4" t="s">
        <v>42</v>
      </c>
      <c r="DI296" t="s">
        <v>42</v>
      </c>
      <c r="DJ296" s="4" t="s">
        <v>42</v>
      </c>
      <c r="DK296" t="s">
        <v>42</v>
      </c>
      <c r="DL296" s="4">
        <f>HYPERLINK("http://exon.niaid.nih.gov/transcriptome/C_felis/S1/links/cluster/cf-5-36-asb30-50-Id-CLU62.txt", 62)</f>
        <v>62</v>
      </c>
      <c r="DM296">
        <f>HYPERLINK("http://exon.niaid.nih.gov/transcriptome/C_felis/S1/links/cluster/cf-5-36-asb30-50-Id-CLTL62.txt", 2)</f>
        <v>2</v>
      </c>
      <c r="DN296" s="4">
        <f>HYPERLINK("http://exon.niaid.nih.gov/transcriptome/C_felis/S1/links/cluster/cf-5-36-asb35-50-Id-CLU55.txt", 55)</f>
        <v>55</v>
      </c>
      <c r="DO296">
        <f>HYPERLINK("http://exon.niaid.nih.gov/transcriptome/C_felis/S1/links/cluster/cf-5-36-asb35-50-Id-CLTL55.txt", 2)</f>
        <v>2</v>
      </c>
      <c r="DP296" s="4">
        <f>HYPERLINK("http://exon.niaid.nih.gov/transcriptome/C_felis/S1/links/cluster/cf-5-36-asb40-50-Id-CLU51.txt", 51)</f>
        <v>51</v>
      </c>
      <c r="DQ296">
        <f>HYPERLINK("http://exon.niaid.nih.gov/transcriptome/C_felis/S1/links/cluster/cf-5-36-asb40-50-Id-CLTL51.txt", 2)</f>
        <v>2</v>
      </c>
      <c r="DR296" s="4">
        <f>HYPERLINK("http://exon.niaid.nih.gov/transcriptome/C_felis/S1/links/cluster/cf-5-36-asb45-50-Id-CLU42.txt", 42)</f>
        <v>42</v>
      </c>
      <c r="DS296">
        <f>HYPERLINK("http://exon.niaid.nih.gov/transcriptome/C_felis/S1/links/cluster/cf-5-36-asb45-50-Id-CLTL42.txt", 2)</f>
        <v>2</v>
      </c>
      <c r="DT296" s="4">
        <f>HYPERLINK("http://exon.niaid.nih.gov/transcriptome/C_felis/S1/links/cluster/cf-5-36-asb50-50-Id-CLU37.txt", 37)</f>
        <v>37</v>
      </c>
      <c r="DU296">
        <f>HYPERLINK("http://exon.niaid.nih.gov/transcriptome/C_felis/S1/links/cluster/cf-5-36-asb50-50-Id-CLTL37.txt", 2)</f>
        <v>2</v>
      </c>
      <c r="DV296" s="4">
        <f>HYPERLINK("http://exon.niaid.nih.gov/transcriptome/C_felis/S1/links/cluster/cf-5-36-asb55-50-Id-CLU34.txt", 34)</f>
        <v>34</v>
      </c>
      <c r="DW296">
        <f>HYPERLINK("http://exon.niaid.nih.gov/transcriptome/C_felis/S1/links/cluster/cf-5-36-asb55-50-Id-CLTL34.txt", 2)</f>
        <v>2</v>
      </c>
      <c r="DX296" s="4">
        <f>HYPERLINK("http://exon.niaid.nih.gov/transcriptome/C_felis/S1/links/cluster/cf-5-36-asb60-50-Id-CLU31.txt", 31)</f>
        <v>31</v>
      </c>
      <c r="DY296">
        <f>HYPERLINK("http://exon.niaid.nih.gov/transcriptome/C_felis/S1/links/cluster/cf-5-36-asb60-50-Id-CLTL31.txt", 2)</f>
        <v>2</v>
      </c>
      <c r="DZ296" s="4">
        <f>HYPERLINK("http://exon.niaid.nih.gov/transcriptome/C_felis/S1/links/cluster/cf-5-36-asb65-50-Id-CLU25.txt", 25)</f>
        <v>25</v>
      </c>
      <c r="EA296">
        <f>HYPERLINK("http://exon.niaid.nih.gov/transcriptome/C_felis/S1/links/cluster/cf-5-36-asb65-50-Id-CLTL25.txt", 2)</f>
        <v>2</v>
      </c>
      <c r="EB296" s="4">
        <f>HYPERLINK("http://exon.niaid.nih.gov/transcriptome/C_felis/S1/links/cluster/cf-5-36-asb70-50-Id-CLU20.txt", 20)</f>
        <v>20</v>
      </c>
      <c r="EC296">
        <f>HYPERLINK("http://exon.niaid.nih.gov/transcriptome/C_felis/S1/links/cluster/cf-5-36-asb70-50-Id-CLTL20.txt", 2)</f>
        <v>2</v>
      </c>
      <c r="ED296" s="4">
        <f>HYPERLINK("http://exon.niaid.nih.gov/transcriptome/C_felis/S1/links/cluster/cf-5-36-asb75-50-Id-CLU17.txt", 17)</f>
        <v>17</v>
      </c>
      <c r="EE296">
        <f>HYPERLINK("http://exon.niaid.nih.gov/transcriptome/C_felis/S1/links/cluster/cf-5-36-asb75-50-Id-CLTL17.txt", 2)</f>
        <v>2</v>
      </c>
      <c r="EF296" s="4">
        <f>HYPERLINK("http://exon.niaid.nih.gov/transcriptome/C_felis/S1/links/cluster/cf-5-36-asb80-50-Id-CLU19.txt", 19)</f>
        <v>19</v>
      </c>
      <c r="EG296">
        <f>HYPERLINK("http://exon.niaid.nih.gov/transcriptome/C_felis/S1/links/cluster/cf-5-36-asb80-50-Id-CLTL19.txt", 2)</f>
        <v>2</v>
      </c>
      <c r="EH296" s="4">
        <v>720</v>
      </c>
      <c r="EI296">
        <v>1</v>
      </c>
      <c r="EJ296" s="4">
        <v>729</v>
      </c>
      <c r="EK296">
        <v>1</v>
      </c>
    </row>
    <row r="297" spans="1:141" x14ac:dyDescent="0.2">
      <c r="A297" t="str">
        <f>HYPERLINK("http://exon.niaid.nih.gov/transcriptome/C_felis/S1/links/cf/cf-contig_289.txt","cf-contig_289")</f>
        <v>cf-contig_289</v>
      </c>
      <c r="B297">
        <v>1</v>
      </c>
      <c r="C297" s="10" t="s">
        <v>4720</v>
      </c>
      <c r="D297">
        <v>1</v>
      </c>
      <c r="E297" t="str">
        <f>HYPERLINK("http://exon.niaid.nih.gov/transcriptome/C_felis/S1/links/cf/cf-5-36-asb-289.txt","Contig-289")</f>
        <v>Contig-289</v>
      </c>
      <c r="F297" t="str">
        <f>HYPERLINK("http://exon.niaid.nih.gov/transcriptome/C_felis/S1/links/cf/cf-5-36-289-CLU.txt","Contig289")</f>
        <v>Contig289</v>
      </c>
      <c r="G297" t="str">
        <f>HYPERLINK("http://exon.niaid.nih.gov/transcriptome/C_felis/S1/links/cf/cf-5-36-289-qual.txt","63.8")</f>
        <v>63.8</v>
      </c>
      <c r="H297" t="s">
        <v>11</v>
      </c>
      <c r="I297">
        <v>53.3</v>
      </c>
      <c r="J297">
        <v>476</v>
      </c>
      <c r="K297" t="s">
        <v>12</v>
      </c>
      <c r="L297">
        <v>1</v>
      </c>
      <c r="M297" t="s">
        <v>302</v>
      </c>
      <c r="N297">
        <v>476</v>
      </c>
      <c r="O297">
        <v>495</v>
      </c>
      <c r="P297">
        <v>417</v>
      </c>
      <c r="Q297" t="s">
        <v>1109</v>
      </c>
      <c r="R297">
        <v>1</v>
      </c>
      <c r="S297" s="7" t="str">
        <f>HYPERLINK("http://exon.niaid.nih.gov/transcriptome/C_felis/S1/links/Sigp/CF-CONTIG_289-SigP.txt","Cyt")</f>
        <v>Cyt</v>
      </c>
      <c r="U297">
        <v>1</v>
      </c>
      <c r="V297" s="4">
        <v>232</v>
      </c>
      <c r="W297">
        <v>1</v>
      </c>
      <c r="X297" s="4">
        <v>237</v>
      </c>
      <c r="Y297">
        <v>1</v>
      </c>
      <c r="Z297" s="4">
        <v>236</v>
      </c>
      <c r="AA297">
        <v>1</v>
      </c>
      <c r="AB297" s="4" t="str">
        <f>HYPERLINK("http://exon.niaid.nih.gov/transcriptome/C_felis/S1/links/XC-ASB/cf-contig_289-XC-ASB.txt","XC-contig_252")</f>
        <v>XC-contig_252</v>
      </c>
      <c r="AC297">
        <v>9.9999999999999998E-17</v>
      </c>
      <c r="AD297" s="10" t="s">
        <v>4720</v>
      </c>
      <c r="AE297" t="s">
        <v>4605</v>
      </c>
      <c r="AF297" t="str">
        <f>HYPERLINK("http://exon.niaid.nih.gov/transcriptome/C_felis/S1/links/NR/cf-contig_289-NR.txt","NR")</f>
        <v>NR</v>
      </c>
      <c r="AG297" s="5">
        <v>1E-61</v>
      </c>
      <c r="AH297">
        <v>51.1</v>
      </c>
      <c r="AI297" s="4" t="str">
        <f>HYPERLINK("http://exon.niaid.nih.gov/transcriptome/C_felis/S1/links/NR/cf-contig_289-NR.txt","ribosomal protein L7A")</f>
        <v>ribosomal protein L7A</v>
      </c>
      <c r="AJ297" t="str">
        <f>HYPERLINK("http://www.ncbi.nlm.nih.gov/sutils/blink.cgi?pid=268306466","1E-061")</f>
        <v>1E-061</v>
      </c>
      <c r="AK297" t="str">
        <f>HYPERLINK("http://www.ncbi.nlm.nih.gov/protein/268306466","gi|268306466")</f>
        <v>gi|268306466</v>
      </c>
      <c r="AL297">
        <v>239</v>
      </c>
      <c r="AM297">
        <v>136</v>
      </c>
      <c r="AN297">
        <v>268</v>
      </c>
      <c r="AO297">
        <v>81</v>
      </c>
      <c r="AP297">
        <v>51</v>
      </c>
      <c r="AQ297">
        <v>25</v>
      </c>
      <c r="AR297">
        <v>0</v>
      </c>
      <c r="AS297">
        <v>132</v>
      </c>
      <c r="AT297">
        <v>7</v>
      </c>
      <c r="AU297">
        <v>1</v>
      </c>
      <c r="AV297">
        <v>1</v>
      </c>
      <c r="AW297" t="s">
        <v>12</v>
      </c>
      <c r="AY297" t="s">
        <v>1676</v>
      </c>
      <c r="AZ297" t="s">
        <v>2314</v>
      </c>
      <c r="BA297" s="4" t="str">
        <f>HYPERLINK("http://exon.niaid.nih.gov/transcriptome/C_felis/S1/links/SWISSP/cf-contig_289-SWISSP.txt","60S ribosomal protein L7a")</f>
        <v>60S ribosomal protein L7a</v>
      </c>
      <c r="BB297" t="str">
        <f>HYPERLINK("http://www.uniprot.org/uniprot/P46223","7E-059")</f>
        <v>7E-059</v>
      </c>
      <c r="BC297" t="s">
        <v>2694</v>
      </c>
      <c r="BD297">
        <v>226</v>
      </c>
      <c r="BE297">
        <v>135</v>
      </c>
      <c r="BF297">
        <v>271</v>
      </c>
      <c r="BG297">
        <v>78</v>
      </c>
      <c r="BH297">
        <v>50</v>
      </c>
      <c r="BI297">
        <v>29</v>
      </c>
      <c r="BJ297">
        <v>0</v>
      </c>
      <c r="BK297">
        <v>136</v>
      </c>
      <c r="BL297">
        <v>10</v>
      </c>
      <c r="BM297">
        <v>1</v>
      </c>
      <c r="BN297">
        <v>1</v>
      </c>
      <c r="BO297" t="s">
        <v>12</v>
      </c>
      <c r="BQ297" t="s">
        <v>1676</v>
      </c>
      <c r="BR297" t="s">
        <v>1804</v>
      </c>
      <c r="BS297" s="4" t="str">
        <f>HYPERLINK("http://exon.niaid.nih.gov/transcriptome/C_felis/S1/links/CDD/cf-contig_289-CDD.txt","PTZ00365")</f>
        <v>PTZ00365</v>
      </c>
      <c r="BT297" t="str">
        <f>HYPERLINK("http://www.ncbi.nlm.nih.gov/Structure/cdd/cddsrv.cgi?uid=PTZ00365&amp;version=v4.0","1E-042")</f>
        <v>1E-042</v>
      </c>
      <c r="BU297" t="s">
        <v>2695</v>
      </c>
      <c r="BV297" s="4" t="s">
        <v>2696</v>
      </c>
      <c r="BW297">
        <f>HYPERLINK("http://exon.niaid.nih.gov/transcriptome/C_felis/S1/links/GO/cf-contig_289-GO.txt",6E-59)</f>
        <v>6.0000000000000002E-59</v>
      </c>
      <c r="BX297" t="str">
        <f>HYPERLINK("http://amigo.geneontology.org/cgi-bin/amigo/term_details?term=GO:0003735","GO:0003735")</f>
        <v>GO:0003735</v>
      </c>
      <c r="BY297" t="s">
        <v>1929</v>
      </c>
      <c r="BZ297" t="s">
        <v>1930</v>
      </c>
      <c r="CA297" t="s">
        <v>1931</v>
      </c>
      <c r="CB297" t="s">
        <v>42</v>
      </c>
      <c r="CD297" s="5">
        <v>6.0000000000000002E-59</v>
      </c>
      <c r="CE297" t="str">
        <f>HYPERLINK("http://amigo.geneontology.org/cgi-bin/amigo/term_details?term=GO:0022625","GO:0022625")</f>
        <v>GO:0022625</v>
      </c>
      <c r="CF297" t="s">
        <v>1932</v>
      </c>
      <c r="CG297" t="s">
        <v>1933</v>
      </c>
      <c r="CH297" t="s">
        <v>1934</v>
      </c>
      <c r="CI297" t="s">
        <v>42</v>
      </c>
      <c r="CK297" s="5">
        <v>6.0000000000000002E-59</v>
      </c>
      <c r="CL297" t="str">
        <f>HYPERLINK("http://amigo.geneontology.org/cgi-bin/amigo/term_details?term=GO:0006412","GO:0006412")</f>
        <v>GO:0006412</v>
      </c>
      <c r="CM297" t="s">
        <v>1935</v>
      </c>
      <c r="CN297" t="s">
        <v>1936</v>
      </c>
      <c r="CO297" t="s">
        <v>1937</v>
      </c>
      <c r="CP297" t="s">
        <v>42</v>
      </c>
      <c r="CR297" s="5">
        <v>6.0000000000000002E-59</v>
      </c>
      <c r="CS297" s="4" t="str">
        <f>HYPERLINK("http://exon.niaid.nih.gov/transcriptome/C_felis/S1/links/KOG/cf-contig_289-KOG.txt","60S ribosomal protein L7A")</f>
        <v>60S ribosomal protein L7A</v>
      </c>
      <c r="CT297" t="str">
        <f>HYPERLINK("http://www.ncbi.nlm.nih.gov/COG/grace/shokog.cgi?KOG3166","3E-035")</f>
        <v>3E-035</v>
      </c>
      <c r="CU297" t="s">
        <v>1707</v>
      </c>
      <c r="CV297" s="4" t="str">
        <f>HYPERLINK("http://exon.niaid.nih.gov/transcriptome/C_felis/S1/links/PFAM/cf-contig_289-PFAM.txt","Ribosomal_L7Ae")</f>
        <v>Ribosomal_L7Ae</v>
      </c>
      <c r="CW297" t="str">
        <f>HYPERLINK("http://pfam.sanger.ac.uk/family?acc=PF01248","4E-023")</f>
        <v>4E-023</v>
      </c>
      <c r="CX297" s="4" t="str">
        <f>HYPERLINK("http://exon.niaid.nih.gov/transcriptome/C_felis/S1/links/SMART/cf-contig_289-SMART.txt","FU")</f>
        <v>FU</v>
      </c>
      <c r="CY297" t="str">
        <f>HYPERLINK("http://smart.embl-heidelberg.de/smart/do_annotation.pl?DOMAIN=FU&amp;BLAST=DUMMY","0.028")</f>
        <v>0.028</v>
      </c>
      <c r="CZ297" s="4" t="s">
        <v>42</v>
      </c>
      <c r="DA297" t="s">
        <v>42</v>
      </c>
      <c r="DB297" t="s">
        <v>42</v>
      </c>
      <c r="DC297" t="s">
        <v>42</v>
      </c>
      <c r="DD297" t="s">
        <v>42</v>
      </c>
      <c r="DE297" t="s">
        <v>42</v>
      </c>
      <c r="DF297" t="s">
        <v>42</v>
      </c>
      <c r="DG297" t="s">
        <v>42</v>
      </c>
      <c r="DH297" s="4" t="s">
        <v>42</v>
      </c>
      <c r="DI297" t="s">
        <v>42</v>
      </c>
      <c r="DJ297" s="4" t="s">
        <v>42</v>
      </c>
      <c r="DK297" t="s">
        <v>42</v>
      </c>
      <c r="DL297" s="4">
        <v>232</v>
      </c>
      <c r="DM297">
        <v>1</v>
      </c>
      <c r="DN297" s="4">
        <v>237</v>
      </c>
      <c r="DO297">
        <v>1</v>
      </c>
      <c r="DP297" s="4">
        <v>236</v>
      </c>
      <c r="DQ297">
        <v>1</v>
      </c>
      <c r="DR297" s="4">
        <v>245</v>
      </c>
      <c r="DS297">
        <v>1</v>
      </c>
      <c r="DT297" s="4">
        <v>251</v>
      </c>
      <c r="DU297">
        <v>1</v>
      </c>
      <c r="DV297" s="4">
        <v>263</v>
      </c>
      <c r="DW297">
        <v>1</v>
      </c>
      <c r="DX297" s="4">
        <v>265</v>
      </c>
      <c r="DY297">
        <v>1</v>
      </c>
      <c r="DZ297" s="4">
        <v>270</v>
      </c>
      <c r="EA297">
        <v>1</v>
      </c>
      <c r="EB297" s="4">
        <v>275</v>
      </c>
      <c r="EC297">
        <v>1</v>
      </c>
      <c r="ED297" s="4">
        <v>278</v>
      </c>
      <c r="EE297">
        <v>1</v>
      </c>
      <c r="EF297" s="4">
        <v>282</v>
      </c>
      <c r="EG297">
        <v>1</v>
      </c>
      <c r="EH297" s="4">
        <v>284</v>
      </c>
      <c r="EI297">
        <v>1</v>
      </c>
      <c r="EJ297" s="4">
        <v>289</v>
      </c>
      <c r="EK297">
        <v>1</v>
      </c>
    </row>
    <row r="298" spans="1:141" x14ac:dyDescent="0.2">
      <c r="A298" t="str">
        <f>HYPERLINK("http://exon.niaid.nih.gov/transcriptome/C_felis/S1/links/cf/cf-contig_521.txt","cf-contig_521")</f>
        <v>cf-contig_521</v>
      </c>
      <c r="B298">
        <v>1</v>
      </c>
      <c r="C298" s="10" t="s">
        <v>4792</v>
      </c>
      <c r="D298">
        <v>1</v>
      </c>
      <c r="E298" t="str">
        <f>HYPERLINK("http://exon.niaid.nih.gov/transcriptome/C_felis/S1/links/cf/cf-5-36-asb-521.txt","Contig-521")</f>
        <v>Contig-521</v>
      </c>
      <c r="F298" t="str">
        <f>HYPERLINK("http://exon.niaid.nih.gov/transcriptome/C_felis/S1/links/cf/cf-5-36-521-CLU.txt","Contig521")</f>
        <v>Contig521</v>
      </c>
      <c r="G298" t="str">
        <f>HYPERLINK("http://exon.niaid.nih.gov/transcriptome/C_felis/S1/links/cf/cf-5-36-521-qual.txt","63.2")</f>
        <v>63.2</v>
      </c>
      <c r="H298" t="s">
        <v>11</v>
      </c>
      <c r="I298">
        <v>58.5</v>
      </c>
      <c r="J298">
        <v>253</v>
      </c>
      <c r="K298" t="s">
        <v>12</v>
      </c>
      <c r="L298">
        <v>1</v>
      </c>
      <c r="M298" t="s">
        <v>534</v>
      </c>
      <c r="N298">
        <v>253</v>
      </c>
      <c r="O298">
        <v>272</v>
      </c>
      <c r="P298">
        <v>192</v>
      </c>
      <c r="Q298" t="s">
        <v>1340</v>
      </c>
      <c r="R298">
        <v>3</v>
      </c>
      <c r="S298" s="7" t="s">
        <v>4585</v>
      </c>
      <c r="U298">
        <v>1</v>
      </c>
      <c r="V298" s="4">
        <v>426</v>
      </c>
      <c r="W298">
        <v>1</v>
      </c>
      <c r="X298" s="4">
        <v>435</v>
      </c>
      <c r="Y298">
        <v>1</v>
      </c>
      <c r="Z298" s="4">
        <v>440</v>
      </c>
      <c r="AA298">
        <v>1</v>
      </c>
      <c r="AB298" s="4" t="str">
        <f>HYPERLINK("http://exon.niaid.nih.gov/transcriptome/C_felis/S1/links/XC-ASB/cf-contig_521-XC-ASB.txt","XC-contig_70")</f>
        <v>XC-contig_70</v>
      </c>
      <c r="AC298">
        <v>9.9999999999999994E-12</v>
      </c>
      <c r="AD298" s="10" t="s">
        <v>4792</v>
      </c>
      <c r="AE298" t="s">
        <v>4605</v>
      </c>
      <c r="AF298" t="str">
        <f>HYPERLINK("http://exon.niaid.nih.gov/transcriptome/C_felis/S1/links/NR/cf-contig_521-NR.txt","NR")</f>
        <v>NR</v>
      </c>
      <c r="AG298" s="5">
        <v>9.9999999999999998E-17</v>
      </c>
      <c r="AH298">
        <v>49.5</v>
      </c>
      <c r="AI298" s="4" t="str">
        <f>HYPERLINK("http://exon.niaid.nih.gov/transcriptome/C_felis/S1/links/NR/cf-contig_521-NR.txt","ribosomal protein P2")</f>
        <v>ribosomal protein P2</v>
      </c>
      <c r="AJ298" t="str">
        <f>HYPERLINK("http://www.ncbi.nlm.nih.gov/sutils/blink.cgi?pid=268306500","1E-016")</f>
        <v>1E-016</v>
      </c>
      <c r="AK298" t="str">
        <f>HYPERLINK("http://www.ncbi.nlm.nih.gov/protein/268306500","gi|268306500")</f>
        <v>gi|268306500</v>
      </c>
      <c r="AL298">
        <v>90.1</v>
      </c>
      <c r="AM298">
        <v>55</v>
      </c>
      <c r="AN298">
        <v>113</v>
      </c>
      <c r="AO298">
        <v>83</v>
      </c>
      <c r="AP298">
        <v>50</v>
      </c>
      <c r="AQ298">
        <v>9</v>
      </c>
      <c r="AR298">
        <v>1</v>
      </c>
      <c r="AS298">
        <v>58</v>
      </c>
      <c r="AT298">
        <v>5</v>
      </c>
      <c r="AU298">
        <v>1</v>
      </c>
      <c r="AV298">
        <v>2</v>
      </c>
      <c r="AW298" t="s">
        <v>12</v>
      </c>
      <c r="AY298" t="s">
        <v>1676</v>
      </c>
      <c r="AZ298" t="s">
        <v>2314</v>
      </c>
      <c r="BA298" s="4" t="str">
        <f>HYPERLINK("http://exon.niaid.nih.gov/transcriptome/C_felis/S1/links/SWISSP/cf-contig_521-SWISSP.txt","60S acidic ribosomal protein P2")</f>
        <v>60S acidic ribosomal protein P2</v>
      </c>
      <c r="BB298" t="str">
        <f>HYPERLINK("http://www.uniprot.org/uniprot/P05389","9E-015")</f>
        <v>9E-015</v>
      </c>
      <c r="BC298" t="s">
        <v>3577</v>
      </c>
      <c r="BD298">
        <v>79</v>
      </c>
      <c r="BE298">
        <v>55</v>
      </c>
      <c r="BF298">
        <v>113</v>
      </c>
      <c r="BG298">
        <v>76</v>
      </c>
      <c r="BH298">
        <v>50</v>
      </c>
      <c r="BI298">
        <v>13</v>
      </c>
      <c r="BJ298">
        <v>1</v>
      </c>
      <c r="BK298">
        <v>58</v>
      </c>
      <c r="BL298">
        <v>5</v>
      </c>
      <c r="BM298">
        <v>1</v>
      </c>
      <c r="BN298">
        <v>2</v>
      </c>
      <c r="BO298" t="s">
        <v>12</v>
      </c>
      <c r="BQ298" t="s">
        <v>1676</v>
      </c>
      <c r="BR298" t="s">
        <v>1804</v>
      </c>
      <c r="BS298" s="4" t="str">
        <f>HYPERLINK("http://exon.niaid.nih.gov/transcriptome/C_felis/S1/links/CDD/cf-contig_521-CDD.txt","Ribosomal_P2")</f>
        <v>Ribosomal_P2</v>
      </c>
      <c r="BT298" t="str">
        <f>HYPERLINK("http://www.ncbi.nlm.nih.gov/Structure/cdd/cddsrv.cgi?uid=cd05833&amp;version=v4.0","6E-018")</f>
        <v>6E-018</v>
      </c>
      <c r="BU298" t="s">
        <v>3578</v>
      </c>
      <c r="BV298" s="4" t="s">
        <v>3579</v>
      </c>
      <c r="BW298">
        <f>HYPERLINK("http://exon.niaid.nih.gov/transcriptome/C_felis/S1/links/GO/cf-contig_521-GO.txt",0.000000000000007)</f>
        <v>7.0000000000000001E-15</v>
      </c>
      <c r="BX298" t="str">
        <f>HYPERLINK("http://amigo.geneontology.org/cgi-bin/amigo/term_details?term=GO:0003735","GO:0003735")</f>
        <v>GO:0003735</v>
      </c>
      <c r="BY298" t="s">
        <v>1929</v>
      </c>
      <c r="BZ298" t="s">
        <v>1930</v>
      </c>
      <c r="CA298" t="s">
        <v>1931</v>
      </c>
      <c r="CB298" t="s">
        <v>42</v>
      </c>
      <c r="CD298">
        <v>7.0000000000000001E-15</v>
      </c>
      <c r="CE298" t="str">
        <f>HYPERLINK("http://amigo.geneontology.org/cgi-bin/amigo/term_details?term=GO:0022626","GO:0022626")</f>
        <v>GO:0022626</v>
      </c>
      <c r="CF298" t="s">
        <v>3580</v>
      </c>
      <c r="CG298" t="s">
        <v>3581</v>
      </c>
      <c r="CH298" t="s">
        <v>3582</v>
      </c>
      <c r="CI298" t="s">
        <v>42</v>
      </c>
      <c r="CK298">
        <v>7.0000000000000001E-15</v>
      </c>
      <c r="CL298" t="str">
        <f>HYPERLINK("http://amigo.geneontology.org/cgi-bin/amigo/term_details?term=GO:0006412","GO:0006412")</f>
        <v>GO:0006412</v>
      </c>
      <c r="CM298" t="s">
        <v>1935</v>
      </c>
      <c r="CN298" t="s">
        <v>1936</v>
      </c>
      <c r="CO298" t="s">
        <v>1937</v>
      </c>
      <c r="CP298" t="s">
        <v>42</v>
      </c>
      <c r="CR298">
        <v>7.0000000000000001E-15</v>
      </c>
      <c r="CS298" s="4" t="str">
        <f>HYPERLINK("http://exon.niaid.nih.gov/transcriptome/C_felis/S1/links/KOG/cf-contig_521-KOG.txt","60S acidic ribosomal protein P2")</f>
        <v>60S acidic ribosomal protein P2</v>
      </c>
      <c r="CT298" t="str">
        <f>HYPERLINK("http://www.ncbi.nlm.nih.gov/COG/grace/shokog.cgi?KOG3449","6E-016")</f>
        <v>6E-016</v>
      </c>
      <c r="CU298" t="s">
        <v>1707</v>
      </c>
      <c r="CV298" s="4" t="str">
        <f>HYPERLINK("http://exon.niaid.nih.gov/transcriptome/C_felis/S1/links/PFAM/cf-contig_521-PFAM.txt","Ribosomal_60s")</f>
        <v>Ribosomal_60s</v>
      </c>
      <c r="CW298" t="str">
        <f>HYPERLINK("http://pfam.sanger.ac.uk/family?acc=PF00428","2E-016")</f>
        <v>2E-016</v>
      </c>
      <c r="CX298" s="4" t="str">
        <f>HYPERLINK("http://exon.niaid.nih.gov/transcriptome/C_felis/S1/links/SMART/cf-contig_521-SMART.txt","AgrB")</f>
        <v>AgrB</v>
      </c>
      <c r="CY298" t="str">
        <f>HYPERLINK("http://smart.embl-heidelberg.de/smart/do_annotation.pl?DOMAIN=AgrB&amp;BLAST=DUMMY","0.002")</f>
        <v>0.002</v>
      </c>
      <c r="CZ298" s="4" t="s">
        <v>42</v>
      </c>
      <c r="DA298" t="s">
        <v>42</v>
      </c>
      <c r="DB298" t="s">
        <v>42</v>
      </c>
      <c r="DC298" t="s">
        <v>42</v>
      </c>
      <c r="DD298" t="s">
        <v>42</v>
      </c>
      <c r="DE298" t="s">
        <v>42</v>
      </c>
      <c r="DF298" t="s">
        <v>42</v>
      </c>
      <c r="DG298" t="s">
        <v>42</v>
      </c>
      <c r="DH298" s="4" t="s">
        <v>42</v>
      </c>
      <c r="DI298" t="s">
        <v>42</v>
      </c>
      <c r="DJ298" s="4" t="s">
        <v>42</v>
      </c>
      <c r="DK298" t="s">
        <v>42</v>
      </c>
      <c r="DL298" s="4">
        <v>426</v>
      </c>
      <c r="DM298">
        <v>1</v>
      </c>
      <c r="DN298" s="4">
        <v>435</v>
      </c>
      <c r="DO298">
        <v>1</v>
      </c>
      <c r="DP298" s="4">
        <v>440</v>
      </c>
      <c r="DQ298">
        <v>1</v>
      </c>
      <c r="DR298" s="4">
        <v>455</v>
      </c>
      <c r="DS298">
        <v>1</v>
      </c>
      <c r="DT298" s="4">
        <v>466</v>
      </c>
      <c r="DU298">
        <v>1</v>
      </c>
      <c r="DV298" s="4">
        <v>480</v>
      </c>
      <c r="DW298">
        <v>1</v>
      </c>
      <c r="DX298" s="4">
        <v>486</v>
      </c>
      <c r="DY298">
        <v>1</v>
      </c>
      <c r="DZ298" s="4">
        <v>494</v>
      </c>
      <c r="EA298">
        <v>1</v>
      </c>
      <c r="EB298" s="4">
        <v>499</v>
      </c>
      <c r="EC298">
        <v>1</v>
      </c>
      <c r="ED298" s="4">
        <v>503</v>
      </c>
      <c r="EE298">
        <v>1</v>
      </c>
      <c r="EF298" s="4">
        <v>508</v>
      </c>
      <c r="EG298">
        <v>1</v>
      </c>
      <c r="EH298" s="4">
        <v>514</v>
      </c>
      <c r="EI298">
        <v>1</v>
      </c>
      <c r="EJ298" s="4">
        <v>521</v>
      </c>
      <c r="EK298">
        <v>1</v>
      </c>
    </row>
    <row r="299" spans="1:141" x14ac:dyDescent="0.2">
      <c r="A299" t="str">
        <f>HYPERLINK("http://exon.niaid.nih.gov/transcriptome/C_felis/S1/links/cf/cf-contig_140.txt","cf-contig_140")</f>
        <v>cf-contig_140</v>
      </c>
      <c r="B299">
        <v>2</v>
      </c>
      <c r="C299" s="10" t="s">
        <v>4649</v>
      </c>
      <c r="D299">
        <v>2</v>
      </c>
      <c r="E299" t="str">
        <f>HYPERLINK("http://exon.niaid.nih.gov/transcriptome/C_felis/S1/links/cf/cf-5-36-asb-140.txt","Contig-140")</f>
        <v>Contig-140</v>
      </c>
      <c r="F299" t="str">
        <f>HYPERLINK("http://exon.niaid.nih.gov/transcriptome/C_felis/S1/links/cf/cf-5-36-140-CLU.txt","Contig140")</f>
        <v>Contig140</v>
      </c>
      <c r="G299" t="str">
        <f>HYPERLINK("http://exon.niaid.nih.gov/transcriptome/C_felis/S1/links/cf/cf-5-36-140-qual.txt","75.6")</f>
        <v>75.6</v>
      </c>
      <c r="H299" t="s">
        <v>11</v>
      </c>
      <c r="I299">
        <v>59.1</v>
      </c>
      <c r="J299">
        <v>279</v>
      </c>
      <c r="K299" t="s">
        <v>12</v>
      </c>
      <c r="L299">
        <v>2</v>
      </c>
      <c r="M299" t="s">
        <v>153</v>
      </c>
      <c r="N299">
        <v>278</v>
      </c>
      <c r="O299">
        <v>298</v>
      </c>
      <c r="P299">
        <v>192</v>
      </c>
      <c r="Q299" t="s">
        <v>960</v>
      </c>
      <c r="R299">
        <v>1</v>
      </c>
      <c r="S299" s="7" t="s">
        <v>4585</v>
      </c>
      <c r="U299">
        <v>2</v>
      </c>
      <c r="V299" s="4">
        <f>HYPERLINK("http://exon.niaid.nih.gov/transcriptome/C_felis/S1/links/cluster/cf-5-36-asb30-50-Id-CLU20.txt", 20)</f>
        <v>20</v>
      </c>
      <c r="W299">
        <f>HYPERLINK("http://exon.niaid.nih.gov/transcriptome/C_felis/S1/links/cluster/cf-5-36-asb30-50-Id-CLTL20.txt", 3)</f>
        <v>3</v>
      </c>
      <c r="X299" s="4">
        <f>HYPERLINK("http://exon.niaid.nih.gov/transcriptome/C_felis/S1/links/cluster/cf-5-36-asb35-50-Id-CLU18.txt", 18)</f>
        <v>18</v>
      </c>
      <c r="Y299">
        <f>HYPERLINK("http://exon.niaid.nih.gov/transcriptome/C_felis/S1/links/cluster/cf-5-36-asb35-50-Id-CLTL18.txt", 3)</f>
        <v>3</v>
      </c>
      <c r="Z299" s="4">
        <f>HYPERLINK("http://exon.niaid.nih.gov/transcriptome/C_felis/S1/links/cluster/cf-5-36-asb40-50-Id-CLU17.txt", 17)</f>
        <v>17</v>
      </c>
      <c r="AA299">
        <f>HYPERLINK("http://exon.niaid.nih.gov/transcriptome/C_felis/S1/links/cluster/cf-5-36-asb40-50-Id-CLTL17.txt", 3)</f>
        <v>3</v>
      </c>
      <c r="AB299" s="4" t="str">
        <f>HYPERLINK("http://exon.niaid.nih.gov/transcriptome/C_felis/S1/links/XC-ASB/cf-contig_140-XC-ASB.txt","XC-contig_147")</f>
        <v>XC-contig_147</v>
      </c>
      <c r="AC299">
        <v>0.04</v>
      </c>
      <c r="AD299" s="10" t="s">
        <v>4649</v>
      </c>
      <c r="AE299" t="s">
        <v>4605</v>
      </c>
      <c r="AF299" t="str">
        <f>HYPERLINK("http://exon.niaid.nih.gov/transcriptome/C_felis/S1/links/NR/cf-contig_140-NR.txt","NR")</f>
        <v>NR</v>
      </c>
      <c r="AG299" s="5">
        <v>3E-24</v>
      </c>
      <c r="AH299">
        <v>20.6</v>
      </c>
      <c r="AI299" s="4" t="str">
        <f>HYPERLINK("http://exon.niaid.nih.gov/transcriptome/C_felis/S1/links/NR/cf-contig_140-NR.txt","ribosomal protein rps9")</f>
        <v>ribosomal protein rps9</v>
      </c>
      <c r="AJ299" t="str">
        <f>HYPERLINK("http://www.ncbi.nlm.nih.gov/sutils/blink.cgi?pid=166952357","3E-024")</f>
        <v>3E-024</v>
      </c>
      <c r="AK299" t="str">
        <f>HYPERLINK("http://www.ncbi.nlm.nih.gov/protein/166952357","gi|166952357")</f>
        <v>gi|166952357</v>
      </c>
      <c r="AL299">
        <v>70.099999999999994</v>
      </c>
      <c r="AM299">
        <v>72</v>
      </c>
      <c r="AN299">
        <v>194</v>
      </c>
      <c r="AO299">
        <v>72</v>
      </c>
      <c r="AP299">
        <v>38</v>
      </c>
      <c r="AQ299">
        <v>11</v>
      </c>
      <c r="AR299">
        <v>0</v>
      </c>
      <c r="AS299">
        <v>120</v>
      </c>
      <c r="AT299">
        <v>3</v>
      </c>
      <c r="AU299">
        <v>2</v>
      </c>
      <c r="AV299">
        <v>1</v>
      </c>
      <c r="AW299" t="s">
        <v>1689</v>
      </c>
      <c r="AY299" t="s">
        <v>1676</v>
      </c>
      <c r="AZ299" t="s">
        <v>2205</v>
      </c>
      <c r="BA299" s="4" t="str">
        <f>HYPERLINK("http://exon.niaid.nih.gov/transcriptome/C_felis/S1/links/SWISSP/cf-contig_140-SWISSP.txt","40S ribosomal protein S9")</f>
        <v>40S ribosomal protein S9</v>
      </c>
      <c r="BB299" t="str">
        <f>HYPERLINK("http://www.uniprot.org/uniprot/Q20228","3E-022")</f>
        <v>3E-022</v>
      </c>
      <c r="BC299" t="s">
        <v>2206</v>
      </c>
      <c r="BD299">
        <v>62.8</v>
      </c>
      <c r="BE299">
        <v>69</v>
      </c>
      <c r="BF299">
        <v>189</v>
      </c>
      <c r="BG299">
        <v>80</v>
      </c>
      <c r="BH299">
        <v>37</v>
      </c>
      <c r="BI299">
        <v>7</v>
      </c>
      <c r="BJ299">
        <v>0</v>
      </c>
      <c r="BK299">
        <v>120</v>
      </c>
      <c r="BL299">
        <v>3</v>
      </c>
      <c r="BM299">
        <v>2</v>
      </c>
      <c r="BN299">
        <v>3</v>
      </c>
      <c r="BO299" t="s">
        <v>1689</v>
      </c>
      <c r="BQ299" t="s">
        <v>1676</v>
      </c>
      <c r="BR299" t="s">
        <v>1735</v>
      </c>
      <c r="BS299" s="4" t="str">
        <f>HYPERLINK("http://exon.niaid.nih.gov/transcriptome/C_felis/S1/links/CDD/cf-contig_140-CDD.txt","PTZ00155")</f>
        <v>PTZ00155</v>
      </c>
      <c r="BT299" t="str">
        <f>HYPERLINK("http://www.ncbi.nlm.nih.gov/Structure/cdd/cddsrv.cgi?uid=PTZ00155&amp;version=v4.0","1E-016")</f>
        <v>1E-016</v>
      </c>
      <c r="BU299" t="s">
        <v>2207</v>
      </c>
      <c r="BV299" s="4" t="s">
        <v>2208</v>
      </c>
      <c r="BW299">
        <f>HYPERLINK("http://exon.niaid.nih.gov/transcriptome/C_felis/S1/links/GO/cf-contig_140-GO.txt",2E-22)</f>
        <v>2.0000000000000001E-22</v>
      </c>
      <c r="BX299" t="str">
        <f>HYPERLINK("http://amigo.geneontology.org/cgi-bin/amigo/term_details?term=GO:0019843","GO:0019843")</f>
        <v>GO:0019843</v>
      </c>
      <c r="BY299" t="s">
        <v>2209</v>
      </c>
      <c r="BZ299" t="s">
        <v>2210</v>
      </c>
      <c r="CA299" t="s">
        <v>42</v>
      </c>
      <c r="CB299" t="s">
        <v>42</v>
      </c>
      <c r="CD299" s="5">
        <v>2.0000000000000001E-22</v>
      </c>
      <c r="CE299" t="str">
        <f>HYPERLINK("http://amigo.geneontology.org/cgi-bin/amigo/term_details?term=GO:0005622","GO:0005622")</f>
        <v>GO:0005622</v>
      </c>
      <c r="CF299" t="s">
        <v>2085</v>
      </c>
      <c r="CG299" t="s">
        <v>2086</v>
      </c>
      <c r="CH299" t="s">
        <v>2087</v>
      </c>
      <c r="CI299" t="s">
        <v>42</v>
      </c>
      <c r="CK299" s="5">
        <v>2.0000000000000001E-22</v>
      </c>
      <c r="CL299" t="str">
        <f>HYPERLINK("http://amigo.geneontology.org/cgi-bin/amigo/term_details?term=GO:0006412","GO:0006412")</f>
        <v>GO:0006412</v>
      </c>
      <c r="CM299" t="s">
        <v>1935</v>
      </c>
      <c r="CN299" t="s">
        <v>1936</v>
      </c>
      <c r="CO299" t="s">
        <v>1937</v>
      </c>
      <c r="CP299" t="s">
        <v>42</v>
      </c>
      <c r="CR299" s="5">
        <v>2.0000000000000001E-22</v>
      </c>
      <c r="CS299" s="4" t="str">
        <f>HYPERLINK("http://exon.niaid.nih.gov/transcriptome/C_felis/S1/links/KOG/cf-contig_140-KOG.txt","Ribosomal protein S4")</f>
        <v>Ribosomal protein S4</v>
      </c>
      <c r="CT299" t="str">
        <f>HYPERLINK("http://www.ncbi.nlm.nih.gov/COG/grace/shokog.cgi?KOG3301","6E-014")</f>
        <v>6E-014</v>
      </c>
      <c r="CU299" t="s">
        <v>1707</v>
      </c>
      <c r="CV299" s="4" t="str">
        <f>HYPERLINK("http://exon.niaid.nih.gov/transcriptome/C_felis/S1/links/PFAM/cf-contig_140-PFAM.txt","S4")</f>
        <v>S4</v>
      </c>
      <c r="CW299" t="str">
        <f>HYPERLINK("http://pfam.sanger.ac.uk/family?acc=PF01479","1E-006")</f>
        <v>1E-006</v>
      </c>
      <c r="CX299" s="4" t="str">
        <f>HYPERLINK("http://exon.niaid.nih.gov/transcriptome/C_felis/S1/links/SMART/cf-contig_140-SMART.txt","S4")</f>
        <v>S4</v>
      </c>
      <c r="CY299" t="str">
        <f>HYPERLINK("http://smart.embl-heidelberg.de/smart/do_annotation.pl?DOMAIN=S4&amp;BLAST=DUMMY","1E-005")</f>
        <v>1E-005</v>
      </c>
      <c r="CZ299" s="4" t="s">
        <v>42</v>
      </c>
      <c r="DA299" t="s">
        <v>42</v>
      </c>
      <c r="DB299" t="s">
        <v>42</v>
      </c>
      <c r="DC299" t="s">
        <v>42</v>
      </c>
      <c r="DD299" t="s">
        <v>42</v>
      </c>
      <c r="DE299" t="s">
        <v>42</v>
      </c>
      <c r="DF299" t="s">
        <v>42</v>
      </c>
      <c r="DG299" t="s">
        <v>42</v>
      </c>
      <c r="DH299" s="4" t="s">
        <v>42</v>
      </c>
      <c r="DI299" t="s">
        <v>42</v>
      </c>
      <c r="DJ299" s="4" t="s">
        <v>42</v>
      </c>
      <c r="DK299" t="s">
        <v>42</v>
      </c>
      <c r="DL299" s="4">
        <f>HYPERLINK("http://exon.niaid.nih.gov/transcriptome/C_felis/S1/links/cluster/cf-5-36-asb30-50-Id-CLU20.txt", 20)</f>
        <v>20</v>
      </c>
      <c r="DM299">
        <f>HYPERLINK("http://exon.niaid.nih.gov/transcriptome/C_felis/S1/links/cluster/cf-5-36-asb30-50-Id-CLTL20.txt", 3)</f>
        <v>3</v>
      </c>
      <c r="DN299" s="4">
        <f>HYPERLINK("http://exon.niaid.nih.gov/transcriptome/C_felis/S1/links/cluster/cf-5-36-asb35-50-Id-CLU18.txt", 18)</f>
        <v>18</v>
      </c>
      <c r="DO299">
        <f>HYPERLINK("http://exon.niaid.nih.gov/transcriptome/C_felis/S1/links/cluster/cf-5-36-asb35-50-Id-CLTL18.txt", 3)</f>
        <v>3</v>
      </c>
      <c r="DP299" s="4">
        <f>HYPERLINK("http://exon.niaid.nih.gov/transcriptome/C_felis/S1/links/cluster/cf-5-36-asb40-50-Id-CLU17.txt", 17)</f>
        <v>17</v>
      </c>
      <c r="DQ299">
        <f>HYPERLINK("http://exon.niaid.nih.gov/transcriptome/C_felis/S1/links/cluster/cf-5-36-asb40-50-Id-CLTL17.txt", 3)</f>
        <v>3</v>
      </c>
      <c r="DR299" s="4">
        <v>125</v>
      </c>
      <c r="DS299">
        <v>1</v>
      </c>
      <c r="DT299" s="4">
        <v>124</v>
      </c>
      <c r="DU299">
        <v>1</v>
      </c>
      <c r="DV299" s="4">
        <v>134</v>
      </c>
      <c r="DW299">
        <v>1</v>
      </c>
      <c r="DX299" s="4">
        <v>136</v>
      </c>
      <c r="DY299">
        <v>1</v>
      </c>
      <c r="DZ299" s="4">
        <v>136</v>
      </c>
      <c r="EA299">
        <v>1</v>
      </c>
      <c r="EB299" s="4">
        <v>140</v>
      </c>
      <c r="EC299">
        <v>1</v>
      </c>
      <c r="ED299" s="4">
        <v>141</v>
      </c>
      <c r="EE299">
        <v>1</v>
      </c>
      <c r="EF299" s="4">
        <v>140</v>
      </c>
      <c r="EG299">
        <v>1</v>
      </c>
      <c r="EH299" s="4">
        <v>139</v>
      </c>
      <c r="EI299">
        <v>1</v>
      </c>
      <c r="EJ299" s="4">
        <v>140</v>
      </c>
      <c r="EK299">
        <v>1</v>
      </c>
    </row>
    <row r="300" spans="1:141" x14ac:dyDescent="0.2">
      <c r="A300" t="str">
        <f>HYPERLINK("http://exon.niaid.nih.gov/transcriptome/C_felis/S1/links/cf/cf-contig_297.txt","cf-contig_297")</f>
        <v>cf-contig_297</v>
      </c>
      <c r="B300">
        <v>1</v>
      </c>
      <c r="C300" s="10" t="s">
        <v>4722</v>
      </c>
      <c r="D300">
        <v>1</v>
      </c>
      <c r="E300" t="str">
        <f>HYPERLINK("http://exon.niaid.nih.gov/transcriptome/C_felis/S1/links/cf/cf-5-36-asb-297.txt","Contig-297")</f>
        <v>Contig-297</v>
      </c>
      <c r="F300" t="str">
        <f>HYPERLINK("http://exon.niaid.nih.gov/transcriptome/C_felis/S1/links/cf/cf-5-36-297-CLU.txt","Contig297")</f>
        <v>Contig297</v>
      </c>
      <c r="G300" t="str">
        <f>HYPERLINK("http://exon.niaid.nih.gov/transcriptome/C_felis/S1/links/cf/cf-5-36-297-qual.txt","57.")</f>
        <v>57.</v>
      </c>
      <c r="H300">
        <v>0.6</v>
      </c>
      <c r="I300">
        <v>58.2</v>
      </c>
      <c r="J300">
        <v>151</v>
      </c>
      <c r="K300" t="s">
        <v>12</v>
      </c>
      <c r="L300">
        <v>1</v>
      </c>
      <c r="M300" t="s">
        <v>310</v>
      </c>
      <c r="N300">
        <v>151</v>
      </c>
      <c r="O300">
        <v>170</v>
      </c>
      <c r="P300">
        <v>168</v>
      </c>
      <c r="Q300" t="s">
        <v>1117</v>
      </c>
      <c r="R300">
        <v>1</v>
      </c>
      <c r="S300" s="7" t="s">
        <v>4585</v>
      </c>
      <c r="U300">
        <v>1</v>
      </c>
      <c r="V300" s="4">
        <v>239</v>
      </c>
      <c r="W300">
        <v>1</v>
      </c>
      <c r="X300" s="4">
        <v>244</v>
      </c>
      <c r="Y300">
        <v>1</v>
      </c>
      <c r="Z300" s="4">
        <v>243</v>
      </c>
      <c r="AA300">
        <v>1</v>
      </c>
      <c r="AB300" s="4" t="str">
        <f>HYPERLINK("http://exon.niaid.nih.gov/transcriptome/C_felis/S1/links/XC-ASB/cf-contig_297-XC-ASB.txt","XC-contig_85")</f>
        <v>XC-contig_85</v>
      </c>
      <c r="AC300">
        <v>3.0000000000000003E-20</v>
      </c>
      <c r="AD300" s="10" t="s">
        <v>4722</v>
      </c>
      <c r="AE300" t="s">
        <v>4605</v>
      </c>
      <c r="AF300" t="str">
        <f>HYPERLINK("http://exon.niaid.nih.gov/transcriptome/C_felis/S1/links/NR/cf-contig_297-NR.txt","NR")</f>
        <v>NR</v>
      </c>
      <c r="AG300">
        <v>9.9999999999999994E-12</v>
      </c>
      <c r="AH300">
        <v>25</v>
      </c>
      <c r="AI300" s="4" t="str">
        <f>HYPERLINK("http://exon.niaid.nih.gov/transcriptome/C_felis/S1/links/NR/cf-contig_297-NR.txt","ribosomal protein S11-2")</f>
        <v>ribosomal protein S11-2</v>
      </c>
      <c r="AJ300" t="str">
        <f>HYPERLINK("http://www.ncbi.nlm.nih.gov/sutils/blink.cgi?pid=121512014","1E-011")</f>
        <v>1E-011</v>
      </c>
      <c r="AK300" t="str">
        <f>HYPERLINK("http://www.ncbi.nlm.nih.gov/protein/121512014","gi|121512014")</f>
        <v>gi|121512014</v>
      </c>
      <c r="AL300">
        <v>73.2</v>
      </c>
      <c r="AM300">
        <v>37</v>
      </c>
      <c r="AN300">
        <v>152</v>
      </c>
      <c r="AO300">
        <v>89</v>
      </c>
      <c r="AP300">
        <v>25</v>
      </c>
      <c r="AQ300">
        <v>4</v>
      </c>
      <c r="AR300">
        <v>0</v>
      </c>
      <c r="AS300">
        <v>14</v>
      </c>
      <c r="AT300">
        <v>37</v>
      </c>
      <c r="AU300">
        <v>1</v>
      </c>
      <c r="AV300">
        <v>1</v>
      </c>
      <c r="AW300" t="s">
        <v>12</v>
      </c>
      <c r="AY300" t="s">
        <v>1676</v>
      </c>
      <c r="AZ300" t="s">
        <v>1717</v>
      </c>
      <c r="BA300" s="4" t="str">
        <f>HYPERLINK("http://exon.niaid.nih.gov/transcriptome/C_felis/S1/links/SWISSP/cf-contig_297-SWISSP.txt","40S ribosomal protein S11")</f>
        <v>40S ribosomal protein S11</v>
      </c>
      <c r="BB300" t="str">
        <f>HYPERLINK("http://www.uniprot.org/uniprot/P52812","6E-009")</f>
        <v>6E-009</v>
      </c>
      <c r="BC300" t="s">
        <v>2715</v>
      </c>
      <c r="BD300">
        <v>59.7</v>
      </c>
      <c r="BE300">
        <v>38</v>
      </c>
      <c r="BF300">
        <v>153</v>
      </c>
      <c r="BG300">
        <v>66</v>
      </c>
      <c r="BH300">
        <v>25</v>
      </c>
      <c r="BI300">
        <v>13</v>
      </c>
      <c r="BJ300">
        <v>0</v>
      </c>
      <c r="BK300">
        <v>14</v>
      </c>
      <c r="BL300">
        <v>34</v>
      </c>
      <c r="BM300">
        <v>1</v>
      </c>
      <c r="BN300">
        <v>1</v>
      </c>
      <c r="BO300" t="s">
        <v>12</v>
      </c>
      <c r="BQ300" t="s">
        <v>1676</v>
      </c>
      <c r="BR300" t="s">
        <v>2117</v>
      </c>
      <c r="BS300" s="4" t="str">
        <f>HYPERLINK("http://exon.niaid.nih.gov/transcriptome/C_felis/S1/links/CDD/cf-contig_297-CDD.txt","PTZ00241")</f>
        <v>PTZ00241</v>
      </c>
      <c r="BT300" t="str">
        <f>HYPERLINK("http://www.ncbi.nlm.nih.gov/Structure/cdd/cddsrv.cgi?uid=PTZ00241&amp;version=v4.0","3E-010")</f>
        <v>3E-010</v>
      </c>
      <c r="BU300" t="s">
        <v>2716</v>
      </c>
      <c r="BV300" s="4" t="s">
        <v>2717</v>
      </c>
      <c r="BW300">
        <f>HYPERLINK("http://exon.niaid.nih.gov/transcriptome/C_felis/S1/links/GO/cf-contig_297-GO.txt",0.00000002)</f>
        <v>2E-8</v>
      </c>
      <c r="BX300" t="str">
        <f>HYPERLINK("http://amigo.geneontology.org/cgi-bin/amigo/term_details?term=GO:0003674","GO:0003674")</f>
        <v>GO:0003674</v>
      </c>
      <c r="BY300" t="s">
        <v>1851</v>
      </c>
      <c r="BZ300" t="s">
        <v>1852</v>
      </c>
      <c r="CA300" t="s">
        <v>1853</v>
      </c>
      <c r="CB300" t="s">
        <v>42</v>
      </c>
      <c r="CD300">
        <v>2E-8</v>
      </c>
      <c r="CE300" t="str">
        <f>HYPERLINK("http://amigo.geneontology.org/cgi-bin/amigo/term_details?term=GO:0005575","GO:0005575")</f>
        <v>GO:0005575</v>
      </c>
      <c r="CF300" t="s">
        <v>1838</v>
      </c>
      <c r="CG300" t="s">
        <v>1839</v>
      </c>
      <c r="CH300" t="s">
        <v>1840</v>
      </c>
      <c r="CI300" t="s">
        <v>42</v>
      </c>
      <c r="CK300">
        <v>2E-8</v>
      </c>
      <c r="CL300" t="str">
        <f>HYPERLINK("http://amigo.geneontology.org/cgi-bin/amigo/term_details?term=GO:0008150","GO:0008150")</f>
        <v>GO:0008150</v>
      </c>
      <c r="CM300" t="s">
        <v>1857</v>
      </c>
      <c r="CN300" t="s">
        <v>1858</v>
      </c>
      <c r="CO300" t="s">
        <v>1859</v>
      </c>
      <c r="CP300" t="s">
        <v>42</v>
      </c>
      <c r="CR300">
        <v>2E-8</v>
      </c>
      <c r="CS300" s="4" t="str">
        <f>HYPERLINK("http://exon.niaid.nih.gov/transcriptome/C_felis/S1/links/KOG/cf-contig_297-KOG.txt","40S ribosomal protein S11")</f>
        <v>40S ribosomal protein S11</v>
      </c>
      <c r="CT300" t="str">
        <f>HYPERLINK("http://www.ncbi.nlm.nih.gov/COG/grace/shokog.cgi?KOG1728","3E-009")</f>
        <v>3E-009</v>
      </c>
      <c r="CU300" t="s">
        <v>1707</v>
      </c>
      <c r="CV300" s="4" t="str">
        <f>HYPERLINK("http://exon.niaid.nih.gov/transcriptome/C_felis/S1/links/PFAM/cf-contig_297-PFAM.txt","DUF523")</f>
        <v>DUF523</v>
      </c>
      <c r="CW300" t="str">
        <f>HYPERLINK("http://pfam.sanger.ac.uk/family?acc=PF04463","1.0")</f>
        <v>1.0</v>
      </c>
      <c r="CX300" s="4" t="str">
        <f>HYPERLINK("http://exon.niaid.nih.gov/transcriptome/C_felis/S1/links/SMART/cf-contig_297-SMART.txt","DCD")</f>
        <v>DCD</v>
      </c>
      <c r="CY300" t="str">
        <f>HYPERLINK("http://smart.embl-heidelberg.de/smart/do_annotation.pl?DOMAIN=DCD&amp;BLAST=DUMMY","0.96")</f>
        <v>0.96</v>
      </c>
      <c r="CZ300" s="4" t="s">
        <v>42</v>
      </c>
      <c r="DA300" t="s">
        <v>42</v>
      </c>
      <c r="DB300" t="s">
        <v>42</v>
      </c>
      <c r="DC300" t="s">
        <v>42</v>
      </c>
      <c r="DD300" t="s">
        <v>42</v>
      </c>
      <c r="DE300" t="s">
        <v>42</v>
      </c>
      <c r="DF300" t="s">
        <v>42</v>
      </c>
      <c r="DG300" t="s">
        <v>42</v>
      </c>
      <c r="DH300" s="4" t="s">
        <v>42</v>
      </c>
      <c r="DI300" t="s">
        <v>42</v>
      </c>
      <c r="DJ300" s="4" t="s">
        <v>42</v>
      </c>
      <c r="DK300" t="s">
        <v>42</v>
      </c>
      <c r="DL300" s="4">
        <v>239</v>
      </c>
      <c r="DM300">
        <v>1</v>
      </c>
      <c r="DN300" s="4">
        <v>244</v>
      </c>
      <c r="DO300">
        <v>1</v>
      </c>
      <c r="DP300" s="4">
        <v>243</v>
      </c>
      <c r="DQ300">
        <v>1</v>
      </c>
      <c r="DR300" s="4">
        <v>252</v>
      </c>
      <c r="DS300">
        <v>1</v>
      </c>
      <c r="DT300" s="4">
        <v>259</v>
      </c>
      <c r="DU300">
        <v>1</v>
      </c>
      <c r="DV300" s="4">
        <v>271</v>
      </c>
      <c r="DW300">
        <v>1</v>
      </c>
      <c r="DX300" s="4">
        <v>273</v>
      </c>
      <c r="DY300">
        <v>1</v>
      </c>
      <c r="DZ300" s="4">
        <v>278</v>
      </c>
      <c r="EA300">
        <v>1</v>
      </c>
      <c r="EB300" s="4">
        <v>283</v>
      </c>
      <c r="EC300">
        <v>1</v>
      </c>
      <c r="ED300" s="4">
        <v>286</v>
      </c>
      <c r="EE300">
        <v>1</v>
      </c>
      <c r="EF300" s="4">
        <v>290</v>
      </c>
      <c r="EG300">
        <v>1</v>
      </c>
      <c r="EH300" s="4">
        <v>292</v>
      </c>
      <c r="EI300">
        <v>1</v>
      </c>
      <c r="EJ300" s="4">
        <v>297</v>
      </c>
      <c r="EK300">
        <v>1</v>
      </c>
    </row>
    <row r="301" spans="1:141" x14ac:dyDescent="0.2">
      <c r="A301" t="str">
        <f>HYPERLINK("http://exon.niaid.nih.gov/transcriptome/C_felis/S1/links/cf/cf-contig_146.txt","cf-contig_146")</f>
        <v>cf-contig_146</v>
      </c>
      <c r="B301">
        <v>5</v>
      </c>
      <c r="C301" s="10" t="s">
        <v>4653</v>
      </c>
      <c r="D301">
        <v>5</v>
      </c>
      <c r="E301" t="str">
        <f>HYPERLINK("http://exon.niaid.nih.gov/transcriptome/C_felis/S1/links/cf/cf-5-36-asb-146.txt","Contig-146")</f>
        <v>Contig-146</v>
      </c>
      <c r="F301" t="str">
        <f>HYPERLINK("http://exon.niaid.nih.gov/transcriptome/C_felis/S1/links/cf/cf-5-36-146-CLU.txt","Contig146")</f>
        <v>Contig146</v>
      </c>
      <c r="G301" t="str">
        <f>HYPERLINK("http://exon.niaid.nih.gov/transcriptome/C_felis/S1/links/cf/cf-5-36-146-qual.txt","83.9")</f>
        <v>83.9</v>
      </c>
      <c r="H301" t="s">
        <v>11</v>
      </c>
      <c r="I301">
        <v>61.3</v>
      </c>
      <c r="J301">
        <v>454</v>
      </c>
      <c r="K301" t="s">
        <v>12</v>
      </c>
      <c r="L301">
        <v>5</v>
      </c>
      <c r="M301" t="s">
        <v>159</v>
      </c>
      <c r="N301">
        <v>453</v>
      </c>
      <c r="O301">
        <v>473</v>
      </c>
      <c r="P301">
        <v>402</v>
      </c>
      <c r="Q301" t="s">
        <v>966</v>
      </c>
      <c r="R301">
        <v>3</v>
      </c>
      <c r="S301" s="7" t="str">
        <f>HYPERLINK("http://exon.niaid.nih.gov/transcriptome/C_felis/S1/links/Sigp/CF-CONTIG_146-SigP.txt","Cyt")</f>
        <v>Cyt</v>
      </c>
      <c r="U301">
        <v>5</v>
      </c>
      <c r="V301" s="4">
        <v>139</v>
      </c>
      <c r="W301">
        <v>1</v>
      </c>
      <c r="X301" s="4">
        <v>136</v>
      </c>
      <c r="Y301">
        <v>1</v>
      </c>
      <c r="Z301" s="4">
        <v>133</v>
      </c>
      <c r="AA301">
        <v>1</v>
      </c>
      <c r="AB301" s="4" t="str">
        <f>HYPERLINK("http://exon.niaid.nih.gov/transcriptome/C_felis/S1/links/XC-ASB/cf-contig_146-XC-ASB.txt","XC-contig_87")</f>
        <v>XC-contig_87</v>
      </c>
      <c r="AC301">
        <v>8.9999999999999998E-89</v>
      </c>
      <c r="AD301" s="10" t="s">
        <v>4653</v>
      </c>
      <c r="AE301" t="s">
        <v>4605</v>
      </c>
      <c r="AF301" t="str">
        <f>HYPERLINK("http://exon.niaid.nih.gov/transcriptome/C_felis/S1/links/KOG/cf-contig_146-KOG.txt","KOG")</f>
        <v>KOG</v>
      </c>
      <c r="AG301" s="5">
        <v>1.9999999999999999E-57</v>
      </c>
      <c r="AH301">
        <v>86.8</v>
      </c>
      <c r="AI301" s="4" t="str">
        <f>HYPERLINK("http://exon.niaid.nih.gov/transcriptome/C_felis/S1/links/NR/cf-contig_146-NR.txt","ribosomal protein S18")</f>
        <v>ribosomal protein S18</v>
      </c>
      <c r="AJ301" t="str">
        <f>HYPERLINK("http://www.ncbi.nlm.nih.gov/sutils/blink.cgi?pid=121512018","1E-069")</f>
        <v>1E-069</v>
      </c>
      <c r="AK301" t="str">
        <f>HYPERLINK("http://www.ncbi.nlm.nih.gov/protein/121512018","gi|121512018")</f>
        <v>gi|121512018</v>
      </c>
      <c r="AL301">
        <v>266</v>
      </c>
      <c r="AM301">
        <v>131</v>
      </c>
      <c r="AN301">
        <v>152</v>
      </c>
      <c r="AO301">
        <v>99</v>
      </c>
      <c r="AP301">
        <v>87</v>
      </c>
      <c r="AQ301">
        <v>1</v>
      </c>
      <c r="AR301">
        <v>0</v>
      </c>
      <c r="AS301">
        <v>21</v>
      </c>
      <c r="AT301">
        <v>9</v>
      </c>
      <c r="AU301">
        <v>1</v>
      </c>
      <c r="AV301">
        <v>3</v>
      </c>
      <c r="AW301" t="s">
        <v>12</v>
      </c>
      <c r="AY301" t="s">
        <v>1676</v>
      </c>
      <c r="AZ301" t="s">
        <v>1717</v>
      </c>
      <c r="BA301" s="4" t="str">
        <f>HYPERLINK("http://exon.niaid.nih.gov/transcriptome/C_felis/S1/links/SWISSP/cf-contig_146-SWISSP.txt","40S ribosomal protein S18")</f>
        <v>40S ribosomal protein S18</v>
      </c>
      <c r="BB301" t="str">
        <f>HYPERLINK("http://www.uniprot.org/uniprot/Q962R1","2E-068")</f>
        <v>2E-068</v>
      </c>
      <c r="BC301" t="s">
        <v>2231</v>
      </c>
      <c r="BD301">
        <v>258</v>
      </c>
      <c r="BE301">
        <v>131</v>
      </c>
      <c r="BF301">
        <v>152</v>
      </c>
      <c r="BG301">
        <v>93</v>
      </c>
      <c r="BH301">
        <v>87</v>
      </c>
      <c r="BI301">
        <v>8</v>
      </c>
      <c r="BJ301">
        <v>0</v>
      </c>
      <c r="BK301">
        <v>21</v>
      </c>
      <c r="BL301">
        <v>9</v>
      </c>
      <c r="BM301">
        <v>1</v>
      </c>
      <c r="BN301">
        <v>3</v>
      </c>
      <c r="BO301" t="s">
        <v>12</v>
      </c>
      <c r="BQ301" t="s">
        <v>1676</v>
      </c>
      <c r="BR301" t="s">
        <v>2031</v>
      </c>
      <c r="BS301" s="4" t="str">
        <f>HYPERLINK("http://exon.niaid.nih.gov/transcriptome/C_felis/S1/links/CDD/cf-contig_146-CDD.txt","PTZ00134")</f>
        <v>PTZ00134</v>
      </c>
      <c r="BT301" t="str">
        <f>HYPERLINK("http://www.ncbi.nlm.nih.gov/Structure/cdd/cddsrv.cgi?uid=PTZ00134&amp;version=v4.0","1E-073")</f>
        <v>1E-073</v>
      </c>
      <c r="BU301" t="s">
        <v>2232</v>
      </c>
      <c r="BV301" s="4" t="s">
        <v>2233</v>
      </c>
      <c r="BW301">
        <f>HYPERLINK("http://exon.niaid.nih.gov/transcriptome/C_felis/S1/links/GO/cf-contig_146-GO.txt",1E-62)</f>
        <v>1E-62</v>
      </c>
      <c r="BX301" t="str">
        <f>HYPERLINK("http://amigo.geneontology.org/cgi-bin/amigo/term_details?term=GO:0003735","GO:0003735")</f>
        <v>GO:0003735</v>
      </c>
      <c r="BY301" t="s">
        <v>1929</v>
      </c>
      <c r="BZ301" t="s">
        <v>1930</v>
      </c>
      <c r="CA301" t="s">
        <v>1931</v>
      </c>
      <c r="CB301" t="s">
        <v>42</v>
      </c>
      <c r="CD301" s="5">
        <v>1E-62</v>
      </c>
      <c r="CE301" t="str">
        <f>HYPERLINK("http://amigo.geneontology.org/cgi-bin/amigo/term_details?term=GO:0022627","GO:0022627")</f>
        <v>GO:0022627</v>
      </c>
      <c r="CF301" t="s">
        <v>2034</v>
      </c>
      <c r="CG301" t="s">
        <v>2035</v>
      </c>
      <c r="CH301" t="s">
        <v>2036</v>
      </c>
      <c r="CI301" t="s">
        <v>42</v>
      </c>
      <c r="CK301" s="5">
        <v>1E-62</v>
      </c>
      <c r="CL301" t="str">
        <f>HYPERLINK("http://amigo.geneontology.org/cgi-bin/amigo/term_details?term=GO:0006412","GO:0006412")</f>
        <v>GO:0006412</v>
      </c>
      <c r="CM301" t="s">
        <v>1935</v>
      </c>
      <c r="CN301" t="s">
        <v>1936</v>
      </c>
      <c r="CO301" t="s">
        <v>1937</v>
      </c>
      <c r="CP301" t="s">
        <v>42</v>
      </c>
      <c r="CR301" s="5">
        <v>1E-62</v>
      </c>
      <c r="CS301" s="4" t="str">
        <f>HYPERLINK("http://exon.niaid.nih.gov/transcriptome/C_felis/S1/links/KOG/cf-contig_146-KOG.txt","Ribosomal protein S18")</f>
        <v>Ribosomal protein S18</v>
      </c>
      <c r="CT301" t="str">
        <f>HYPERLINK("http://www.ncbi.nlm.nih.gov/COG/grace/shokog.cgi?KOG3311","2E-057")</f>
        <v>2E-057</v>
      </c>
      <c r="CU301" t="s">
        <v>1707</v>
      </c>
      <c r="CV301" s="4" t="str">
        <f>HYPERLINK("http://exon.niaid.nih.gov/transcriptome/C_felis/S1/links/PFAM/cf-contig_146-PFAM.txt","Ribosomal_S13")</f>
        <v>Ribosomal_S13</v>
      </c>
      <c r="CW301" t="str">
        <f>HYPERLINK("http://pfam.sanger.ac.uk/family?acc=PF00416","1E-038")</f>
        <v>1E-038</v>
      </c>
      <c r="CX301" s="4" t="str">
        <f>HYPERLINK("http://exon.niaid.nih.gov/transcriptome/C_felis/S1/links/SMART/cf-contig_146-SMART.txt","CPSase_L_D3")</f>
        <v>CPSase_L_D3</v>
      </c>
      <c r="CY301" t="str">
        <f>HYPERLINK("http://smart.embl-heidelberg.de/smart/do_annotation.pl?DOMAIN=CPSase_L_D3&amp;BLAST=DUMMY","0.020")</f>
        <v>0.020</v>
      </c>
      <c r="CZ301" s="4" t="s">
        <v>42</v>
      </c>
      <c r="DA301" t="s">
        <v>42</v>
      </c>
      <c r="DB301" t="s">
        <v>42</v>
      </c>
      <c r="DC301" t="s">
        <v>42</v>
      </c>
      <c r="DD301" t="s">
        <v>42</v>
      </c>
      <c r="DE301" t="s">
        <v>42</v>
      </c>
      <c r="DF301" t="s">
        <v>42</v>
      </c>
      <c r="DG301" t="s">
        <v>42</v>
      </c>
      <c r="DH301" s="4" t="s">
        <v>42</v>
      </c>
      <c r="DI301" t="s">
        <v>42</v>
      </c>
      <c r="DJ301" s="4" t="s">
        <v>42</v>
      </c>
      <c r="DK301" t="s">
        <v>42</v>
      </c>
      <c r="DL301" s="4">
        <v>139</v>
      </c>
      <c r="DM301">
        <v>1</v>
      </c>
      <c r="DN301" s="4">
        <v>136</v>
      </c>
      <c r="DO301">
        <v>1</v>
      </c>
      <c r="DP301" s="4">
        <v>133</v>
      </c>
      <c r="DQ301">
        <v>1</v>
      </c>
      <c r="DR301" s="4">
        <v>128</v>
      </c>
      <c r="DS301">
        <v>1</v>
      </c>
      <c r="DT301" s="4">
        <v>127</v>
      </c>
      <c r="DU301">
        <v>1</v>
      </c>
      <c r="DV301" s="4">
        <v>137</v>
      </c>
      <c r="DW301">
        <v>1</v>
      </c>
      <c r="DX301" s="4">
        <v>139</v>
      </c>
      <c r="DY301">
        <v>1</v>
      </c>
      <c r="DZ301" s="4">
        <v>139</v>
      </c>
      <c r="EA301">
        <v>1</v>
      </c>
      <c r="EB301" s="4">
        <v>144</v>
      </c>
      <c r="EC301">
        <v>1</v>
      </c>
      <c r="ED301" s="4">
        <v>145</v>
      </c>
      <c r="EE301">
        <v>1</v>
      </c>
      <c r="EF301" s="4">
        <v>144</v>
      </c>
      <c r="EG301">
        <v>1</v>
      </c>
      <c r="EH301" s="4">
        <v>143</v>
      </c>
      <c r="EI301">
        <v>1</v>
      </c>
      <c r="EJ301" s="4">
        <v>146</v>
      </c>
      <c r="EK301">
        <v>1</v>
      </c>
    </row>
    <row r="302" spans="1:141" x14ac:dyDescent="0.2">
      <c r="A302" t="str">
        <f>HYPERLINK("http://exon.niaid.nih.gov/transcriptome/C_felis/S1/links/cf/cf-contig_129.txt","cf-contig_129")</f>
        <v>cf-contig_129</v>
      </c>
      <c r="B302">
        <v>6</v>
      </c>
      <c r="C302" s="10" t="s">
        <v>4645</v>
      </c>
      <c r="D302">
        <v>6</v>
      </c>
      <c r="E302" t="str">
        <f>HYPERLINK("http://exon.niaid.nih.gov/transcriptome/C_felis/S1/links/cf/cf-5-36-asb-129.txt","Contig-129")</f>
        <v>Contig-129</v>
      </c>
      <c r="F302" t="str">
        <f>HYPERLINK("http://exon.niaid.nih.gov/transcriptome/C_felis/S1/links/cf/cf-5-36-129-CLU.txt","Contig129")</f>
        <v>Contig129</v>
      </c>
      <c r="G302" t="str">
        <f>HYPERLINK("http://exon.niaid.nih.gov/transcriptome/C_felis/S1/links/cf/cf-5-36-129-qual.txt","79.5")</f>
        <v>79.5</v>
      </c>
      <c r="H302" t="s">
        <v>11</v>
      </c>
      <c r="I302">
        <v>61.9</v>
      </c>
      <c r="J302">
        <v>252</v>
      </c>
      <c r="K302" t="s">
        <v>12</v>
      </c>
      <c r="L302">
        <v>6</v>
      </c>
      <c r="M302" t="s">
        <v>142</v>
      </c>
      <c r="N302">
        <v>252</v>
      </c>
      <c r="O302">
        <v>273</v>
      </c>
      <c r="P302">
        <v>213</v>
      </c>
      <c r="Q302" t="s">
        <v>949</v>
      </c>
      <c r="R302">
        <v>3</v>
      </c>
      <c r="S302" s="7" t="s">
        <v>4585</v>
      </c>
      <c r="U302">
        <v>6</v>
      </c>
      <c r="V302" s="4">
        <v>134</v>
      </c>
      <c r="W302">
        <v>1</v>
      </c>
      <c r="X302" s="4">
        <v>130</v>
      </c>
      <c r="Y302">
        <v>1</v>
      </c>
      <c r="Z302" s="4">
        <v>127</v>
      </c>
      <c r="AA302">
        <v>1</v>
      </c>
      <c r="AB302" s="4" t="str">
        <f>HYPERLINK("http://exon.niaid.nih.gov/transcriptome/C_felis/S1/links/XC-ASB/cf-contig_129-XC-ASB.txt","XC-contig_182")</f>
        <v>XC-contig_182</v>
      </c>
      <c r="AC302">
        <v>1E-42</v>
      </c>
      <c r="AD302" s="10" t="s">
        <v>4645</v>
      </c>
      <c r="AE302" t="s">
        <v>4605</v>
      </c>
      <c r="AF302" t="str">
        <f>HYPERLINK("http://exon.niaid.nih.gov/transcriptome/C_felis/S1/links/PFAM/cf-contig_129-PFAM.txt","PFAM")</f>
        <v>PFAM</v>
      </c>
      <c r="AG302" s="5">
        <v>4.9999999999999998E-24</v>
      </c>
      <c r="AH302">
        <v>42.8</v>
      </c>
      <c r="AI302" s="4" t="str">
        <f>HYPERLINK("http://exon.niaid.nih.gov/transcriptome/C_felis/S1/links/NR/cf-contig_129-NR.txt","ribosomal protein S19e")</f>
        <v>ribosomal protein S19e</v>
      </c>
      <c r="AJ302" t="str">
        <f>HYPERLINK("http://www.ncbi.nlm.nih.gov/sutils/blink.cgi?pid=70909579","3E-019")</f>
        <v>3E-019</v>
      </c>
      <c r="AK302" t="str">
        <f>HYPERLINK("http://www.ncbi.nlm.nih.gov/protein/70909579","gi|70909579")</f>
        <v>gi|70909579</v>
      </c>
      <c r="AL302">
        <v>98.6</v>
      </c>
      <c r="AM302">
        <v>69</v>
      </c>
      <c r="AN302">
        <v>153</v>
      </c>
      <c r="AO302">
        <v>67</v>
      </c>
      <c r="AP302">
        <v>46</v>
      </c>
      <c r="AQ302">
        <v>23</v>
      </c>
      <c r="AR302">
        <v>0</v>
      </c>
      <c r="AS302">
        <v>84</v>
      </c>
      <c r="AT302">
        <v>3</v>
      </c>
      <c r="AU302">
        <v>1</v>
      </c>
      <c r="AV302">
        <v>3</v>
      </c>
      <c r="AW302" t="s">
        <v>12</v>
      </c>
      <c r="AY302" t="s">
        <v>1676</v>
      </c>
      <c r="AZ302" t="s">
        <v>2154</v>
      </c>
      <c r="BA302" s="4" t="str">
        <f>HYPERLINK("http://exon.niaid.nih.gov/transcriptome/C_felis/S1/links/SWISSP/cf-contig_129-SWISSP.txt","40S ribosomal protein S19a")</f>
        <v>40S ribosomal protein S19a</v>
      </c>
      <c r="BB302" t="str">
        <f>HYPERLINK("http://www.uniprot.org/uniprot/P39018","2E-018")</f>
        <v>2E-018</v>
      </c>
      <c r="BC302" t="s">
        <v>2155</v>
      </c>
      <c r="BD302">
        <v>91.3</v>
      </c>
      <c r="BE302">
        <v>70</v>
      </c>
      <c r="BF302">
        <v>156</v>
      </c>
      <c r="BG302">
        <v>64</v>
      </c>
      <c r="BH302">
        <v>46</v>
      </c>
      <c r="BI302">
        <v>25</v>
      </c>
      <c r="BJ302">
        <v>0</v>
      </c>
      <c r="BK302">
        <v>84</v>
      </c>
      <c r="BL302">
        <v>3</v>
      </c>
      <c r="BM302">
        <v>1</v>
      </c>
      <c r="BN302">
        <v>3</v>
      </c>
      <c r="BO302" t="s">
        <v>12</v>
      </c>
      <c r="BQ302" t="s">
        <v>1676</v>
      </c>
      <c r="BR302" t="s">
        <v>1804</v>
      </c>
      <c r="BS302" s="4" t="str">
        <f>HYPERLINK("http://exon.niaid.nih.gov/transcriptome/C_felis/S1/links/CDD/cf-contig_129-CDD.txt","Ribosomal_S19e")</f>
        <v>Ribosomal_S19e</v>
      </c>
      <c r="BT302" t="str">
        <f>HYPERLINK("http://www.ncbi.nlm.nih.gov/Structure/cdd/cddsrv.cgi?uid=pfam01090&amp;version=v4.0","2E-023")</f>
        <v>2E-023</v>
      </c>
      <c r="BU302" t="s">
        <v>2156</v>
      </c>
      <c r="BV302" s="4" t="s">
        <v>2157</v>
      </c>
      <c r="BW302">
        <f>HYPERLINK("http://exon.niaid.nih.gov/transcriptome/C_felis/S1/links/GO/cf-contig_129-GO.txt",0.000000000000000001)</f>
        <v>1.0000000000000001E-18</v>
      </c>
      <c r="BX302" t="str">
        <f>HYPERLINK("http://amigo.geneontology.org/cgi-bin/amigo/term_details?term=GO:0003735","GO:0003735")</f>
        <v>GO:0003735</v>
      </c>
      <c r="BY302" t="s">
        <v>1929</v>
      </c>
      <c r="BZ302" t="s">
        <v>1930</v>
      </c>
      <c r="CA302" t="s">
        <v>1931</v>
      </c>
      <c r="CB302" t="s">
        <v>42</v>
      </c>
      <c r="CD302" s="5">
        <v>1.0000000000000001E-18</v>
      </c>
      <c r="CE302" t="str">
        <f>HYPERLINK("http://amigo.geneontology.org/cgi-bin/amigo/term_details?term=GO:0022627","GO:0022627")</f>
        <v>GO:0022627</v>
      </c>
      <c r="CF302" t="s">
        <v>2034</v>
      </c>
      <c r="CG302" t="s">
        <v>2035</v>
      </c>
      <c r="CH302" t="s">
        <v>2036</v>
      </c>
      <c r="CI302" t="s">
        <v>42</v>
      </c>
      <c r="CK302" s="5">
        <v>1.0000000000000001E-18</v>
      </c>
      <c r="CL302" t="str">
        <f>HYPERLINK("http://amigo.geneontology.org/cgi-bin/amigo/term_details?term=GO:0006412","GO:0006412")</f>
        <v>GO:0006412</v>
      </c>
      <c r="CM302" t="s">
        <v>1935</v>
      </c>
      <c r="CN302" t="s">
        <v>1936</v>
      </c>
      <c r="CO302" t="s">
        <v>1937</v>
      </c>
      <c r="CP302" t="s">
        <v>42</v>
      </c>
      <c r="CR302" s="5">
        <v>1.0000000000000001E-18</v>
      </c>
      <c r="CS302" s="4" t="str">
        <f>HYPERLINK("http://exon.niaid.nih.gov/transcriptome/C_felis/S1/links/KOG/cf-contig_129-KOG.txt","40S ribosomal protein S19")</f>
        <v>40S ribosomal protein S19</v>
      </c>
      <c r="CT302" t="str">
        <f>HYPERLINK("http://www.ncbi.nlm.nih.gov/COG/grace/shokog.cgi?KOG3411","9E-022")</f>
        <v>9E-022</v>
      </c>
      <c r="CU302" t="s">
        <v>1707</v>
      </c>
      <c r="CV302" s="4" t="str">
        <f>HYPERLINK("http://exon.niaid.nih.gov/transcriptome/C_felis/S1/links/PFAM/cf-contig_129-PFAM.txt","Ribosomal_S19e")</f>
        <v>Ribosomal_S19e</v>
      </c>
      <c r="CW302" t="str">
        <f>HYPERLINK("http://pfam.sanger.ac.uk/family?acc=PF01090","5E-024")</f>
        <v>5E-024</v>
      </c>
      <c r="CX302" s="4" t="str">
        <f>HYPERLINK("http://exon.niaid.nih.gov/transcriptome/C_felis/S1/links/SMART/cf-contig_129-SMART.txt","HTH_DTXR")</f>
        <v>HTH_DTXR</v>
      </c>
      <c r="CY302" t="str">
        <f>HYPERLINK("http://smart.embl-heidelberg.de/smart/do_annotation.pl?DOMAIN=HTH_DTXR&amp;BLAST=DUMMY","6E-006")</f>
        <v>6E-006</v>
      </c>
      <c r="CZ302" s="4" t="s">
        <v>42</v>
      </c>
      <c r="DA302" t="s">
        <v>42</v>
      </c>
      <c r="DB302" t="s">
        <v>42</v>
      </c>
      <c r="DC302" t="s">
        <v>42</v>
      </c>
      <c r="DD302" t="s">
        <v>42</v>
      </c>
      <c r="DE302" t="s">
        <v>42</v>
      </c>
      <c r="DF302" t="s">
        <v>42</v>
      </c>
      <c r="DG302" t="s">
        <v>42</v>
      </c>
      <c r="DH302" s="4" t="s">
        <v>42</v>
      </c>
      <c r="DI302" t="s">
        <v>42</v>
      </c>
      <c r="DJ302" s="4" t="s">
        <v>42</v>
      </c>
      <c r="DK302" t="s">
        <v>42</v>
      </c>
      <c r="DL302" s="4">
        <v>134</v>
      </c>
      <c r="DM302">
        <v>1</v>
      </c>
      <c r="DN302" s="4">
        <v>130</v>
      </c>
      <c r="DO302">
        <v>1</v>
      </c>
      <c r="DP302" s="4">
        <v>127</v>
      </c>
      <c r="DQ302">
        <v>1</v>
      </c>
      <c r="DR302" s="4">
        <v>121</v>
      </c>
      <c r="DS302">
        <v>1</v>
      </c>
      <c r="DT302" s="4">
        <v>119</v>
      </c>
      <c r="DU302">
        <v>1</v>
      </c>
      <c r="DV302" s="4">
        <v>128</v>
      </c>
      <c r="DW302">
        <v>1</v>
      </c>
      <c r="DX302" s="4">
        <v>130</v>
      </c>
      <c r="DY302">
        <v>1</v>
      </c>
      <c r="DZ302" s="4">
        <v>130</v>
      </c>
      <c r="EA302">
        <v>1</v>
      </c>
      <c r="EB302" s="4">
        <v>133</v>
      </c>
      <c r="EC302">
        <v>1</v>
      </c>
      <c r="ED302" s="4">
        <v>134</v>
      </c>
      <c r="EE302">
        <v>1</v>
      </c>
      <c r="EF302" s="4">
        <v>131</v>
      </c>
      <c r="EG302">
        <v>1</v>
      </c>
      <c r="EH302" s="4">
        <v>128</v>
      </c>
      <c r="EI302">
        <v>1</v>
      </c>
      <c r="EJ302" s="4">
        <v>129</v>
      </c>
      <c r="EK302">
        <v>1</v>
      </c>
    </row>
    <row r="303" spans="1:141" x14ac:dyDescent="0.2">
      <c r="A303" t="str">
        <f>HYPERLINK("http://exon.niaid.nih.gov/transcriptome/C_felis/S1/links/cf/cf-contig_151.txt","cf-contig_151")</f>
        <v>cf-contig_151</v>
      </c>
      <c r="B303">
        <v>5</v>
      </c>
      <c r="C303" s="10" t="s">
        <v>4656</v>
      </c>
      <c r="D303">
        <v>5</v>
      </c>
      <c r="E303" t="str">
        <f>HYPERLINK("http://exon.niaid.nih.gov/transcriptome/C_felis/S1/links/cf/cf-5-36-asb-151.txt","Contig-151")</f>
        <v>Contig-151</v>
      </c>
      <c r="F303" t="str">
        <f>HYPERLINK("http://exon.niaid.nih.gov/transcriptome/C_felis/S1/links/cf/cf-5-36-151-CLU.txt","Contig151")</f>
        <v>Contig151</v>
      </c>
      <c r="G303" t="str">
        <f>HYPERLINK("http://exon.niaid.nih.gov/transcriptome/C_felis/S1/links/cf/cf-5-36-151-qual.txt","81.6")</f>
        <v>81.6</v>
      </c>
      <c r="H303">
        <v>0.2</v>
      </c>
      <c r="I303">
        <v>61.2</v>
      </c>
      <c r="J303">
        <v>424</v>
      </c>
      <c r="K303" t="s">
        <v>12</v>
      </c>
      <c r="L303">
        <v>5</v>
      </c>
      <c r="M303" t="s">
        <v>164</v>
      </c>
      <c r="N303">
        <v>406</v>
      </c>
      <c r="O303">
        <v>443</v>
      </c>
      <c r="P303">
        <v>255</v>
      </c>
      <c r="Q303" t="s">
        <v>971</v>
      </c>
      <c r="R303">
        <v>1</v>
      </c>
      <c r="S303" s="7" t="str">
        <f>HYPERLINK("http://exon.niaid.nih.gov/transcriptome/C_felis/S1/links/Sigp/CF-CONTIG_151-SigP.txt","Cyt")</f>
        <v>Cyt</v>
      </c>
      <c r="U303">
        <v>5</v>
      </c>
      <c r="V303" s="4">
        <v>142</v>
      </c>
      <c r="W303">
        <v>1</v>
      </c>
      <c r="X303" s="4">
        <v>139</v>
      </c>
      <c r="Y303">
        <v>1</v>
      </c>
      <c r="Z303" s="4">
        <v>136</v>
      </c>
      <c r="AA303">
        <v>1</v>
      </c>
      <c r="AB303" s="4" t="str">
        <f>HYPERLINK("http://exon.niaid.nih.gov/transcriptome/C_felis/S1/links/XC-ASB/cf-contig_151-XC-ASB.txt","XC-contig_247")</f>
        <v>XC-contig_247</v>
      </c>
      <c r="AC303">
        <v>7.9999999999999994E-24</v>
      </c>
      <c r="AD303" s="10" t="s">
        <v>4656</v>
      </c>
      <c r="AE303" t="s">
        <v>4605</v>
      </c>
      <c r="AF303" t="str">
        <f>HYPERLINK("http://exon.niaid.nih.gov/transcriptome/C_felis/S1/links/PFAM/cf-contig_151-PFAM.txt","PFAM")</f>
        <v>PFAM</v>
      </c>
      <c r="AG303" s="5">
        <v>1E-41</v>
      </c>
      <c r="AH303">
        <v>101.2</v>
      </c>
      <c r="AI303" s="4" t="str">
        <f>HYPERLINK("http://exon.niaid.nih.gov/transcriptome/C_felis/S1/links/NR/cf-contig_151-NR.txt","40S ribosomal protein S21-like")</f>
        <v>40S ribosomal protein S21-like</v>
      </c>
      <c r="AJ303" t="str">
        <f>HYPERLINK("http://www.ncbi.nlm.nih.gov/sutils/blink.cgi?pid=345483752","1E-036")</f>
        <v>1E-036</v>
      </c>
      <c r="AK303" t="str">
        <f>HYPERLINK("http://www.ncbi.nlm.nih.gov/protein/345483752","gi|345483752")</f>
        <v>gi|345483752</v>
      </c>
      <c r="AL303">
        <v>156</v>
      </c>
      <c r="AM303">
        <v>83</v>
      </c>
      <c r="AN303">
        <v>99</v>
      </c>
      <c r="AO303">
        <v>88</v>
      </c>
      <c r="AP303">
        <v>85</v>
      </c>
      <c r="AQ303">
        <v>10</v>
      </c>
      <c r="AR303">
        <v>0</v>
      </c>
      <c r="AS303">
        <v>16</v>
      </c>
      <c r="AT303">
        <v>85</v>
      </c>
      <c r="AU303">
        <v>1</v>
      </c>
      <c r="AV303">
        <v>1</v>
      </c>
      <c r="AW303" t="s">
        <v>12</v>
      </c>
      <c r="AY303" t="s">
        <v>1676</v>
      </c>
      <c r="AZ303" t="s">
        <v>1897</v>
      </c>
      <c r="BA303" s="4" t="str">
        <f>HYPERLINK("http://exon.niaid.nih.gov/transcriptome/C_felis/S1/links/SWISSP/cf-contig_151-SWISSP.txt","40S ribosomal protein S21")</f>
        <v>40S ribosomal protein S21</v>
      </c>
      <c r="BB303" t="str">
        <f>HYPERLINK("http://www.uniprot.org/uniprot/Q4GXP2","1E-036")</f>
        <v>1E-036</v>
      </c>
      <c r="BC303" t="s">
        <v>2246</v>
      </c>
      <c r="BD303">
        <v>152</v>
      </c>
      <c r="BE303">
        <v>82</v>
      </c>
      <c r="BF303">
        <v>83</v>
      </c>
      <c r="BG303">
        <v>86</v>
      </c>
      <c r="BH303">
        <v>100</v>
      </c>
      <c r="BI303">
        <v>11</v>
      </c>
      <c r="BJ303">
        <v>0</v>
      </c>
      <c r="BK303">
        <v>1</v>
      </c>
      <c r="BL303">
        <v>88</v>
      </c>
      <c r="BM303">
        <v>1</v>
      </c>
      <c r="BN303">
        <v>1</v>
      </c>
      <c r="BO303" t="s">
        <v>12</v>
      </c>
      <c r="BQ303" t="s">
        <v>1676</v>
      </c>
      <c r="BR303" t="s">
        <v>2088</v>
      </c>
      <c r="BS303" s="4" t="str">
        <f>HYPERLINK("http://exon.niaid.nih.gov/transcriptome/C_felis/S1/links/CDD/cf-contig_151-CDD.txt","Ribosomal_S21e")</f>
        <v>Ribosomal_S21e</v>
      </c>
      <c r="BT303" t="str">
        <f>HYPERLINK("http://www.ncbi.nlm.nih.gov/Structure/cdd/cddsrv.cgi?uid=pfam01249&amp;version=v4.0","6E-041")</f>
        <v>6E-041</v>
      </c>
      <c r="BU303" t="s">
        <v>2247</v>
      </c>
      <c r="BV303" s="4" t="s">
        <v>2248</v>
      </c>
      <c r="BW303">
        <f>HYPERLINK("http://exon.niaid.nih.gov/transcriptome/C_felis/S1/links/GO/cf-contig_151-GO.txt",1E-33)</f>
        <v>1.0000000000000001E-33</v>
      </c>
      <c r="BX303" t="str">
        <f>HYPERLINK("http://amigo.geneontology.org/cgi-bin/amigo/term_details?term=GO:0043022","GO:0043022")</f>
        <v>GO:0043022</v>
      </c>
      <c r="BY303" t="s">
        <v>2249</v>
      </c>
      <c r="BZ303" t="s">
        <v>2250</v>
      </c>
      <c r="CA303" t="s">
        <v>2251</v>
      </c>
      <c r="CB303" t="s">
        <v>42</v>
      </c>
      <c r="CD303" s="5">
        <v>1.0000000000000001E-33</v>
      </c>
      <c r="CE303" t="str">
        <f>HYPERLINK("http://amigo.geneontology.org/cgi-bin/amigo/term_details?term=GO:0005840","GO:0005840")</f>
        <v>GO:0005840</v>
      </c>
      <c r="CF303" t="s">
        <v>2070</v>
      </c>
      <c r="CG303" t="s">
        <v>2071</v>
      </c>
      <c r="CH303" t="s">
        <v>2072</v>
      </c>
      <c r="CI303" t="s">
        <v>42</v>
      </c>
      <c r="CK303" s="5">
        <v>1.0000000000000001E-33</v>
      </c>
      <c r="CL303" t="str">
        <f>HYPERLINK("http://amigo.geneontology.org/cgi-bin/amigo/term_details?term=GO:0042127","GO:0042127")</f>
        <v>GO:0042127</v>
      </c>
      <c r="CM303" t="s">
        <v>2252</v>
      </c>
      <c r="CN303" t="s">
        <v>2253</v>
      </c>
      <c r="CO303" t="s">
        <v>42</v>
      </c>
      <c r="CP303" t="s">
        <v>42</v>
      </c>
      <c r="CR303" s="5">
        <v>1.0000000000000001E-33</v>
      </c>
      <c r="CS303" s="4" t="str">
        <f>HYPERLINK("http://exon.niaid.nih.gov/transcriptome/C_felis/S1/links/KOG/cf-contig_151-KOG.txt","40S ribosomal protein S21")</f>
        <v>40S ribosomal protein S21</v>
      </c>
      <c r="CT303" t="str">
        <f>HYPERLINK("http://www.ncbi.nlm.nih.gov/COG/grace/shokog.cgi?KOG3486","8E-033")</f>
        <v>8E-033</v>
      </c>
      <c r="CU303" t="s">
        <v>1707</v>
      </c>
      <c r="CV303" s="4" t="str">
        <f>HYPERLINK("http://exon.niaid.nih.gov/transcriptome/C_felis/S1/links/PFAM/cf-contig_151-PFAM.txt","Ribosomal_S21e")</f>
        <v>Ribosomal_S21e</v>
      </c>
      <c r="CW303" t="str">
        <f>HYPERLINK("http://pfam.sanger.ac.uk/family?acc=PF01249","1E-041")</f>
        <v>1E-041</v>
      </c>
      <c r="CX303" s="4" t="str">
        <f>HYPERLINK("http://exon.niaid.nih.gov/transcriptome/C_felis/S1/links/SMART/cf-contig_151-SMART.txt","53EXOc")</f>
        <v>53EXOc</v>
      </c>
      <c r="CY303" t="str">
        <f>HYPERLINK("http://smart.embl-heidelberg.de/smart/do_annotation.pl?DOMAIN=53EXOc&amp;BLAST=DUMMY","0.068")</f>
        <v>0.068</v>
      </c>
      <c r="CZ303" s="4" t="s">
        <v>42</v>
      </c>
      <c r="DA303" t="s">
        <v>42</v>
      </c>
      <c r="DB303" t="s">
        <v>42</v>
      </c>
      <c r="DC303" t="s">
        <v>42</v>
      </c>
      <c r="DD303" t="s">
        <v>42</v>
      </c>
      <c r="DE303" t="s">
        <v>42</v>
      </c>
      <c r="DF303" t="s">
        <v>42</v>
      </c>
      <c r="DG303" t="s">
        <v>42</v>
      </c>
      <c r="DH303" s="4" t="s">
        <v>42</v>
      </c>
      <c r="DI303" t="s">
        <v>42</v>
      </c>
      <c r="DJ303" s="4" t="s">
        <v>42</v>
      </c>
      <c r="DK303" t="s">
        <v>42</v>
      </c>
      <c r="DL303" s="4">
        <v>142</v>
      </c>
      <c r="DM303">
        <v>1</v>
      </c>
      <c r="DN303" s="4">
        <v>139</v>
      </c>
      <c r="DO303">
        <v>1</v>
      </c>
      <c r="DP303" s="4">
        <v>136</v>
      </c>
      <c r="DQ303">
        <v>1</v>
      </c>
      <c r="DR303" s="4">
        <v>133</v>
      </c>
      <c r="DS303">
        <v>1</v>
      </c>
      <c r="DT303" s="4">
        <v>132</v>
      </c>
      <c r="DU303">
        <v>1</v>
      </c>
      <c r="DV303" s="4">
        <v>142</v>
      </c>
      <c r="DW303">
        <v>1</v>
      </c>
      <c r="DX303" s="4">
        <v>144</v>
      </c>
      <c r="DY303">
        <v>1</v>
      </c>
      <c r="DZ303" s="4">
        <v>144</v>
      </c>
      <c r="EA303">
        <v>1</v>
      </c>
      <c r="EB303" s="4">
        <v>149</v>
      </c>
      <c r="EC303">
        <v>1</v>
      </c>
      <c r="ED303" s="4">
        <v>150</v>
      </c>
      <c r="EE303">
        <v>1</v>
      </c>
      <c r="EF303" s="4">
        <v>149</v>
      </c>
      <c r="EG303">
        <v>1</v>
      </c>
      <c r="EH303" s="4">
        <v>148</v>
      </c>
      <c r="EI303">
        <v>1</v>
      </c>
      <c r="EJ303" s="4">
        <v>151</v>
      </c>
      <c r="EK303">
        <v>1</v>
      </c>
    </row>
    <row r="304" spans="1:141" x14ac:dyDescent="0.2">
      <c r="A304" t="str">
        <f>HYPERLINK("http://exon.niaid.nih.gov/transcriptome/C_felis/S1/links/cf/cf-contig_651.txt","cf-contig_651")</f>
        <v>cf-contig_651</v>
      </c>
      <c r="B304">
        <v>1</v>
      </c>
      <c r="C304" s="10" t="s">
        <v>4836</v>
      </c>
      <c r="D304">
        <v>1</v>
      </c>
      <c r="E304" t="str">
        <f>HYPERLINK("http://exon.niaid.nih.gov/transcriptome/C_felis/S1/links/cf/cf-5-36-asb-651.txt","Contig-651")</f>
        <v>Contig-651</v>
      </c>
      <c r="F304" t="str">
        <f>HYPERLINK("http://exon.niaid.nih.gov/transcriptome/C_felis/S1/links/cf/cf-5-36-651-CLU.txt","Contig651")</f>
        <v>Contig651</v>
      </c>
      <c r="G304" t="str">
        <f>HYPERLINK("http://exon.niaid.nih.gov/transcriptome/C_felis/S1/links/cf/cf-5-36-651-qual.txt","64.3")</f>
        <v>64.3</v>
      </c>
      <c r="H304" t="s">
        <v>11</v>
      </c>
      <c r="I304">
        <v>64.599999999999994</v>
      </c>
      <c r="J304">
        <v>255</v>
      </c>
      <c r="K304" t="s">
        <v>12</v>
      </c>
      <c r="L304">
        <v>1</v>
      </c>
      <c r="M304" t="s">
        <v>664</v>
      </c>
      <c r="N304">
        <v>255</v>
      </c>
      <c r="O304">
        <v>274</v>
      </c>
      <c r="P304">
        <v>177</v>
      </c>
      <c r="Q304" t="s">
        <v>1470</v>
      </c>
      <c r="R304">
        <v>1</v>
      </c>
      <c r="S304" s="7" t="str">
        <f>HYPERLINK("http://exon.niaid.nih.gov/transcriptome/C_felis/S1/links/Sigp/CF-CONTIG_651-SigP.txt","Cyt")</f>
        <v>Cyt</v>
      </c>
      <c r="U304">
        <v>1</v>
      </c>
      <c r="V304" s="4">
        <f>HYPERLINK("http://exon.niaid.nih.gov/transcriptome/C_felis/S1/links/cluster/cf-5-36-asb30-50-Id-CLU91.txt", 91)</f>
        <v>91</v>
      </c>
      <c r="W304">
        <f>HYPERLINK("http://exon.niaid.nih.gov/transcriptome/C_felis/S1/links/cluster/cf-5-36-asb30-50-Id-CLTL91.txt", 2)</f>
        <v>2</v>
      </c>
      <c r="X304" s="4">
        <f>HYPERLINK("http://exon.niaid.nih.gov/transcriptome/C_felis/S1/links/cluster/cf-5-36-asb35-50-Id-CLU84.txt", 84)</f>
        <v>84</v>
      </c>
      <c r="Y304">
        <f>HYPERLINK("http://exon.niaid.nih.gov/transcriptome/C_felis/S1/links/cluster/cf-5-36-asb35-50-Id-CLTL84.txt", 2)</f>
        <v>2</v>
      </c>
      <c r="Z304" s="4">
        <v>556</v>
      </c>
      <c r="AA304">
        <v>1</v>
      </c>
      <c r="AB304" s="4" t="str">
        <f>HYPERLINK("http://exon.niaid.nih.gov/transcriptome/C_felis/S1/links/XC-ASB/cf-contig_651-XC-ASB.txt","XC-contig_146")</f>
        <v>XC-contig_146</v>
      </c>
      <c r="AC304">
        <v>9.6000000000000002E-2</v>
      </c>
      <c r="AD304" s="10" t="s">
        <v>4836</v>
      </c>
      <c r="AE304" t="s">
        <v>4605</v>
      </c>
      <c r="AF304" t="str">
        <f>HYPERLINK("http://exon.niaid.nih.gov/transcriptome/C_felis/S1/links/NR/cf-contig_651-NR.txt","NR")</f>
        <v>NR</v>
      </c>
      <c r="AG304">
        <v>1E-13</v>
      </c>
      <c r="AH304">
        <v>30</v>
      </c>
      <c r="AI304" s="4" t="str">
        <f>HYPERLINK("http://exon.niaid.nih.gov/transcriptome/C_felis/S1/links/NR/cf-contig_651-NR.txt","ribosomal protein S24e")</f>
        <v>ribosomal protein S24e</v>
      </c>
      <c r="AJ304" t="str">
        <f>HYPERLINK("http://www.ncbi.nlm.nih.gov/sutils/blink.cgi?pid=69608490","1E-013")</f>
        <v>1E-013</v>
      </c>
      <c r="AK304" t="str">
        <f>HYPERLINK("http://www.ncbi.nlm.nih.gov/protein/69608490","gi|69608490")</f>
        <v>gi|69608490</v>
      </c>
      <c r="AL304">
        <v>80.099999999999994</v>
      </c>
      <c r="AM304">
        <v>39</v>
      </c>
      <c r="AN304">
        <v>132</v>
      </c>
      <c r="AO304">
        <v>95</v>
      </c>
      <c r="AP304">
        <v>30</v>
      </c>
      <c r="AQ304">
        <v>2</v>
      </c>
      <c r="AR304">
        <v>0</v>
      </c>
      <c r="AS304">
        <v>93</v>
      </c>
      <c r="AT304">
        <v>6</v>
      </c>
      <c r="AU304">
        <v>1</v>
      </c>
      <c r="AV304">
        <v>3</v>
      </c>
      <c r="AW304" t="s">
        <v>12</v>
      </c>
      <c r="AY304" t="s">
        <v>1676</v>
      </c>
      <c r="AZ304" t="s">
        <v>2088</v>
      </c>
      <c r="BA304" s="4" t="str">
        <f>HYPERLINK("http://exon.niaid.nih.gov/transcriptome/C_felis/S1/links/SWISSP/cf-contig_651-SWISSP.txt","40S ribosomal protein S24")</f>
        <v>40S ribosomal protein S24</v>
      </c>
      <c r="BB304" t="str">
        <f>HYPERLINK("http://www.uniprot.org/uniprot/Q962Q6","1E-013")</f>
        <v>1E-013</v>
      </c>
      <c r="BC304" t="s">
        <v>4059</v>
      </c>
      <c r="BD304">
        <v>75.5</v>
      </c>
      <c r="BE304">
        <v>38</v>
      </c>
      <c r="BF304">
        <v>132</v>
      </c>
      <c r="BG304">
        <v>92</v>
      </c>
      <c r="BH304">
        <v>30</v>
      </c>
      <c r="BI304">
        <v>3</v>
      </c>
      <c r="BJ304">
        <v>0</v>
      </c>
      <c r="BK304">
        <v>94</v>
      </c>
      <c r="BL304">
        <v>9</v>
      </c>
      <c r="BM304">
        <v>1</v>
      </c>
      <c r="BN304">
        <v>3</v>
      </c>
      <c r="BO304" t="s">
        <v>12</v>
      </c>
      <c r="BQ304" t="s">
        <v>1676</v>
      </c>
      <c r="BR304" t="s">
        <v>2031</v>
      </c>
      <c r="BS304" s="4" t="str">
        <f>HYPERLINK("http://exon.niaid.nih.gov/transcriptome/C_felis/S1/links/CDD/cf-contig_651-CDD.txt","PTZ00071")</f>
        <v>PTZ00071</v>
      </c>
      <c r="BT304" t="str">
        <f>HYPERLINK("http://www.ncbi.nlm.nih.gov/Structure/cdd/cddsrv.cgi?uid=PTZ00071&amp;version=v4.0","5E-010")</f>
        <v>5E-010</v>
      </c>
      <c r="BU304" t="s">
        <v>4060</v>
      </c>
      <c r="BV304" s="4" t="s">
        <v>4061</v>
      </c>
      <c r="BW304">
        <f>HYPERLINK("http://exon.niaid.nih.gov/transcriptome/C_felis/S1/links/GO/cf-contig_651-GO.txt",0.00000000003)</f>
        <v>3E-11</v>
      </c>
      <c r="BX304" t="str">
        <f>HYPERLINK("http://amigo.geneontology.org/cgi-bin/amigo/term_details?term=GO:0000166","GO:0000166")</f>
        <v>GO:0000166</v>
      </c>
      <c r="BY304" t="s">
        <v>2415</v>
      </c>
      <c r="BZ304" t="s">
        <v>2416</v>
      </c>
      <c r="CA304" t="s">
        <v>42</v>
      </c>
      <c r="CB304" t="s">
        <v>42</v>
      </c>
      <c r="CD304">
        <v>3E-11</v>
      </c>
      <c r="CE304" t="str">
        <f>HYPERLINK("http://amigo.geneontology.org/cgi-bin/amigo/term_details?term=GO:0005622","GO:0005622")</f>
        <v>GO:0005622</v>
      </c>
      <c r="CF304" t="s">
        <v>2085</v>
      </c>
      <c r="CG304" t="s">
        <v>2086</v>
      </c>
      <c r="CH304" t="s">
        <v>2087</v>
      </c>
      <c r="CI304" t="s">
        <v>42</v>
      </c>
      <c r="CK304">
        <v>3E-11</v>
      </c>
      <c r="CL304" t="str">
        <f>HYPERLINK("http://amigo.geneontology.org/cgi-bin/amigo/term_details?term=GO:0006412","GO:0006412")</f>
        <v>GO:0006412</v>
      </c>
      <c r="CM304" t="s">
        <v>1935</v>
      </c>
      <c r="CN304" t="s">
        <v>1936</v>
      </c>
      <c r="CO304" t="s">
        <v>1937</v>
      </c>
      <c r="CP304" t="s">
        <v>42</v>
      </c>
      <c r="CR304">
        <v>3E-11</v>
      </c>
      <c r="CS304" s="4" t="str">
        <f>HYPERLINK("http://exon.niaid.nih.gov/transcriptome/C_felis/S1/links/KOG/cf-contig_651-KOG.txt","40S ribosomal protein S24")</f>
        <v>40S ribosomal protein S24</v>
      </c>
      <c r="CT304" t="str">
        <f>HYPERLINK("http://www.ncbi.nlm.nih.gov/COG/grace/shokog.cgi?KOG3424","3E-011")</f>
        <v>3E-011</v>
      </c>
      <c r="CU304" t="s">
        <v>1707</v>
      </c>
      <c r="CV304" s="4" t="str">
        <f>HYPERLINK("http://exon.niaid.nih.gov/transcriptome/C_felis/S1/links/PFAM/cf-contig_651-PFAM.txt","TRAM_LAG1_CLN8")</f>
        <v>TRAM_LAG1_CLN8</v>
      </c>
      <c r="CW304" t="str">
        <f>HYPERLINK("http://pfam.sanger.ac.uk/family?acc=PF03798","0.038")</f>
        <v>0.038</v>
      </c>
      <c r="CX304" s="4" t="str">
        <f>HYPERLINK("http://exon.niaid.nih.gov/transcriptome/C_felis/S1/links/SMART/cf-contig_651-SMART.txt","TLC")</f>
        <v>TLC</v>
      </c>
      <c r="CY304" t="str">
        <f>HYPERLINK("http://smart.embl-heidelberg.de/smart/do_annotation.pl?DOMAIN=TLC&amp;BLAST=DUMMY","0.042")</f>
        <v>0.042</v>
      </c>
      <c r="CZ304" s="4" t="s">
        <v>42</v>
      </c>
      <c r="DA304" t="s">
        <v>42</v>
      </c>
      <c r="DB304" t="s">
        <v>42</v>
      </c>
      <c r="DC304" t="s">
        <v>42</v>
      </c>
      <c r="DD304" t="s">
        <v>42</v>
      </c>
      <c r="DE304" t="s">
        <v>42</v>
      </c>
      <c r="DF304" t="s">
        <v>42</v>
      </c>
      <c r="DG304" t="s">
        <v>42</v>
      </c>
      <c r="DH304" s="4" t="s">
        <v>42</v>
      </c>
      <c r="DI304" t="s">
        <v>42</v>
      </c>
      <c r="DJ304" s="4" t="s">
        <v>42</v>
      </c>
      <c r="DK304" t="s">
        <v>42</v>
      </c>
      <c r="DL304" s="4">
        <f>HYPERLINK("http://exon.niaid.nih.gov/transcriptome/C_felis/S1/links/cluster/cf-5-36-asb30-50-Id-CLU91.txt", 91)</f>
        <v>91</v>
      </c>
      <c r="DM304">
        <f>HYPERLINK("http://exon.niaid.nih.gov/transcriptome/C_felis/S1/links/cluster/cf-5-36-asb30-50-Id-CLTL91.txt", 2)</f>
        <v>2</v>
      </c>
      <c r="DN304" s="4">
        <f>HYPERLINK("http://exon.niaid.nih.gov/transcriptome/C_felis/S1/links/cluster/cf-5-36-asb35-50-Id-CLU84.txt", 84)</f>
        <v>84</v>
      </c>
      <c r="DO304">
        <f>HYPERLINK("http://exon.niaid.nih.gov/transcriptome/C_felis/S1/links/cluster/cf-5-36-asb35-50-Id-CLTL84.txt", 2)</f>
        <v>2</v>
      </c>
      <c r="DP304" s="4">
        <v>556</v>
      </c>
      <c r="DQ304">
        <v>1</v>
      </c>
      <c r="DR304" s="4">
        <v>576</v>
      </c>
      <c r="DS304">
        <v>1</v>
      </c>
      <c r="DT304" s="4">
        <v>589</v>
      </c>
      <c r="DU304">
        <v>1</v>
      </c>
      <c r="DV304" s="4">
        <v>603</v>
      </c>
      <c r="DW304">
        <v>1</v>
      </c>
      <c r="DX304" s="4">
        <v>612</v>
      </c>
      <c r="DY304">
        <v>1</v>
      </c>
      <c r="DZ304" s="4">
        <v>621</v>
      </c>
      <c r="EA304">
        <v>1</v>
      </c>
      <c r="EB304" s="4">
        <v>626</v>
      </c>
      <c r="EC304">
        <v>1</v>
      </c>
      <c r="ED304" s="4">
        <v>630</v>
      </c>
      <c r="EE304">
        <v>1</v>
      </c>
      <c r="EF304" s="4">
        <v>636</v>
      </c>
      <c r="EG304">
        <v>1</v>
      </c>
      <c r="EH304" s="4">
        <v>644</v>
      </c>
      <c r="EI304">
        <v>1</v>
      </c>
      <c r="EJ304" s="4">
        <v>651</v>
      </c>
      <c r="EK304">
        <v>1</v>
      </c>
    </row>
    <row r="305" spans="1:141" x14ac:dyDescent="0.2">
      <c r="A305" t="str">
        <f>HYPERLINK("http://exon.niaid.nih.gov/transcriptome/C_felis/S1/links/cf/cf-contig_217.txt","cf-contig_217")</f>
        <v>cf-contig_217</v>
      </c>
      <c r="B305">
        <v>3</v>
      </c>
      <c r="C305" s="10" t="s">
        <v>4695</v>
      </c>
      <c r="D305">
        <v>3</v>
      </c>
      <c r="E305" t="str">
        <f>HYPERLINK("http://exon.niaid.nih.gov/transcriptome/C_felis/S1/links/cf/cf-5-36-asb-217.txt","Contig-217")</f>
        <v>Contig-217</v>
      </c>
      <c r="F305" t="str">
        <f>HYPERLINK("http://exon.niaid.nih.gov/transcriptome/C_felis/S1/links/cf/cf-5-36-217-CLU.txt","Contig217")</f>
        <v>Contig217</v>
      </c>
      <c r="G305" t="str">
        <f>HYPERLINK("http://exon.niaid.nih.gov/transcriptome/C_felis/S1/links/cf/cf-5-36-217-qual.txt","79.2")</f>
        <v>79.2</v>
      </c>
      <c r="H305">
        <v>0.3</v>
      </c>
      <c r="I305">
        <v>59.7</v>
      </c>
      <c r="J305">
        <v>343</v>
      </c>
      <c r="K305" t="s">
        <v>12</v>
      </c>
      <c r="L305">
        <v>3</v>
      </c>
      <c r="M305" t="s">
        <v>230</v>
      </c>
      <c r="N305">
        <v>343</v>
      </c>
      <c r="O305">
        <v>362</v>
      </c>
      <c r="P305">
        <v>303</v>
      </c>
      <c r="Q305" t="s">
        <v>1037</v>
      </c>
      <c r="R305">
        <v>1</v>
      </c>
      <c r="S305" s="7" t="s">
        <v>4585</v>
      </c>
      <c r="U305">
        <v>3</v>
      </c>
      <c r="V305" s="4">
        <v>175</v>
      </c>
      <c r="W305">
        <v>1</v>
      </c>
      <c r="X305" s="4">
        <v>178</v>
      </c>
      <c r="Y305">
        <v>1</v>
      </c>
      <c r="Z305" s="4">
        <v>176</v>
      </c>
      <c r="AA305">
        <v>1</v>
      </c>
      <c r="AB305" s="4" t="str">
        <f>HYPERLINK("http://exon.niaid.nih.gov/transcriptome/C_felis/S1/links/XC-ASB/cf-contig_217-XC-ASB.txt","XC-contig_65")</f>
        <v>XC-contig_65</v>
      </c>
      <c r="AC305">
        <v>4.9999999999999998E-65</v>
      </c>
      <c r="AD305" s="10" t="s">
        <v>4695</v>
      </c>
      <c r="AE305" t="s">
        <v>4605</v>
      </c>
      <c r="AF305" t="str">
        <f>HYPERLINK("http://exon.niaid.nih.gov/transcriptome/C_felis/S1/links/NR/cf-contig_217-NR.txt","NR")</f>
        <v>NR</v>
      </c>
      <c r="AG305" s="5">
        <v>1.9999999999999999E-48</v>
      </c>
      <c r="AH305">
        <v>84</v>
      </c>
      <c r="AI305" s="4" t="str">
        <f>HYPERLINK("http://exon.niaid.nih.gov/transcriptome/C_felis/S1/links/NR/cf-contig_217-NR.txt","ribosomal protein S25")</f>
        <v>ribosomal protein S25</v>
      </c>
      <c r="AJ305" t="str">
        <f>HYPERLINK("http://www.ncbi.nlm.nih.gov/sutils/blink.cgi?pid=121511978","2E-048")</f>
        <v>2E-048</v>
      </c>
      <c r="AK305" t="str">
        <f>HYPERLINK("http://www.ncbi.nlm.nih.gov/protein/121511978","gi|121511978")</f>
        <v>gi|121511978</v>
      </c>
      <c r="AL305">
        <v>195</v>
      </c>
      <c r="AM305">
        <v>99</v>
      </c>
      <c r="AN305">
        <v>119</v>
      </c>
      <c r="AO305">
        <v>98</v>
      </c>
      <c r="AP305">
        <v>84</v>
      </c>
      <c r="AQ305">
        <v>2</v>
      </c>
      <c r="AR305">
        <v>0</v>
      </c>
      <c r="AS305">
        <v>20</v>
      </c>
      <c r="AT305">
        <v>4</v>
      </c>
      <c r="AU305">
        <v>1</v>
      </c>
      <c r="AV305">
        <v>1</v>
      </c>
      <c r="AW305" t="s">
        <v>12</v>
      </c>
      <c r="AY305" t="s">
        <v>1676</v>
      </c>
      <c r="AZ305" t="s">
        <v>1717</v>
      </c>
      <c r="BA305" s="4" t="str">
        <f>HYPERLINK("http://exon.niaid.nih.gov/transcriptome/C_felis/S1/links/SWISSP/cf-contig_217-SWISSP.txt","40S ribosomal protein S25")</f>
        <v>40S ribosomal protein S25</v>
      </c>
      <c r="BB305" t="str">
        <f>HYPERLINK("http://www.uniprot.org/uniprot/Q962Q5","6E-045")</f>
        <v>6E-045</v>
      </c>
      <c r="BC305" t="s">
        <v>2475</v>
      </c>
      <c r="BD305">
        <v>179</v>
      </c>
      <c r="BE305">
        <v>99</v>
      </c>
      <c r="BF305">
        <v>119</v>
      </c>
      <c r="BG305">
        <v>88</v>
      </c>
      <c r="BH305">
        <v>84</v>
      </c>
      <c r="BI305">
        <v>12</v>
      </c>
      <c r="BJ305">
        <v>0</v>
      </c>
      <c r="BK305">
        <v>20</v>
      </c>
      <c r="BL305">
        <v>4</v>
      </c>
      <c r="BM305">
        <v>1</v>
      </c>
      <c r="BN305">
        <v>1</v>
      </c>
      <c r="BO305" t="s">
        <v>12</v>
      </c>
      <c r="BQ305" t="s">
        <v>1676</v>
      </c>
      <c r="BR305" t="s">
        <v>2031</v>
      </c>
      <c r="BS305" s="4" t="str">
        <f>HYPERLINK("http://exon.niaid.nih.gov/transcriptome/C_felis/S1/links/CDD/cf-contig_217-CDD.txt","Ribosomal_S25")</f>
        <v>Ribosomal_S25</v>
      </c>
      <c r="BT305" t="str">
        <f>HYPERLINK("http://www.ncbi.nlm.nih.gov/Structure/cdd/cddsrv.cgi?uid=pfam03297&amp;version=v4.0","9E-048")</f>
        <v>9E-048</v>
      </c>
      <c r="BU305" t="s">
        <v>2476</v>
      </c>
      <c r="BV305" s="4" t="s">
        <v>2477</v>
      </c>
      <c r="BW305">
        <f>HYPERLINK("http://exon.niaid.nih.gov/transcriptome/C_felis/S1/links/GO/cf-contig_217-GO.txt",3E-43)</f>
        <v>3E-43</v>
      </c>
      <c r="BX305" t="str">
        <f t="shared" ref="BX305:BX312" si="32">HYPERLINK("http://amigo.geneontology.org/cgi-bin/amigo/term_details?term=GO:0003735","GO:0003735")</f>
        <v>GO:0003735</v>
      </c>
      <c r="BY305" t="s">
        <v>1929</v>
      </c>
      <c r="BZ305" t="s">
        <v>1930</v>
      </c>
      <c r="CA305" t="s">
        <v>1931</v>
      </c>
      <c r="CB305" t="s">
        <v>42</v>
      </c>
      <c r="CD305" s="5">
        <v>3E-43</v>
      </c>
      <c r="CE305" t="str">
        <f>HYPERLINK("http://amigo.geneontology.org/cgi-bin/amigo/term_details?term=GO:0022627","GO:0022627")</f>
        <v>GO:0022627</v>
      </c>
      <c r="CF305" t="s">
        <v>2034</v>
      </c>
      <c r="CG305" t="s">
        <v>2035</v>
      </c>
      <c r="CH305" t="s">
        <v>2036</v>
      </c>
      <c r="CI305" t="s">
        <v>42</v>
      </c>
      <c r="CK305" s="5">
        <v>3E-43</v>
      </c>
      <c r="CL305" t="str">
        <f>HYPERLINK("http://amigo.geneontology.org/cgi-bin/amigo/term_details?term=GO:0006412","GO:0006412")</f>
        <v>GO:0006412</v>
      </c>
      <c r="CM305" t="s">
        <v>1935</v>
      </c>
      <c r="CN305" t="s">
        <v>1936</v>
      </c>
      <c r="CO305" t="s">
        <v>1937</v>
      </c>
      <c r="CP305" t="s">
        <v>42</v>
      </c>
      <c r="CR305" s="5">
        <v>3E-43</v>
      </c>
      <c r="CS305" s="4" t="str">
        <f>HYPERLINK("http://exon.niaid.nih.gov/transcriptome/C_felis/S1/links/KOG/cf-contig_217-KOG.txt","40S ribosomal protein S25")</f>
        <v>40S ribosomal protein S25</v>
      </c>
      <c r="CT305" t="str">
        <f>HYPERLINK("http://www.ncbi.nlm.nih.gov/COG/grace/shokog.cgi?KOG1767","5E-040")</f>
        <v>5E-040</v>
      </c>
      <c r="CU305" t="s">
        <v>1707</v>
      </c>
      <c r="CV305" s="4" t="str">
        <f>HYPERLINK("http://exon.niaid.nih.gov/transcriptome/C_felis/S1/links/PFAM/cf-contig_217-PFAM.txt","Ribosomal_S25")</f>
        <v>Ribosomal_S25</v>
      </c>
      <c r="CW305" t="str">
        <f>HYPERLINK("http://pfam.sanger.ac.uk/family?acc=PF03297","2E-048")</f>
        <v>2E-048</v>
      </c>
      <c r="CX305" s="4" t="str">
        <f>HYPERLINK("http://exon.niaid.nih.gov/transcriptome/C_felis/S1/links/SMART/cf-contig_217-SMART.txt","HTH_DTXR")</f>
        <v>HTH_DTXR</v>
      </c>
      <c r="CY305" t="str">
        <f>HYPERLINK("http://smart.embl-heidelberg.de/smart/do_annotation.pl?DOMAIN=HTH_DTXR&amp;BLAST=DUMMY","0.010")</f>
        <v>0.010</v>
      </c>
      <c r="CZ305" s="4" t="s">
        <v>42</v>
      </c>
      <c r="DA305" t="s">
        <v>42</v>
      </c>
      <c r="DB305" t="s">
        <v>42</v>
      </c>
      <c r="DC305" t="s">
        <v>42</v>
      </c>
      <c r="DD305" t="s">
        <v>42</v>
      </c>
      <c r="DE305" t="s">
        <v>42</v>
      </c>
      <c r="DF305" t="s">
        <v>42</v>
      </c>
      <c r="DG305" t="s">
        <v>42</v>
      </c>
      <c r="DH305" s="4" t="s">
        <v>42</v>
      </c>
      <c r="DI305" t="s">
        <v>42</v>
      </c>
      <c r="DJ305" s="4" t="s">
        <v>42</v>
      </c>
      <c r="DK305" t="s">
        <v>42</v>
      </c>
      <c r="DL305" s="4">
        <v>175</v>
      </c>
      <c r="DM305">
        <v>1</v>
      </c>
      <c r="DN305" s="4">
        <v>178</v>
      </c>
      <c r="DO305">
        <v>1</v>
      </c>
      <c r="DP305" s="4">
        <v>176</v>
      </c>
      <c r="DQ305">
        <v>1</v>
      </c>
      <c r="DR305" s="4">
        <v>179</v>
      </c>
      <c r="DS305">
        <v>1</v>
      </c>
      <c r="DT305" s="4">
        <v>183</v>
      </c>
      <c r="DU305">
        <v>1</v>
      </c>
      <c r="DV305" s="4">
        <v>195</v>
      </c>
      <c r="DW305">
        <v>1</v>
      </c>
      <c r="DX305" s="4">
        <v>197</v>
      </c>
      <c r="DY305">
        <v>1</v>
      </c>
      <c r="DZ305" s="4">
        <v>199</v>
      </c>
      <c r="EA305">
        <v>1</v>
      </c>
      <c r="EB305" s="4">
        <v>204</v>
      </c>
      <c r="EC305">
        <v>1</v>
      </c>
      <c r="ED305" s="4">
        <v>207</v>
      </c>
      <c r="EE305">
        <v>1</v>
      </c>
      <c r="EF305" s="4">
        <v>210</v>
      </c>
      <c r="EG305">
        <v>1</v>
      </c>
      <c r="EH305" s="4">
        <v>212</v>
      </c>
      <c r="EI305">
        <v>1</v>
      </c>
      <c r="EJ305" s="4">
        <v>217</v>
      </c>
      <c r="EK305">
        <v>1</v>
      </c>
    </row>
    <row r="306" spans="1:141" x14ac:dyDescent="0.2">
      <c r="A306" t="str">
        <f>HYPERLINK("http://exon.niaid.nih.gov/transcriptome/C_felis/S1/links/cf/cf-contig_192.txt","cf-contig_192")</f>
        <v>cf-contig_192</v>
      </c>
      <c r="B306">
        <v>4</v>
      </c>
      <c r="C306" s="10" t="s">
        <v>4679</v>
      </c>
      <c r="D306">
        <v>4</v>
      </c>
      <c r="E306" t="str">
        <f>HYPERLINK("http://exon.niaid.nih.gov/transcriptome/C_felis/S1/links/cf/cf-5-36-asb-192.txt","Contig-192")</f>
        <v>Contig-192</v>
      </c>
      <c r="F306" t="str">
        <f>HYPERLINK("http://exon.niaid.nih.gov/transcriptome/C_felis/S1/links/cf/cf-5-36-192-CLU.txt","Contig192")</f>
        <v>Contig192</v>
      </c>
      <c r="G306" t="str">
        <f>HYPERLINK("http://exon.niaid.nih.gov/transcriptome/C_felis/S1/links/cf/cf-5-36-192-qual.txt","72.6")</f>
        <v>72.6</v>
      </c>
      <c r="H306" t="s">
        <v>11</v>
      </c>
      <c r="I306">
        <v>61.1</v>
      </c>
      <c r="J306">
        <v>275</v>
      </c>
      <c r="K306" t="s">
        <v>12</v>
      </c>
      <c r="L306">
        <v>4</v>
      </c>
      <c r="M306" t="s">
        <v>205</v>
      </c>
      <c r="N306">
        <v>275</v>
      </c>
      <c r="O306">
        <v>296</v>
      </c>
      <c r="P306">
        <v>237</v>
      </c>
      <c r="Q306" t="s">
        <v>1012</v>
      </c>
      <c r="R306">
        <v>1</v>
      </c>
      <c r="S306" s="7" t="s">
        <v>4585</v>
      </c>
      <c r="U306">
        <v>4</v>
      </c>
      <c r="V306" s="4">
        <v>163</v>
      </c>
      <c r="W306">
        <v>1</v>
      </c>
      <c r="X306" s="4">
        <v>165</v>
      </c>
      <c r="Y306">
        <v>1</v>
      </c>
      <c r="Z306" s="4">
        <v>163</v>
      </c>
      <c r="AA306">
        <v>1</v>
      </c>
      <c r="AB306" s="4" t="str">
        <f>HYPERLINK("http://exon.niaid.nih.gov/transcriptome/C_felis/S1/links/XC-ASB/cf-contig_192-XC-ASB.txt","XC-contig_129")</f>
        <v>XC-contig_129</v>
      </c>
      <c r="AC306">
        <v>0.96</v>
      </c>
      <c r="AD306" s="10" t="s">
        <v>4679</v>
      </c>
      <c r="AE306" t="s">
        <v>4605</v>
      </c>
      <c r="AF306" t="str">
        <f>HYPERLINK("http://exon.niaid.nih.gov/transcriptome/C_felis/S1/links/PFAM/cf-contig_192-PFAM.txt","PFAM")</f>
        <v>PFAM</v>
      </c>
      <c r="AG306" s="5">
        <v>4E-35</v>
      </c>
      <c r="AH306">
        <v>66.3</v>
      </c>
      <c r="AI306" s="4" t="str">
        <f>HYPERLINK("http://exon.niaid.nih.gov/transcriptome/C_felis/S1/links/NR/cf-contig_192-NR.txt","AGAP012100-PA")</f>
        <v>AGAP012100-PA</v>
      </c>
      <c r="AJ306" t="str">
        <f>HYPERLINK("http://www.ncbi.nlm.nih.gov/sutils/blink.cgi?pid=118792636","2E-031")</f>
        <v>2E-031</v>
      </c>
      <c r="AK306" t="str">
        <f>HYPERLINK("http://www.ncbi.nlm.nih.gov/protein/118792636","gi|118792636")</f>
        <v>gi|118792636</v>
      </c>
      <c r="AL306">
        <v>139</v>
      </c>
      <c r="AM306">
        <v>77</v>
      </c>
      <c r="AN306">
        <v>115</v>
      </c>
      <c r="AO306">
        <v>87</v>
      </c>
      <c r="AP306">
        <v>68</v>
      </c>
      <c r="AQ306">
        <v>10</v>
      </c>
      <c r="AR306">
        <v>0</v>
      </c>
      <c r="AS306">
        <v>38</v>
      </c>
      <c r="AT306">
        <v>4</v>
      </c>
      <c r="AU306">
        <v>1</v>
      </c>
      <c r="AV306">
        <v>1</v>
      </c>
      <c r="AW306" t="s">
        <v>12</v>
      </c>
      <c r="AY306" t="s">
        <v>1676</v>
      </c>
      <c r="AZ306" t="s">
        <v>2374</v>
      </c>
      <c r="BA306" s="4" t="str">
        <f>HYPERLINK("http://exon.niaid.nih.gov/transcriptome/C_felis/S1/links/SWISSP/cf-contig_192-SWISSP.txt","40S ribosomal protein S26")</f>
        <v>40S ribosomal protein S26</v>
      </c>
      <c r="BB306" t="str">
        <f>HYPERLINK("http://www.uniprot.org/uniprot/Q9GT45","7E-033")</f>
        <v>7E-033</v>
      </c>
      <c r="BC306" t="s">
        <v>2375</v>
      </c>
      <c r="BD306">
        <v>139</v>
      </c>
      <c r="BE306">
        <v>77</v>
      </c>
      <c r="BF306">
        <v>115</v>
      </c>
      <c r="BG306">
        <v>87</v>
      </c>
      <c r="BH306">
        <v>68</v>
      </c>
      <c r="BI306">
        <v>10</v>
      </c>
      <c r="BJ306">
        <v>0</v>
      </c>
      <c r="BK306">
        <v>38</v>
      </c>
      <c r="BL306">
        <v>4</v>
      </c>
      <c r="BM306">
        <v>1</v>
      </c>
      <c r="BN306">
        <v>1</v>
      </c>
      <c r="BO306" t="s">
        <v>12</v>
      </c>
      <c r="BQ306" t="s">
        <v>1676</v>
      </c>
      <c r="BR306" t="s">
        <v>2117</v>
      </c>
      <c r="BS306" s="4" t="str">
        <f>HYPERLINK("http://exon.niaid.nih.gov/transcriptome/C_felis/S1/links/CDD/cf-contig_192-CDD.txt","Ribosomal_S26e")</f>
        <v>Ribosomal_S26e</v>
      </c>
      <c r="BT306" t="str">
        <f>HYPERLINK("http://www.ncbi.nlm.nih.gov/Structure/cdd/cddsrv.cgi?uid=pfam01283&amp;version=v4.0","2E-034")</f>
        <v>2E-034</v>
      </c>
      <c r="BU306" t="s">
        <v>2376</v>
      </c>
      <c r="BV306" s="4" t="s">
        <v>2377</v>
      </c>
      <c r="BW306">
        <f>HYPERLINK("http://exon.niaid.nih.gov/transcriptome/C_felis/S1/links/GO/cf-contig_192-GO.txt",4E-29)</f>
        <v>3.9999999999999998E-29</v>
      </c>
      <c r="BX306" t="str">
        <f t="shared" si="32"/>
        <v>GO:0003735</v>
      </c>
      <c r="BY306" t="s">
        <v>1929</v>
      </c>
      <c r="BZ306" t="s">
        <v>1930</v>
      </c>
      <c r="CA306" t="s">
        <v>1931</v>
      </c>
      <c r="CB306" t="s">
        <v>42</v>
      </c>
      <c r="CD306" s="5">
        <v>3.9999999999999998E-29</v>
      </c>
      <c r="CE306" t="str">
        <f>HYPERLINK("http://amigo.geneontology.org/cgi-bin/amigo/term_details?term=GO:0022627","GO:0022627")</f>
        <v>GO:0022627</v>
      </c>
      <c r="CF306" t="s">
        <v>2034</v>
      </c>
      <c r="CG306" t="s">
        <v>2035</v>
      </c>
      <c r="CH306" t="s">
        <v>2036</v>
      </c>
      <c r="CI306" t="s">
        <v>42</v>
      </c>
      <c r="CK306" s="5">
        <v>3.9999999999999998E-29</v>
      </c>
      <c r="CL306" t="str">
        <f>HYPERLINK("http://amigo.geneontology.org/cgi-bin/amigo/term_details?term=GO:0006412","GO:0006412")</f>
        <v>GO:0006412</v>
      </c>
      <c r="CM306" t="s">
        <v>1935</v>
      </c>
      <c r="CN306" t="s">
        <v>1936</v>
      </c>
      <c r="CO306" t="s">
        <v>1937</v>
      </c>
      <c r="CP306" t="s">
        <v>42</v>
      </c>
      <c r="CR306" s="5">
        <v>3.9999999999999998E-29</v>
      </c>
      <c r="CS306" s="4" t="str">
        <f>HYPERLINK("http://exon.niaid.nih.gov/transcriptome/C_felis/S1/links/KOG/cf-contig_192-KOG.txt","40s ribosomal protein S26")</f>
        <v>40s ribosomal protein S26</v>
      </c>
      <c r="CT306" t="str">
        <f>HYPERLINK("http://www.ncbi.nlm.nih.gov/COG/grace/shokog.cgi?KOG1768","4E-029")</f>
        <v>4E-029</v>
      </c>
      <c r="CU306" t="s">
        <v>1707</v>
      </c>
      <c r="CV306" s="4" t="str">
        <f>HYPERLINK("http://exon.niaid.nih.gov/transcriptome/C_felis/S1/links/PFAM/cf-contig_192-PFAM.txt","Ribosomal_S26e")</f>
        <v>Ribosomal_S26e</v>
      </c>
      <c r="CW306" t="str">
        <f>HYPERLINK("http://pfam.sanger.ac.uk/family?acc=PF01283","4E-035")</f>
        <v>4E-035</v>
      </c>
      <c r="CX306" s="4" t="str">
        <f>HYPERLINK("http://exon.niaid.nih.gov/transcriptome/C_felis/S1/links/SMART/cf-contig_192-SMART.txt","H2A")</f>
        <v>H2A</v>
      </c>
      <c r="CY306" t="str">
        <f>HYPERLINK("http://smart.embl-heidelberg.de/smart/do_annotation.pl?DOMAIN=H2A&amp;BLAST=DUMMY","0.23")</f>
        <v>0.23</v>
      </c>
      <c r="CZ306" s="4" t="s">
        <v>42</v>
      </c>
      <c r="DA306" t="s">
        <v>42</v>
      </c>
      <c r="DB306" t="s">
        <v>42</v>
      </c>
      <c r="DC306" t="s">
        <v>42</v>
      </c>
      <c r="DD306" t="s">
        <v>42</v>
      </c>
      <c r="DE306" t="s">
        <v>42</v>
      </c>
      <c r="DF306" t="s">
        <v>42</v>
      </c>
      <c r="DG306" t="s">
        <v>42</v>
      </c>
      <c r="DH306" s="4" t="s">
        <v>42</v>
      </c>
      <c r="DI306" t="s">
        <v>42</v>
      </c>
      <c r="DJ306" s="4" t="s">
        <v>42</v>
      </c>
      <c r="DK306" t="s">
        <v>42</v>
      </c>
      <c r="DL306" s="4">
        <v>163</v>
      </c>
      <c r="DM306">
        <v>1</v>
      </c>
      <c r="DN306" s="4">
        <v>165</v>
      </c>
      <c r="DO306">
        <v>1</v>
      </c>
      <c r="DP306" s="4">
        <v>163</v>
      </c>
      <c r="DQ306">
        <v>1</v>
      </c>
      <c r="DR306" s="4">
        <v>162</v>
      </c>
      <c r="DS306">
        <v>1</v>
      </c>
      <c r="DT306" s="4">
        <v>166</v>
      </c>
      <c r="DU306">
        <v>1</v>
      </c>
      <c r="DV306" s="4">
        <v>176</v>
      </c>
      <c r="DW306">
        <v>1</v>
      </c>
      <c r="DX306" s="4">
        <v>178</v>
      </c>
      <c r="DY306">
        <v>1</v>
      </c>
      <c r="DZ306" s="4">
        <v>180</v>
      </c>
      <c r="EA306">
        <v>1</v>
      </c>
      <c r="EB306" s="4">
        <v>185</v>
      </c>
      <c r="EC306">
        <v>1</v>
      </c>
      <c r="ED306" s="4">
        <v>186</v>
      </c>
      <c r="EE306">
        <v>1</v>
      </c>
      <c r="EF306" s="4">
        <v>187</v>
      </c>
      <c r="EG306">
        <v>1</v>
      </c>
      <c r="EH306" s="4">
        <v>187</v>
      </c>
      <c r="EI306">
        <v>1</v>
      </c>
      <c r="EJ306" s="4">
        <v>192</v>
      </c>
      <c r="EK306">
        <v>1</v>
      </c>
    </row>
    <row r="307" spans="1:141" x14ac:dyDescent="0.2">
      <c r="A307" t="str">
        <f>HYPERLINK("http://exon.niaid.nih.gov/transcriptome/C_felis/S1/links/cf/cf-contig_167.txt","cf-contig_167")</f>
        <v>cf-contig_167</v>
      </c>
      <c r="B307">
        <v>4</v>
      </c>
      <c r="C307" s="10" t="s">
        <v>4666</v>
      </c>
      <c r="D307">
        <v>4</v>
      </c>
      <c r="E307" t="str">
        <f>HYPERLINK("http://exon.niaid.nih.gov/transcriptome/C_felis/S1/links/cf/cf-5-36-asb-167.txt","Contig-167")</f>
        <v>Contig-167</v>
      </c>
      <c r="F307" t="str">
        <f>HYPERLINK("http://exon.niaid.nih.gov/transcriptome/C_felis/S1/links/cf/cf-5-36-167-CLU.txt","Contig167")</f>
        <v>Contig167</v>
      </c>
      <c r="G307" t="str">
        <f>HYPERLINK("http://exon.niaid.nih.gov/transcriptome/C_felis/S1/links/cf/cf-5-36-167-qual.txt","80.9")</f>
        <v>80.9</v>
      </c>
      <c r="H307">
        <v>0.5</v>
      </c>
      <c r="I307">
        <v>61.8</v>
      </c>
      <c r="J307">
        <v>162</v>
      </c>
      <c r="K307" t="s">
        <v>12</v>
      </c>
      <c r="L307">
        <v>4</v>
      </c>
      <c r="M307" t="s">
        <v>180</v>
      </c>
      <c r="N307">
        <v>165</v>
      </c>
      <c r="O307">
        <v>186</v>
      </c>
      <c r="P307">
        <v>120</v>
      </c>
      <c r="Q307" t="s">
        <v>987</v>
      </c>
      <c r="R307">
        <v>1</v>
      </c>
      <c r="S307" s="7" t="s">
        <v>4585</v>
      </c>
      <c r="U307">
        <v>4</v>
      </c>
      <c r="V307" s="4">
        <v>149</v>
      </c>
      <c r="W307">
        <v>1</v>
      </c>
      <c r="X307" s="4">
        <v>151</v>
      </c>
      <c r="Y307">
        <v>1</v>
      </c>
      <c r="Z307" s="4">
        <v>149</v>
      </c>
      <c r="AA307">
        <v>1</v>
      </c>
      <c r="AB307" s="4" t="str">
        <f>HYPERLINK("http://exon.niaid.nih.gov/transcriptome/C_felis/S1/links/XC-ASB/cf-contig_167-XC-ASB.txt","XC-contig_102")</f>
        <v>XC-contig_102</v>
      </c>
      <c r="AC307">
        <v>4.9999999999999996E-25</v>
      </c>
      <c r="AD307" s="10" t="s">
        <v>4666</v>
      </c>
      <c r="AE307" t="s">
        <v>4605</v>
      </c>
      <c r="AF307" t="str">
        <f>HYPERLINK("http://exon.niaid.nih.gov/transcriptome/C_felis/S1/links/NR/cf-contig_167-NR.txt","NR")</f>
        <v>NR</v>
      </c>
      <c r="AG307">
        <v>8.0000000000000006E-15</v>
      </c>
      <c r="AH307">
        <v>23.8</v>
      </c>
      <c r="AI307" s="4" t="str">
        <f>HYPERLINK("http://exon.niaid.nih.gov/transcriptome/C_felis/S1/links/NR/cf-contig_167-NR.txt","ribosomal protein S27")</f>
        <v>ribosomal protein S27</v>
      </c>
      <c r="AJ307" t="str">
        <f>HYPERLINK("http://www.ncbi.nlm.nih.gov/sutils/blink.cgi?pid=121511932","8E-015")</f>
        <v>8E-015</v>
      </c>
      <c r="AK307" t="str">
        <f>HYPERLINK("http://www.ncbi.nlm.nih.gov/protein/121511932","gi|121511932")</f>
        <v>gi|121511932</v>
      </c>
      <c r="AL307">
        <v>84</v>
      </c>
      <c r="AM307">
        <v>36</v>
      </c>
      <c r="AN307">
        <v>155</v>
      </c>
      <c r="AO307">
        <v>97</v>
      </c>
      <c r="AP307">
        <v>24</v>
      </c>
      <c r="AQ307">
        <v>1</v>
      </c>
      <c r="AR307">
        <v>0</v>
      </c>
      <c r="AS307">
        <v>119</v>
      </c>
      <c r="AT307">
        <v>10</v>
      </c>
      <c r="AU307">
        <v>1</v>
      </c>
      <c r="AV307">
        <v>1</v>
      </c>
      <c r="AW307" t="s">
        <v>12</v>
      </c>
      <c r="AY307" t="s">
        <v>1676</v>
      </c>
      <c r="AZ307" t="s">
        <v>1717</v>
      </c>
      <c r="BA307" s="4" t="str">
        <f>HYPERLINK("http://exon.niaid.nih.gov/transcriptome/C_felis/S1/links/SWISSP/cf-contig_167-SWISSP.txt","Ubiquitin-40S ribosomal protein S27a")</f>
        <v>Ubiquitin-40S ribosomal protein S27a</v>
      </c>
      <c r="BB307" t="str">
        <f>HYPERLINK("http://www.uniprot.org/uniprot/P15357","6E-012")</f>
        <v>6E-012</v>
      </c>
      <c r="BC307" t="s">
        <v>2305</v>
      </c>
      <c r="BD307">
        <v>69.7</v>
      </c>
      <c r="BE307">
        <v>36</v>
      </c>
      <c r="BF307">
        <v>156</v>
      </c>
      <c r="BG307">
        <v>81</v>
      </c>
      <c r="BH307">
        <v>24</v>
      </c>
      <c r="BI307">
        <v>7</v>
      </c>
      <c r="BJ307">
        <v>0</v>
      </c>
      <c r="BK307">
        <v>119</v>
      </c>
      <c r="BL307">
        <v>10</v>
      </c>
      <c r="BM307">
        <v>1</v>
      </c>
      <c r="BN307">
        <v>1</v>
      </c>
      <c r="BO307" t="s">
        <v>12</v>
      </c>
      <c r="BQ307" t="s">
        <v>1676</v>
      </c>
      <c r="BR307" t="s">
        <v>1804</v>
      </c>
      <c r="BS307" s="4" t="str">
        <f>HYPERLINK("http://exon.niaid.nih.gov/transcriptome/C_felis/S1/links/CDD/cf-contig_167-CDD.txt","Ribosomal_S27")</f>
        <v>Ribosomal_S27</v>
      </c>
      <c r="BT307" t="str">
        <f>HYPERLINK("http://www.ncbi.nlm.nih.gov/Structure/cdd/cddsrv.cgi?uid=pfam01599&amp;version=v4.0","2E-012")</f>
        <v>2E-012</v>
      </c>
      <c r="BU307" t="s">
        <v>2306</v>
      </c>
      <c r="BV307" s="4" t="s">
        <v>2307</v>
      </c>
      <c r="BW307">
        <f>HYPERLINK("http://exon.niaid.nih.gov/transcriptome/C_felis/S1/links/GO/cf-contig_167-GO.txt",0.000000002)</f>
        <v>2.0000000000000001E-9</v>
      </c>
      <c r="BX307" t="str">
        <f t="shared" si="32"/>
        <v>GO:0003735</v>
      </c>
      <c r="BY307" t="s">
        <v>1929</v>
      </c>
      <c r="BZ307" t="s">
        <v>1930</v>
      </c>
      <c r="CA307" t="s">
        <v>1931</v>
      </c>
      <c r="CB307" t="s">
        <v>42</v>
      </c>
      <c r="CD307">
        <v>2.0000000000000001E-9</v>
      </c>
      <c r="CE307" t="str">
        <f>HYPERLINK("http://amigo.geneontology.org/cgi-bin/amigo/term_details?term=GO:0005622","GO:0005622")</f>
        <v>GO:0005622</v>
      </c>
      <c r="CF307" t="s">
        <v>2085</v>
      </c>
      <c r="CG307" t="s">
        <v>2086</v>
      </c>
      <c r="CH307" t="s">
        <v>2087</v>
      </c>
      <c r="CI307" t="s">
        <v>42</v>
      </c>
      <c r="CK307">
        <v>2.0000000000000001E-9</v>
      </c>
      <c r="CL307" t="str">
        <f>HYPERLINK("http://amigo.geneontology.org/cgi-bin/amigo/term_details?term=GO:0006412","GO:0006412")</f>
        <v>GO:0006412</v>
      </c>
      <c r="CM307" t="s">
        <v>1935</v>
      </c>
      <c r="CN307" t="s">
        <v>1936</v>
      </c>
      <c r="CO307" t="s">
        <v>1937</v>
      </c>
      <c r="CP307" t="s">
        <v>42</v>
      </c>
      <c r="CR307">
        <v>2.0000000000000001E-9</v>
      </c>
      <c r="CS307" s="4" t="str">
        <f>HYPERLINK("http://exon.niaid.nih.gov/transcriptome/C_felis/S1/links/KOG/cf-contig_167-KOG.txt","Ubiquitin/40S ribosomal protein S27a fusion")</f>
        <v>Ubiquitin/40S ribosomal protein S27a fusion</v>
      </c>
      <c r="CT307" t="str">
        <f>HYPERLINK("http://www.ncbi.nlm.nih.gov/COG/grace/shokog.cgi?KOG0004","4E-008")</f>
        <v>4E-008</v>
      </c>
      <c r="CU307" t="s">
        <v>1707</v>
      </c>
      <c r="CV307" s="4" t="str">
        <f>HYPERLINK("http://exon.niaid.nih.gov/transcriptome/C_felis/S1/links/PFAM/cf-contig_167-PFAM.txt","Ribosomal_S27")</f>
        <v>Ribosomal_S27</v>
      </c>
      <c r="CW307" t="str">
        <f>HYPERLINK("http://pfam.sanger.ac.uk/family?acc=PF01599","5E-013")</f>
        <v>5E-013</v>
      </c>
      <c r="CX307" s="4" t="str">
        <f>HYPERLINK("http://exon.niaid.nih.gov/transcriptome/C_felis/S1/links/SMART/cf-contig_167-SMART.txt","Prim-Pol")</f>
        <v>Prim-Pol</v>
      </c>
      <c r="CY307" t="str">
        <f>HYPERLINK("http://smart.embl-heidelberg.de/smart/do_annotation.pl?DOMAIN=Prim-Pol&amp;BLAST=DUMMY","0.039")</f>
        <v>0.039</v>
      </c>
      <c r="CZ307" s="4" t="s">
        <v>42</v>
      </c>
      <c r="DA307" t="s">
        <v>42</v>
      </c>
      <c r="DB307" t="s">
        <v>42</v>
      </c>
      <c r="DC307" t="s">
        <v>42</v>
      </c>
      <c r="DD307" t="s">
        <v>42</v>
      </c>
      <c r="DE307" t="s">
        <v>42</v>
      </c>
      <c r="DF307" t="s">
        <v>42</v>
      </c>
      <c r="DG307" t="s">
        <v>42</v>
      </c>
      <c r="DH307" s="4" t="s">
        <v>42</v>
      </c>
      <c r="DI307" t="s">
        <v>42</v>
      </c>
      <c r="DJ307" s="4" t="s">
        <v>42</v>
      </c>
      <c r="DK307" t="s">
        <v>42</v>
      </c>
      <c r="DL307" s="4">
        <v>149</v>
      </c>
      <c r="DM307">
        <v>1</v>
      </c>
      <c r="DN307" s="4">
        <v>151</v>
      </c>
      <c r="DO307">
        <v>1</v>
      </c>
      <c r="DP307" s="4">
        <v>149</v>
      </c>
      <c r="DQ307">
        <v>1</v>
      </c>
      <c r="DR307" s="4">
        <v>146</v>
      </c>
      <c r="DS307">
        <v>1</v>
      </c>
      <c r="DT307" s="4">
        <v>146</v>
      </c>
      <c r="DU307">
        <v>1</v>
      </c>
      <c r="DV307" s="4">
        <v>156</v>
      </c>
      <c r="DW307">
        <v>1</v>
      </c>
      <c r="DX307" s="4">
        <v>158</v>
      </c>
      <c r="DY307">
        <v>1</v>
      </c>
      <c r="DZ307" s="4">
        <v>158</v>
      </c>
      <c r="EA307">
        <v>1</v>
      </c>
      <c r="EB307" s="4">
        <v>163</v>
      </c>
      <c r="EC307">
        <v>1</v>
      </c>
      <c r="ED307" s="4">
        <v>164</v>
      </c>
      <c r="EE307">
        <v>1</v>
      </c>
      <c r="EF307" s="4">
        <v>165</v>
      </c>
      <c r="EG307">
        <v>1</v>
      </c>
      <c r="EH307" s="4">
        <v>164</v>
      </c>
      <c r="EI307">
        <v>1</v>
      </c>
      <c r="EJ307" s="4">
        <v>167</v>
      </c>
      <c r="EK307">
        <v>1</v>
      </c>
    </row>
    <row r="308" spans="1:141" x14ac:dyDescent="0.2">
      <c r="A308" t="str">
        <f>HYPERLINK("http://exon.niaid.nih.gov/transcriptome/C_felis/S1/links/cf/cf-contig_168.txt","cf-contig_168")</f>
        <v>cf-contig_168</v>
      </c>
      <c r="B308">
        <v>1</v>
      </c>
      <c r="C308" s="10" t="s">
        <v>4666</v>
      </c>
      <c r="D308">
        <v>1</v>
      </c>
      <c r="E308" t="str">
        <f>HYPERLINK("http://exon.niaid.nih.gov/transcriptome/C_felis/S1/links/cf/cf-5-36-asb-168.txt","Contig-168")</f>
        <v>Contig-168</v>
      </c>
      <c r="F308" t="str">
        <f>HYPERLINK("http://exon.niaid.nih.gov/transcriptome/C_felis/S1/links/cf/cf-5-36-168-CLU.txt","Contig168")</f>
        <v>Contig168</v>
      </c>
      <c r="G308" t="str">
        <f>HYPERLINK("http://exon.niaid.nih.gov/transcriptome/C_felis/S1/links/cf/cf-5-36-168-qual.txt","64.6")</f>
        <v>64.6</v>
      </c>
      <c r="H308" t="s">
        <v>11</v>
      </c>
      <c r="I308">
        <v>62.2</v>
      </c>
      <c r="J308">
        <v>410</v>
      </c>
      <c r="K308" t="s">
        <v>12</v>
      </c>
      <c r="L308">
        <v>1</v>
      </c>
      <c r="M308" t="s">
        <v>181</v>
      </c>
      <c r="N308">
        <v>410</v>
      </c>
      <c r="O308">
        <v>429</v>
      </c>
      <c r="P308">
        <v>354</v>
      </c>
      <c r="Q308" t="s">
        <v>988</v>
      </c>
      <c r="R308">
        <v>1</v>
      </c>
      <c r="S308" s="7" t="str">
        <f>HYPERLINK("http://exon.niaid.nih.gov/transcriptome/C_felis/S1/links/Sigp/CF-CONTIG_168-SigP.txt","Cyt")</f>
        <v>Cyt</v>
      </c>
      <c r="U308">
        <v>1</v>
      </c>
      <c r="V308" s="4">
        <v>150</v>
      </c>
      <c r="W308">
        <v>1</v>
      </c>
      <c r="X308" s="4">
        <v>152</v>
      </c>
      <c r="Y308">
        <v>1</v>
      </c>
      <c r="Z308" s="4">
        <v>150</v>
      </c>
      <c r="AA308">
        <v>1</v>
      </c>
      <c r="AB308" s="4" t="str">
        <f>HYPERLINK("http://exon.niaid.nih.gov/transcriptome/C_felis/S1/links/XC-ASB/cf-contig_168-XC-ASB.txt","XC-contig_102")</f>
        <v>XC-contig_102</v>
      </c>
      <c r="AC308">
        <v>7.9999999999999997E-80</v>
      </c>
      <c r="AD308" s="10" t="s">
        <v>4666</v>
      </c>
      <c r="AE308" t="s">
        <v>4605</v>
      </c>
      <c r="AF308" t="str">
        <f>HYPERLINK("http://exon.niaid.nih.gov/transcriptome/C_felis/S1/links/NR/cf-contig_168-NR.txt","NR")</f>
        <v>NR</v>
      </c>
      <c r="AG308" s="5">
        <v>3.0000000000000002E-60</v>
      </c>
      <c r="AH308">
        <v>74.8</v>
      </c>
      <c r="AI308" s="4" t="str">
        <f>HYPERLINK("http://exon.niaid.nih.gov/transcriptome/C_felis/S1/links/NR/cf-contig_168-NR.txt","ribosomal protein S27")</f>
        <v>ribosomal protein S27</v>
      </c>
      <c r="AJ308" t="str">
        <f>HYPERLINK("http://www.ncbi.nlm.nih.gov/sutils/blink.cgi?pid=121511932","3E-060")</f>
        <v>3E-060</v>
      </c>
      <c r="AK308" t="str">
        <f>HYPERLINK("http://www.ncbi.nlm.nih.gov/protein/121511932","gi|121511932")</f>
        <v>gi|121511932</v>
      </c>
      <c r="AL308">
        <v>234</v>
      </c>
      <c r="AM308">
        <v>115</v>
      </c>
      <c r="AN308">
        <v>155</v>
      </c>
      <c r="AO308">
        <v>97</v>
      </c>
      <c r="AP308">
        <v>75</v>
      </c>
      <c r="AQ308">
        <v>3</v>
      </c>
      <c r="AR308">
        <v>0</v>
      </c>
      <c r="AS308">
        <v>40</v>
      </c>
      <c r="AT308">
        <v>7</v>
      </c>
      <c r="AU308">
        <v>1</v>
      </c>
      <c r="AV308">
        <v>1</v>
      </c>
      <c r="AW308" t="s">
        <v>12</v>
      </c>
      <c r="AY308" t="s">
        <v>1676</v>
      </c>
      <c r="AZ308" t="s">
        <v>1717</v>
      </c>
      <c r="BA308" s="4" t="str">
        <f>HYPERLINK("http://exon.niaid.nih.gov/transcriptome/C_felis/S1/links/SWISSP/cf-contig_168-SWISSP.txt","Ubiquitin-40S ribosomal protein S27a")</f>
        <v>Ubiquitin-40S ribosomal protein S27a</v>
      </c>
      <c r="BB308" t="str">
        <f>HYPERLINK("http://www.uniprot.org/uniprot/P15357","7E-055")</f>
        <v>7E-055</v>
      </c>
      <c r="BC308" t="s">
        <v>2305</v>
      </c>
      <c r="BD308">
        <v>212</v>
      </c>
      <c r="BE308">
        <v>115</v>
      </c>
      <c r="BF308">
        <v>156</v>
      </c>
      <c r="BG308">
        <v>88</v>
      </c>
      <c r="BH308">
        <v>74</v>
      </c>
      <c r="BI308">
        <v>13</v>
      </c>
      <c r="BJ308">
        <v>0</v>
      </c>
      <c r="BK308">
        <v>40</v>
      </c>
      <c r="BL308">
        <v>7</v>
      </c>
      <c r="BM308">
        <v>1</v>
      </c>
      <c r="BN308">
        <v>1</v>
      </c>
      <c r="BO308" t="s">
        <v>12</v>
      </c>
      <c r="BQ308" t="s">
        <v>1676</v>
      </c>
      <c r="BR308" t="s">
        <v>1804</v>
      </c>
      <c r="BS308" s="4" t="str">
        <f>HYPERLINK("http://exon.niaid.nih.gov/transcriptome/C_felis/S1/links/CDD/cf-contig_168-CDD.txt","Ribosomal_S27")</f>
        <v>Ribosomal_S27</v>
      </c>
      <c r="BT308" t="str">
        <f>HYPERLINK("http://www.ncbi.nlm.nih.gov/Structure/cdd/cddsrv.cgi?uid=pfam01599&amp;version=v4.0","4E-021")</f>
        <v>4E-021</v>
      </c>
      <c r="BU308" t="s">
        <v>2308</v>
      </c>
      <c r="BV308" s="4" t="s">
        <v>2309</v>
      </c>
      <c r="BW308">
        <f>HYPERLINK("http://exon.niaid.nih.gov/transcriptome/C_felis/S1/links/GO/cf-contig_168-GO.txt",3E-50)</f>
        <v>2.9999999999999999E-50</v>
      </c>
      <c r="BX308" t="str">
        <f t="shared" si="32"/>
        <v>GO:0003735</v>
      </c>
      <c r="BY308" t="s">
        <v>1929</v>
      </c>
      <c r="BZ308" t="s">
        <v>1930</v>
      </c>
      <c r="CA308" t="s">
        <v>1931</v>
      </c>
      <c r="CB308" t="s">
        <v>42</v>
      </c>
      <c r="CD308" s="5">
        <v>2.9999999999999999E-50</v>
      </c>
      <c r="CE308" t="str">
        <f>HYPERLINK("http://amigo.geneontology.org/cgi-bin/amigo/term_details?term=GO:0005622","GO:0005622")</f>
        <v>GO:0005622</v>
      </c>
      <c r="CF308" t="s">
        <v>2085</v>
      </c>
      <c r="CG308" t="s">
        <v>2086</v>
      </c>
      <c r="CH308" t="s">
        <v>2087</v>
      </c>
      <c r="CI308" t="s">
        <v>42</v>
      </c>
      <c r="CK308" s="5">
        <v>2.9999999999999999E-50</v>
      </c>
      <c r="CL308" t="str">
        <f>HYPERLINK("http://amigo.geneontology.org/cgi-bin/amigo/term_details?term=GO:0002218","GO:0002218")</f>
        <v>GO:0002218</v>
      </c>
      <c r="CM308" t="s">
        <v>2310</v>
      </c>
      <c r="CN308" t="s">
        <v>2311</v>
      </c>
      <c r="CO308" t="s">
        <v>42</v>
      </c>
      <c r="CP308" t="s">
        <v>42</v>
      </c>
      <c r="CR308" s="5">
        <v>2.9999999999999999E-50</v>
      </c>
      <c r="CS308" s="4" t="str">
        <f>HYPERLINK("http://exon.niaid.nih.gov/transcriptome/C_felis/S1/links/KOG/cf-contig_168-KOG.txt","Ubiquitin/40S ribosomal protein S27a fusion")</f>
        <v>Ubiquitin/40S ribosomal protein S27a fusion</v>
      </c>
      <c r="CT308" t="str">
        <f>HYPERLINK("http://www.ncbi.nlm.nih.gov/COG/grace/shokog.cgi?KOG0004","6E-048")</f>
        <v>6E-048</v>
      </c>
      <c r="CU308" t="s">
        <v>1707</v>
      </c>
      <c r="CV308" s="4" t="str">
        <f>HYPERLINK("http://exon.niaid.nih.gov/transcriptome/C_felis/S1/links/PFAM/cf-contig_168-PFAM.txt","Ribosomal_S27")</f>
        <v>Ribosomal_S27</v>
      </c>
      <c r="CW308" t="str">
        <f>HYPERLINK("http://pfam.sanger.ac.uk/family?acc=PF01599","9E-022")</f>
        <v>9E-022</v>
      </c>
      <c r="CX308" s="4" t="str">
        <f>HYPERLINK("http://exon.niaid.nih.gov/transcriptome/C_felis/S1/links/SMART/cf-contig_168-SMART.txt","UBQ")</f>
        <v>UBQ</v>
      </c>
      <c r="CY308" t="str">
        <f>HYPERLINK("http://smart.embl-heidelberg.de/smart/do_annotation.pl?DOMAIN=UBQ&amp;BLAST=DUMMY","1E-012")</f>
        <v>1E-012</v>
      </c>
      <c r="CZ308" s="4" t="s">
        <v>42</v>
      </c>
      <c r="DA308" t="s">
        <v>42</v>
      </c>
      <c r="DB308" t="s">
        <v>42</v>
      </c>
      <c r="DC308" t="s">
        <v>42</v>
      </c>
      <c r="DD308" t="s">
        <v>42</v>
      </c>
      <c r="DE308" t="s">
        <v>42</v>
      </c>
      <c r="DF308" t="s">
        <v>42</v>
      </c>
      <c r="DG308" t="s">
        <v>42</v>
      </c>
      <c r="DH308" s="4" t="s">
        <v>42</v>
      </c>
      <c r="DI308" t="s">
        <v>42</v>
      </c>
      <c r="DJ308" s="4" t="s">
        <v>42</v>
      </c>
      <c r="DK308" t="s">
        <v>42</v>
      </c>
      <c r="DL308" s="4">
        <v>150</v>
      </c>
      <c r="DM308">
        <v>1</v>
      </c>
      <c r="DN308" s="4">
        <v>152</v>
      </c>
      <c r="DO308">
        <v>1</v>
      </c>
      <c r="DP308" s="4">
        <v>150</v>
      </c>
      <c r="DQ308">
        <v>1</v>
      </c>
      <c r="DR308" s="4">
        <v>147</v>
      </c>
      <c r="DS308">
        <v>1</v>
      </c>
      <c r="DT308" s="4">
        <v>147</v>
      </c>
      <c r="DU308">
        <v>1</v>
      </c>
      <c r="DV308" s="4">
        <v>157</v>
      </c>
      <c r="DW308">
        <v>1</v>
      </c>
      <c r="DX308" s="4">
        <v>159</v>
      </c>
      <c r="DY308">
        <v>1</v>
      </c>
      <c r="DZ308" s="4">
        <v>159</v>
      </c>
      <c r="EA308">
        <v>1</v>
      </c>
      <c r="EB308" s="4">
        <v>164</v>
      </c>
      <c r="EC308">
        <v>1</v>
      </c>
      <c r="ED308" s="4">
        <v>165</v>
      </c>
      <c r="EE308">
        <v>1</v>
      </c>
      <c r="EF308" s="4">
        <v>166</v>
      </c>
      <c r="EG308">
        <v>1</v>
      </c>
      <c r="EH308" s="4">
        <v>165</v>
      </c>
      <c r="EI308">
        <v>1</v>
      </c>
      <c r="EJ308" s="4">
        <v>168</v>
      </c>
      <c r="EK308">
        <v>1</v>
      </c>
    </row>
    <row r="309" spans="1:141" x14ac:dyDescent="0.2">
      <c r="A309" t="str">
        <f>HYPERLINK("http://exon.niaid.nih.gov/transcriptome/C_felis/S1/links/cf/cf-contig_234.txt","cf-contig_234")</f>
        <v>cf-contig_234</v>
      </c>
      <c r="B309">
        <v>3</v>
      </c>
      <c r="C309" s="10" t="s">
        <v>4666</v>
      </c>
      <c r="D309">
        <v>3</v>
      </c>
      <c r="E309" t="str">
        <f>HYPERLINK("http://exon.niaid.nih.gov/transcriptome/C_felis/S1/links/cf/cf-5-36-asb-234.txt","Contig-234")</f>
        <v>Contig-234</v>
      </c>
      <c r="F309" t="str">
        <f>HYPERLINK("http://exon.niaid.nih.gov/transcriptome/C_felis/S1/links/cf/cf-5-36-234-CLU.txt","Contig234")</f>
        <v>Contig234</v>
      </c>
      <c r="G309" t="str">
        <f>HYPERLINK("http://exon.niaid.nih.gov/transcriptome/C_felis/S1/links/cf/cf-5-36-234-qual.txt","89.5")</f>
        <v>89.5</v>
      </c>
      <c r="H309" t="s">
        <v>11</v>
      </c>
      <c r="I309">
        <v>64.7</v>
      </c>
      <c r="J309">
        <v>358</v>
      </c>
      <c r="K309" t="s">
        <v>12</v>
      </c>
      <c r="L309">
        <v>3</v>
      </c>
      <c r="M309" t="s">
        <v>247</v>
      </c>
      <c r="N309">
        <v>358</v>
      </c>
      <c r="O309">
        <v>377</v>
      </c>
      <c r="P309">
        <v>267</v>
      </c>
      <c r="Q309" t="s">
        <v>1054</v>
      </c>
      <c r="R309">
        <v>2</v>
      </c>
      <c r="S309" s="7" t="str">
        <f>HYPERLINK("http://exon.niaid.nih.gov/transcriptome/C_felis/S1/links/Sigp/CF-CONTIG_234-SigP.txt","Cyt")</f>
        <v>Cyt</v>
      </c>
      <c r="U309">
        <v>3</v>
      </c>
      <c r="V309" s="4">
        <v>184</v>
      </c>
      <c r="W309">
        <v>1</v>
      </c>
      <c r="X309" s="4">
        <v>187</v>
      </c>
      <c r="Y309">
        <v>1</v>
      </c>
      <c r="Z309" s="4">
        <v>185</v>
      </c>
      <c r="AA309">
        <v>1</v>
      </c>
      <c r="AB309" s="4" t="str">
        <f>HYPERLINK("http://exon.niaid.nih.gov/transcriptome/C_felis/S1/links/XC-ASB/cf-contig_234-XC-ASB.txt","XC-contig_86")</f>
        <v>XC-contig_86</v>
      </c>
      <c r="AC309">
        <v>4.0000000000000003E-63</v>
      </c>
      <c r="AD309" s="10" t="s">
        <v>4666</v>
      </c>
      <c r="AE309" t="s">
        <v>4605</v>
      </c>
      <c r="AF309" t="str">
        <f>HYPERLINK("http://exon.niaid.nih.gov/transcriptome/C_felis/S1/links/NR/cf-contig_234-NR.txt","NR")</f>
        <v>NR</v>
      </c>
      <c r="AG309" s="5">
        <v>5.0000000000000004E-44</v>
      </c>
      <c r="AH309">
        <v>100</v>
      </c>
      <c r="AI309" s="4" t="str">
        <f>HYPERLINK("http://exon.niaid.nih.gov/transcriptome/C_felis/S1/links/NR/cf-contig_234-NR.txt","ribosomal protein S27")</f>
        <v>ribosomal protein S27</v>
      </c>
      <c r="AJ309" t="str">
        <f>HYPERLINK("http://www.ncbi.nlm.nih.gov/sutils/blink.cgi?pid=121512016","5E-044")</f>
        <v>5E-044</v>
      </c>
      <c r="AK309" t="str">
        <f>HYPERLINK("http://www.ncbi.nlm.nih.gov/protein/121512016","gi|121512016")</f>
        <v>gi|121512016</v>
      </c>
      <c r="AL309">
        <v>181</v>
      </c>
      <c r="AM309">
        <v>83</v>
      </c>
      <c r="AN309">
        <v>84</v>
      </c>
      <c r="AO309">
        <v>100</v>
      </c>
      <c r="AP309">
        <v>100</v>
      </c>
      <c r="AQ309">
        <v>0</v>
      </c>
      <c r="AR309">
        <v>0</v>
      </c>
      <c r="AS309">
        <v>1</v>
      </c>
      <c r="AT309">
        <v>17</v>
      </c>
      <c r="AU309">
        <v>1</v>
      </c>
      <c r="AV309">
        <v>2</v>
      </c>
      <c r="AW309" t="s">
        <v>12</v>
      </c>
      <c r="AY309" t="s">
        <v>1676</v>
      </c>
      <c r="AZ309" t="s">
        <v>1717</v>
      </c>
      <c r="BA309" s="4" t="str">
        <f>HYPERLINK("http://exon.niaid.nih.gov/transcriptome/C_felis/S1/links/SWISSP/cf-contig_234-SWISSP.txt","40S ribosomal protein S27")</f>
        <v>40S ribosomal protein S27</v>
      </c>
      <c r="BB309" t="str">
        <f>HYPERLINK("http://www.uniprot.org/uniprot/P47904","2E-040")</f>
        <v>2E-040</v>
      </c>
      <c r="BC309" t="s">
        <v>2545</v>
      </c>
      <c r="BD309">
        <v>164</v>
      </c>
      <c r="BE309">
        <v>83</v>
      </c>
      <c r="BF309">
        <v>84</v>
      </c>
      <c r="BG309">
        <v>88</v>
      </c>
      <c r="BH309">
        <v>100</v>
      </c>
      <c r="BI309">
        <v>10</v>
      </c>
      <c r="BJ309">
        <v>0</v>
      </c>
      <c r="BK309">
        <v>1</v>
      </c>
      <c r="BL309">
        <v>17</v>
      </c>
      <c r="BM309">
        <v>1</v>
      </c>
      <c r="BN309">
        <v>2</v>
      </c>
      <c r="BO309" t="s">
        <v>12</v>
      </c>
      <c r="BQ309" t="s">
        <v>1676</v>
      </c>
      <c r="BR309" t="s">
        <v>1832</v>
      </c>
      <c r="BS309" s="4" t="str">
        <f>HYPERLINK("http://exon.niaid.nih.gov/transcriptome/C_felis/S1/links/CDD/cf-contig_234-CDD.txt","PTZ00083")</f>
        <v>PTZ00083</v>
      </c>
      <c r="BT309" t="str">
        <f>HYPERLINK("http://www.ncbi.nlm.nih.gov/Structure/cdd/cddsrv.cgi?uid=PTZ00083&amp;version=v4.0","4E-043")</f>
        <v>4E-043</v>
      </c>
      <c r="BU309" t="s">
        <v>2546</v>
      </c>
      <c r="BV309" s="4" t="s">
        <v>2547</v>
      </c>
      <c r="BW309">
        <f>HYPERLINK("http://exon.niaid.nih.gov/transcriptome/C_felis/S1/links/GO/cf-contig_234-GO.txt",7E-41)</f>
        <v>6.9999999999999999E-41</v>
      </c>
      <c r="BX309" t="str">
        <f t="shared" si="32"/>
        <v>GO:0003735</v>
      </c>
      <c r="BY309" t="s">
        <v>1929</v>
      </c>
      <c r="BZ309" t="s">
        <v>1930</v>
      </c>
      <c r="CA309" t="s">
        <v>1931</v>
      </c>
      <c r="CB309" t="s">
        <v>42</v>
      </c>
      <c r="CD309" s="5">
        <v>6.9999999999999999E-41</v>
      </c>
      <c r="CE309" t="str">
        <f>HYPERLINK("http://amigo.geneontology.org/cgi-bin/amigo/term_details?term=GO:0005840","GO:0005840")</f>
        <v>GO:0005840</v>
      </c>
      <c r="CF309" t="s">
        <v>2070</v>
      </c>
      <c r="CG309" t="s">
        <v>2071</v>
      </c>
      <c r="CH309" t="s">
        <v>2072</v>
      </c>
      <c r="CI309" t="s">
        <v>42</v>
      </c>
      <c r="CK309" s="5">
        <v>6.9999999999999999E-41</v>
      </c>
      <c r="CL309" t="str">
        <f>HYPERLINK("http://amigo.geneontology.org/cgi-bin/amigo/term_details?term=GO:0006412","GO:0006412")</f>
        <v>GO:0006412</v>
      </c>
      <c r="CM309" t="s">
        <v>1935</v>
      </c>
      <c r="CN309" t="s">
        <v>1936</v>
      </c>
      <c r="CO309" t="s">
        <v>1937</v>
      </c>
      <c r="CP309" t="s">
        <v>42</v>
      </c>
      <c r="CR309" s="5">
        <v>6.9999999999999999E-41</v>
      </c>
      <c r="CS309" s="4" t="str">
        <f>HYPERLINK("http://exon.niaid.nih.gov/transcriptome/C_felis/S1/links/KOG/cf-contig_234-KOG.txt","40s ribosomal protein S27")</f>
        <v>40s ribosomal protein S27</v>
      </c>
      <c r="CT309" t="str">
        <f>HYPERLINK("http://www.ncbi.nlm.nih.gov/COG/grace/shokog.cgi?KOG1779","2E-042")</f>
        <v>2E-042</v>
      </c>
      <c r="CU309" t="s">
        <v>1707</v>
      </c>
      <c r="CV309" s="4" t="str">
        <f>HYPERLINK("http://exon.niaid.nih.gov/transcriptome/C_felis/S1/links/PFAM/cf-contig_234-PFAM.txt","Ribosomal_S27e")</f>
        <v>Ribosomal_S27e</v>
      </c>
      <c r="CW309" t="str">
        <f>HYPERLINK("http://pfam.sanger.ac.uk/family?acc=PF01667","1E-025")</f>
        <v>1E-025</v>
      </c>
      <c r="CX309" s="4" t="str">
        <f>HYPERLINK("http://exon.niaid.nih.gov/transcriptome/C_felis/S1/links/SMART/cf-contig_234-SMART.txt","ZP")</f>
        <v>ZP</v>
      </c>
      <c r="CY309" t="str">
        <f>HYPERLINK("http://smart.embl-heidelberg.de/smart/do_annotation.pl?DOMAIN=ZP&amp;BLAST=DUMMY","0.015")</f>
        <v>0.015</v>
      </c>
      <c r="CZ309" s="4" t="s">
        <v>42</v>
      </c>
      <c r="DA309" t="s">
        <v>42</v>
      </c>
      <c r="DB309" t="s">
        <v>42</v>
      </c>
      <c r="DC309" t="s">
        <v>42</v>
      </c>
      <c r="DD309" t="s">
        <v>42</v>
      </c>
      <c r="DE309" t="s">
        <v>42</v>
      </c>
      <c r="DF309" t="s">
        <v>42</v>
      </c>
      <c r="DG309" t="s">
        <v>42</v>
      </c>
      <c r="DH309" s="4" t="s">
        <v>42</v>
      </c>
      <c r="DI309" t="s">
        <v>42</v>
      </c>
      <c r="DJ309" s="4" t="s">
        <v>42</v>
      </c>
      <c r="DK309" t="s">
        <v>42</v>
      </c>
      <c r="DL309" s="4">
        <v>184</v>
      </c>
      <c r="DM309">
        <v>1</v>
      </c>
      <c r="DN309" s="4">
        <v>187</v>
      </c>
      <c r="DO309">
        <v>1</v>
      </c>
      <c r="DP309" s="4">
        <v>185</v>
      </c>
      <c r="DQ309">
        <v>1</v>
      </c>
      <c r="DR309" s="4">
        <v>192</v>
      </c>
      <c r="DS309">
        <v>1</v>
      </c>
      <c r="DT309" s="4">
        <v>198</v>
      </c>
      <c r="DU309">
        <v>1</v>
      </c>
      <c r="DV309" s="4">
        <v>210</v>
      </c>
      <c r="DW309">
        <v>1</v>
      </c>
      <c r="DX309" s="4">
        <v>212</v>
      </c>
      <c r="DY309">
        <v>1</v>
      </c>
      <c r="DZ309" s="4">
        <v>216</v>
      </c>
      <c r="EA309">
        <v>1</v>
      </c>
      <c r="EB309" s="4">
        <v>221</v>
      </c>
      <c r="EC309">
        <v>1</v>
      </c>
      <c r="ED309" s="4">
        <v>224</v>
      </c>
      <c r="EE309">
        <v>1</v>
      </c>
      <c r="EF309" s="4">
        <v>227</v>
      </c>
      <c r="EG309">
        <v>1</v>
      </c>
      <c r="EH309" s="4">
        <v>229</v>
      </c>
      <c r="EI309">
        <v>1</v>
      </c>
      <c r="EJ309" s="4">
        <v>234</v>
      </c>
      <c r="EK309">
        <v>1</v>
      </c>
    </row>
    <row r="310" spans="1:141" x14ac:dyDescent="0.2">
      <c r="A310" t="str">
        <f>HYPERLINK("http://exon.niaid.nih.gov/transcriptome/C_felis/S1/links/cf/cf-contig_139.txt","cf-contig_139")</f>
        <v>cf-contig_139</v>
      </c>
      <c r="B310">
        <v>3</v>
      </c>
      <c r="C310" s="10" t="s">
        <v>4648</v>
      </c>
      <c r="D310">
        <v>3</v>
      </c>
      <c r="E310" t="str">
        <f>HYPERLINK("http://exon.niaid.nih.gov/transcriptome/C_felis/S1/links/cf/cf-5-36-asb-139.txt","Contig-139")</f>
        <v>Contig-139</v>
      </c>
      <c r="F310" t="str">
        <f>HYPERLINK("http://exon.niaid.nih.gov/transcriptome/C_felis/S1/links/cf/cf-5-36-139-CLU.txt","Contig139")</f>
        <v>Contig139</v>
      </c>
      <c r="G310" t="str">
        <f>HYPERLINK("http://exon.niaid.nih.gov/transcriptome/C_felis/S1/links/cf/cf-5-36-139-qual.txt","83.4")</f>
        <v>83.4</v>
      </c>
      <c r="H310" t="s">
        <v>11</v>
      </c>
      <c r="I310">
        <v>58.2</v>
      </c>
      <c r="J310">
        <v>573</v>
      </c>
      <c r="K310" t="s">
        <v>12</v>
      </c>
      <c r="L310">
        <v>3</v>
      </c>
      <c r="M310" t="s">
        <v>152</v>
      </c>
      <c r="N310">
        <v>574</v>
      </c>
      <c r="O310">
        <v>593</v>
      </c>
      <c r="P310">
        <v>492</v>
      </c>
      <c r="Q310" t="s">
        <v>959</v>
      </c>
      <c r="R310">
        <v>1</v>
      </c>
      <c r="S310" s="7" t="str">
        <f>HYPERLINK("http://exon.niaid.nih.gov/transcriptome/C_felis/S1/links/Sigp/CF-CONTIG_139-SigP.txt","Cyt")</f>
        <v>Cyt</v>
      </c>
      <c r="U310">
        <v>3</v>
      </c>
      <c r="V310" s="4">
        <f>HYPERLINK("http://exon.niaid.nih.gov/transcriptome/C_felis/S1/links/cluster/cf-5-36-asb30-50-Id-CLU20.txt", 20)</f>
        <v>20</v>
      </c>
      <c r="W310">
        <f>HYPERLINK("http://exon.niaid.nih.gov/transcriptome/C_felis/S1/links/cluster/cf-5-36-asb30-50-Id-CLTL20.txt", 3)</f>
        <v>3</v>
      </c>
      <c r="X310" s="4">
        <f>HYPERLINK("http://exon.niaid.nih.gov/transcriptome/C_felis/S1/links/cluster/cf-5-36-asb35-50-Id-CLU18.txt", 18)</f>
        <v>18</v>
      </c>
      <c r="Y310">
        <f>HYPERLINK("http://exon.niaid.nih.gov/transcriptome/C_felis/S1/links/cluster/cf-5-36-asb35-50-Id-CLTL18.txt", 3)</f>
        <v>3</v>
      </c>
      <c r="Z310" s="4">
        <f>HYPERLINK("http://exon.niaid.nih.gov/transcriptome/C_felis/S1/links/cluster/cf-5-36-asb40-50-Id-CLU17.txt", 17)</f>
        <v>17</v>
      </c>
      <c r="AA310">
        <f>HYPERLINK("http://exon.niaid.nih.gov/transcriptome/C_felis/S1/links/cluster/cf-5-36-asb40-50-Id-CLTL17.txt", 3)</f>
        <v>3</v>
      </c>
      <c r="AB310" s="4" t="str">
        <f>HYPERLINK("http://exon.niaid.nih.gov/transcriptome/C_felis/S1/links/XC-ASB/cf-contig_139-XC-ASB.txt","XC-contig_147")</f>
        <v>XC-contig_147</v>
      </c>
      <c r="AC310">
        <v>9.5000000000000001E-2</v>
      </c>
      <c r="AD310" s="10" t="s">
        <v>4648</v>
      </c>
      <c r="AE310" t="s">
        <v>4605</v>
      </c>
      <c r="AF310" t="str">
        <f>HYPERLINK("http://exon.niaid.nih.gov/transcriptome/C_felis/S1/links/KOG/cf-contig_139-KOG.txt","KOG")</f>
        <v>KOG</v>
      </c>
      <c r="AG310" s="5">
        <v>4E-73</v>
      </c>
      <c r="AH310">
        <v>89.6</v>
      </c>
      <c r="AI310" s="4" t="str">
        <f>HYPERLINK("http://exon.niaid.nih.gov/transcriptome/C_felis/S1/links/NR/cf-contig_139-NR.txt","similar to S9e ribosomal protein isoform 1")</f>
        <v>similar to S9e ribosomal protein isoform 1</v>
      </c>
      <c r="AJ310" t="str">
        <f>HYPERLINK("http://www.ncbi.nlm.nih.gov/sutils/blink.cgi?pid=91089607","9E-082")</f>
        <v>9E-082</v>
      </c>
      <c r="AK310" t="str">
        <f>HYPERLINK("http://www.ncbi.nlm.nih.gov/protein/91089607","gi|91089607")</f>
        <v>gi|91089607</v>
      </c>
      <c r="AL310">
        <v>306</v>
      </c>
      <c r="AM310">
        <v>163</v>
      </c>
      <c r="AN310">
        <v>194</v>
      </c>
      <c r="AO310">
        <v>94</v>
      </c>
      <c r="AP310">
        <v>85</v>
      </c>
      <c r="AQ310">
        <v>9</v>
      </c>
      <c r="AR310">
        <v>0</v>
      </c>
      <c r="AS310">
        <v>31</v>
      </c>
      <c r="AT310">
        <v>25</v>
      </c>
      <c r="AU310">
        <v>1</v>
      </c>
      <c r="AV310">
        <v>1</v>
      </c>
      <c r="AW310" t="s">
        <v>12</v>
      </c>
      <c r="AY310" t="s">
        <v>1676</v>
      </c>
      <c r="AZ310" t="s">
        <v>1878</v>
      </c>
      <c r="BA310" s="4" t="str">
        <f>HYPERLINK("http://exon.niaid.nih.gov/transcriptome/C_felis/S1/links/SWISSP/cf-contig_139-SWISSP.txt","40S ribosomal protein S9")</f>
        <v>40S ribosomal protein S9</v>
      </c>
      <c r="BB310" t="str">
        <f>HYPERLINK("http://www.uniprot.org/uniprot/P55935","3E-081")</f>
        <v>3E-081</v>
      </c>
      <c r="BC310" t="s">
        <v>2202</v>
      </c>
      <c r="BD310">
        <v>300</v>
      </c>
      <c r="BE310">
        <v>164</v>
      </c>
      <c r="BF310">
        <v>195</v>
      </c>
      <c r="BG310">
        <v>93</v>
      </c>
      <c r="BH310">
        <v>85</v>
      </c>
      <c r="BI310">
        <v>11</v>
      </c>
      <c r="BJ310">
        <v>1</v>
      </c>
      <c r="BK310">
        <v>31</v>
      </c>
      <c r="BL310">
        <v>25</v>
      </c>
      <c r="BM310">
        <v>1</v>
      </c>
      <c r="BN310">
        <v>1</v>
      </c>
      <c r="BO310" t="s">
        <v>12</v>
      </c>
      <c r="BQ310" t="s">
        <v>1676</v>
      </c>
      <c r="BR310" t="s">
        <v>1804</v>
      </c>
      <c r="BS310" s="4" t="str">
        <f>HYPERLINK("http://exon.niaid.nih.gov/transcriptome/C_felis/S1/links/CDD/cf-contig_139-CDD.txt","PTZ00155")</f>
        <v>PTZ00155</v>
      </c>
      <c r="BT310" t="str">
        <f>HYPERLINK("http://www.ncbi.nlm.nih.gov/Structure/cdd/cddsrv.cgi?uid=PTZ00155&amp;version=v4.0","5E-086")</f>
        <v>5E-086</v>
      </c>
      <c r="BU310" t="s">
        <v>2203</v>
      </c>
      <c r="BV310" s="4" t="s">
        <v>2204</v>
      </c>
      <c r="BW310">
        <f>HYPERLINK("http://exon.niaid.nih.gov/transcriptome/C_felis/S1/links/GO/cf-contig_139-GO.txt",3E-81)</f>
        <v>2.9999999999999999E-81</v>
      </c>
      <c r="BX310" t="str">
        <f t="shared" si="32"/>
        <v>GO:0003735</v>
      </c>
      <c r="BY310" t="s">
        <v>1929</v>
      </c>
      <c r="BZ310" t="s">
        <v>1930</v>
      </c>
      <c r="CA310" t="s">
        <v>1931</v>
      </c>
      <c r="CB310" t="s">
        <v>42</v>
      </c>
      <c r="CD310" s="5">
        <v>2.9999999999999999E-81</v>
      </c>
      <c r="CE310" t="str">
        <f>HYPERLINK("http://amigo.geneontology.org/cgi-bin/amigo/term_details?term=GO:0022627","GO:0022627")</f>
        <v>GO:0022627</v>
      </c>
      <c r="CF310" t="s">
        <v>2034</v>
      </c>
      <c r="CG310" t="s">
        <v>2035</v>
      </c>
      <c r="CH310" t="s">
        <v>2036</v>
      </c>
      <c r="CI310" t="s">
        <v>42</v>
      </c>
      <c r="CK310" s="5">
        <v>2.9999999999999999E-81</v>
      </c>
      <c r="CL310" t="str">
        <f>HYPERLINK("http://amigo.geneontology.org/cgi-bin/amigo/term_details?term=GO:0006412","GO:0006412")</f>
        <v>GO:0006412</v>
      </c>
      <c r="CM310" t="s">
        <v>1935</v>
      </c>
      <c r="CN310" t="s">
        <v>1936</v>
      </c>
      <c r="CO310" t="s">
        <v>1937</v>
      </c>
      <c r="CP310" t="s">
        <v>42</v>
      </c>
      <c r="CR310" s="5">
        <v>2.9999999999999999E-81</v>
      </c>
      <c r="CS310" s="4" t="str">
        <f>HYPERLINK("http://exon.niaid.nih.gov/transcriptome/C_felis/S1/links/KOG/cf-contig_139-KOG.txt","Ribosomal protein S4")</f>
        <v>Ribosomal protein S4</v>
      </c>
      <c r="CT310" t="str">
        <f>HYPERLINK("http://www.ncbi.nlm.nih.gov/COG/grace/shokog.cgi?KOG3301","4E-073")</f>
        <v>4E-073</v>
      </c>
      <c r="CU310" t="s">
        <v>1707</v>
      </c>
      <c r="CV310" s="4" t="str">
        <f>HYPERLINK("http://exon.niaid.nih.gov/transcriptome/C_felis/S1/links/PFAM/cf-contig_139-PFAM.txt","Ribosomal_S4")</f>
        <v>Ribosomal_S4</v>
      </c>
      <c r="CW310" t="str">
        <f>HYPERLINK("http://pfam.sanger.ac.uk/family?acc=PF00163","1E-019")</f>
        <v>1E-019</v>
      </c>
      <c r="CX310" s="4" t="str">
        <f>HYPERLINK("http://exon.niaid.nih.gov/transcriptome/C_felis/S1/links/SMART/cf-contig_139-SMART.txt","S4")</f>
        <v>S4</v>
      </c>
      <c r="CY310" t="str">
        <f>HYPERLINK("http://smart.embl-heidelberg.de/smart/do_annotation.pl?DOMAIN=S4&amp;BLAST=DUMMY","5E-009")</f>
        <v>5E-009</v>
      </c>
      <c r="CZ310" s="4" t="s">
        <v>42</v>
      </c>
      <c r="DA310" t="s">
        <v>42</v>
      </c>
      <c r="DB310" t="s">
        <v>42</v>
      </c>
      <c r="DC310" t="s">
        <v>42</v>
      </c>
      <c r="DD310" t="s">
        <v>42</v>
      </c>
      <c r="DE310" t="s">
        <v>42</v>
      </c>
      <c r="DF310" t="s">
        <v>42</v>
      </c>
      <c r="DG310" t="s">
        <v>42</v>
      </c>
      <c r="DH310" s="4" t="s">
        <v>42</v>
      </c>
      <c r="DI310" t="s">
        <v>42</v>
      </c>
      <c r="DJ310" s="4" t="s">
        <v>42</v>
      </c>
      <c r="DK310" t="s">
        <v>42</v>
      </c>
      <c r="DL310" s="4">
        <f>HYPERLINK("http://exon.niaid.nih.gov/transcriptome/C_felis/S1/links/cluster/cf-5-36-asb30-50-Id-CLU20.txt", 20)</f>
        <v>20</v>
      </c>
      <c r="DM310">
        <f>HYPERLINK("http://exon.niaid.nih.gov/transcriptome/C_felis/S1/links/cluster/cf-5-36-asb30-50-Id-CLTL20.txt", 3)</f>
        <v>3</v>
      </c>
      <c r="DN310" s="4">
        <f>HYPERLINK("http://exon.niaid.nih.gov/transcriptome/C_felis/S1/links/cluster/cf-5-36-asb35-50-Id-CLU18.txt", 18)</f>
        <v>18</v>
      </c>
      <c r="DO310">
        <f>HYPERLINK("http://exon.niaid.nih.gov/transcriptome/C_felis/S1/links/cluster/cf-5-36-asb35-50-Id-CLTL18.txt", 3)</f>
        <v>3</v>
      </c>
      <c r="DP310" s="4">
        <f>HYPERLINK("http://exon.niaid.nih.gov/transcriptome/C_felis/S1/links/cluster/cf-5-36-asb40-50-Id-CLU17.txt", 17)</f>
        <v>17</v>
      </c>
      <c r="DQ310">
        <f>HYPERLINK("http://exon.niaid.nih.gov/transcriptome/C_felis/S1/links/cluster/cf-5-36-asb40-50-Id-CLTL17.txt", 3)</f>
        <v>3</v>
      </c>
      <c r="DR310" s="4">
        <f>HYPERLINK("http://exon.niaid.nih.gov/transcriptome/C_felis/S1/links/cluster/cf-5-36-asb45-50-Id-CLU31.txt", 31)</f>
        <v>31</v>
      </c>
      <c r="DS310">
        <f>HYPERLINK("http://exon.niaid.nih.gov/transcriptome/C_felis/S1/links/cluster/cf-5-36-asb45-50-Id-CLTL31.txt", 2)</f>
        <v>2</v>
      </c>
      <c r="DT310" s="4">
        <f>HYPERLINK("http://exon.niaid.nih.gov/transcriptome/C_felis/S1/links/cluster/cf-5-36-asb50-50-Id-CLU27.txt", 27)</f>
        <v>27</v>
      </c>
      <c r="DU310">
        <f>HYPERLINK("http://exon.niaid.nih.gov/transcriptome/C_felis/S1/links/cluster/cf-5-36-asb50-50-Id-CLTL27.txt", 2)</f>
        <v>2</v>
      </c>
      <c r="DV310" s="4">
        <f>HYPERLINK("http://exon.niaid.nih.gov/transcriptome/C_felis/S1/links/cluster/cf-5-36-asb55-50-Id-CLU25.txt", 25)</f>
        <v>25</v>
      </c>
      <c r="DW310">
        <f>HYPERLINK("http://exon.niaid.nih.gov/transcriptome/C_felis/S1/links/cluster/cf-5-36-asb55-50-Id-CLTL25.txt", 2)</f>
        <v>2</v>
      </c>
      <c r="DX310" s="4">
        <f>HYPERLINK("http://exon.niaid.nih.gov/transcriptome/C_felis/S1/links/cluster/cf-5-36-asb60-50-Id-CLU22.txt", 22)</f>
        <v>22</v>
      </c>
      <c r="DY310">
        <f>HYPERLINK("http://exon.niaid.nih.gov/transcriptome/C_felis/S1/links/cluster/cf-5-36-asb60-50-Id-CLTL22.txt", 2)</f>
        <v>2</v>
      </c>
      <c r="DZ310" s="4">
        <f>HYPERLINK("http://exon.niaid.nih.gov/transcriptome/C_felis/S1/links/cluster/cf-5-36-asb65-50-Id-CLU19.txt", 19)</f>
        <v>19</v>
      </c>
      <c r="EA310">
        <f>HYPERLINK("http://exon.niaid.nih.gov/transcriptome/C_felis/S1/links/cluster/cf-5-36-asb65-50-Id-CLTL19.txt", 2)</f>
        <v>2</v>
      </c>
      <c r="EB310" s="4">
        <v>139</v>
      </c>
      <c r="EC310">
        <v>1</v>
      </c>
      <c r="ED310" s="4">
        <v>140</v>
      </c>
      <c r="EE310">
        <v>1</v>
      </c>
      <c r="EF310" s="4">
        <v>139</v>
      </c>
      <c r="EG310">
        <v>1</v>
      </c>
      <c r="EH310" s="4">
        <v>138</v>
      </c>
      <c r="EI310">
        <v>1</v>
      </c>
      <c r="EJ310" s="4">
        <v>139</v>
      </c>
      <c r="EK310">
        <v>1</v>
      </c>
    </row>
    <row r="311" spans="1:141" x14ac:dyDescent="0.2">
      <c r="A311" t="str">
        <f>HYPERLINK("http://exon.niaid.nih.gov/transcriptome/C_felis/S1/links/cf/cf-contig_96.txt","cf-contig_96")</f>
        <v>cf-contig_96</v>
      </c>
      <c r="B311">
        <v>3</v>
      </c>
      <c r="C311" s="10" t="s">
        <v>4623</v>
      </c>
      <c r="D311">
        <v>3</v>
      </c>
      <c r="E311" t="str">
        <f>HYPERLINK("http://exon.niaid.nih.gov/transcriptome/C_felis/S1/links/cf/cf-5-36-asb-96.txt","Contig-96")</f>
        <v>Contig-96</v>
      </c>
      <c r="F311" t="str">
        <f>HYPERLINK("http://exon.niaid.nih.gov/transcriptome/C_felis/S1/links/cf/cf-5-36-96-CLU.txt","Contig96")</f>
        <v>Contig96</v>
      </c>
      <c r="G311" t="str">
        <f>HYPERLINK("http://exon.niaid.nih.gov/transcriptome/C_felis/S1/links/cf/cf-5-36-96-qual.txt","83.9")</f>
        <v>83.9</v>
      </c>
      <c r="H311" t="s">
        <v>11</v>
      </c>
      <c r="I311">
        <v>55.3</v>
      </c>
      <c r="J311">
        <v>339</v>
      </c>
      <c r="K311" t="s">
        <v>12</v>
      </c>
      <c r="L311">
        <v>3</v>
      </c>
      <c r="M311" t="s">
        <v>109</v>
      </c>
      <c r="N311">
        <v>325</v>
      </c>
      <c r="O311">
        <v>358</v>
      </c>
      <c r="P311">
        <v>288</v>
      </c>
      <c r="Q311" t="s">
        <v>916</v>
      </c>
      <c r="R311">
        <v>1</v>
      </c>
      <c r="S311" s="7" t="s">
        <v>4585</v>
      </c>
      <c r="U311">
        <v>3</v>
      </c>
      <c r="V311" s="4">
        <f>HYPERLINK("http://exon.niaid.nih.gov/transcriptome/C_felis/S1/links/cluster/cf-5-36-asb30-50-Id-CLU39.txt", 39)</f>
        <v>39</v>
      </c>
      <c r="W311">
        <f>HYPERLINK("http://exon.niaid.nih.gov/transcriptome/C_felis/S1/links/cluster/cf-5-36-asb30-50-Id-CLTL39.txt", 2)</f>
        <v>2</v>
      </c>
      <c r="X311" s="4">
        <f>HYPERLINK("http://exon.niaid.nih.gov/transcriptome/C_felis/S1/links/cluster/cf-5-36-asb35-50-Id-CLU32.txt", 32)</f>
        <v>32</v>
      </c>
      <c r="Y311">
        <f>HYPERLINK("http://exon.niaid.nih.gov/transcriptome/C_felis/S1/links/cluster/cf-5-36-asb35-50-Id-CLTL32.txt", 2)</f>
        <v>2</v>
      </c>
      <c r="Z311" s="4">
        <f>HYPERLINK("http://exon.niaid.nih.gov/transcriptome/C_felis/S1/links/cluster/cf-5-36-asb40-50-Id-CLU30.txt", 30)</f>
        <v>30</v>
      </c>
      <c r="AA311">
        <f>HYPERLINK("http://exon.niaid.nih.gov/transcriptome/C_felis/S1/links/cluster/cf-5-36-asb40-50-Id-CLTL30.txt", 2)</f>
        <v>2</v>
      </c>
      <c r="AB311" s="4" t="str">
        <f>HYPERLINK("http://exon.niaid.nih.gov/transcriptome/C_felis/S1/links/XC-ASB/cf-contig_96-XC-ASB.txt","XC-contig_137")</f>
        <v>XC-contig_137</v>
      </c>
      <c r="AC311">
        <v>1E-58</v>
      </c>
      <c r="AD311" s="10" t="s">
        <v>4623</v>
      </c>
      <c r="AE311" t="s">
        <v>4605</v>
      </c>
      <c r="AF311" t="str">
        <f>HYPERLINK("http://exon.niaid.nih.gov/transcriptome/C_felis/S1/links/NR/cf-contig_96-NR.txt","NR")</f>
        <v>NR</v>
      </c>
      <c r="AG311" s="5">
        <v>1.0000000000000001E-37</v>
      </c>
      <c r="AH311">
        <v>41</v>
      </c>
      <c r="AI311" s="4" t="str">
        <f>HYPERLINK("http://exon.niaid.nih.gov/transcriptome/C_felis/S1/links/NR/cf-contig_96-NR.txt","ribosomal protein S6e")</f>
        <v>ribosomal protein S6e</v>
      </c>
      <c r="AJ311" t="str">
        <f>HYPERLINK("http://www.ncbi.nlm.nih.gov/sutils/blink.cgi?pid=70909493","1E-037")</f>
        <v>1E-037</v>
      </c>
      <c r="AK311" t="str">
        <f>HYPERLINK("http://www.ncbi.nlm.nih.gov/protein/70909493","gi|70909493")</f>
        <v>gi|70909493</v>
      </c>
      <c r="AL311">
        <v>159</v>
      </c>
      <c r="AM311">
        <v>95</v>
      </c>
      <c r="AN311">
        <v>233</v>
      </c>
      <c r="AO311">
        <v>84</v>
      </c>
      <c r="AP311">
        <v>41</v>
      </c>
      <c r="AQ311">
        <v>15</v>
      </c>
      <c r="AR311">
        <v>0</v>
      </c>
      <c r="AS311">
        <v>138</v>
      </c>
      <c r="AT311">
        <v>1</v>
      </c>
      <c r="AU311">
        <v>1</v>
      </c>
      <c r="AV311">
        <v>1</v>
      </c>
      <c r="AW311" t="s">
        <v>12</v>
      </c>
      <c r="AY311" t="s">
        <v>1676</v>
      </c>
      <c r="AZ311" t="s">
        <v>2029</v>
      </c>
      <c r="BA311" s="4" t="str">
        <f>HYPERLINK("http://exon.niaid.nih.gov/transcriptome/C_felis/S1/links/SWISSP/cf-contig_96-SWISSP.txt","40S ribosomal protein S6")</f>
        <v>40S ribosomal protein S6</v>
      </c>
      <c r="BB311" t="str">
        <f>HYPERLINK("http://www.uniprot.org/uniprot/Q95V32","1E-036")</f>
        <v>1E-036</v>
      </c>
      <c r="BC311" t="s">
        <v>2030</v>
      </c>
      <c r="BD311">
        <v>151</v>
      </c>
      <c r="BE311">
        <v>98</v>
      </c>
      <c r="BF311">
        <v>253</v>
      </c>
      <c r="BG311">
        <v>81</v>
      </c>
      <c r="BH311">
        <v>39</v>
      </c>
      <c r="BI311">
        <v>18</v>
      </c>
      <c r="BJ311">
        <v>3</v>
      </c>
      <c r="BK311">
        <v>155</v>
      </c>
      <c r="BL311">
        <v>1</v>
      </c>
      <c r="BM311">
        <v>1</v>
      </c>
      <c r="BN311">
        <v>1</v>
      </c>
      <c r="BO311" t="s">
        <v>12</v>
      </c>
      <c r="BQ311" t="s">
        <v>1676</v>
      </c>
      <c r="BR311" t="s">
        <v>2031</v>
      </c>
      <c r="BS311" s="4" t="str">
        <f>HYPERLINK("http://exon.niaid.nih.gov/transcriptome/C_felis/S1/links/CDD/cf-contig_96-CDD.txt","PTZ00028")</f>
        <v>PTZ00028</v>
      </c>
      <c r="BT311" t="str">
        <f>HYPERLINK("http://www.ncbi.nlm.nih.gov/Structure/cdd/cddsrv.cgi?uid=PTZ00028&amp;version=v4.0","3E-015")</f>
        <v>3E-015</v>
      </c>
      <c r="BU311" t="s">
        <v>2032</v>
      </c>
      <c r="BV311" s="4" t="s">
        <v>2033</v>
      </c>
      <c r="BW311">
        <f>HYPERLINK("http://exon.niaid.nih.gov/transcriptome/C_felis/S1/links/GO/cf-contig_96-GO.txt",3E-29)</f>
        <v>3.0000000000000003E-29</v>
      </c>
      <c r="BX311" t="str">
        <f t="shared" si="32"/>
        <v>GO:0003735</v>
      </c>
      <c r="BY311" t="s">
        <v>1929</v>
      </c>
      <c r="BZ311" t="s">
        <v>1930</v>
      </c>
      <c r="CA311" t="s">
        <v>1931</v>
      </c>
      <c r="CB311" t="s">
        <v>42</v>
      </c>
      <c r="CD311" s="5">
        <v>3.0000000000000003E-29</v>
      </c>
      <c r="CE311" t="str">
        <f>HYPERLINK("http://amigo.geneontology.org/cgi-bin/amigo/term_details?term=GO:0022627","GO:0022627")</f>
        <v>GO:0022627</v>
      </c>
      <c r="CF311" t="s">
        <v>2034</v>
      </c>
      <c r="CG311" t="s">
        <v>2035</v>
      </c>
      <c r="CH311" t="s">
        <v>2036</v>
      </c>
      <c r="CI311" t="s">
        <v>42</v>
      </c>
      <c r="CK311" s="5">
        <v>3.0000000000000003E-29</v>
      </c>
      <c r="CL311" t="str">
        <f>HYPERLINK("http://amigo.geneontology.org/cgi-bin/amigo/term_details?term=GO:0006412","GO:0006412")</f>
        <v>GO:0006412</v>
      </c>
      <c r="CM311" t="s">
        <v>1935</v>
      </c>
      <c r="CN311" t="s">
        <v>1936</v>
      </c>
      <c r="CO311" t="s">
        <v>1937</v>
      </c>
      <c r="CP311" t="s">
        <v>42</v>
      </c>
      <c r="CR311" s="5">
        <v>3.0000000000000003E-29</v>
      </c>
      <c r="CS311" s="4" t="str">
        <f>HYPERLINK("http://exon.niaid.nih.gov/transcriptome/C_felis/S1/links/KOG/cf-contig_96-KOG.txt","40S ribosomal protein S6")</f>
        <v>40S ribosomal protein S6</v>
      </c>
      <c r="CT311" t="str">
        <f>HYPERLINK("http://www.ncbi.nlm.nih.gov/COG/grace/shokog.cgi?KOG1646","2E-028")</f>
        <v>2E-028</v>
      </c>
      <c r="CU311" t="s">
        <v>1707</v>
      </c>
      <c r="CV311" s="4" t="str">
        <f>HYPERLINK("http://exon.niaid.nih.gov/transcriptome/C_felis/S1/links/PFAM/cf-contig_96-PFAM.txt","DUF2992")</f>
        <v>DUF2992</v>
      </c>
      <c r="CW311" t="str">
        <f>HYPERLINK("http://pfam.sanger.ac.uk/family?acc=PF11208","0.003")</f>
        <v>0.003</v>
      </c>
      <c r="CX311" s="4" t="str">
        <f>HYPERLINK("http://exon.niaid.nih.gov/transcriptome/C_felis/S1/links/SMART/cf-contig_96-SMART.txt","CBF")</f>
        <v>CBF</v>
      </c>
      <c r="CY311" t="str">
        <f>HYPERLINK("http://smart.embl-heidelberg.de/smart/do_annotation.pl?DOMAIN=CBF&amp;BLAST=DUMMY","0.050")</f>
        <v>0.050</v>
      </c>
      <c r="CZ311" s="4" t="s">
        <v>42</v>
      </c>
      <c r="DA311" t="s">
        <v>42</v>
      </c>
      <c r="DB311" t="s">
        <v>42</v>
      </c>
      <c r="DC311" t="s">
        <v>42</v>
      </c>
      <c r="DD311" t="s">
        <v>42</v>
      </c>
      <c r="DE311" t="s">
        <v>42</v>
      </c>
      <c r="DF311" t="s">
        <v>42</v>
      </c>
      <c r="DG311" t="s">
        <v>42</v>
      </c>
      <c r="DH311" s="4" t="s">
        <v>42</v>
      </c>
      <c r="DI311" t="s">
        <v>42</v>
      </c>
      <c r="DJ311" s="4" t="s">
        <v>42</v>
      </c>
      <c r="DK311" t="s">
        <v>42</v>
      </c>
      <c r="DL311" s="4">
        <f>HYPERLINK("http://exon.niaid.nih.gov/transcriptome/C_felis/S1/links/cluster/cf-5-36-asb30-50-Id-CLU39.txt", 39)</f>
        <v>39</v>
      </c>
      <c r="DM311">
        <f>HYPERLINK("http://exon.niaid.nih.gov/transcriptome/C_felis/S1/links/cluster/cf-5-36-asb30-50-Id-CLTL39.txt", 2)</f>
        <v>2</v>
      </c>
      <c r="DN311" s="4">
        <f>HYPERLINK("http://exon.niaid.nih.gov/transcriptome/C_felis/S1/links/cluster/cf-5-36-asb35-50-Id-CLU32.txt", 32)</f>
        <v>32</v>
      </c>
      <c r="DO311">
        <f>HYPERLINK("http://exon.niaid.nih.gov/transcriptome/C_felis/S1/links/cluster/cf-5-36-asb35-50-Id-CLTL32.txt", 2)</f>
        <v>2</v>
      </c>
      <c r="DP311" s="4">
        <f>HYPERLINK("http://exon.niaid.nih.gov/transcriptome/C_felis/S1/links/cluster/cf-5-36-asb40-50-Id-CLU30.txt", 30)</f>
        <v>30</v>
      </c>
      <c r="DQ311">
        <f>HYPERLINK("http://exon.niaid.nih.gov/transcriptome/C_felis/S1/links/cluster/cf-5-36-asb40-50-Id-CLTL30.txt", 2)</f>
        <v>2</v>
      </c>
      <c r="DR311" s="4">
        <f>HYPERLINK("http://exon.niaid.nih.gov/transcriptome/C_felis/S1/links/cluster/cf-5-36-asb45-50-Id-CLU28.txt", 28)</f>
        <v>28</v>
      </c>
      <c r="DS311">
        <f>HYPERLINK("http://exon.niaid.nih.gov/transcriptome/C_felis/S1/links/cluster/cf-5-36-asb45-50-Id-CLTL28.txt", 2)</f>
        <v>2</v>
      </c>
      <c r="DT311" s="4">
        <f>HYPERLINK("http://exon.niaid.nih.gov/transcriptome/C_felis/S1/links/cluster/cf-5-36-asb50-50-Id-CLU24.txt", 24)</f>
        <v>24</v>
      </c>
      <c r="DU311">
        <f>HYPERLINK("http://exon.niaid.nih.gov/transcriptome/C_felis/S1/links/cluster/cf-5-36-asb50-50-Id-CLTL24.txt", 2)</f>
        <v>2</v>
      </c>
      <c r="DV311" s="4">
        <f>HYPERLINK("http://exon.niaid.nih.gov/transcriptome/C_felis/S1/links/cluster/cf-5-36-asb55-50-Id-CLU21.txt", 21)</f>
        <v>21</v>
      </c>
      <c r="DW311">
        <f>HYPERLINK("http://exon.niaid.nih.gov/transcriptome/C_felis/S1/links/cluster/cf-5-36-asb55-50-Id-CLTL21.txt", 2)</f>
        <v>2</v>
      </c>
      <c r="DX311" s="4">
        <f>HYPERLINK("http://exon.niaid.nih.gov/transcriptome/C_felis/S1/links/cluster/cf-5-36-asb60-50-Id-CLU105.txt", 105)</f>
        <v>105</v>
      </c>
      <c r="DY311">
        <f>HYPERLINK("http://exon.niaid.nih.gov/transcriptome/C_felis/S1/links/cluster/cf-5-36-asb60-50-Id-CLTL105.txt", 1)</f>
        <v>1</v>
      </c>
      <c r="DZ311" s="4">
        <v>103</v>
      </c>
      <c r="EA311">
        <v>1</v>
      </c>
      <c r="EB311" s="4">
        <v>103</v>
      </c>
      <c r="EC311">
        <v>1</v>
      </c>
      <c r="ED311" s="4">
        <v>104</v>
      </c>
      <c r="EE311">
        <v>1</v>
      </c>
      <c r="EF311" s="4">
        <v>101</v>
      </c>
      <c r="EG311">
        <v>1</v>
      </c>
      <c r="EH311" s="4">
        <v>98</v>
      </c>
      <c r="EI311">
        <v>1</v>
      </c>
      <c r="EJ311" s="4">
        <v>96</v>
      </c>
      <c r="EK311">
        <v>1</v>
      </c>
    </row>
    <row r="312" spans="1:141" x14ac:dyDescent="0.2">
      <c r="A312" t="str">
        <f>HYPERLINK("http://exon.niaid.nih.gov/transcriptome/C_felis/S1/links/cf/cf-contig_141.txt","cf-contig_141")</f>
        <v>cf-contig_141</v>
      </c>
      <c r="B312">
        <v>1</v>
      </c>
      <c r="C312" s="10" t="s">
        <v>4650</v>
      </c>
      <c r="D312">
        <v>1</v>
      </c>
      <c r="E312" t="str">
        <f>HYPERLINK("http://exon.niaid.nih.gov/transcriptome/C_felis/S1/links/cf/cf-5-36-asb-141.txt","Contig-141")</f>
        <v>Contig-141</v>
      </c>
      <c r="F312" t="str">
        <f>HYPERLINK("http://exon.niaid.nih.gov/transcriptome/C_felis/S1/links/cf/cf-5-36-141-CLU.txt","Contig141")</f>
        <v>Contig141</v>
      </c>
      <c r="G312" t="str">
        <f>HYPERLINK("http://exon.niaid.nih.gov/transcriptome/C_felis/S1/links/cf/cf-5-36-141-qual.txt","64.2")</f>
        <v>64.2</v>
      </c>
      <c r="H312" t="s">
        <v>11</v>
      </c>
      <c r="I312">
        <v>59</v>
      </c>
      <c r="J312">
        <v>401</v>
      </c>
      <c r="K312" t="s">
        <v>12</v>
      </c>
      <c r="L312">
        <v>1</v>
      </c>
      <c r="M312" t="s">
        <v>154</v>
      </c>
      <c r="N312">
        <v>401</v>
      </c>
      <c r="O312">
        <v>420</v>
      </c>
      <c r="P312">
        <v>339</v>
      </c>
      <c r="Q312" t="s">
        <v>961</v>
      </c>
      <c r="R312">
        <v>1</v>
      </c>
      <c r="S312" s="7" t="str">
        <f>HYPERLINK("http://exon.niaid.nih.gov/transcriptome/C_felis/S1/links/Sigp/CF-CONTIG_141-SigP.txt","Cyt")</f>
        <v>Cyt</v>
      </c>
      <c r="U312">
        <v>1</v>
      </c>
      <c r="V312" s="4">
        <f>HYPERLINK("http://exon.niaid.nih.gov/transcriptome/C_felis/S1/links/cluster/cf-5-36-asb30-50-Id-CLU20.txt", 20)</f>
        <v>20</v>
      </c>
      <c r="W312">
        <f>HYPERLINK("http://exon.niaid.nih.gov/transcriptome/C_felis/S1/links/cluster/cf-5-36-asb30-50-Id-CLTL20.txt", 3)</f>
        <v>3</v>
      </c>
      <c r="X312" s="4">
        <f>HYPERLINK("http://exon.niaid.nih.gov/transcriptome/C_felis/S1/links/cluster/cf-5-36-asb35-50-Id-CLU18.txt", 18)</f>
        <v>18</v>
      </c>
      <c r="Y312">
        <f>HYPERLINK("http://exon.niaid.nih.gov/transcriptome/C_felis/S1/links/cluster/cf-5-36-asb35-50-Id-CLTL18.txt", 3)</f>
        <v>3</v>
      </c>
      <c r="Z312" s="4">
        <f>HYPERLINK("http://exon.niaid.nih.gov/transcriptome/C_felis/S1/links/cluster/cf-5-36-asb40-50-Id-CLU17.txt", 17)</f>
        <v>17</v>
      </c>
      <c r="AA312">
        <f>HYPERLINK("http://exon.niaid.nih.gov/transcriptome/C_felis/S1/links/cluster/cf-5-36-asb40-50-Id-CLTL17.txt", 3)</f>
        <v>3</v>
      </c>
      <c r="AB312" s="4" t="str">
        <f>HYPERLINK("http://exon.niaid.nih.gov/transcriptome/C_felis/S1/links/XC-ASB/cf-contig_141-XC-ASB.txt","XC-contig_147")</f>
        <v>XC-contig_147</v>
      </c>
      <c r="AC312">
        <v>6.3E-2</v>
      </c>
      <c r="AD312" s="10" t="s">
        <v>4650</v>
      </c>
      <c r="AE312" t="s">
        <v>4605</v>
      </c>
      <c r="AF312" t="str">
        <f>HYPERLINK("http://exon.niaid.nih.gov/transcriptome/C_felis/S1/links/GO/cf-contig_141-GO.txt","GO")</f>
        <v>GO</v>
      </c>
      <c r="AG312" s="5">
        <v>4.0000000000000001E-53</v>
      </c>
      <c r="AH312">
        <v>56.9</v>
      </c>
      <c r="AI312" s="4" t="str">
        <f>HYPERLINK("http://exon.niaid.nih.gov/transcriptome/C_felis/S1/links/NR/cf-contig_141-NR.txt","similar to S9e ribosomal protein isoform 1")</f>
        <v>similar to S9e ribosomal protein isoform 1</v>
      </c>
      <c r="AJ312" t="str">
        <f>HYPERLINK("http://www.ncbi.nlm.nih.gov/sutils/blink.cgi?pid=91089607","6E-053")</f>
        <v>6E-053</v>
      </c>
      <c r="AK312" t="str">
        <f>HYPERLINK("http://www.ncbi.nlm.nih.gov/protein/91089607","gi|91089607")</f>
        <v>gi|91089607</v>
      </c>
      <c r="AL312">
        <v>210</v>
      </c>
      <c r="AM312">
        <v>109</v>
      </c>
      <c r="AN312">
        <v>194</v>
      </c>
      <c r="AO312">
        <v>95</v>
      </c>
      <c r="AP312">
        <v>57</v>
      </c>
      <c r="AQ312">
        <v>5</v>
      </c>
      <c r="AR312">
        <v>0</v>
      </c>
      <c r="AS312">
        <v>85</v>
      </c>
      <c r="AT312">
        <v>10</v>
      </c>
      <c r="AU312">
        <v>1</v>
      </c>
      <c r="AV312">
        <v>1</v>
      </c>
      <c r="AW312" t="s">
        <v>12</v>
      </c>
      <c r="AY312" t="s">
        <v>1676</v>
      </c>
      <c r="AZ312" t="s">
        <v>1878</v>
      </c>
      <c r="BA312" s="4" t="str">
        <f>HYPERLINK("http://exon.niaid.nih.gov/transcriptome/C_felis/S1/links/SWISSP/cf-contig_141-SWISSP.txt","40S ribosomal protein S9")</f>
        <v>40S ribosomal protein S9</v>
      </c>
      <c r="BB312" t="str">
        <f>HYPERLINK("http://www.uniprot.org/uniprot/P55935","5E-053")</f>
        <v>5E-053</v>
      </c>
      <c r="BC312" t="s">
        <v>2202</v>
      </c>
      <c r="BD312">
        <v>206</v>
      </c>
      <c r="BE312">
        <v>110</v>
      </c>
      <c r="BF312">
        <v>195</v>
      </c>
      <c r="BG312">
        <v>94</v>
      </c>
      <c r="BH312">
        <v>57</v>
      </c>
      <c r="BI312">
        <v>6</v>
      </c>
      <c r="BJ312">
        <v>1</v>
      </c>
      <c r="BK312">
        <v>85</v>
      </c>
      <c r="BL312">
        <v>10</v>
      </c>
      <c r="BM312">
        <v>1</v>
      </c>
      <c r="BN312">
        <v>1</v>
      </c>
      <c r="BO312" t="s">
        <v>12</v>
      </c>
      <c r="BQ312" t="s">
        <v>1676</v>
      </c>
      <c r="BR312" t="s">
        <v>1804</v>
      </c>
      <c r="BS312" s="4" t="str">
        <f>HYPERLINK("http://exon.niaid.nih.gov/transcriptome/C_felis/S1/links/CDD/cf-contig_141-CDD.txt","PLN00189")</f>
        <v>PLN00189</v>
      </c>
      <c r="BT312" t="str">
        <f>HYPERLINK("http://www.ncbi.nlm.nih.gov/Structure/cdd/cddsrv.cgi?uid=PLN00189&amp;version=v4.0","8E-054")</f>
        <v>8E-054</v>
      </c>
      <c r="BU312" t="s">
        <v>2211</v>
      </c>
      <c r="BV312" s="4" t="s">
        <v>2204</v>
      </c>
      <c r="BW312">
        <f>HYPERLINK("http://exon.niaid.nih.gov/transcriptome/C_felis/S1/links/GO/cf-contig_141-GO.txt",4E-53)</f>
        <v>4.0000000000000001E-53</v>
      </c>
      <c r="BX312" t="str">
        <f t="shared" si="32"/>
        <v>GO:0003735</v>
      </c>
      <c r="BY312" t="s">
        <v>1929</v>
      </c>
      <c r="BZ312" t="s">
        <v>1930</v>
      </c>
      <c r="CA312" t="s">
        <v>1931</v>
      </c>
      <c r="CB312" t="s">
        <v>42</v>
      </c>
      <c r="CD312" s="5">
        <v>4.0000000000000001E-53</v>
      </c>
      <c r="CE312" t="str">
        <f>HYPERLINK("http://amigo.geneontology.org/cgi-bin/amigo/term_details?term=GO:0022627","GO:0022627")</f>
        <v>GO:0022627</v>
      </c>
      <c r="CF312" t="s">
        <v>2034</v>
      </c>
      <c r="CG312" t="s">
        <v>2035</v>
      </c>
      <c r="CH312" t="s">
        <v>2036</v>
      </c>
      <c r="CI312" t="s">
        <v>42</v>
      </c>
      <c r="CK312" s="5">
        <v>4.0000000000000001E-53</v>
      </c>
      <c r="CL312" t="str">
        <f>HYPERLINK("http://amigo.geneontology.org/cgi-bin/amigo/term_details?term=GO:0006412","GO:0006412")</f>
        <v>GO:0006412</v>
      </c>
      <c r="CM312" t="s">
        <v>1935</v>
      </c>
      <c r="CN312" t="s">
        <v>1936</v>
      </c>
      <c r="CO312" t="s">
        <v>1937</v>
      </c>
      <c r="CP312" t="s">
        <v>42</v>
      </c>
      <c r="CR312" s="5">
        <v>4.0000000000000001E-53</v>
      </c>
      <c r="CS312" s="4" t="str">
        <f>HYPERLINK("http://exon.niaid.nih.gov/transcriptome/C_felis/S1/links/KOG/cf-contig_141-KOG.txt","Ribosomal protein S4")</f>
        <v>Ribosomal protein S4</v>
      </c>
      <c r="CT312" t="str">
        <f>HYPERLINK("http://www.ncbi.nlm.nih.gov/COG/grace/shokog.cgi?KOG3301","3E-050")</f>
        <v>3E-050</v>
      </c>
      <c r="CU312" t="s">
        <v>1707</v>
      </c>
      <c r="CV312" s="4" t="str">
        <f>HYPERLINK("http://exon.niaid.nih.gov/transcriptome/C_felis/S1/links/PFAM/cf-contig_141-PFAM.txt","S4")</f>
        <v>S4</v>
      </c>
      <c r="CW312" t="str">
        <f>HYPERLINK("http://pfam.sanger.ac.uk/family?acc=PF01479","6E-012")</f>
        <v>6E-012</v>
      </c>
      <c r="CX312" s="4" t="str">
        <f>HYPERLINK("http://exon.niaid.nih.gov/transcriptome/C_felis/S1/links/SMART/cf-contig_141-SMART.txt","S4")</f>
        <v>S4</v>
      </c>
      <c r="CY312" t="str">
        <f>HYPERLINK("http://smart.embl-heidelberg.de/smart/do_annotation.pl?DOMAIN=S4&amp;BLAST=DUMMY","3E-009")</f>
        <v>3E-009</v>
      </c>
      <c r="CZ312" s="4" t="s">
        <v>42</v>
      </c>
      <c r="DA312" t="s">
        <v>42</v>
      </c>
      <c r="DB312" t="s">
        <v>42</v>
      </c>
      <c r="DC312" t="s">
        <v>42</v>
      </c>
      <c r="DD312" t="s">
        <v>42</v>
      </c>
      <c r="DE312" t="s">
        <v>42</v>
      </c>
      <c r="DF312" t="s">
        <v>42</v>
      </c>
      <c r="DG312" t="s">
        <v>42</v>
      </c>
      <c r="DH312" s="4" t="s">
        <v>42</v>
      </c>
      <c r="DI312" t="s">
        <v>42</v>
      </c>
      <c r="DJ312" s="4" t="s">
        <v>42</v>
      </c>
      <c r="DK312" t="s">
        <v>42</v>
      </c>
      <c r="DL312" s="4">
        <f>HYPERLINK("http://exon.niaid.nih.gov/transcriptome/C_felis/S1/links/cluster/cf-5-36-asb30-50-Id-CLU20.txt", 20)</f>
        <v>20</v>
      </c>
      <c r="DM312">
        <f>HYPERLINK("http://exon.niaid.nih.gov/transcriptome/C_felis/S1/links/cluster/cf-5-36-asb30-50-Id-CLTL20.txt", 3)</f>
        <v>3</v>
      </c>
      <c r="DN312" s="4">
        <f>HYPERLINK("http://exon.niaid.nih.gov/transcriptome/C_felis/S1/links/cluster/cf-5-36-asb35-50-Id-CLU18.txt", 18)</f>
        <v>18</v>
      </c>
      <c r="DO312">
        <f>HYPERLINK("http://exon.niaid.nih.gov/transcriptome/C_felis/S1/links/cluster/cf-5-36-asb35-50-Id-CLTL18.txt", 3)</f>
        <v>3</v>
      </c>
      <c r="DP312" s="4">
        <f>HYPERLINK("http://exon.niaid.nih.gov/transcriptome/C_felis/S1/links/cluster/cf-5-36-asb40-50-Id-CLU17.txt", 17)</f>
        <v>17</v>
      </c>
      <c r="DQ312">
        <f>HYPERLINK("http://exon.niaid.nih.gov/transcriptome/C_felis/S1/links/cluster/cf-5-36-asb40-50-Id-CLTL17.txt", 3)</f>
        <v>3</v>
      </c>
      <c r="DR312" s="4">
        <f>HYPERLINK("http://exon.niaid.nih.gov/transcriptome/C_felis/S1/links/cluster/cf-5-36-asb45-50-Id-CLU31.txt", 31)</f>
        <v>31</v>
      </c>
      <c r="DS312">
        <f>HYPERLINK("http://exon.niaid.nih.gov/transcriptome/C_felis/S1/links/cluster/cf-5-36-asb45-50-Id-CLTL31.txt", 2)</f>
        <v>2</v>
      </c>
      <c r="DT312" s="4">
        <f>HYPERLINK("http://exon.niaid.nih.gov/transcriptome/C_felis/S1/links/cluster/cf-5-36-asb50-50-Id-CLU27.txt", 27)</f>
        <v>27</v>
      </c>
      <c r="DU312">
        <f>HYPERLINK("http://exon.niaid.nih.gov/transcriptome/C_felis/S1/links/cluster/cf-5-36-asb50-50-Id-CLTL27.txt", 2)</f>
        <v>2</v>
      </c>
      <c r="DV312" s="4">
        <f>HYPERLINK("http://exon.niaid.nih.gov/transcriptome/C_felis/S1/links/cluster/cf-5-36-asb55-50-Id-CLU25.txt", 25)</f>
        <v>25</v>
      </c>
      <c r="DW312">
        <f>HYPERLINK("http://exon.niaid.nih.gov/transcriptome/C_felis/S1/links/cluster/cf-5-36-asb55-50-Id-CLTL25.txt", 2)</f>
        <v>2</v>
      </c>
      <c r="DX312" s="4">
        <f>HYPERLINK("http://exon.niaid.nih.gov/transcriptome/C_felis/S1/links/cluster/cf-5-36-asb60-50-Id-CLU22.txt", 22)</f>
        <v>22</v>
      </c>
      <c r="DY312">
        <f>HYPERLINK("http://exon.niaid.nih.gov/transcriptome/C_felis/S1/links/cluster/cf-5-36-asb60-50-Id-CLTL22.txt", 2)</f>
        <v>2</v>
      </c>
      <c r="DZ312" s="4">
        <f>HYPERLINK("http://exon.niaid.nih.gov/transcriptome/C_felis/S1/links/cluster/cf-5-36-asb65-50-Id-CLU19.txt", 19)</f>
        <v>19</v>
      </c>
      <c r="EA312">
        <f>HYPERLINK("http://exon.niaid.nih.gov/transcriptome/C_felis/S1/links/cluster/cf-5-36-asb65-50-Id-CLTL19.txt", 2)</f>
        <v>2</v>
      </c>
      <c r="EB312" s="4">
        <v>141</v>
      </c>
      <c r="EC312">
        <v>1</v>
      </c>
      <c r="ED312" s="4">
        <v>142</v>
      </c>
      <c r="EE312">
        <v>1</v>
      </c>
      <c r="EF312" s="4">
        <v>141</v>
      </c>
      <c r="EG312">
        <v>1</v>
      </c>
      <c r="EH312" s="4">
        <v>140</v>
      </c>
      <c r="EI312">
        <v>1</v>
      </c>
      <c r="EJ312" s="4">
        <v>141</v>
      </c>
      <c r="EK312">
        <v>1</v>
      </c>
    </row>
    <row r="313" spans="1:141" x14ac:dyDescent="0.2">
      <c r="A313" t="str">
        <f>HYPERLINK("http://exon.niaid.nih.gov/transcriptome/C_felis/S1/links/cf/cf-contig_306.txt","cf-contig_306")</f>
        <v>cf-contig_306</v>
      </c>
      <c r="B313">
        <v>1</v>
      </c>
      <c r="C313" s="10" t="s">
        <v>4724</v>
      </c>
      <c r="D313">
        <v>1</v>
      </c>
      <c r="E313" t="str">
        <f>HYPERLINK("http://exon.niaid.nih.gov/transcriptome/C_felis/S1/links/cf/cf-5-36-asb-306.txt","Contig-306")</f>
        <v>Contig-306</v>
      </c>
      <c r="F313" t="str">
        <f>HYPERLINK("http://exon.niaid.nih.gov/transcriptome/C_felis/S1/links/cf/cf-5-36-306-CLU.txt","Contig306")</f>
        <v>Contig306</v>
      </c>
      <c r="G313" t="str">
        <f>HYPERLINK("http://exon.niaid.nih.gov/transcriptome/C_felis/S1/links/cf/cf-5-36-306-qual.txt","65.1")</f>
        <v>65.1</v>
      </c>
      <c r="H313" t="s">
        <v>11</v>
      </c>
      <c r="I313">
        <v>48.2</v>
      </c>
      <c r="J313">
        <v>178</v>
      </c>
      <c r="K313" t="s">
        <v>12</v>
      </c>
      <c r="L313">
        <v>1</v>
      </c>
      <c r="M313" t="s">
        <v>319</v>
      </c>
      <c r="N313">
        <v>178</v>
      </c>
      <c r="O313">
        <v>197</v>
      </c>
      <c r="P313">
        <v>141</v>
      </c>
      <c r="Q313" t="s">
        <v>1126</v>
      </c>
      <c r="R313">
        <v>1</v>
      </c>
      <c r="S313" s="7" t="s">
        <v>4585</v>
      </c>
      <c r="U313">
        <v>1</v>
      </c>
      <c r="V313" s="4">
        <v>247</v>
      </c>
      <c r="W313">
        <v>1</v>
      </c>
      <c r="X313" s="4">
        <v>252</v>
      </c>
      <c r="Y313">
        <v>1</v>
      </c>
      <c r="Z313" s="4">
        <v>251</v>
      </c>
      <c r="AA313">
        <v>1</v>
      </c>
      <c r="AB313" s="4" t="str">
        <f>HYPERLINK("http://exon.niaid.nih.gov/transcriptome/C_felis/S1/links/XC-ASB/cf-contig_306-XC-ASB.txt","XC-contig_231")</f>
        <v>XC-contig_231</v>
      </c>
      <c r="AC313">
        <v>0.54</v>
      </c>
      <c r="AD313" s="10" t="s">
        <v>4724</v>
      </c>
      <c r="AE313" t="s">
        <v>4605</v>
      </c>
      <c r="AF313" t="str">
        <f>HYPERLINK("http://exon.niaid.nih.gov/transcriptome/C_felis/S1/links/RRNA/cf-contig_306-RRNA.txt","RRNA")</f>
        <v>RRNA</v>
      </c>
      <c r="AG313">
        <v>1E-13</v>
      </c>
      <c r="AH313">
        <v>9.1</v>
      </c>
      <c r="AI313" s="4" t="str">
        <f>HYPERLINK("http://exon.niaid.nih.gov/transcriptome/C_felis/S1/links/NR/cf-contig_306-NR.txt","hypothetical protein EAG_03557")</f>
        <v>hypothetical protein EAG_03557</v>
      </c>
      <c r="AJ313" t="str">
        <f>HYPERLINK("http://www.ncbi.nlm.nih.gov/sutils/blink.cgi?pid=307185262","7E-011")</f>
        <v>7E-011</v>
      </c>
      <c r="AK313" t="str">
        <f>HYPERLINK("http://www.ncbi.nlm.nih.gov/protein/307185262","gi|307185262")</f>
        <v>gi|307185262</v>
      </c>
      <c r="AL313">
        <v>70.900000000000006</v>
      </c>
      <c r="AM313">
        <v>35</v>
      </c>
      <c r="AN313">
        <v>306</v>
      </c>
      <c r="AO313">
        <v>91</v>
      </c>
      <c r="AP313">
        <v>12</v>
      </c>
      <c r="AQ313">
        <v>3</v>
      </c>
      <c r="AR313">
        <v>0</v>
      </c>
      <c r="AS313">
        <v>193</v>
      </c>
      <c r="AT313">
        <v>43</v>
      </c>
      <c r="AU313">
        <v>1</v>
      </c>
      <c r="AV313">
        <v>-3</v>
      </c>
      <c r="AW313" t="s">
        <v>12</v>
      </c>
      <c r="AY313" t="s">
        <v>1666</v>
      </c>
      <c r="AZ313" t="s">
        <v>2133</v>
      </c>
      <c r="BA313" s="4" t="str">
        <f>HYPERLINK("http://exon.niaid.nih.gov/transcriptome/C_felis/S1/links/SWISSP/cf-contig_306-SWISSP.txt","Translation initiation factor IF-2")</f>
        <v>Translation initiation factor IF-2</v>
      </c>
      <c r="BB313" t="str">
        <f>HYPERLINK("http://www.uniprot.org/uniprot/Q3AZB7","0.97")</f>
        <v>0.97</v>
      </c>
      <c r="BC313" t="s">
        <v>2747</v>
      </c>
      <c r="BD313">
        <v>32.299999999999997</v>
      </c>
      <c r="BE313">
        <v>40</v>
      </c>
      <c r="BF313">
        <v>1176</v>
      </c>
      <c r="BG313">
        <v>42</v>
      </c>
      <c r="BH313">
        <v>3</v>
      </c>
      <c r="BI313">
        <v>24</v>
      </c>
      <c r="BJ313">
        <v>0</v>
      </c>
      <c r="BK313">
        <v>253</v>
      </c>
      <c r="BL313">
        <v>9</v>
      </c>
      <c r="BM313">
        <v>1</v>
      </c>
      <c r="BN313">
        <v>-1</v>
      </c>
      <c r="BO313" t="s">
        <v>12</v>
      </c>
      <c r="BQ313" t="s">
        <v>1666</v>
      </c>
      <c r="BR313" t="s">
        <v>2748</v>
      </c>
      <c r="BS313" s="4" t="str">
        <f>HYPERLINK("http://exon.niaid.nih.gov/transcriptome/C_felis/S1/links/CDD/cf-contig_306-CDD.txt","mycothiol_MshC")</f>
        <v>mycothiol_MshC</v>
      </c>
      <c r="BT313" t="str">
        <f>HYPERLINK("http://www.ncbi.nlm.nih.gov/Structure/cdd/cddsrv.cgi?uid=TIGR03447&amp;version=v4.0","0.38")</f>
        <v>0.38</v>
      </c>
      <c r="BU313" t="s">
        <v>2749</v>
      </c>
      <c r="BV313" s="4" t="s">
        <v>42</v>
      </c>
      <c r="BW313" t="s">
        <v>42</v>
      </c>
      <c r="BX313" t="s">
        <v>42</v>
      </c>
      <c r="BY313" t="s">
        <v>42</v>
      </c>
      <c r="BZ313" t="s">
        <v>42</v>
      </c>
      <c r="CA313" t="s">
        <v>42</v>
      </c>
      <c r="CB313" t="s">
        <v>42</v>
      </c>
      <c r="CC313" t="s">
        <v>42</v>
      </c>
      <c r="CD313" t="s">
        <v>42</v>
      </c>
      <c r="CE313" t="s">
        <v>42</v>
      </c>
      <c r="CF313" t="s">
        <v>42</v>
      </c>
      <c r="CG313" t="s">
        <v>42</v>
      </c>
      <c r="CH313" t="s">
        <v>42</v>
      </c>
      <c r="CI313" t="s">
        <v>42</v>
      </c>
      <c r="CJ313" t="s">
        <v>42</v>
      </c>
      <c r="CK313" t="s">
        <v>42</v>
      </c>
      <c r="CL313" t="s">
        <v>42</v>
      </c>
      <c r="CM313" t="s">
        <v>42</v>
      </c>
      <c r="CN313" t="s">
        <v>42</v>
      </c>
      <c r="CO313" t="s">
        <v>42</v>
      </c>
      <c r="CP313" t="s">
        <v>42</v>
      </c>
      <c r="CQ313" t="s">
        <v>42</v>
      </c>
      <c r="CR313" t="s">
        <v>42</v>
      </c>
      <c r="CS313" s="4" t="str">
        <f>HYPERLINK("http://exon.niaid.nih.gov/transcriptome/C_felis/S1/links/KOG/cf-contig_306-KOG.txt","Conserved WD40 repeat-containing protein")</f>
        <v>Conserved WD40 repeat-containing protein</v>
      </c>
      <c r="CT313" t="str">
        <f>HYPERLINK("http://www.ncbi.nlm.nih.gov/COG/grace/shokog.cgi?KOG0309","0.45")</f>
        <v>0.45</v>
      </c>
      <c r="CU313" t="s">
        <v>1711</v>
      </c>
      <c r="CV313" s="4" t="str">
        <f>HYPERLINK("http://exon.niaid.nih.gov/transcriptome/C_felis/S1/links/PFAM/cf-contig_306-PFAM.txt","DUF2600")</f>
        <v>DUF2600</v>
      </c>
      <c r="CW313" t="str">
        <f>HYPERLINK("http://pfam.sanger.ac.uk/family?acc=PF10776","0.86")</f>
        <v>0.86</v>
      </c>
      <c r="CX313" s="4" t="str">
        <f>HYPERLINK("http://exon.niaid.nih.gov/transcriptome/C_felis/S1/links/SMART/cf-contig_306-SMART.txt","ZnF_AN1")</f>
        <v>ZnF_AN1</v>
      </c>
      <c r="CY313" t="str">
        <f>HYPERLINK("http://smart.embl-heidelberg.de/smart/do_annotation.pl?DOMAIN=ZnF_AN1&amp;BLAST=DUMMY","0.098")</f>
        <v>0.098</v>
      </c>
      <c r="CZ313" s="4" t="s">
        <v>42</v>
      </c>
      <c r="DA313" t="s">
        <v>42</v>
      </c>
      <c r="DB313" t="s">
        <v>42</v>
      </c>
      <c r="DC313" t="s">
        <v>42</v>
      </c>
      <c r="DD313" t="s">
        <v>42</v>
      </c>
      <c r="DE313" t="s">
        <v>42</v>
      </c>
      <c r="DF313" t="s">
        <v>42</v>
      </c>
      <c r="DG313" t="s">
        <v>42</v>
      </c>
      <c r="DH313" s="4" t="s">
        <v>42</v>
      </c>
      <c r="DI313" t="s">
        <v>42</v>
      </c>
      <c r="DJ313" s="4" t="str">
        <f>HYPERLINK("http://exon.niaid.nih.gov/transcriptome/C_felis/S1/links/RRNA/cf-contig_306-RRNA.txt","Drosophila melanogaster ribosomal RNA (CR40766), rRNA")</f>
        <v>Drosophila melanogaster ribosomal RNA (CR40766), rRNA</v>
      </c>
      <c r="DK313" t="str">
        <f>HYPERLINK("http://www.ncbi.nlm.nih.gov/entrez/viewer.fcgi?db=nucleotide&amp;val=160717606","1E-013")</f>
        <v>1E-013</v>
      </c>
      <c r="DL313" s="4">
        <v>247</v>
      </c>
      <c r="DM313">
        <v>1</v>
      </c>
      <c r="DN313" s="4">
        <v>252</v>
      </c>
      <c r="DO313">
        <v>1</v>
      </c>
      <c r="DP313" s="4">
        <v>251</v>
      </c>
      <c r="DQ313">
        <v>1</v>
      </c>
      <c r="DR313" s="4">
        <v>260</v>
      </c>
      <c r="DS313">
        <v>1</v>
      </c>
      <c r="DT313" s="4">
        <v>268</v>
      </c>
      <c r="DU313">
        <v>1</v>
      </c>
      <c r="DV313" s="4">
        <v>280</v>
      </c>
      <c r="DW313">
        <v>1</v>
      </c>
      <c r="DX313" s="4">
        <v>282</v>
      </c>
      <c r="DY313">
        <v>1</v>
      </c>
      <c r="DZ313" s="4">
        <v>287</v>
      </c>
      <c r="EA313">
        <v>1</v>
      </c>
      <c r="EB313" s="4">
        <v>292</v>
      </c>
      <c r="EC313">
        <v>1</v>
      </c>
      <c r="ED313" s="4">
        <v>295</v>
      </c>
      <c r="EE313">
        <v>1</v>
      </c>
      <c r="EF313" s="4">
        <v>299</v>
      </c>
      <c r="EG313">
        <v>1</v>
      </c>
      <c r="EH313" s="4">
        <v>301</v>
      </c>
      <c r="EI313">
        <v>1</v>
      </c>
      <c r="EJ313" s="4">
        <v>306</v>
      </c>
      <c r="EK313">
        <v>1</v>
      </c>
    </row>
    <row r="314" spans="1:141" x14ac:dyDescent="0.2">
      <c r="A314" t="str">
        <f>HYPERLINK("http://exon.niaid.nih.gov/transcriptome/C_felis/S1/links/cf/cf-contig_110.txt","cf-contig_110")</f>
        <v>cf-contig_110</v>
      </c>
      <c r="B314">
        <v>7</v>
      </c>
      <c r="C314" s="10" t="s">
        <v>4632</v>
      </c>
      <c r="D314">
        <v>7</v>
      </c>
      <c r="E314" t="str">
        <f>HYPERLINK("http://exon.niaid.nih.gov/transcriptome/C_felis/S1/links/cf/cf-5-36-asb-110.txt","Contig-110")</f>
        <v>Contig-110</v>
      </c>
      <c r="F314" t="str">
        <f>HYPERLINK("http://exon.niaid.nih.gov/transcriptome/C_felis/S1/links/cf/cf-5-36-110-CLU.txt","Contig110")</f>
        <v>Contig110</v>
      </c>
      <c r="G314" t="str">
        <f>HYPERLINK("http://exon.niaid.nih.gov/transcriptome/C_felis/S1/links/cf/cf-5-36-110-qual.txt","82.8")</f>
        <v>82.8</v>
      </c>
      <c r="H314" t="s">
        <v>11</v>
      </c>
      <c r="I314">
        <v>57.5</v>
      </c>
      <c r="J314">
        <v>360</v>
      </c>
      <c r="K314" t="s">
        <v>12</v>
      </c>
      <c r="L314">
        <v>7</v>
      </c>
      <c r="M314" t="s">
        <v>123</v>
      </c>
      <c r="N314">
        <v>353</v>
      </c>
      <c r="O314">
        <v>395</v>
      </c>
      <c r="P314">
        <v>309</v>
      </c>
      <c r="Q314" t="s">
        <v>930</v>
      </c>
      <c r="R314">
        <v>2</v>
      </c>
      <c r="S314" s="7" t="str">
        <f>HYPERLINK("http://exon.niaid.nih.gov/transcriptome/C_felis/S1/links/Sigp/CF-CONTIG_110-SigP.txt","BL")</f>
        <v>BL</v>
      </c>
      <c r="T314" t="s">
        <v>4588</v>
      </c>
      <c r="U314">
        <v>7</v>
      </c>
      <c r="V314" s="4">
        <v>123</v>
      </c>
      <c r="W314">
        <v>1</v>
      </c>
      <c r="X314" s="4">
        <v>118</v>
      </c>
      <c r="Y314">
        <v>1</v>
      </c>
      <c r="Z314" s="4">
        <v>115</v>
      </c>
      <c r="AA314">
        <v>1</v>
      </c>
      <c r="AB314" s="4" t="str">
        <f>HYPERLINK("http://exon.niaid.nih.gov/transcriptome/C_felis/S1/links/XC-ASB/cf-contig_110-XC-ASB.txt","XC-contig_115")</f>
        <v>XC-contig_115</v>
      </c>
      <c r="AC314">
        <v>9.0000000000000008E-34</v>
      </c>
      <c r="AD314" s="10" t="s">
        <v>4632</v>
      </c>
      <c r="AE314" t="s">
        <v>4605</v>
      </c>
      <c r="AF314" t="str">
        <f>HYPERLINK("http://exon.niaid.nih.gov/transcriptome/C_felis/S1/links/NR/cf-contig_110-NR.txt","NR")</f>
        <v>NR</v>
      </c>
      <c r="AG314" s="5">
        <v>2.9999999999999998E-18</v>
      </c>
      <c r="AH314">
        <v>35.700000000000003</v>
      </c>
      <c r="AI314" s="4" t="str">
        <f>HYPERLINK("http://exon.niaid.nih.gov/transcriptome/C_felis/S1/links/NR/cf-contig_110-NR.txt","similar to ribosome-associated protein P40")</f>
        <v>similar to ribosome-associated protein P40</v>
      </c>
      <c r="AJ314" t="str">
        <f>HYPERLINK("http://www.ncbi.nlm.nih.gov/sutils/blink.cgi?pid=91089051","3E-018")</f>
        <v>3E-018</v>
      </c>
      <c r="AK314" t="str">
        <f>HYPERLINK("http://www.ncbi.nlm.nih.gov/protein/91089051","gi|91089051")</f>
        <v>gi|91089051</v>
      </c>
      <c r="AL314">
        <v>95.1</v>
      </c>
      <c r="AM314">
        <v>105</v>
      </c>
      <c r="AN314">
        <v>302</v>
      </c>
      <c r="AO314">
        <v>50</v>
      </c>
      <c r="AP314">
        <v>35</v>
      </c>
      <c r="AQ314">
        <v>53</v>
      </c>
      <c r="AR314">
        <v>8</v>
      </c>
      <c r="AS314">
        <v>196</v>
      </c>
      <c r="AT314">
        <v>8</v>
      </c>
      <c r="AU314">
        <v>1</v>
      </c>
      <c r="AV314">
        <v>2</v>
      </c>
      <c r="AW314" t="s">
        <v>12</v>
      </c>
      <c r="AY314" t="s">
        <v>1676</v>
      </c>
      <c r="AZ314" t="s">
        <v>1878</v>
      </c>
      <c r="BA314" s="4" t="str">
        <f>HYPERLINK("http://exon.niaid.nih.gov/transcriptome/C_felis/S1/links/SWISSP/cf-contig_110-SWISSP.txt","40S ribosomal protein SA")</f>
        <v>40S ribosomal protein SA</v>
      </c>
      <c r="BB314" t="str">
        <f>HYPERLINK("http://www.uniprot.org/uniprot/Q5UAP4","3E-015")</f>
        <v>3E-015</v>
      </c>
      <c r="BC314" t="s">
        <v>2082</v>
      </c>
      <c r="BD314">
        <v>80.5</v>
      </c>
      <c r="BE314">
        <v>110</v>
      </c>
      <c r="BF314">
        <v>306</v>
      </c>
      <c r="BG314">
        <v>41</v>
      </c>
      <c r="BH314">
        <v>36</v>
      </c>
      <c r="BI314">
        <v>65</v>
      </c>
      <c r="BJ314">
        <v>8</v>
      </c>
      <c r="BK314">
        <v>194</v>
      </c>
      <c r="BL314">
        <v>2</v>
      </c>
      <c r="BM314">
        <v>1</v>
      </c>
      <c r="BN314">
        <v>2</v>
      </c>
      <c r="BO314" t="s">
        <v>12</v>
      </c>
      <c r="BQ314" t="s">
        <v>1676</v>
      </c>
      <c r="BR314" t="s">
        <v>2037</v>
      </c>
      <c r="BS314" s="4" t="str">
        <f>HYPERLINK("http://exon.niaid.nih.gov/transcriptome/C_felis/S1/links/CDD/cf-contig_110-CDD.txt","PTZ00254")</f>
        <v>PTZ00254</v>
      </c>
      <c r="BT314" t="str">
        <f>HYPERLINK("http://www.ncbi.nlm.nih.gov/Structure/cdd/cddsrv.cgi?uid=PTZ00254&amp;version=v4.0","9E-006")</f>
        <v>9E-006</v>
      </c>
      <c r="BU314" t="s">
        <v>2083</v>
      </c>
      <c r="BV314" s="4" t="s">
        <v>2084</v>
      </c>
      <c r="BW314">
        <f>HYPERLINK("http://exon.niaid.nih.gov/transcriptome/C_felis/S1/links/GO/cf-contig_110-GO.txt",0.00000000009)</f>
        <v>8.9999999999999999E-11</v>
      </c>
      <c r="BX314" t="str">
        <f>HYPERLINK("http://amigo.geneontology.org/cgi-bin/amigo/term_details?term=GO:0003735","GO:0003735")</f>
        <v>GO:0003735</v>
      </c>
      <c r="BY314" t="s">
        <v>1929</v>
      </c>
      <c r="BZ314" t="s">
        <v>1930</v>
      </c>
      <c r="CA314" t="s">
        <v>1931</v>
      </c>
      <c r="CB314" t="s">
        <v>42</v>
      </c>
      <c r="CD314">
        <v>8.9999999999999999E-11</v>
      </c>
      <c r="CE314" t="str">
        <f>HYPERLINK("http://amigo.geneontology.org/cgi-bin/amigo/term_details?term=GO:0005622","GO:0005622")</f>
        <v>GO:0005622</v>
      </c>
      <c r="CF314" t="s">
        <v>2085</v>
      </c>
      <c r="CG314" t="s">
        <v>2086</v>
      </c>
      <c r="CH314" t="s">
        <v>2087</v>
      </c>
      <c r="CI314" t="s">
        <v>42</v>
      </c>
      <c r="CK314">
        <v>8.9999999999999999E-11</v>
      </c>
      <c r="CL314" t="str">
        <f>HYPERLINK("http://amigo.geneontology.org/cgi-bin/amigo/term_details?term=GO:0006412","GO:0006412")</f>
        <v>GO:0006412</v>
      </c>
      <c r="CM314" t="s">
        <v>1935</v>
      </c>
      <c r="CN314" t="s">
        <v>1936</v>
      </c>
      <c r="CO314" t="s">
        <v>1937</v>
      </c>
      <c r="CP314" t="s">
        <v>42</v>
      </c>
      <c r="CR314">
        <v>8.9999999999999999E-11</v>
      </c>
      <c r="CS314" s="4" t="str">
        <f>HYPERLINK("http://exon.niaid.nih.gov/transcriptome/C_felis/S1/links/KOG/cf-contig_110-KOG.txt","40S ribosomal protein SA (P40)/Laminin receptor 1")</f>
        <v>40S ribosomal protein SA (P40)/Laminin receptor 1</v>
      </c>
      <c r="CT314" t="str">
        <f>HYPERLINK("http://www.ncbi.nlm.nih.gov/COG/grace/shokog.cgi?KOG0830","3E-008")</f>
        <v>3E-008</v>
      </c>
      <c r="CU314" t="s">
        <v>1707</v>
      </c>
      <c r="CV314" s="4" t="str">
        <f>HYPERLINK("http://exon.niaid.nih.gov/transcriptome/C_felis/S1/links/PFAM/cf-contig_110-PFAM.txt","Keratin_B2")</f>
        <v>Keratin_B2</v>
      </c>
      <c r="CW314" t="str">
        <f>HYPERLINK("http://pfam.sanger.ac.uk/family?acc=PF01500","2E-004")</f>
        <v>2E-004</v>
      </c>
      <c r="CX314" s="4" t="str">
        <f>HYPERLINK("http://exon.niaid.nih.gov/transcriptome/C_felis/S1/links/SMART/cf-contig_110-SMART.txt","Amelin")</f>
        <v>Amelin</v>
      </c>
      <c r="CY314" t="str">
        <f>HYPERLINK("http://smart.embl-heidelberg.de/smart/do_annotation.pl?DOMAIN=Amelin&amp;BLAST=DUMMY","0.011")</f>
        <v>0.011</v>
      </c>
      <c r="CZ314" s="4" t="s">
        <v>42</v>
      </c>
      <c r="DA314" t="s">
        <v>42</v>
      </c>
      <c r="DB314" t="s">
        <v>42</v>
      </c>
      <c r="DC314" t="s">
        <v>42</v>
      </c>
      <c r="DD314" t="s">
        <v>42</v>
      </c>
      <c r="DE314" t="s">
        <v>42</v>
      </c>
      <c r="DF314" t="s">
        <v>42</v>
      </c>
      <c r="DG314" t="s">
        <v>42</v>
      </c>
      <c r="DH314" s="4" t="s">
        <v>42</v>
      </c>
      <c r="DI314" t="s">
        <v>42</v>
      </c>
      <c r="DJ314" s="4" t="s">
        <v>42</v>
      </c>
      <c r="DK314" t="s">
        <v>42</v>
      </c>
      <c r="DL314" s="4">
        <v>123</v>
      </c>
      <c r="DM314">
        <v>1</v>
      </c>
      <c r="DN314" s="4">
        <v>118</v>
      </c>
      <c r="DO314">
        <v>1</v>
      </c>
      <c r="DP314" s="4">
        <v>115</v>
      </c>
      <c r="DQ314">
        <v>1</v>
      </c>
      <c r="DR314" s="4">
        <v>106</v>
      </c>
      <c r="DS314">
        <v>1</v>
      </c>
      <c r="DT314" s="4">
        <v>104</v>
      </c>
      <c r="DU314">
        <v>1</v>
      </c>
      <c r="DV314" s="4">
        <v>113</v>
      </c>
      <c r="DW314">
        <v>1</v>
      </c>
      <c r="DX314" s="4">
        <v>115</v>
      </c>
      <c r="DY314">
        <v>1</v>
      </c>
      <c r="DZ314" s="4">
        <v>114</v>
      </c>
      <c r="EA314">
        <v>1</v>
      </c>
      <c r="EB314" s="4">
        <v>114</v>
      </c>
      <c r="EC314">
        <v>1</v>
      </c>
      <c r="ED314" s="4">
        <v>115</v>
      </c>
      <c r="EE314">
        <v>1</v>
      </c>
      <c r="EF314" s="4">
        <v>112</v>
      </c>
      <c r="EG314">
        <v>1</v>
      </c>
      <c r="EH314" s="4">
        <v>109</v>
      </c>
      <c r="EI314">
        <v>1</v>
      </c>
      <c r="EJ314" s="4">
        <v>110</v>
      </c>
      <c r="EK314">
        <v>1</v>
      </c>
    </row>
    <row r="315" spans="1:141" x14ac:dyDescent="0.2">
      <c r="A315" t="str">
        <f>HYPERLINK("http://exon.niaid.nih.gov/transcriptome/C_felis/S1/links/cf/cf-contig_183.txt","cf-contig_183")</f>
        <v>cf-contig_183</v>
      </c>
      <c r="B315">
        <v>4</v>
      </c>
      <c r="C315" s="10" t="s">
        <v>4674</v>
      </c>
      <c r="D315">
        <v>4</v>
      </c>
      <c r="E315" t="str">
        <f>HYPERLINK("http://exon.niaid.nih.gov/transcriptome/C_felis/S1/links/cf/cf-5-36-asb-183.txt","Contig-183")</f>
        <v>Contig-183</v>
      </c>
      <c r="F315" t="str">
        <f>HYPERLINK("http://exon.niaid.nih.gov/transcriptome/C_felis/S1/links/cf/cf-5-36-183-CLU.txt","Contig183")</f>
        <v>Contig183</v>
      </c>
      <c r="G315" t="str">
        <f>HYPERLINK("http://exon.niaid.nih.gov/transcriptome/C_felis/S1/links/cf/cf-5-36-183-qual.txt","81.9")</f>
        <v>81.9</v>
      </c>
      <c r="H315" t="s">
        <v>11</v>
      </c>
      <c r="I315">
        <v>64.099999999999994</v>
      </c>
      <c r="J315">
        <v>158</v>
      </c>
      <c r="K315" t="s">
        <v>12</v>
      </c>
      <c r="L315">
        <v>4</v>
      </c>
      <c r="M315" t="s">
        <v>196</v>
      </c>
      <c r="N315">
        <v>202</v>
      </c>
      <c r="O315">
        <v>192</v>
      </c>
      <c r="P315">
        <v>153</v>
      </c>
      <c r="Q315" t="s">
        <v>1003</v>
      </c>
      <c r="R315">
        <v>2</v>
      </c>
      <c r="S315" s="7" t="s">
        <v>4585</v>
      </c>
      <c r="U315">
        <v>4</v>
      </c>
      <c r="V315" s="4">
        <v>158</v>
      </c>
      <c r="W315">
        <v>1</v>
      </c>
      <c r="X315" s="4">
        <v>160</v>
      </c>
      <c r="Y315">
        <v>1</v>
      </c>
      <c r="Z315" s="4">
        <v>158</v>
      </c>
      <c r="AA315">
        <v>1</v>
      </c>
      <c r="AB315" s="4" t="str">
        <f>HYPERLINK("http://exon.niaid.nih.gov/transcriptome/C_felis/S1/links/XC-ASB/cf-contig_183-XC-ASB.txt","XC-contig_83")</f>
        <v>XC-contig_83</v>
      </c>
      <c r="AC315">
        <v>4.9999999999999999E-17</v>
      </c>
      <c r="AD315" s="10" t="s">
        <v>4674</v>
      </c>
      <c r="AE315" t="s">
        <v>4605</v>
      </c>
      <c r="AF315" t="str">
        <f>HYPERLINK("http://exon.niaid.nih.gov/transcriptome/C_felis/S1/links/NR/cf-contig_183-NR.txt","NR")</f>
        <v>NR</v>
      </c>
      <c r="AG315">
        <v>4.9999999999999998E-7</v>
      </c>
      <c r="AH315">
        <v>18.7</v>
      </c>
      <c r="AI315" s="4" t="str">
        <f>HYPERLINK("http://exon.niaid.nih.gov/transcriptome/C_felis/S1/links/NR/cf-contig_183-NR.txt","S10e ribosomal protein")</f>
        <v>S10e ribosomal protein</v>
      </c>
      <c r="AJ315" t="str">
        <f>HYPERLINK("http://www.ncbi.nlm.nih.gov/sutils/blink.cgi?pid=121512010","5E-007")</f>
        <v>5E-007</v>
      </c>
      <c r="AK315" t="str">
        <f>HYPERLINK("http://www.ncbi.nlm.nih.gov/protein/121512010","gi|121512010")</f>
        <v>gi|121512010</v>
      </c>
      <c r="AL315">
        <v>58.2</v>
      </c>
      <c r="AM315">
        <v>29</v>
      </c>
      <c r="AN315">
        <v>160</v>
      </c>
      <c r="AO315">
        <v>83</v>
      </c>
      <c r="AP315">
        <v>19</v>
      </c>
      <c r="AQ315">
        <v>5</v>
      </c>
      <c r="AR315">
        <v>0</v>
      </c>
      <c r="AS315">
        <v>131</v>
      </c>
      <c r="AT315">
        <v>15</v>
      </c>
      <c r="AU315">
        <v>1</v>
      </c>
      <c r="AV315">
        <v>3</v>
      </c>
      <c r="AW315" t="s">
        <v>12</v>
      </c>
      <c r="AY315" t="s">
        <v>1676</v>
      </c>
      <c r="AZ315" t="s">
        <v>1717</v>
      </c>
      <c r="BA315" s="4" t="str">
        <f>HYPERLINK("http://exon.niaid.nih.gov/transcriptome/C_felis/S1/links/SWISSP/cf-contig_183-SWISSP.txt","40S ribosomal protein S10")</f>
        <v>40S ribosomal protein S10</v>
      </c>
      <c r="BB315" t="str">
        <f>HYPERLINK("http://www.uniprot.org/uniprot/Q962R9","1E-006")</f>
        <v>1E-006</v>
      </c>
      <c r="BC315" t="s">
        <v>2350</v>
      </c>
      <c r="BD315">
        <v>52</v>
      </c>
      <c r="BE315">
        <v>25</v>
      </c>
      <c r="BF315">
        <v>158</v>
      </c>
      <c r="BG315">
        <v>84</v>
      </c>
      <c r="BH315">
        <v>16</v>
      </c>
      <c r="BI315">
        <v>4</v>
      </c>
      <c r="BJ315">
        <v>0</v>
      </c>
      <c r="BK315">
        <v>133</v>
      </c>
      <c r="BL315">
        <v>24</v>
      </c>
      <c r="BM315">
        <v>1</v>
      </c>
      <c r="BN315">
        <v>3</v>
      </c>
      <c r="BO315" t="s">
        <v>12</v>
      </c>
      <c r="BQ315" t="s">
        <v>1676</v>
      </c>
      <c r="BR315" t="s">
        <v>2031</v>
      </c>
      <c r="BS315" s="4" t="str">
        <f>HYPERLINK("http://exon.niaid.nih.gov/transcriptome/C_felis/S1/links/CDD/cf-contig_183-CDD.txt","Tymo_45kd_70kd")</f>
        <v>Tymo_45kd_70kd</v>
      </c>
      <c r="BT315" t="str">
        <f>HYPERLINK("http://www.ncbi.nlm.nih.gov/Structure/cdd/cddsrv.cgi?uid=pfam03251&amp;version=v4.0","0.40")</f>
        <v>0.40</v>
      </c>
      <c r="BU315" t="s">
        <v>2351</v>
      </c>
      <c r="BV315" s="4" t="s">
        <v>42</v>
      </c>
      <c r="BW315" t="s">
        <v>42</v>
      </c>
      <c r="BX315" t="s">
        <v>42</v>
      </c>
      <c r="BY315" t="s">
        <v>42</v>
      </c>
      <c r="BZ315" t="s">
        <v>42</v>
      </c>
      <c r="CA315" t="s">
        <v>42</v>
      </c>
      <c r="CB315" t="s">
        <v>42</v>
      </c>
      <c r="CC315" t="s">
        <v>42</v>
      </c>
      <c r="CD315" t="s">
        <v>42</v>
      </c>
      <c r="CE315" t="s">
        <v>42</v>
      </c>
      <c r="CF315" t="s">
        <v>42</v>
      </c>
      <c r="CG315" t="s">
        <v>42</v>
      </c>
      <c r="CH315" t="s">
        <v>42</v>
      </c>
      <c r="CI315" t="s">
        <v>42</v>
      </c>
      <c r="CJ315" t="s">
        <v>42</v>
      </c>
      <c r="CK315" t="s">
        <v>42</v>
      </c>
      <c r="CL315" t="s">
        <v>42</v>
      </c>
      <c r="CM315" t="s">
        <v>42</v>
      </c>
      <c r="CN315" t="s">
        <v>42</v>
      </c>
      <c r="CO315" t="s">
        <v>42</v>
      </c>
      <c r="CP315" t="s">
        <v>42</v>
      </c>
      <c r="CQ315" t="s">
        <v>42</v>
      </c>
      <c r="CR315" t="s">
        <v>42</v>
      </c>
      <c r="CS315" s="4" t="str">
        <f>HYPERLINK("http://exon.niaid.nih.gov/transcriptome/C_felis/S1/links/KOG/cf-contig_183-KOG.txt","AAA+-type ATPase")</f>
        <v>AAA+-type ATPase</v>
      </c>
      <c r="CT315" t="str">
        <f>HYPERLINK("http://www.ncbi.nlm.nih.gov/COG/grace/shokog.cgi?KOG0735","0.13")</f>
        <v>0.13</v>
      </c>
      <c r="CU315" t="s">
        <v>2198</v>
      </c>
      <c r="CV315" s="4" t="str">
        <f>HYPERLINK("http://exon.niaid.nih.gov/transcriptome/C_felis/S1/links/PFAM/cf-contig_183-PFAM.txt","Tymo_45kd_70kd")</f>
        <v>Tymo_45kd_70kd</v>
      </c>
      <c r="CW315" t="str">
        <f>HYPERLINK("http://pfam.sanger.ac.uk/family?acc=PF03251","0.083")</f>
        <v>0.083</v>
      </c>
      <c r="CX315" s="4" t="str">
        <f>HYPERLINK("http://exon.niaid.nih.gov/transcriptome/C_felis/S1/links/SMART/cf-contig_183-SMART.txt","Agglutinin")</f>
        <v>Agglutinin</v>
      </c>
      <c r="CY315" t="str">
        <f>HYPERLINK("http://smart.embl-heidelberg.de/smart/do_annotation.pl?DOMAIN=Agglutinin&amp;BLAST=DUMMY","0.21")</f>
        <v>0.21</v>
      </c>
      <c r="CZ315" s="4" t="s">
        <v>42</v>
      </c>
      <c r="DA315" t="s">
        <v>42</v>
      </c>
      <c r="DB315" t="s">
        <v>42</v>
      </c>
      <c r="DC315" t="s">
        <v>42</v>
      </c>
      <c r="DD315" t="s">
        <v>42</v>
      </c>
      <c r="DE315" t="s">
        <v>42</v>
      </c>
      <c r="DF315" t="s">
        <v>42</v>
      </c>
      <c r="DG315" t="s">
        <v>42</v>
      </c>
      <c r="DH315" s="4" t="s">
        <v>42</v>
      </c>
      <c r="DI315" t="s">
        <v>42</v>
      </c>
      <c r="DJ315" s="4" t="s">
        <v>42</v>
      </c>
      <c r="DK315" t="s">
        <v>42</v>
      </c>
      <c r="DL315" s="4">
        <v>158</v>
      </c>
      <c r="DM315">
        <v>1</v>
      </c>
      <c r="DN315" s="4">
        <v>160</v>
      </c>
      <c r="DO315">
        <v>1</v>
      </c>
      <c r="DP315" s="4">
        <v>158</v>
      </c>
      <c r="DQ315">
        <v>1</v>
      </c>
      <c r="DR315" s="4">
        <v>157</v>
      </c>
      <c r="DS315">
        <v>1</v>
      </c>
      <c r="DT315" s="4">
        <v>159</v>
      </c>
      <c r="DU315">
        <v>1</v>
      </c>
      <c r="DV315" s="4">
        <v>169</v>
      </c>
      <c r="DW315">
        <v>1</v>
      </c>
      <c r="DX315" s="4">
        <v>171</v>
      </c>
      <c r="DY315">
        <v>1</v>
      </c>
      <c r="DZ315" s="4">
        <v>171</v>
      </c>
      <c r="EA315">
        <v>1</v>
      </c>
      <c r="EB315" s="4">
        <v>176</v>
      </c>
      <c r="EC315">
        <v>1</v>
      </c>
      <c r="ED315" s="4">
        <v>177</v>
      </c>
      <c r="EE315">
        <v>1</v>
      </c>
      <c r="EF315" s="4">
        <v>178</v>
      </c>
      <c r="EG315">
        <v>1</v>
      </c>
      <c r="EH315" s="4">
        <v>178</v>
      </c>
      <c r="EI315">
        <v>1</v>
      </c>
      <c r="EJ315" s="4">
        <v>183</v>
      </c>
      <c r="EK315">
        <v>1</v>
      </c>
    </row>
    <row r="316" spans="1:141" x14ac:dyDescent="0.2">
      <c r="A316" t="str">
        <f>HYPERLINK("http://exon.niaid.nih.gov/transcriptome/C_felis/S1/links/cf/cf-contig_238.txt","cf-contig_238")</f>
        <v>cf-contig_238</v>
      </c>
      <c r="B316">
        <v>3</v>
      </c>
      <c r="C316" s="10" t="s">
        <v>4705</v>
      </c>
      <c r="D316">
        <v>3</v>
      </c>
      <c r="E316" t="str">
        <f>HYPERLINK("http://exon.niaid.nih.gov/transcriptome/C_felis/S1/links/cf/cf-5-36-asb-238.txt","Contig-238")</f>
        <v>Contig-238</v>
      </c>
      <c r="F316" t="str">
        <f>HYPERLINK("http://exon.niaid.nih.gov/transcriptome/C_felis/S1/links/cf/cf-5-36-238-CLU.txt","Contig238")</f>
        <v>Contig238</v>
      </c>
      <c r="G316" t="str">
        <f>HYPERLINK("http://exon.niaid.nih.gov/transcriptome/C_felis/S1/links/cf/cf-5-36-238-qual.txt","91.3")</f>
        <v>91.3</v>
      </c>
      <c r="H316" t="s">
        <v>11</v>
      </c>
      <c r="I316">
        <v>68.3</v>
      </c>
      <c r="J316">
        <v>211</v>
      </c>
      <c r="K316" t="s">
        <v>12</v>
      </c>
      <c r="L316">
        <v>3</v>
      </c>
      <c r="M316" t="s">
        <v>251</v>
      </c>
      <c r="N316">
        <v>220</v>
      </c>
      <c r="O316">
        <v>230</v>
      </c>
      <c r="P316">
        <v>162</v>
      </c>
      <c r="Q316" t="s">
        <v>1058</v>
      </c>
      <c r="R316">
        <v>2</v>
      </c>
      <c r="S316" s="7" t="s">
        <v>4585</v>
      </c>
      <c r="U316">
        <v>3</v>
      </c>
      <c r="V316" s="4">
        <v>187</v>
      </c>
      <c r="W316">
        <v>1</v>
      </c>
      <c r="X316" s="4">
        <v>190</v>
      </c>
      <c r="Y316">
        <v>1</v>
      </c>
      <c r="Z316" s="4">
        <v>188</v>
      </c>
      <c r="AA316">
        <v>1</v>
      </c>
      <c r="AB316" s="4" t="str">
        <f>HYPERLINK("http://exon.niaid.nih.gov/transcriptome/C_felis/S1/links/XC-ASB/cf-contig_238-XC-ASB.txt","XC-contig_142")</f>
        <v>XC-contig_142</v>
      </c>
      <c r="AC316">
        <v>4.0000000000000003E-31</v>
      </c>
      <c r="AD316" s="10" t="s">
        <v>4705</v>
      </c>
      <c r="AE316" t="s">
        <v>4605</v>
      </c>
      <c r="AF316" t="str">
        <f>HYPERLINK("http://exon.niaid.nih.gov/transcriptome/C_felis/S1/links/NR/cf-contig_238-NR.txt","NR")</f>
        <v>NR</v>
      </c>
      <c r="AG316" s="5">
        <v>3.0000000000000001E-17</v>
      </c>
      <c r="AH316">
        <v>40.4</v>
      </c>
      <c r="AI316" s="4" t="str">
        <f>HYPERLINK("http://exon.niaid.nih.gov/transcriptome/C_felis/S1/links/NR/cf-contig_238-NR.txt","similar to S17e ribosomal protein")</f>
        <v>similar to S17e ribosomal protein</v>
      </c>
      <c r="AJ316" t="str">
        <f>HYPERLINK("http://www.ncbi.nlm.nih.gov/sutils/blink.cgi?pid=91094139","3E-017")</f>
        <v>3E-017</v>
      </c>
      <c r="AK316" t="str">
        <f>HYPERLINK("http://www.ncbi.nlm.nih.gov/protein/91094139","gi|91094139")</f>
        <v>gi|91094139</v>
      </c>
      <c r="AL316">
        <v>92</v>
      </c>
      <c r="AM316">
        <v>52</v>
      </c>
      <c r="AN316">
        <v>131</v>
      </c>
      <c r="AO316">
        <v>88</v>
      </c>
      <c r="AP316">
        <v>40</v>
      </c>
      <c r="AQ316">
        <v>6</v>
      </c>
      <c r="AR316">
        <v>2</v>
      </c>
      <c r="AS316">
        <v>78</v>
      </c>
      <c r="AT316">
        <v>8</v>
      </c>
      <c r="AU316">
        <v>1</v>
      </c>
      <c r="AV316">
        <v>2</v>
      </c>
      <c r="AW316" t="s">
        <v>12</v>
      </c>
      <c r="AY316" t="s">
        <v>1676</v>
      </c>
      <c r="AZ316" t="s">
        <v>1878</v>
      </c>
      <c r="BA316" s="4" t="str">
        <f>HYPERLINK("http://exon.niaid.nih.gov/transcriptome/C_felis/S1/links/SWISSP/cf-contig_238-SWISSP.txt","40S ribosomal protein S17")</f>
        <v>40S ribosomal protein S17</v>
      </c>
      <c r="BB316" t="str">
        <f>HYPERLINK("http://www.uniprot.org/uniprot/Q962R2","7E-017")</f>
        <v>7E-017</v>
      </c>
      <c r="BC316" t="s">
        <v>2563</v>
      </c>
      <c r="BD316">
        <v>85.9</v>
      </c>
      <c r="BE316">
        <v>46</v>
      </c>
      <c r="BF316">
        <v>133</v>
      </c>
      <c r="BG316">
        <v>85</v>
      </c>
      <c r="BH316">
        <v>35</v>
      </c>
      <c r="BI316">
        <v>7</v>
      </c>
      <c r="BJ316">
        <v>0</v>
      </c>
      <c r="BK316">
        <v>78</v>
      </c>
      <c r="BL316">
        <v>8</v>
      </c>
      <c r="BM316">
        <v>1</v>
      </c>
      <c r="BN316">
        <v>2</v>
      </c>
      <c r="BO316" t="s">
        <v>12</v>
      </c>
      <c r="BQ316" t="s">
        <v>1676</v>
      </c>
      <c r="BR316" t="s">
        <v>2031</v>
      </c>
      <c r="BS316" s="4" t="str">
        <f>HYPERLINK("http://exon.niaid.nih.gov/transcriptome/C_felis/S1/links/CDD/cf-contig_238-CDD.txt","Ribosomal_S17e")</f>
        <v>Ribosomal_S17e</v>
      </c>
      <c r="BT316" t="str">
        <f>HYPERLINK("http://www.ncbi.nlm.nih.gov/Structure/cdd/cddsrv.cgi?uid=pfam00833&amp;version=v4.0","1E-013")</f>
        <v>1E-013</v>
      </c>
      <c r="BU316" t="s">
        <v>2564</v>
      </c>
      <c r="BV316" s="4" t="s">
        <v>2565</v>
      </c>
      <c r="BW316">
        <f>HYPERLINK("http://exon.niaid.nih.gov/transcriptome/C_felis/S1/links/GO/cf-contig_238-GO.txt",0.00000000000001)</f>
        <v>1E-14</v>
      </c>
      <c r="BX316" t="str">
        <f>HYPERLINK("http://amigo.geneontology.org/cgi-bin/amigo/term_details?term=GO:0003735","GO:0003735")</f>
        <v>GO:0003735</v>
      </c>
      <c r="BY316" t="s">
        <v>1929</v>
      </c>
      <c r="BZ316" t="s">
        <v>1930</v>
      </c>
      <c r="CA316" t="s">
        <v>1931</v>
      </c>
      <c r="CB316" t="s">
        <v>42</v>
      </c>
      <c r="CD316">
        <v>1E-14</v>
      </c>
      <c r="CE316" t="str">
        <f>HYPERLINK("http://amigo.geneontology.org/cgi-bin/amigo/term_details?term=GO:0022627","GO:0022627")</f>
        <v>GO:0022627</v>
      </c>
      <c r="CF316" t="s">
        <v>2034</v>
      </c>
      <c r="CG316" t="s">
        <v>2035</v>
      </c>
      <c r="CH316" t="s">
        <v>2036</v>
      </c>
      <c r="CI316" t="s">
        <v>42</v>
      </c>
      <c r="CK316">
        <v>1E-14</v>
      </c>
      <c r="CL316" t="str">
        <f>HYPERLINK("http://amigo.geneontology.org/cgi-bin/amigo/term_details?term=GO:0006412","GO:0006412")</f>
        <v>GO:0006412</v>
      </c>
      <c r="CM316" t="s">
        <v>1935</v>
      </c>
      <c r="CN316" t="s">
        <v>1936</v>
      </c>
      <c r="CO316" t="s">
        <v>1937</v>
      </c>
      <c r="CP316" t="s">
        <v>42</v>
      </c>
      <c r="CR316">
        <v>1E-14</v>
      </c>
      <c r="CS316" s="4" t="str">
        <f>HYPERLINK("http://exon.niaid.nih.gov/transcriptome/C_felis/S1/links/KOG/cf-contig_238-KOG.txt","40S ribosomal protein S17")</f>
        <v>40S ribosomal protein S17</v>
      </c>
      <c r="CT316" t="str">
        <f>HYPERLINK("http://www.ncbi.nlm.nih.gov/COG/grace/shokog.cgi?KOG0187","1E-016")</f>
        <v>1E-016</v>
      </c>
      <c r="CU316" t="s">
        <v>1707</v>
      </c>
      <c r="CV316" s="4" t="str">
        <f>HYPERLINK("http://exon.niaid.nih.gov/transcriptome/C_felis/S1/links/PFAM/cf-contig_238-PFAM.txt","Ribosomal_S17e")</f>
        <v>Ribosomal_S17e</v>
      </c>
      <c r="CW316" t="str">
        <f>HYPERLINK("http://pfam.sanger.ac.uk/family?acc=PF00833","3E-014")</f>
        <v>3E-014</v>
      </c>
      <c r="CX316" s="4" t="str">
        <f>HYPERLINK("http://exon.niaid.nih.gov/transcriptome/C_felis/S1/links/SMART/cf-contig_238-SMART.txt","AICARFT_IMPCHas")</f>
        <v>AICARFT_IMPCHas</v>
      </c>
      <c r="CY316" t="str">
        <f>HYPERLINK("http://smart.embl-heidelberg.de/smart/do_annotation.pl?DOMAIN=AICARFT_IMPCHas&amp;BLAST=DUMMY","0.43")</f>
        <v>0.43</v>
      </c>
      <c r="CZ316" s="4" t="s">
        <v>42</v>
      </c>
      <c r="DA316" t="s">
        <v>42</v>
      </c>
      <c r="DB316" t="s">
        <v>42</v>
      </c>
      <c r="DC316" t="s">
        <v>42</v>
      </c>
      <c r="DD316" t="s">
        <v>42</v>
      </c>
      <c r="DE316" t="s">
        <v>42</v>
      </c>
      <c r="DF316" t="s">
        <v>42</v>
      </c>
      <c r="DG316" t="s">
        <v>42</v>
      </c>
      <c r="DH316" s="4" t="s">
        <v>42</v>
      </c>
      <c r="DI316" t="s">
        <v>42</v>
      </c>
      <c r="DJ316" s="4" t="s">
        <v>42</v>
      </c>
      <c r="DK316" t="s">
        <v>42</v>
      </c>
      <c r="DL316" s="4">
        <v>187</v>
      </c>
      <c r="DM316">
        <v>1</v>
      </c>
      <c r="DN316" s="4">
        <v>190</v>
      </c>
      <c r="DO316">
        <v>1</v>
      </c>
      <c r="DP316" s="4">
        <v>188</v>
      </c>
      <c r="DQ316">
        <v>1</v>
      </c>
      <c r="DR316" s="4">
        <v>196</v>
      </c>
      <c r="DS316">
        <v>1</v>
      </c>
      <c r="DT316" s="4">
        <v>202</v>
      </c>
      <c r="DU316">
        <v>1</v>
      </c>
      <c r="DV316" s="4">
        <v>214</v>
      </c>
      <c r="DW316">
        <v>1</v>
      </c>
      <c r="DX316" s="4">
        <v>216</v>
      </c>
      <c r="DY316">
        <v>1</v>
      </c>
      <c r="DZ316" s="4">
        <v>220</v>
      </c>
      <c r="EA316">
        <v>1</v>
      </c>
      <c r="EB316" s="4">
        <v>225</v>
      </c>
      <c r="EC316">
        <v>1</v>
      </c>
      <c r="ED316" s="4">
        <v>228</v>
      </c>
      <c r="EE316">
        <v>1</v>
      </c>
      <c r="EF316" s="4">
        <v>231</v>
      </c>
      <c r="EG316">
        <v>1</v>
      </c>
      <c r="EH316" s="4">
        <v>233</v>
      </c>
      <c r="EI316">
        <v>1</v>
      </c>
      <c r="EJ316" s="4">
        <v>238</v>
      </c>
      <c r="EK316">
        <v>1</v>
      </c>
    </row>
    <row r="317" spans="1:141" x14ac:dyDescent="0.2">
      <c r="A317" t="str">
        <f>HYPERLINK("http://exon.niaid.nih.gov/transcriptome/C_felis/S1/links/cf/cf-contig_720.txt","cf-contig_720")</f>
        <v>cf-contig_720</v>
      </c>
      <c r="B317">
        <v>1</v>
      </c>
      <c r="C317" s="10" t="s">
        <v>4854</v>
      </c>
      <c r="D317">
        <v>1</v>
      </c>
      <c r="E317" t="str">
        <f>HYPERLINK("http://exon.niaid.nih.gov/transcriptome/C_felis/S1/links/cf/cf-5-36-asb-720.txt","Contig-720")</f>
        <v>Contig-720</v>
      </c>
      <c r="F317" t="str">
        <f>HYPERLINK("http://exon.niaid.nih.gov/transcriptome/C_felis/S1/links/cf/cf-5-36-720-CLU.txt","Contig720")</f>
        <v>Contig720</v>
      </c>
      <c r="G317" t="str">
        <f>HYPERLINK("http://exon.niaid.nih.gov/transcriptome/C_felis/S1/links/cf/cf-5-36-720-qual.txt","65.4")</f>
        <v>65.4</v>
      </c>
      <c r="H317" t="s">
        <v>11</v>
      </c>
      <c r="I317">
        <v>61.4</v>
      </c>
      <c r="J317">
        <v>442</v>
      </c>
      <c r="K317" t="s">
        <v>12</v>
      </c>
      <c r="L317">
        <v>1</v>
      </c>
      <c r="M317" t="s">
        <v>733</v>
      </c>
      <c r="N317">
        <v>442</v>
      </c>
      <c r="O317">
        <v>461</v>
      </c>
      <c r="P317">
        <v>360</v>
      </c>
      <c r="Q317" t="s">
        <v>1539</v>
      </c>
      <c r="R317">
        <v>1</v>
      </c>
      <c r="S317" s="7" t="str">
        <f>HYPERLINK("http://exon.niaid.nih.gov/transcriptome/C_felis/S1/links/Sigp/CF-CONTIG_720-SigP.txt","Cyt")</f>
        <v>Cyt</v>
      </c>
      <c r="U317">
        <v>1</v>
      </c>
      <c r="V317" s="4">
        <v>584</v>
      </c>
      <c r="W317">
        <v>1</v>
      </c>
      <c r="X317" s="4">
        <v>600</v>
      </c>
      <c r="Y317">
        <v>1</v>
      </c>
      <c r="Z317" s="4">
        <v>613</v>
      </c>
      <c r="AA317">
        <v>1</v>
      </c>
      <c r="AB317" s="4" t="str">
        <f>HYPERLINK("http://exon.niaid.nih.gov/transcriptome/C_felis/S1/links/XC-ASB/cf-contig_720-XC-ASB.txt","XC-contig_38")</f>
        <v>XC-contig_38</v>
      </c>
      <c r="AC317">
        <v>2.8000000000000001E-2</v>
      </c>
      <c r="AD317" s="10" t="s">
        <v>4854</v>
      </c>
      <c r="AE317" t="s">
        <v>4605</v>
      </c>
      <c r="AF317" t="str">
        <f>HYPERLINK("http://exon.niaid.nih.gov/transcriptome/C_felis/S1/links/GO/cf-contig_720-GO.txt","GO")</f>
        <v>GO</v>
      </c>
      <c r="AG317" s="5">
        <v>1.0000000000000001E-31</v>
      </c>
      <c r="AH317">
        <v>17.8</v>
      </c>
      <c r="AI317" s="4" t="str">
        <f>HYPERLINK("http://exon.niaid.nih.gov/transcriptome/C_felis/S1/links/NR/cf-contig_720-NR.txt","Signal recognition particle 72 kDa protein")</f>
        <v>Signal recognition particle 72 kDa protein</v>
      </c>
      <c r="AJ317" t="str">
        <f>HYPERLINK("http://www.ncbi.nlm.nih.gov/sutils/blink.cgi?pid=307206401","9E-035")</f>
        <v>9E-035</v>
      </c>
      <c r="AK317" t="str">
        <f>HYPERLINK("http://www.ncbi.nlm.nih.gov/protein/307206401","gi|307206401")</f>
        <v>gi|307206401</v>
      </c>
      <c r="AL317">
        <v>150</v>
      </c>
      <c r="AM317">
        <v>118</v>
      </c>
      <c r="AN317">
        <v>657</v>
      </c>
      <c r="AO317">
        <v>64</v>
      </c>
      <c r="AP317">
        <v>18</v>
      </c>
      <c r="AQ317">
        <v>43</v>
      </c>
      <c r="AR317">
        <v>3</v>
      </c>
      <c r="AS317">
        <v>539</v>
      </c>
      <c r="AT317">
        <v>7</v>
      </c>
      <c r="AU317">
        <v>1</v>
      </c>
      <c r="AV317">
        <v>1</v>
      </c>
      <c r="AW317" t="s">
        <v>12</v>
      </c>
      <c r="AY317" t="s">
        <v>1676</v>
      </c>
      <c r="AZ317" t="s">
        <v>1712</v>
      </c>
      <c r="BA317" s="4" t="str">
        <f>HYPERLINK("http://exon.niaid.nih.gov/transcriptome/C_felis/S1/links/SWISSP/cf-contig_720-SWISSP.txt","Signal recognition particle 72 kDa protein homolog")</f>
        <v>Signal recognition particle 72 kDa protein homolog</v>
      </c>
      <c r="BB317" t="str">
        <f>HYPERLINK("http://www.uniprot.org/uniprot/P91240","6E-019")</f>
        <v>6E-019</v>
      </c>
      <c r="BC317" t="s">
        <v>4274</v>
      </c>
      <c r="BD317">
        <v>93.2</v>
      </c>
      <c r="BE317">
        <v>108</v>
      </c>
      <c r="BF317">
        <v>635</v>
      </c>
      <c r="BG317">
        <v>42</v>
      </c>
      <c r="BH317">
        <v>17</v>
      </c>
      <c r="BI317">
        <v>65</v>
      </c>
      <c r="BJ317">
        <v>0</v>
      </c>
      <c r="BK317">
        <v>522</v>
      </c>
      <c r="BL317">
        <v>7</v>
      </c>
      <c r="BM317">
        <v>1</v>
      </c>
      <c r="BN317">
        <v>1</v>
      </c>
      <c r="BO317" t="s">
        <v>12</v>
      </c>
      <c r="BQ317" t="s">
        <v>1676</v>
      </c>
      <c r="BR317" t="s">
        <v>1735</v>
      </c>
      <c r="BS317" s="4" t="str">
        <f>HYPERLINK("http://exon.niaid.nih.gov/transcriptome/C_felis/S1/links/CDD/cf-contig_720-CDD.txt","SRP72")</f>
        <v>SRP72</v>
      </c>
      <c r="BT317" t="str">
        <f>HYPERLINK("http://www.ncbi.nlm.nih.gov/Structure/cdd/cddsrv.cgi?uid=pfam08492&amp;version=v4.0","1E-014")</f>
        <v>1E-014</v>
      </c>
      <c r="BU317" t="s">
        <v>4275</v>
      </c>
      <c r="BV317" s="4" t="s">
        <v>4276</v>
      </c>
      <c r="BW317">
        <f>HYPERLINK("http://exon.niaid.nih.gov/transcriptome/C_felis/S1/links/GO/cf-contig_720-GO.txt",1E-31)</f>
        <v>1.0000000000000001E-31</v>
      </c>
      <c r="BX317" t="str">
        <f>HYPERLINK("http://amigo.geneontology.org/cgi-bin/amigo/term_details?term=GO:0008312","GO:0008312")</f>
        <v>GO:0008312</v>
      </c>
      <c r="BY317" t="s">
        <v>4277</v>
      </c>
      <c r="BZ317" t="s">
        <v>4278</v>
      </c>
      <c r="CA317" t="s">
        <v>42</v>
      </c>
      <c r="CB317" t="s">
        <v>42</v>
      </c>
      <c r="CD317" s="5">
        <v>1.0000000000000001E-31</v>
      </c>
      <c r="CE317" t="str">
        <f>HYPERLINK("http://amigo.geneontology.org/cgi-bin/amigo/term_details?term=GO:0005786","GO:0005786")</f>
        <v>GO:0005786</v>
      </c>
      <c r="CF317" t="s">
        <v>4279</v>
      </c>
      <c r="CG317" t="s">
        <v>4280</v>
      </c>
      <c r="CH317" t="s">
        <v>4281</v>
      </c>
      <c r="CI317" t="s">
        <v>42</v>
      </c>
      <c r="CK317" s="5">
        <v>1.0000000000000001E-31</v>
      </c>
      <c r="CL317" t="str">
        <f>HYPERLINK("http://amigo.geneontology.org/cgi-bin/amigo/term_details?term=GO:0006614","GO:0006614")</f>
        <v>GO:0006614</v>
      </c>
      <c r="CM317" t="s">
        <v>4070</v>
      </c>
      <c r="CN317" t="s">
        <v>4071</v>
      </c>
      <c r="CO317" t="s">
        <v>4072</v>
      </c>
      <c r="CP317" t="s">
        <v>42</v>
      </c>
      <c r="CR317" s="5">
        <v>1.0000000000000001E-31</v>
      </c>
      <c r="CS317" s="4" t="str">
        <f>HYPERLINK("http://exon.niaid.nih.gov/transcriptome/C_felis/S1/links/KOG/cf-contig_720-KOG.txt","Signal recognition particle, subunit Srp72")</f>
        <v>Signal recognition particle, subunit Srp72</v>
      </c>
      <c r="CT317" t="str">
        <f>HYPERLINK("http://www.ncbi.nlm.nih.gov/COG/grace/shokog.cgi?KOG2376","2E-027")</f>
        <v>2E-027</v>
      </c>
      <c r="CU317" t="s">
        <v>1686</v>
      </c>
      <c r="CV317" s="4" t="str">
        <f>HYPERLINK("http://exon.niaid.nih.gov/transcriptome/C_felis/S1/links/PFAM/cf-contig_720-PFAM.txt","SRP72")</f>
        <v>SRP72</v>
      </c>
      <c r="CW317" t="str">
        <f>HYPERLINK("http://pfam.sanger.ac.uk/family?acc=PF08492","3E-015")</f>
        <v>3E-015</v>
      </c>
      <c r="CX317" s="4" t="str">
        <f>HYPERLINK("http://exon.niaid.nih.gov/transcriptome/C_felis/S1/links/SMART/cf-contig_720-SMART.txt","HMG17")</f>
        <v>HMG17</v>
      </c>
      <c r="CY317" t="str">
        <f>HYPERLINK("http://smart.embl-heidelberg.de/smart/do_annotation.pl?DOMAIN=HMG17&amp;BLAST=DUMMY","0.034")</f>
        <v>0.034</v>
      </c>
      <c r="CZ317" s="4" t="s">
        <v>42</v>
      </c>
      <c r="DA317" t="s">
        <v>42</v>
      </c>
      <c r="DB317" t="s">
        <v>42</v>
      </c>
      <c r="DC317" t="s">
        <v>42</v>
      </c>
      <c r="DD317" t="s">
        <v>42</v>
      </c>
      <c r="DE317" t="s">
        <v>42</v>
      </c>
      <c r="DF317" t="s">
        <v>42</v>
      </c>
      <c r="DG317" t="s">
        <v>42</v>
      </c>
      <c r="DH317" s="4" t="s">
        <v>42</v>
      </c>
      <c r="DI317" t="s">
        <v>42</v>
      </c>
      <c r="DJ317" s="4" t="s">
        <v>42</v>
      </c>
      <c r="DK317" t="s">
        <v>42</v>
      </c>
      <c r="DL317" s="4">
        <v>584</v>
      </c>
      <c r="DM317">
        <v>1</v>
      </c>
      <c r="DN317" s="4">
        <v>600</v>
      </c>
      <c r="DO317">
        <v>1</v>
      </c>
      <c r="DP317" s="4">
        <v>613</v>
      </c>
      <c r="DQ317">
        <v>1</v>
      </c>
      <c r="DR317" s="4">
        <v>634</v>
      </c>
      <c r="DS317">
        <v>1</v>
      </c>
      <c r="DT317" s="4">
        <v>649</v>
      </c>
      <c r="DU317">
        <v>1</v>
      </c>
      <c r="DV317" s="4">
        <v>664</v>
      </c>
      <c r="DW317">
        <v>1</v>
      </c>
      <c r="DX317" s="4">
        <v>675</v>
      </c>
      <c r="DY317">
        <v>1</v>
      </c>
      <c r="DZ317" s="4">
        <v>685</v>
      </c>
      <c r="EA317">
        <v>1</v>
      </c>
      <c r="EB317" s="4">
        <v>691</v>
      </c>
      <c r="EC317">
        <v>1</v>
      </c>
      <c r="ED317" s="4">
        <v>695</v>
      </c>
      <c r="EE317">
        <v>1</v>
      </c>
      <c r="EF317" s="4">
        <v>701</v>
      </c>
      <c r="EG317">
        <v>1</v>
      </c>
      <c r="EH317" s="4">
        <v>711</v>
      </c>
      <c r="EI317">
        <v>1</v>
      </c>
      <c r="EJ317" s="4">
        <v>720</v>
      </c>
      <c r="EK317">
        <v>1</v>
      </c>
    </row>
    <row r="318" spans="1:141" x14ac:dyDescent="0.2">
      <c r="A318" t="str">
        <f>HYPERLINK("http://exon.niaid.nih.gov/transcriptome/C_felis/S1/links/cf/cf-contig_197.txt","cf-contig_197")</f>
        <v>cf-contig_197</v>
      </c>
      <c r="B318">
        <v>2</v>
      </c>
      <c r="C318" s="10" t="s">
        <v>4683</v>
      </c>
      <c r="D318">
        <v>2</v>
      </c>
      <c r="E318" t="str">
        <f>HYPERLINK("http://exon.niaid.nih.gov/transcriptome/C_felis/S1/links/cf/cf-5-36-asb-197.txt","Contig-197")</f>
        <v>Contig-197</v>
      </c>
      <c r="F318" t="str">
        <f>HYPERLINK("http://exon.niaid.nih.gov/transcriptome/C_felis/S1/links/cf/cf-5-36-197-CLU.txt","Contig197")</f>
        <v>Contig197</v>
      </c>
      <c r="G318" t="str">
        <f>HYPERLINK("http://exon.niaid.nih.gov/transcriptome/C_felis/S1/links/cf/cf-5-36-197-qual.txt","80.3")</f>
        <v>80.3</v>
      </c>
      <c r="H318" t="s">
        <v>11</v>
      </c>
      <c r="I318">
        <v>60.9</v>
      </c>
      <c r="J318">
        <v>703</v>
      </c>
      <c r="K318" t="s">
        <v>12</v>
      </c>
      <c r="L318">
        <v>2</v>
      </c>
      <c r="M318" t="s">
        <v>210</v>
      </c>
      <c r="N318">
        <v>703</v>
      </c>
      <c r="O318">
        <v>722</v>
      </c>
      <c r="P318">
        <v>552</v>
      </c>
      <c r="Q318" t="s">
        <v>1017</v>
      </c>
      <c r="R318">
        <v>3</v>
      </c>
      <c r="S318" s="7" t="str">
        <f>HYPERLINK("http://exon.niaid.nih.gov/transcriptome/C_felis/S1/links/Sigp/CF-CONTIG_197-SigP.txt","Cyt")</f>
        <v>Cyt</v>
      </c>
      <c r="U318">
        <v>2</v>
      </c>
      <c r="V318" s="4">
        <f>HYPERLINK("http://exon.niaid.nih.gov/transcriptome/C_felis/S1/links/cluster/cf-5-36-asb30-50-Id-CLU48.txt", 48)</f>
        <v>48</v>
      </c>
      <c r="W318">
        <f>HYPERLINK("http://exon.niaid.nih.gov/transcriptome/C_felis/S1/links/cluster/cf-5-36-asb30-50-Id-CLTL48.txt", 2)</f>
        <v>2</v>
      </c>
      <c r="X318" s="4">
        <f>HYPERLINK("http://exon.niaid.nih.gov/transcriptome/C_felis/S1/links/cluster/cf-5-36-asb35-50-Id-CLU41.txt", 41)</f>
        <v>41</v>
      </c>
      <c r="Y318">
        <f>HYPERLINK("http://exon.niaid.nih.gov/transcriptome/C_felis/S1/links/cluster/cf-5-36-asb35-50-Id-CLTL41.txt", 2)</f>
        <v>2</v>
      </c>
      <c r="Z318" s="4">
        <f>HYPERLINK("http://exon.niaid.nih.gov/transcriptome/C_felis/S1/links/cluster/cf-5-36-asb40-50-Id-CLU38.txt", 38)</f>
        <v>38</v>
      </c>
      <c r="AA318">
        <f>HYPERLINK("http://exon.niaid.nih.gov/transcriptome/C_felis/S1/links/cluster/cf-5-36-asb40-50-Id-CLTL38.txt", 2)</f>
        <v>2</v>
      </c>
      <c r="AB318" s="4" t="str">
        <f>HYPERLINK("http://exon.niaid.nih.gov/transcriptome/C_felis/S1/links/XC-ASB/cf-contig_197-XC-ASB.txt","XC-contig_88")</f>
        <v>XC-contig_88</v>
      </c>
      <c r="AC318">
        <v>0.12</v>
      </c>
      <c r="AD318" s="10" t="s">
        <v>4683</v>
      </c>
      <c r="AE318" t="s">
        <v>4605</v>
      </c>
      <c r="AF318" t="str">
        <f>HYPERLINK("http://exon.niaid.nih.gov/transcriptome/C_felis/S1/links/KOG/cf-contig_197-KOG.txt","KOG")</f>
        <v>KOG</v>
      </c>
      <c r="AG318" s="5">
        <v>9.9999999999999996E-76</v>
      </c>
      <c r="AH318">
        <v>100</v>
      </c>
      <c r="AI318" s="4" t="str">
        <f>HYPERLINK("http://exon.niaid.nih.gov/transcriptome/C_felis/S1/links/NR/cf-contig_197-NR.txt","elongation factor 1 gamma")</f>
        <v>elongation factor 1 gamma</v>
      </c>
      <c r="AJ318" t="str">
        <f>HYPERLINK("http://www.ncbi.nlm.nih.gov/sutils/blink.cgi?pid=157128964","5E-093")</f>
        <v>5E-093</v>
      </c>
      <c r="AK318" t="str">
        <f>HYPERLINK("http://www.ncbi.nlm.nih.gov/protein/157128964","gi|157128964")</f>
        <v>gi|157128964</v>
      </c>
      <c r="AL318">
        <v>345</v>
      </c>
      <c r="AM318">
        <v>183</v>
      </c>
      <c r="AN318">
        <v>432</v>
      </c>
      <c r="AO318">
        <v>85</v>
      </c>
      <c r="AP318">
        <v>43</v>
      </c>
      <c r="AQ318">
        <v>26</v>
      </c>
      <c r="AR318">
        <v>0</v>
      </c>
      <c r="AS318">
        <v>249</v>
      </c>
      <c r="AT318">
        <v>3</v>
      </c>
      <c r="AU318">
        <v>1</v>
      </c>
      <c r="AV318">
        <v>3</v>
      </c>
      <c r="AW318" t="s">
        <v>12</v>
      </c>
      <c r="AY318" t="s">
        <v>1676</v>
      </c>
      <c r="AZ318" t="s">
        <v>2267</v>
      </c>
      <c r="BA318" s="4" t="str">
        <f>HYPERLINK("http://exon.niaid.nih.gov/transcriptome/C_felis/S1/links/SWISSP/cf-contig_197-SWISSP.txt","Elongation factor 1-gamma")</f>
        <v>Elongation factor 1-gamma</v>
      </c>
      <c r="BB318" t="str">
        <f>HYPERLINK("http://www.uniprot.org/uniprot/Q9NJH0","6E-090")</f>
        <v>6E-090</v>
      </c>
      <c r="BC318" t="s">
        <v>2397</v>
      </c>
      <c r="BD318">
        <v>330</v>
      </c>
      <c r="BE318">
        <v>180</v>
      </c>
      <c r="BF318">
        <v>431</v>
      </c>
      <c r="BG318">
        <v>82</v>
      </c>
      <c r="BH318">
        <v>42</v>
      </c>
      <c r="BI318">
        <v>31</v>
      </c>
      <c r="BJ318">
        <v>0</v>
      </c>
      <c r="BK318">
        <v>251</v>
      </c>
      <c r="BL318">
        <v>12</v>
      </c>
      <c r="BM318">
        <v>1</v>
      </c>
      <c r="BN318">
        <v>3</v>
      </c>
      <c r="BO318" t="s">
        <v>12</v>
      </c>
      <c r="BQ318" t="s">
        <v>1676</v>
      </c>
      <c r="BR318" t="s">
        <v>1804</v>
      </c>
      <c r="BS318" s="4" t="str">
        <f>HYPERLINK("http://exon.niaid.nih.gov/transcriptome/C_felis/S1/links/CDD/cf-contig_197-CDD.txt","EF1G")</f>
        <v>EF1G</v>
      </c>
      <c r="BT318" t="str">
        <f>HYPERLINK("http://www.ncbi.nlm.nih.gov/Structure/cdd/cddsrv.cgi?uid=pfam00647&amp;version=v4.0","1E-053")</f>
        <v>1E-053</v>
      </c>
      <c r="BU318" t="s">
        <v>2398</v>
      </c>
      <c r="BV318" s="4" t="s">
        <v>2399</v>
      </c>
      <c r="BW318">
        <f>HYPERLINK("http://exon.niaid.nih.gov/transcriptome/C_felis/S1/links/GO/cf-contig_197-GO.txt",5E-90)</f>
        <v>5.0000000000000002E-90</v>
      </c>
      <c r="BX318" t="str">
        <f>HYPERLINK("http://amigo.geneontology.org/cgi-bin/amigo/term_details?term=GO:0003746","GO:0003746")</f>
        <v>GO:0003746</v>
      </c>
      <c r="BY318" t="s">
        <v>2104</v>
      </c>
      <c r="BZ318" t="s">
        <v>2105</v>
      </c>
      <c r="CA318" t="s">
        <v>42</v>
      </c>
      <c r="CB318" t="s">
        <v>42</v>
      </c>
      <c r="CD318" s="5">
        <v>5.0000000000000002E-90</v>
      </c>
      <c r="CE318" t="str">
        <f>HYPERLINK("http://amigo.geneontology.org/cgi-bin/amigo/term_details?term=GO:0005853","GO:0005853")</f>
        <v>GO:0005853</v>
      </c>
      <c r="CF318" t="s">
        <v>2400</v>
      </c>
      <c r="CG318" t="s">
        <v>2401</v>
      </c>
      <c r="CH318" t="s">
        <v>42</v>
      </c>
      <c r="CI318" t="s">
        <v>42</v>
      </c>
      <c r="CK318" s="5">
        <v>5.0000000000000002E-90</v>
      </c>
      <c r="CL318" t="str">
        <f>HYPERLINK("http://amigo.geneontology.org/cgi-bin/amigo/term_details?term=GO:0006414","GO:0006414")</f>
        <v>GO:0006414</v>
      </c>
      <c r="CM318" t="s">
        <v>2402</v>
      </c>
      <c r="CN318" t="s">
        <v>2403</v>
      </c>
      <c r="CO318" t="s">
        <v>2404</v>
      </c>
      <c r="CP318" t="s">
        <v>42</v>
      </c>
      <c r="CR318" s="5">
        <v>5.0000000000000002E-90</v>
      </c>
      <c r="CS318" s="4" t="str">
        <f>HYPERLINK("http://exon.niaid.nih.gov/transcriptome/C_felis/S1/links/KOG/cf-contig_197-KOG.txt","Translation elongation factor EF-1 gamma")</f>
        <v>Translation elongation factor EF-1 gamma</v>
      </c>
      <c r="CT318" t="str">
        <f>HYPERLINK("http://www.ncbi.nlm.nih.gov/COG/grace/shokog.cgi?KOG1627","1E-075")</f>
        <v>1E-075</v>
      </c>
      <c r="CU318" t="s">
        <v>1707</v>
      </c>
      <c r="CV318" s="4" t="str">
        <f>HYPERLINK("http://exon.niaid.nih.gov/transcriptome/C_felis/S1/links/PFAM/cf-contig_197-PFAM.txt","EF1G")</f>
        <v>EF1G</v>
      </c>
      <c r="CW318" t="str">
        <f>HYPERLINK("http://pfam.sanger.ac.uk/family?acc=PF00647","2E-054")</f>
        <v>2E-054</v>
      </c>
      <c r="CX318" s="4" t="str">
        <f>HYPERLINK("http://exon.niaid.nih.gov/transcriptome/C_felis/S1/links/SMART/cf-contig_197-SMART.txt","SERPIN")</f>
        <v>SERPIN</v>
      </c>
      <c r="CY318" t="str">
        <f>HYPERLINK("http://smart.embl-heidelberg.de/smart/do_annotation.pl?DOMAIN=SERPIN&amp;BLAST=DUMMY","0.019")</f>
        <v>0.019</v>
      </c>
      <c r="CZ318" s="4" t="s">
        <v>42</v>
      </c>
      <c r="DA318" t="s">
        <v>42</v>
      </c>
      <c r="DB318" t="s">
        <v>42</v>
      </c>
      <c r="DC318" t="s">
        <v>42</v>
      </c>
      <c r="DD318" t="s">
        <v>42</v>
      </c>
      <c r="DE318" t="s">
        <v>42</v>
      </c>
      <c r="DF318" t="s">
        <v>42</v>
      </c>
      <c r="DG318" t="s">
        <v>42</v>
      </c>
      <c r="DH318" s="4" t="s">
        <v>42</v>
      </c>
      <c r="DI318" t="s">
        <v>42</v>
      </c>
      <c r="DJ318" s="4" t="s">
        <v>42</v>
      </c>
      <c r="DK318" t="s">
        <v>42</v>
      </c>
      <c r="DL318" s="4">
        <f>HYPERLINK("http://exon.niaid.nih.gov/transcriptome/C_felis/S1/links/cluster/cf-5-36-asb30-50-Id-CLU48.txt", 48)</f>
        <v>48</v>
      </c>
      <c r="DM318">
        <f>HYPERLINK("http://exon.niaid.nih.gov/transcriptome/C_felis/S1/links/cluster/cf-5-36-asb30-50-Id-CLTL48.txt", 2)</f>
        <v>2</v>
      </c>
      <c r="DN318" s="4">
        <f>HYPERLINK("http://exon.niaid.nih.gov/transcriptome/C_felis/S1/links/cluster/cf-5-36-asb35-50-Id-CLU41.txt", 41)</f>
        <v>41</v>
      </c>
      <c r="DO318">
        <f>HYPERLINK("http://exon.niaid.nih.gov/transcriptome/C_felis/S1/links/cluster/cf-5-36-asb35-50-Id-CLTL41.txt", 2)</f>
        <v>2</v>
      </c>
      <c r="DP318" s="4">
        <f>HYPERLINK("http://exon.niaid.nih.gov/transcriptome/C_felis/S1/links/cluster/cf-5-36-asb40-50-Id-CLU38.txt", 38)</f>
        <v>38</v>
      </c>
      <c r="DQ318">
        <f>HYPERLINK("http://exon.niaid.nih.gov/transcriptome/C_felis/S1/links/cluster/cf-5-36-asb40-50-Id-CLTL38.txt", 2)</f>
        <v>2</v>
      </c>
      <c r="DR318" s="4">
        <f>HYPERLINK("http://exon.niaid.nih.gov/transcriptome/C_felis/S1/links/cluster/cf-5-36-asb45-50-Id-CLU35.txt", 35)</f>
        <v>35</v>
      </c>
      <c r="DS318">
        <f>HYPERLINK("http://exon.niaid.nih.gov/transcriptome/C_felis/S1/links/cluster/cf-5-36-asb45-50-Id-CLTL35.txt", 2)</f>
        <v>2</v>
      </c>
      <c r="DT318" s="4">
        <f>HYPERLINK("http://exon.niaid.nih.gov/transcriptome/C_felis/S1/links/cluster/cf-5-36-asb50-50-Id-CLU31.txt", 31)</f>
        <v>31</v>
      </c>
      <c r="DU318">
        <f>HYPERLINK("http://exon.niaid.nih.gov/transcriptome/C_felis/S1/links/cluster/cf-5-36-asb50-50-Id-CLTL31.txt", 2)</f>
        <v>2</v>
      </c>
      <c r="DV318" s="4">
        <f>HYPERLINK("http://exon.niaid.nih.gov/transcriptome/C_felis/S1/links/cluster/cf-5-36-asb55-50-Id-CLU29.txt", 29)</f>
        <v>29</v>
      </c>
      <c r="DW318">
        <f>HYPERLINK("http://exon.niaid.nih.gov/transcriptome/C_felis/S1/links/cluster/cf-5-36-asb55-50-Id-CLTL29.txt", 2)</f>
        <v>2</v>
      </c>
      <c r="DX318" s="4">
        <f>HYPERLINK("http://exon.niaid.nih.gov/transcriptome/C_felis/S1/links/cluster/cf-5-36-asb60-50-Id-CLU26.txt", 26)</f>
        <v>26</v>
      </c>
      <c r="DY318">
        <f>HYPERLINK("http://exon.niaid.nih.gov/transcriptome/C_felis/S1/links/cluster/cf-5-36-asb60-50-Id-CLTL26.txt", 2)</f>
        <v>2</v>
      </c>
      <c r="DZ318" s="4">
        <f>HYPERLINK("http://exon.niaid.nih.gov/transcriptome/C_felis/S1/links/cluster/cf-5-36-asb65-50-Id-CLU22.txt", 22)</f>
        <v>22</v>
      </c>
      <c r="EA318">
        <f>HYPERLINK("http://exon.niaid.nih.gov/transcriptome/C_felis/S1/links/cluster/cf-5-36-asb65-50-Id-CLTL22.txt", 2)</f>
        <v>2</v>
      </c>
      <c r="EB318" s="4">
        <f>HYPERLINK("http://exon.niaid.nih.gov/transcriptome/C_felis/S1/links/cluster/cf-5-36-asb70-50-Id-CLU17.txt", 17)</f>
        <v>17</v>
      </c>
      <c r="EC318">
        <f>HYPERLINK("http://exon.niaid.nih.gov/transcriptome/C_felis/S1/links/cluster/cf-5-36-asb70-50-Id-CLTL17.txt", 2)</f>
        <v>2</v>
      </c>
      <c r="ED318" s="4">
        <v>191</v>
      </c>
      <c r="EE318">
        <v>1</v>
      </c>
      <c r="EF318" s="4">
        <v>192</v>
      </c>
      <c r="EG318">
        <v>1</v>
      </c>
      <c r="EH318" s="4">
        <v>192</v>
      </c>
      <c r="EI318">
        <v>1</v>
      </c>
      <c r="EJ318" s="4">
        <v>197</v>
      </c>
      <c r="EK318">
        <v>1</v>
      </c>
    </row>
    <row r="319" spans="1:141" x14ac:dyDescent="0.2">
      <c r="A319" t="str">
        <f>HYPERLINK("http://exon.niaid.nih.gov/transcriptome/C_felis/S1/links/cf/cf-contig_198.txt","cf-contig_198")</f>
        <v>cf-contig_198</v>
      </c>
      <c r="B319">
        <v>2</v>
      </c>
      <c r="C319" s="10" t="s">
        <v>4683</v>
      </c>
      <c r="D319">
        <v>2</v>
      </c>
      <c r="E319" t="str">
        <f>HYPERLINK("http://exon.niaid.nih.gov/transcriptome/C_felis/S1/links/cf/cf-5-36-asb-198.txt","Contig-198")</f>
        <v>Contig-198</v>
      </c>
      <c r="F319" t="str">
        <f>HYPERLINK("http://exon.niaid.nih.gov/transcriptome/C_felis/S1/links/cf/cf-5-36-198-CLU.txt","Contig198")</f>
        <v>Contig198</v>
      </c>
      <c r="G319" t="str">
        <f>HYPERLINK("http://exon.niaid.nih.gov/transcriptome/C_felis/S1/links/cf/cf-5-36-198-qual.txt","67.")</f>
        <v>67.</v>
      </c>
      <c r="H319" t="s">
        <v>11</v>
      </c>
      <c r="I319">
        <v>64.8</v>
      </c>
      <c r="J319">
        <v>646</v>
      </c>
      <c r="K319" t="s">
        <v>12</v>
      </c>
      <c r="L319">
        <v>2</v>
      </c>
      <c r="M319" t="s">
        <v>211</v>
      </c>
      <c r="N319">
        <v>683</v>
      </c>
      <c r="O319">
        <v>665</v>
      </c>
      <c r="P319">
        <v>456</v>
      </c>
      <c r="Q319" t="s">
        <v>1018</v>
      </c>
      <c r="R319">
        <v>1</v>
      </c>
      <c r="S319" s="7" t="str">
        <f>HYPERLINK("http://exon.niaid.nih.gov/transcriptome/C_felis/S1/links/Sigp/CF-CONTIG_198-SigP.txt","Cyt")</f>
        <v>Cyt</v>
      </c>
      <c r="U319">
        <v>2</v>
      </c>
      <c r="V319" s="4">
        <f>HYPERLINK("http://exon.niaid.nih.gov/transcriptome/C_felis/S1/links/cluster/cf-5-36-asb30-50-Id-CLU48.txt", 48)</f>
        <v>48</v>
      </c>
      <c r="W319">
        <f>HYPERLINK("http://exon.niaid.nih.gov/transcriptome/C_felis/S1/links/cluster/cf-5-36-asb30-50-Id-CLTL48.txt", 2)</f>
        <v>2</v>
      </c>
      <c r="X319" s="4">
        <f>HYPERLINK("http://exon.niaid.nih.gov/transcriptome/C_felis/S1/links/cluster/cf-5-36-asb35-50-Id-CLU41.txt", 41)</f>
        <v>41</v>
      </c>
      <c r="Y319">
        <f>HYPERLINK("http://exon.niaid.nih.gov/transcriptome/C_felis/S1/links/cluster/cf-5-36-asb35-50-Id-CLTL41.txt", 2)</f>
        <v>2</v>
      </c>
      <c r="Z319" s="4">
        <f>HYPERLINK("http://exon.niaid.nih.gov/transcriptome/C_felis/S1/links/cluster/cf-5-36-asb40-50-Id-CLU38.txt", 38)</f>
        <v>38</v>
      </c>
      <c r="AA319">
        <f>HYPERLINK("http://exon.niaid.nih.gov/transcriptome/C_felis/S1/links/cluster/cf-5-36-asb40-50-Id-CLTL38.txt", 2)</f>
        <v>2</v>
      </c>
      <c r="AB319" s="4" t="str">
        <f>HYPERLINK("http://exon.niaid.nih.gov/transcriptome/C_felis/S1/links/XC-ASB/cf-contig_198-XC-ASB.txt","XC-contig_88")</f>
        <v>XC-contig_88</v>
      </c>
      <c r="AC319">
        <v>0.11</v>
      </c>
      <c r="AD319" s="10" t="s">
        <v>4683</v>
      </c>
      <c r="AE319" t="s">
        <v>4605</v>
      </c>
      <c r="AF319" t="str">
        <f>HYPERLINK("http://exon.niaid.nih.gov/transcriptome/C_felis/S1/links/KOG/cf-contig_198-KOG.txt","KOG")</f>
        <v>KOG</v>
      </c>
      <c r="AG319" s="5">
        <v>1.9999999999999998E-71</v>
      </c>
      <c r="AH319">
        <v>96.2</v>
      </c>
      <c r="AI319" s="4" t="str">
        <f>HYPERLINK("http://exon.niaid.nih.gov/transcriptome/C_felis/S1/links/NR/cf-contig_198-NR.txt","GI22348")</f>
        <v>GI22348</v>
      </c>
      <c r="AJ319" t="str">
        <f>HYPERLINK("http://www.ncbi.nlm.nih.gov/sutils/blink.cgi?pid=195112388","6E-078")</f>
        <v>6E-078</v>
      </c>
      <c r="AK319" t="str">
        <f>HYPERLINK("http://www.ncbi.nlm.nih.gov/protein/195112388","gi|195112388")</f>
        <v>gi|195112388</v>
      </c>
      <c r="AL319">
        <v>294</v>
      </c>
      <c r="AM319">
        <v>151</v>
      </c>
      <c r="AN319">
        <v>426</v>
      </c>
      <c r="AO319">
        <v>88</v>
      </c>
      <c r="AP319">
        <v>36</v>
      </c>
      <c r="AQ319">
        <v>18</v>
      </c>
      <c r="AR319">
        <v>0</v>
      </c>
      <c r="AS319">
        <v>275</v>
      </c>
      <c r="AT319">
        <v>1</v>
      </c>
      <c r="AU319">
        <v>1</v>
      </c>
      <c r="AV319">
        <v>1</v>
      </c>
      <c r="AW319" t="s">
        <v>12</v>
      </c>
      <c r="AY319" t="s">
        <v>1676</v>
      </c>
      <c r="AZ319" t="s">
        <v>2326</v>
      </c>
      <c r="BA319" s="4" t="str">
        <f>HYPERLINK("http://exon.niaid.nih.gov/transcriptome/C_felis/S1/links/SWISSP/cf-contig_198-SWISSP.txt","Elongation factor 1-gamma")</f>
        <v>Elongation factor 1-gamma</v>
      </c>
      <c r="BB319" t="str">
        <f>HYPERLINK("http://www.uniprot.org/uniprot/Q9NJH0","3E-075")</f>
        <v>3E-075</v>
      </c>
      <c r="BC319" t="s">
        <v>2397</v>
      </c>
      <c r="BD319">
        <v>281</v>
      </c>
      <c r="BE319">
        <v>151</v>
      </c>
      <c r="BF319">
        <v>431</v>
      </c>
      <c r="BG319">
        <v>82</v>
      </c>
      <c r="BH319">
        <v>35</v>
      </c>
      <c r="BI319">
        <v>26</v>
      </c>
      <c r="BJ319">
        <v>0</v>
      </c>
      <c r="BK319">
        <v>280</v>
      </c>
      <c r="BL319">
        <v>1</v>
      </c>
      <c r="BM319">
        <v>1</v>
      </c>
      <c r="BN319">
        <v>1</v>
      </c>
      <c r="BO319" t="s">
        <v>12</v>
      </c>
      <c r="BQ319" t="s">
        <v>1676</v>
      </c>
      <c r="BR319" t="s">
        <v>1804</v>
      </c>
      <c r="BS319" s="4" t="str">
        <f>HYPERLINK("http://exon.niaid.nih.gov/transcriptome/C_felis/S1/links/CDD/cf-contig_198-CDD.txt","EF1G")</f>
        <v>EF1G</v>
      </c>
      <c r="BT319" t="str">
        <f>HYPERLINK("http://www.ncbi.nlm.nih.gov/Structure/cdd/cddsrv.cgi?uid=pfam00647&amp;version=v4.0","5E-050")</f>
        <v>5E-050</v>
      </c>
      <c r="BU319" t="s">
        <v>2405</v>
      </c>
      <c r="BV319" s="4" t="s">
        <v>2399</v>
      </c>
      <c r="BW319">
        <f>HYPERLINK("http://exon.niaid.nih.gov/transcriptome/C_felis/S1/links/GO/cf-contig_198-GO.txt",2E-75)</f>
        <v>1.9999999999999999E-75</v>
      </c>
      <c r="BX319" t="str">
        <f>HYPERLINK("http://amigo.geneontology.org/cgi-bin/amigo/term_details?term=GO:0003746","GO:0003746")</f>
        <v>GO:0003746</v>
      </c>
      <c r="BY319" t="s">
        <v>2104</v>
      </c>
      <c r="BZ319" t="s">
        <v>2105</v>
      </c>
      <c r="CA319" t="s">
        <v>42</v>
      </c>
      <c r="CB319" t="s">
        <v>42</v>
      </c>
      <c r="CD319" s="5">
        <v>1.9999999999999999E-75</v>
      </c>
      <c r="CE319" t="str">
        <f>HYPERLINK("http://amigo.geneontology.org/cgi-bin/amigo/term_details?term=GO:0005853","GO:0005853")</f>
        <v>GO:0005853</v>
      </c>
      <c r="CF319" t="s">
        <v>2400</v>
      </c>
      <c r="CG319" t="s">
        <v>2401</v>
      </c>
      <c r="CH319" t="s">
        <v>42</v>
      </c>
      <c r="CI319" t="s">
        <v>42</v>
      </c>
      <c r="CK319" s="5">
        <v>1.9999999999999999E-75</v>
      </c>
      <c r="CL319" t="str">
        <f>HYPERLINK("http://amigo.geneontology.org/cgi-bin/amigo/term_details?term=GO:0006414","GO:0006414")</f>
        <v>GO:0006414</v>
      </c>
      <c r="CM319" t="s">
        <v>2402</v>
      </c>
      <c r="CN319" t="s">
        <v>2403</v>
      </c>
      <c r="CO319" t="s">
        <v>2404</v>
      </c>
      <c r="CP319" t="s">
        <v>42</v>
      </c>
      <c r="CR319" s="5">
        <v>1.9999999999999999E-75</v>
      </c>
      <c r="CS319" s="4" t="str">
        <f>HYPERLINK("http://exon.niaid.nih.gov/transcriptome/C_felis/S1/links/KOG/cf-contig_198-KOG.txt","Translation elongation factor EF-1 gamma")</f>
        <v>Translation elongation factor EF-1 gamma</v>
      </c>
      <c r="CT319" t="str">
        <f>HYPERLINK("http://www.ncbi.nlm.nih.gov/COG/grace/shokog.cgi?KOG1627","2E-071")</f>
        <v>2E-071</v>
      </c>
      <c r="CU319" t="s">
        <v>1707</v>
      </c>
      <c r="CV319" s="4" t="str">
        <f>HYPERLINK("http://exon.niaid.nih.gov/transcriptome/C_felis/S1/links/PFAM/cf-contig_198-PFAM.txt","EF1G")</f>
        <v>EF1G</v>
      </c>
      <c r="CW319" t="str">
        <f>HYPERLINK("http://pfam.sanger.ac.uk/family?acc=PF00647","1E-050")</f>
        <v>1E-050</v>
      </c>
      <c r="CX319" s="4" t="str">
        <f>HYPERLINK("http://exon.niaid.nih.gov/transcriptome/C_felis/S1/links/SMART/cf-contig_198-SMART.txt","PAW")</f>
        <v>PAW</v>
      </c>
      <c r="CY319" t="str">
        <f>HYPERLINK("http://smart.embl-heidelberg.de/smart/do_annotation.pl?DOMAIN=PAW&amp;BLAST=DUMMY","0.27")</f>
        <v>0.27</v>
      </c>
      <c r="CZ319" s="4" t="s">
        <v>42</v>
      </c>
      <c r="DA319" t="s">
        <v>42</v>
      </c>
      <c r="DB319" t="s">
        <v>42</v>
      </c>
      <c r="DC319" t="s">
        <v>42</v>
      </c>
      <c r="DD319" t="s">
        <v>42</v>
      </c>
      <c r="DE319" t="s">
        <v>42</v>
      </c>
      <c r="DF319" t="s">
        <v>42</v>
      </c>
      <c r="DG319" t="s">
        <v>42</v>
      </c>
      <c r="DH319" s="4" t="s">
        <v>42</v>
      </c>
      <c r="DI319" t="s">
        <v>42</v>
      </c>
      <c r="DJ319" s="4" t="s">
        <v>42</v>
      </c>
      <c r="DK319" t="s">
        <v>42</v>
      </c>
      <c r="DL319" s="4">
        <f>HYPERLINK("http://exon.niaid.nih.gov/transcriptome/C_felis/S1/links/cluster/cf-5-36-asb30-50-Id-CLU48.txt", 48)</f>
        <v>48</v>
      </c>
      <c r="DM319">
        <f>HYPERLINK("http://exon.niaid.nih.gov/transcriptome/C_felis/S1/links/cluster/cf-5-36-asb30-50-Id-CLTL48.txt", 2)</f>
        <v>2</v>
      </c>
      <c r="DN319" s="4">
        <f>HYPERLINK("http://exon.niaid.nih.gov/transcriptome/C_felis/S1/links/cluster/cf-5-36-asb35-50-Id-CLU41.txt", 41)</f>
        <v>41</v>
      </c>
      <c r="DO319">
        <f>HYPERLINK("http://exon.niaid.nih.gov/transcriptome/C_felis/S1/links/cluster/cf-5-36-asb35-50-Id-CLTL41.txt", 2)</f>
        <v>2</v>
      </c>
      <c r="DP319" s="4">
        <f>HYPERLINK("http://exon.niaid.nih.gov/transcriptome/C_felis/S1/links/cluster/cf-5-36-asb40-50-Id-CLU38.txt", 38)</f>
        <v>38</v>
      </c>
      <c r="DQ319">
        <f>HYPERLINK("http://exon.niaid.nih.gov/transcriptome/C_felis/S1/links/cluster/cf-5-36-asb40-50-Id-CLTL38.txt", 2)</f>
        <v>2</v>
      </c>
      <c r="DR319" s="4">
        <f>HYPERLINK("http://exon.niaid.nih.gov/transcriptome/C_felis/S1/links/cluster/cf-5-36-asb45-50-Id-CLU35.txt", 35)</f>
        <v>35</v>
      </c>
      <c r="DS319">
        <f>HYPERLINK("http://exon.niaid.nih.gov/transcriptome/C_felis/S1/links/cluster/cf-5-36-asb45-50-Id-CLTL35.txt", 2)</f>
        <v>2</v>
      </c>
      <c r="DT319" s="4">
        <f>HYPERLINK("http://exon.niaid.nih.gov/transcriptome/C_felis/S1/links/cluster/cf-5-36-asb50-50-Id-CLU31.txt", 31)</f>
        <v>31</v>
      </c>
      <c r="DU319">
        <f>HYPERLINK("http://exon.niaid.nih.gov/transcriptome/C_felis/S1/links/cluster/cf-5-36-asb50-50-Id-CLTL31.txt", 2)</f>
        <v>2</v>
      </c>
      <c r="DV319" s="4">
        <f>HYPERLINK("http://exon.niaid.nih.gov/transcriptome/C_felis/S1/links/cluster/cf-5-36-asb55-50-Id-CLU29.txt", 29)</f>
        <v>29</v>
      </c>
      <c r="DW319">
        <f>HYPERLINK("http://exon.niaid.nih.gov/transcriptome/C_felis/S1/links/cluster/cf-5-36-asb55-50-Id-CLTL29.txt", 2)</f>
        <v>2</v>
      </c>
      <c r="DX319" s="4">
        <f>HYPERLINK("http://exon.niaid.nih.gov/transcriptome/C_felis/S1/links/cluster/cf-5-36-asb60-50-Id-CLU26.txt", 26)</f>
        <v>26</v>
      </c>
      <c r="DY319">
        <f>HYPERLINK("http://exon.niaid.nih.gov/transcriptome/C_felis/S1/links/cluster/cf-5-36-asb60-50-Id-CLTL26.txt", 2)</f>
        <v>2</v>
      </c>
      <c r="DZ319" s="4">
        <f>HYPERLINK("http://exon.niaid.nih.gov/transcriptome/C_felis/S1/links/cluster/cf-5-36-asb65-50-Id-CLU22.txt", 22)</f>
        <v>22</v>
      </c>
      <c r="EA319">
        <f>HYPERLINK("http://exon.niaid.nih.gov/transcriptome/C_felis/S1/links/cluster/cf-5-36-asb65-50-Id-CLTL22.txt", 2)</f>
        <v>2</v>
      </c>
      <c r="EB319" s="4">
        <f>HYPERLINK("http://exon.niaid.nih.gov/transcriptome/C_felis/S1/links/cluster/cf-5-36-asb70-50-Id-CLU17.txt", 17)</f>
        <v>17</v>
      </c>
      <c r="EC319">
        <f>HYPERLINK("http://exon.niaid.nih.gov/transcriptome/C_felis/S1/links/cluster/cf-5-36-asb70-50-Id-CLTL17.txt", 2)</f>
        <v>2</v>
      </c>
      <c r="ED319" s="4">
        <v>192</v>
      </c>
      <c r="EE319">
        <v>1</v>
      </c>
      <c r="EF319" s="4">
        <v>193</v>
      </c>
      <c r="EG319">
        <v>1</v>
      </c>
      <c r="EH319" s="4">
        <v>193</v>
      </c>
      <c r="EI319">
        <v>1</v>
      </c>
      <c r="EJ319" s="4">
        <v>198</v>
      </c>
      <c r="EK319">
        <v>1</v>
      </c>
    </row>
    <row r="320" spans="1:141" x14ac:dyDescent="0.2">
      <c r="A320" t="str">
        <f>HYPERLINK("http://exon.niaid.nih.gov/transcriptome/C_felis/S1/links/cf/cf-contig_751.txt","cf-contig_751")</f>
        <v>cf-contig_751</v>
      </c>
      <c r="B320">
        <v>1</v>
      </c>
      <c r="C320" s="10" t="s">
        <v>4866</v>
      </c>
      <c r="D320">
        <v>1</v>
      </c>
      <c r="E320" t="str">
        <f>HYPERLINK("http://exon.niaid.nih.gov/transcriptome/C_felis/S1/links/cf/cf-5-36-asb-751.txt","Contig-751")</f>
        <v>Contig-751</v>
      </c>
      <c r="F320" t="str">
        <f>HYPERLINK("http://exon.niaid.nih.gov/transcriptome/C_felis/S1/links/cf/cf-5-36-751-CLU.txt","Contig751")</f>
        <v>Contig751</v>
      </c>
      <c r="G320" t="str">
        <f>HYPERLINK("http://exon.niaid.nih.gov/transcriptome/C_felis/S1/links/cf/cf-5-36-751-qual.txt","63.7")</f>
        <v>63.7</v>
      </c>
      <c r="H320" t="s">
        <v>11</v>
      </c>
      <c r="I320">
        <v>64.099999999999994</v>
      </c>
      <c r="J320">
        <v>627</v>
      </c>
      <c r="K320" t="s">
        <v>12</v>
      </c>
      <c r="L320">
        <v>1</v>
      </c>
      <c r="M320" t="s">
        <v>764</v>
      </c>
      <c r="N320">
        <v>627</v>
      </c>
      <c r="O320">
        <v>646</v>
      </c>
      <c r="P320">
        <v>546</v>
      </c>
      <c r="Q320" t="s">
        <v>1570</v>
      </c>
      <c r="R320">
        <v>2</v>
      </c>
      <c r="S320" s="7" t="str">
        <f>HYPERLINK("http://exon.niaid.nih.gov/transcriptome/C_felis/S1/links/Sigp/CF-CONTIG_751-SigP.txt","Cyt")</f>
        <v>Cyt</v>
      </c>
      <c r="U320">
        <v>1</v>
      </c>
      <c r="V320" s="4">
        <v>604</v>
      </c>
      <c r="W320">
        <v>1</v>
      </c>
      <c r="X320" s="4">
        <v>624</v>
      </c>
      <c r="Y320">
        <v>1</v>
      </c>
      <c r="Z320" s="4">
        <v>638</v>
      </c>
      <c r="AA320">
        <v>1</v>
      </c>
      <c r="AB320" s="4" t="str">
        <f>HYPERLINK("http://exon.niaid.nih.gov/transcriptome/C_felis/S1/links/XC-ASB/cf-contig_751-XC-ASB.txt","XC-contig_42")</f>
        <v>XC-contig_42</v>
      </c>
      <c r="AC320">
        <v>0.11</v>
      </c>
      <c r="AD320" s="10" t="s">
        <v>4866</v>
      </c>
      <c r="AE320" t="s">
        <v>4605</v>
      </c>
      <c r="AF320" t="str">
        <f>HYPERLINK("http://exon.niaid.nih.gov/transcriptome/C_felis/S1/links/KOG/cf-contig_751-KOG.txt","KOG")</f>
        <v>KOG</v>
      </c>
      <c r="AG320" s="5">
        <v>3.0000000000000002E-77</v>
      </c>
      <c r="AH320">
        <v>37.200000000000003</v>
      </c>
      <c r="AI320" s="4" t="str">
        <f>HYPERLINK("http://exon.niaid.nih.gov/transcriptome/C_felis/S1/links/NR/cf-contig_751-NR.txt","similar to putative eukaryotic translation initiation factor 3 subunit 6")</f>
        <v>similar to putative eukaryotic translation initiation factor 3 subunit 6</v>
      </c>
      <c r="AJ320" t="str">
        <f>HYPERLINK("http://www.ncbi.nlm.nih.gov/sutils/blink.cgi?pid=91079354","1E-082")</f>
        <v>1E-082</v>
      </c>
      <c r="AK320" t="str">
        <f>HYPERLINK("http://www.ncbi.nlm.nih.gov/protein/91079354","gi|91079354")</f>
        <v>gi|91079354</v>
      </c>
      <c r="AL320">
        <v>310</v>
      </c>
      <c r="AM320">
        <v>169</v>
      </c>
      <c r="AN320">
        <v>440</v>
      </c>
      <c r="AO320">
        <v>87</v>
      </c>
      <c r="AP320">
        <v>39</v>
      </c>
      <c r="AQ320">
        <v>21</v>
      </c>
      <c r="AR320">
        <v>0</v>
      </c>
      <c r="AS320">
        <v>271</v>
      </c>
      <c r="AT320">
        <v>35</v>
      </c>
      <c r="AU320">
        <v>1</v>
      </c>
      <c r="AV320">
        <v>2</v>
      </c>
      <c r="AW320" t="s">
        <v>12</v>
      </c>
      <c r="AY320" t="s">
        <v>1676</v>
      </c>
      <c r="AZ320" t="s">
        <v>1878</v>
      </c>
      <c r="BA320" s="4" t="str">
        <f>HYPERLINK("http://exon.niaid.nih.gov/transcriptome/C_felis/S1/links/SWISSP/cf-contig_751-SWISSP.txt","Eukaryotic translation initiation factor 3 subunit E")</f>
        <v>Eukaryotic translation initiation factor 3 subunit E</v>
      </c>
      <c r="BB320" t="str">
        <f>HYPERLINK("http://www.uniprot.org/uniprot/Q2F5R8","3E-083")</f>
        <v>3E-083</v>
      </c>
      <c r="BC320" t="s">
        <v>4390</v>
      </c>
      <c r="BD320">
        <v>307</v>
      </c>
      <c r="BE320">
        <v>171</v>
      </c>
      <c r="BF320">
        <v>445</v>
      </c>
      <c r="BG320">
        <v>86</v>
      </c>
      <c r="BH320">
        <v>39</v>
      </c>
      <c r="BI320">
        <v>23</v>
      </c>
      <c r="BJ320">
        <v>0</v>
      </c>
      <c r="BK320">
        <v>274</v>
      </c>
      <c r="BL320">
        <v>32</v>
      </c>
      <c r="BM320">
        <v>1</v>
      </c>
      <c r="BN320">
        <v>2</v>
      </c>
      <c r="BO320" t="s">
        <v>12</v>
      </c>
      <c r="BQ320" t="s">
        <v>1676</v>
      </c>
      <c r="BR320" t="s">
        <v>2037</v>
      </c>
      <c r="BS320" s="4" t="str">
        <f>HYPERLINK("http://exon.niaid.nih.gov/transcriptome/C_felis/S1/links/CDD/cf-contig_751-CDD.txt","PCI")</f>
        <v>PCI</v>
      </c>
      <c r="BT320" t="str">
        <f>HYPERLINK("http://www.ncbi.nlm.nih.gov/Structure/cdd/cddsrv.cgi?uid=pfam01399&amp;version=v4.0","5E-020")</f>
        <v>5E-020</v>
      </c>
      <c r="BU320" t="s">
        <v>4391</v>
      </c>
      <c r="BV320" s="4" t="s">
        <v>4392</v>
      </c>
      <c r="BW320">
        <f>HYPERLINK("http://exon.niaid.nih.gov/transcriptome/C_felis/S1/links/GO/cf-contig_751-GO.txt",2E-75)</f>
        <v>1.9999999999999999E-75</v>
      </c>
      <c r="BX320" t="str">
        <f>HYPERLINK("http://amigo.geneontology.org/cgi-bin/amigo/term_details?term=GO:0003743","GO:0003743")</f>
        <v>GO:0003743</v>
      </c>
      <c r="BY320" t="s">
        <v>3867</v>
      </c>
      <c r="BZ320" t="s">
        <v>3868</v>
      </c>
      <c r="CA320" t="s">
        <v>42</v>
      </c>
      <c r="CB320" t="s">
        <v>42</v>
      </c>
      <c r="CD320" s="5">
        <v>1.9999999999999999E-75</v>
      </c>
      <c r="CE320" t="str">
        <f>HYPERLINK("http://amigo.geneontology.org/cgi-bin/amigo/term_details?term=GO:0005852","GO:0005852")</f>
        <v>GO:0005852</v>
      </c>
      <c r="CF320" t="s">
        <v>4393</v>
      </c>
      <c r="CG320" t="s">
        <v>4394</v>
      </c>
      <c r="CH320" t="s">
        <v>4395</v>
      </c>
      <c r="CI320" t="s">
        <v>42</v>
      </c>
      <c r="CK320" s="5">
        <v>1.9999999999999999E-75</v>
      </c>
      <c r="CL320" t="str">
        <f>HYPERLINK("http://amigo.geneontology.org/cgi-bin/amigo/term_details?term=GO:0006413","GO:0006413")</f>
        <v>GO:0006413</v>
      </c>
      <c r="CM320" t="s">
        <v>3869</v>
      </c>
      <c r="CN320" t="s">
        <v>3870</v>
      </c>
      <c r="CO320" t="s">
        <v>3871</v>
      </c>
      <c r="CP320" t="s">
        <v>42</v>
      </c>
      <c r="CR320" s="5">
        <v>1.9999999999999999E-75</v>
      </c>
      <c r="CS320" s="4" t="str">
        <f>HYPERLINK("http://exon.niaid.nih.gov/transcriptome/C_felis/S1/links/KOG/cf-contig_751-KOG.txt","Translation initiation factor 3, subunit e (eIF-3e)")</f>
        <v>Translation initiation factor 3, subunit e (eIF-3e)</v>
      </c>
      <c r="CT320" t="str">
        <f>HYPERLINK("http://www.ncbi.nlm.nih.gov/COG/grace/shokog.cgi?KOG2758","3E-077")</f>
        <v>3E-077</v>
      </c>
      <c r="CU320" t="s">
        <v>1707</v>
      </c>
      <c r="CV320" s="4" t="str">
        <f>HYPERLINK("http://exon.niaid.nih.gov/transcriptome/C_felis/S1/links/PFAM/cf-contig_751-PFAM.txt","PCI")</f>
        <v>PCI</v>
      </c>
      <c r="CW320" t="str">
        <f>HYPERLINK("http://pfam.sanger.ac.uk/family?acc=PF01399","1E-020")</f>
        <v>1E-020</v>
      </c>
      <c r="CX320" s="4" t="str">
        <f>HYPERLINK("http://exon.niaid.nih.gov/transcriptome/C_felis/S1/links/SMART/cf-contig_751-SMART.txt","PAM")</f>
        <v>PAM</v>
      </c>
      <c r="CY320" t="str">
        <f>HYPERLINK("http://smart.embl-heidelberg.de/smart/do_annotation.pl?DOMAIN=PAM&amp;BLAST=DUMMY","3E-014")</f>
        <v>3E-014</v>
      </c>
      <c r="CZ320" s="4" t="s">
        <v>42</v>
      </c>
      <c r="DA320" t="s">
        <v>42</v>
      </c>
      <c r="DB320" t="s">
        <v>42</v>
      </c>
      <c r="DC320" t="s">
        <v>42</v>
      </c>
      <c r="DD320" t="s">
        <v>42</v>
      </c>
      <c r="DE320" t="s">
        <v>42</v>
      </c>
      <c r="DF320" t="s">
        <v>42</v>
      </c>
      <c r="DG320" t="s">
        <v>42</v>
      </c>
      <c r="DH320" s="4" t="s">
        <v>42</v>
      </c>
      <c r="DI320" t="s">
        <v>42</v>
      </c>
      <c r="DJ320" s="4" t="s">
        <v>42</v>
      </c>
      <c r="DK320" t="s">
        <v>42</v>
      </c>
      <c r="DL320" s="4">
        <v>604</v>
      </c>
      <c r="DM320">
        <v>1</v>
      </c>
      <c r="DN320" s="4">
        <v>624</v>
      </c>
      <c r="DO320">
        <v>1</v>
      </c>
      <c r="DP320" s="4">
        <v>638</v>
      </c>
      <c r="DQ320">
        <v>1</v>
      </c>
      <c r="DR320" s="4">
        <v>660</v>
      </c>
      <c r="DS320">
        <v>1</v>
      </c>
      <c r="DT320" s="4">
        <v>675</v>
      </c>
      <c r="DU320">
        <v>1</v>
      </c>
      <c r="DV320" s="4">
        <v>690</v>
      </c>
      <c r="DW320">
        <v>1</v>
      </c>
      <c r="DX320" s="4">
        <v>702</v>
      </c>
      <c r="DY320">
        <v>1</v>
      </c>
      <c r="DZ320" s="4">
        <v>713</v>
      </c>
      <c r="EA320">
        <v>1</v>
      </c>
      <c r="EB320" s="4">
        <v>719</v>
      </c>
      <c r="EC320">
        <v>1</v>
      </c>
      <c r="ED320" s="4">
        <v>724</v>
      </c>
      <c r="EE320">
        <v>1</v>
      </c>
      <c r="EF320" s="4">
        <v>730</v>
      </c>
      <c r="EG320">
        <v>1</v>
      </c>
      <c r="EH320" s="4">
        <v>742</v>
      </c>
      <c r="EI320">
        <v>1</v>
      </c>
      <c r="EJ320" s="4">
        <v>751</v>
      </c>
      <c r="EK320">
        <v>1</v>
      </c>
    </row>
    <row r="321" spans="1:141" x14ac:dyDescent="0.2">
      <c r="A321" t="str">
        <f>HYPERLINK("http://exon.niaid.nih.gov/transcriptome/C_felis/S1/links/cf/cf-contig_531.txt","cf-contig_531")</f>
        <v>cf-contig_531</v>
      </c>
      <c r="B321">
        <v>1</v>
      </c>
      <c r="C321" s="10" t="s">
        <v>4795</v>
      </c>
      <c r="D321">
        <v>1</v>
      </c>
      <c r="E321" t="str">
        <f>HYPERLINK("http://exon.niaid.nih.gov/transcriptome/C_felis/S1/links/cf/cf-5-36-asb-531.txt","Contig-531")</f>
        <v>Contig-531</v>
      </c>
      <c r="F321" t="str">
        <f>HYPERLINK("http://exon.niaid.nih.gov/transcriptome/C_felis/S1/links/cf/cf-5-36-531-CLU.txt","Contig531")</f>
        <v>Contig531</v>
      </c>
      <c r="G321" t="str">
        <f>HYPERLINK("http://exon.niaid.nih.gov/transcriptome/C_felis/S1/links/cf/cf-5-36-531-qual.txt","65.4")</f>
        <v>65.4</v>
      </c>
      <c r="H321" t="s">
        <v>11</v>
      </c>
      <c r="I321">
        <v>62.7</v>
      </c>
      <c r="J321">
        <v>558</v>
      </c>
      <c r="K321" t="s">
        <v>12</v>
      </c>
      <c r="L321">
        <v>1</v>
      </c>
      <c r="M321" t="s">
        <v>544</v>
      </c>
      <c r="N321">
        <v>558</v>
      </c>
      <c r="O321">
        <v>577</v>
      </c>
      <c r="P321">
        <v>447</v>
      </c>
      <c r="Q321" t="s">
        <v>1350</v>
      </c>
      <c r="R321">
        <v>3</v>
      </c>
      <c r="S321" s="7" t="str">
        <f>HYPERLINK("http://exon.niaid.nih.gov/transcriptome/C_felis/S1/links/Sigp/CF-CONTIG_531-SigP.txt","Cyt")</f>
        <v>Cyt</v>
      </c>
      <c r="U321">
        <v>1</v>
      </c>
      <c r="V321" s="4">
        <v>434</v>
      </c>
      <c r="W321">
        <v>1</v>
      </c>
      <c r="X321" s="4">
        <v>444</v>
      </c>
      <c r="Y321">
        <v>1</v>
      </c>
      <c r="Z321" s="4">
        <v>449</v>
      </c>
      <c r="AA321">
        <v>1</v>
      </c>
      <c r="AB321" s="4" t="str">
        <f>HYPERLINK("http://exon.niaid.nih.gov/transcriptome/C_felis/S1/links/XC-ASB/cf-contig_531-XC-ASB.txt","XC-contig_219")</f>
        <v>XC-contig_219</v>
      </c>
      <c r="AC321">
        <v>0.45</v>
      </c>
      <c r="AD321" s="10" t="s">
        <v>4795</v>
      </c>
      <c r="AE321" t="s">
        <v>4605</v>
      </c>
      <c r="AF321" t="str">
        <f>HYPERLINK("http://exon.niaid.nih.gov/transcriptome/C_felis/S1/links/KOG/cf-contig_531-KOG.txt","KOG")</f>
        <v>KOG</v>
      </c>
      <c r="AG321" s="5">
        <v>1.0000000000000001E-63</v>
      </c>
      <c r="AH321">
        <v>37.200000000000003</v>
      </c>
      <c r="AI321" s="4" t="str">
        <f>HYPERLINK("http://exon.niaid.nih.gov/transcriptome/C_felis/S1/links/NR/cf-contig_531-NR.txt","Eukaryotic initiation factor 4A-II")</f>
        <v>Eukaryotic initiation factor 4A-II</v>
      </c>
      <c r="AJ321" t="str">
        <f>HYPERLINK("http://www.ncbi.nlm.nih.gov/sutils/blink.cgi?pid=332026541","2E-077")</f>
        <v>2E-077</v>
      </c>
      <c r="AK321" t="str">
        <f>HYPERLINK("http://www.ncbi.nlm.nih.gov/protein/332026541","gi|332026541")</f>
        <v>gi|332026541</v>
      </c>
      <c r="AL321">
        <v>292</v>
      </c>
      <c r="AM321">
        <v>147</v>
      </c>
      <c r="AN321">
        <v>423</v>
      </c>
      <c r="AO321">
        <v>96</v>
      </c>
      <c r="AP321">
        <v>35</v>
      </c>
      <c r="AQ321">
        <v>5</v>
      </c>
      <c r="AR321">
        <v>0</v>
      </c>
      <c r="AS321">
        <v>276</v>
      </c>
      <c r="AT321">
        <v>6</v>
      </c>
      <c r="AU321">
        <v>1</v>
      </c>
      <c r="AV321">
        <v>3</v>
      </c>
      <c r="AW321" t="s">
        <v>12</v>
      </c>
      <c r="AY321" t="s">
        <v>1676</v>
      </c>
      <c r="AZ321" t="s">
        <v>1900</v>
      </c>
      <c r="BA321" s="4" t="str">
        <f>HYPERLINK("http://exon.niaid.nih.gov/transcriptome/C_felis/S1/links/SWISSP/cf-contig_531-SWISSP.txt","Eukaryotic initiation factor 4A-II")</f>
        <v>Eukaryotic initiation factor 4A-II</v>
      </c>
      <c r="BB321" t="str">
        <f>HYPERLINK("http://www.uniprot.org/uniprot/Q5RKI1","1E-071")</f>
        <v>1E-071</v>
      </c>
      <c r="BC321" t="s">
        <v>3609</v>
      </c>
      <c r="BD321">
        <v>268</v>
      </c>
      <c r="BE321">
        <v>147</v>
      </c>
      <c r="BF321">
        <v>407</v>
      </c>
      <c r="BG321">
        <v>88</v>
      </c>
      <c r="BH321">
        <v>36</v>
      </c>
      <c r="BI321">
        <v>17</v>
      </c>
      <c r="BJ321">
        <v>0</v>
      </c>
      <c r="BK321">
        <v>260</v>
      </c>
      <c r="BL321">
        <v>6</v>
      </c>
      <c r="BM321">
        <v>1</v>
      </c>
      <c r="BN321">
        <v>3</v>
      </c>
      <c r="BO321" t="s">
        <v>12</v>
      </c>
      <c r="BQ321" t="s">
        <v>1676</v>
      </c>
      <c r="BR321" t="s">
        <v>1684</v>
      </c>
      <c r="BS321" s="4" t="str">
        <f>HYPERLINK("http://exon.niaid.nih.gov/transcriptome/C_felis/S1/links/CDD/cf-contig_531-CDD.txt","PTZ00424")</f>
        <v>PTZ00424</v>
      </c>
      <c r="BT321" t="str">
        <f>HYPERLINK("http://www.ncbi.nlm.nih.gov/Structure/cdd/cddsrv.cgi?uid=PTZ00424&amp;version=v4.0","1E-079")</f>
        <v>1E-079</v>
      </c>
      <c r="BU321" t="s">
        <v>3610</v>
      </c>
      <c r="BV321" s="4" t="s">
        <v>3611</v>
      </c>
      <c r="BW321">
        <f>HYPERLINK("http://exon.niaid.nih.gov/transcriptome/C_felis/S1/links/GO/cf-contig_531-GO.txt",1E-71)</f>
        <v>9.9999999999999992E-72</v>
      </c>
      <c r="BX321" t="str">
        <f>HYPERLINK("http://amigo.geneontology.org/cgi-bin/amigo/term_details?term=GO:0000166","GO:0000166")</f>
        <v>GO:0000166</v>
      </c>
      <c r="BY321" t="s">
        <v>2415</v>
      </c>
      <c r="BZ321" t="s">
        <v>2416</v>
      </c>
      <c r="CA321" t="s">
        <v>42</v>
      </c>
      <c r="CB321" t="s">
        <v>42</v>
      </c>
      <c r="CD321" s="5">
        <v>9.9999999999999992E-72</v>
      </c>
      <c r="CE321" t="str">
        <f>HYPERLINK("http://amigo.geneontology.org/cgi-bin/amigo/term_details?term=GO:0005829","GO:0005829")</f>
        <v>GO:0005829</v>
      </c>
      <c r="CF321" t="s">
        <v>2106</v>
      </c>
      <c r="CG321" t="s">
        <v>2107</v>
      </c>
      <c r="CH321" t="s">
        <v>42</v>
      </c>
      <c r="CI321" t="s">
        <v>42</v>
      </c>
      <c r="CK321" s="5">
        <v>9.9999999999999992E-72</v>
      </c>
      <c r="CL321" t="str">
        <f>HYPERLINK("http://amigo.geneontology.org/cgi-bin/amigo/term_details?term=GO:0000288","GO:0000288")</f>
        <v>GO:0000288</v>
      </c>
      <c r="CM321" t="s">
        <v>3612</v>
      </c>
      <c r="CN321" t="s">
        <v>3613</v>
      </c>
      <c r="CO321" t="s">
        <v>3614</v>
      </c>
      <c r="CP321" t="s">
        <v>42</v>
      </c>
      <c r="CR321" s="5">
        <v>9.9999999999999992E-72</v>
      </c>
      <c r="CS321" s="4" t="str">
        <f>HYPERLINK("http://exon.niaid.nih.gov/transcriptome/C_felis/S1/links/KOG/cf-contig_531-KOG.txt","Predicted ATP-dependent RNA helicase FAL1, involved in rRNA maturation, DEAD-box superfamily")</f>
        <v>Predicted ATP-dependent RNA helicase FAL1, involved in rRNA maturation, DEAD-box superfamily</v>
      </c>
      <c r="CT321" t="str">
        <f>HYPERLINK("http://www.ncbi.nlm.nih.gov/COG/grace/shokog.cgi?KOG0328","1E-073")</f>
        <v>1E-073</v>
      </c>
      <c r="CU321" t="s">
        <v>1707</v>
      </c>
      <c r="CV321" s="4" t="str">
        <f>HYPERLINK("http://exon.niaid.nih.gov/transcriptome/C_felis/S1/links/PFAM/cf-contig_531-PFAM.txt","Helicase_C")</f>
        <v>Helicase_C</v>
      </c>
      <c r="CW321" t="str">
        <f>HYPERLINK("http://pfam.sanger.ac.uk/family?acc=PF00271","4E-028")</f>
        <v>4E-028</v>
      </c>
      <c r="CX321" s="4" t="str">
        <f>HYPERLINK("http://exon.niaid.nih.gov/transcriptome/C_felis/S1/links/SMART/cf-contig_531-SMART.txt","HELICc")</f>
        <v>HELICc</v>
      </c>
      <c r="CY321" t="str">
        <f>HYPERLINK("http://smart.embl-heidelberg.de/smart/do_annotation.pl?DOMAIN=HELICc&amp;BLAST=DUMMY","9E-029")</f>
        <v>9E-029</v>
      </c>
      <c r="CZ321" s="4" t="s">
        <v>42</v>
      </c>
      <c r="DA321" t="s">
        <v>42</v>
      </c>
      <c r="DB321" t="s">
        <v>42</v>
      </c>
      <c r="DC321" t="s">
        <v>42</v>
      </c>
      <c r="DD321" t="s">
        <v>42</v>
      </c>
      <c r="DE321" t="s">
        <v>42</v>
      </c>
      <c r="DF321" t="s">
        <v>42</v>
      </c>
      <c r="DG321" t="s">
        <v>42</v>
      </c>
      <c r="DH321" s="4" t="s">
        <v>42</v>
      </c>
      <c r="DI321" t="s">
        <v>42</v>
      </c>
      <c r="DJ321" s="4" t="s">
        <v>42</v>
      </c>
      <c r="DK321" t="s">
        <v>42</v>
      </c>
      <c r="DL321" s="4">
        <v>434</v>
      </c>
      <c r="DM321">
        <v>1</v>
      </c>
      <c r="DN321" s="4">
        <v>444</v>
      </c>
      <c r="DO321">
        <v>1</v>
      </c>
      <c r="DP321" s="4">
        <v>449</v>
      </c>
      <c r="DQ321">
        <v>1</v>
      </c>
      <c r="DR321" s="4">
        <v>464</v>
      </c>
      <c r="DS321">
        <v>1</v>
      </c>
      <c r="DT321" s="4">
        <v>476</v>
      </c>
      <c r="DU321">
        <v>1</v>
      </c>
      <c r="DV321" s="4">
        <v>490</v>
      </c>
      <c r="DW321">
        <v>1</v>
      </c>
      <c r="DX321" s="4">
        <v>496</v>
      </c>
      <c r="DY321">
        <v>1</v>
      </c>
      <c r="DZ321" s="4">
        <v>504</v>
      </c>
      <c r="EA321">
        <v>1</v>
      </c>
      <c r="EB321" s="4">
        <v>509</v>
      </c>
      <c r="EC321">
        <v>1</v>
      </c>
      <c r="ED321" s="4">
        <v>513</v>
      </c>
      <c r="EE321">
        <v>1</v>
      </c>
      <c r="EF321" s="4">
        <v>518</v>
      </c>
      <c r="EG321">
        <v>1</v>
      </c>
      <c r="EH321" s="4">
        <v>524</v>
      </c>
      <c r="EI321">
        <v>1</v>
      </c>
      <c r="EJ321" s="4">
        <v>531</v>
      </c>
      <c r="EK321">
        <v>1</v>
      </c>
    </row>
    <row r="322" spans="1:141" x14ac:dyDescent="0.2">
      <c r="A322" t="str">
        <f>HYPERLINK("http://exon.niaid.nih.gov/transcriptome/C_felis/S1/links/cf/cf-contig_646.txt","cf-contig_646")</f>
        <v>cf-contig_646</v>
      </c>
      <c r="B322">
        <v>1</v>
      </c>
      <c r="C322" s="10" t="s">
        <v>4835</v>
      </c>
      <c r="D322">
        <v>1</v>
      </c>
      <c r="E322" t="str">
        <f>HYPERLINK("http://exon.niaid.nih.gov/transcriptome/C_felis/S1/links/cf/cf-5-36-asb-646.txt","Contig-646")</f>
        <v>Contig-646</v>
      </c>
      <c r="F322" t="str">
        <f>HYPERLINK("http://exon.niaid.nih.gov/transcriptome/C_felis/S1/links/cf/cf-5-36-646-CLU.txt","Contig646")</f>
        <v>Contig646</v>
      </c>
      <c r="G322" t="str">
        <f>HYPERLINK("http://exon.niaid.nih.gov/transcriptome/C_felis/S1/links/cf/cf-5-36-646-qual.txt","62.9")</f>
        <v>62.9</v>
      </c>
      <c r="H322" t="s">
        <v>11</v>
      </c>
      <c r="I322">
        <v>68.8</v>
      </c>
      <c r="J322">
        <v>257</v>
      </c>
      <c r="K322" t="s">
        <v>12</v>
      </c>
      <c r="L322">
        <v>1</v>
      </c>
      <c r="M322" t="s">
        <v>659</v>
      </c>
      <c r="N322">
        <v>257</v>
      </c>
      <c r="O322">
        <v>276</v>
      </c>
      <c r="P322">
        <v>180</v>
      </c>
      <c r="Q322" t="s">
        <v>1465</v>
      </c>
      <c r="R322">
        <v>2</v>
      </c>
      <c r="S322" s="7" t="s">
        <v>4585</v>
      </c>
      <c r="U322">
        <v>1</v>
      </c>
      <c r="V322" s="4">
        <v>528</v>
      </c>
      <c r="W322">
        <v>1</v>
      </c>
      <c r="X322" s="4">
        <v>540</v>
      </c>
      <c r="Y322">
        <v>1</v>
      </c>
      <c r="Z322" s="4">
        <v>551</v>
      </c>
      <c r="AA322">
        <v>1</v>
      </c>
      <c r="AB322" s="4" t="str">
        <f>HYPERLINK("http://exon.niaid.nih.gov/transcriptome/C_felis/S1/links/XC-ASB/cf-contig_646-XC-ASB.txt","XC-contig_176")</f>
        <v>XC-contig_176</v>
      </c>
      <c r="AC322">
        <v>5.8999999999999997E-2</v>
      </c>
      <c r="AD322" s="10" t="s">
        <v>4835</v>
      </c>
      <c r="AE322" t="s">
        <v>4605</v>
      </c>
      <c r="AF322" t="str">
        <f>HYPERLINK("http://exon.niaid.nih.gov/transcriptome/C_felis/S1/links/PFAM/cf-contig_646-PFAM.txt","PFAM")</f>
        <v>PFAM</v>
      </c>
      <c r="AG322" s="5">
        <v>6.9999999999999993E-24</v>
      </c>
      <c r="AH322">
        <v>98.4</v>
      </c>
      <c r="AI322" s="4" t="str">
        <f>HYPERLINK("http://exon.niaid.nih.gov/transcriptome/C_felis/S1/links/NR/cf-contig_646-NR.txt","hypothetical protein")</f>
        <v>hypothetical protein</v>
      </c>
      <c r="AJ322" t="str">
        <f>HYPERLINK("http://www.ncbi.nlm.nih.gov/sutils/blink.cgi?pid=91085719","3E-020")</f>
        <v>3E-020</v>
      </c>
      <c r="AK322" t="str">
        <f>HYPERLINK("http://www.ncbi.nlm.nih.gov/protein/91085719","gi|91085719")</f>
        <v>gi|91085719</v>
      </c>
      <c r="AL322">
        <v>102</v>
      </c>
      <c r="AM322">
        <v>58</v>
      </c>
      <c r="AN322">
        <v>64</v>
      </c>
      <c r="AO322">
        <v>81</v>
      </c>
      <c r="AP322">
        <v>92</v>
      </c>
      <c r="AQ322">
        <v>11</v>
      </c>
      <c r="AR322">
        <v>0</v>
      </c>
      <c r="AS322">
        <v>6</v>
      </c>
      <c r="AT322">
        <v>5</v>
      </c>
      <c r="AU322">
        <v>1</v>
      </c>
      <c r="AV322">
        <v>2</v>
      </c>
      <c r="AW322" t="s">
        <v>12</v>
      </c>
      <c r="AY322" t="s">
        <v>1676</v>
      </c>
      <c r="AZ322" t="s">
        <v>1878</v>
      </c>
      <c r="BA322" s="4" t="str">
        <f>HYPERLINK("http://exon.niaid.nih.gov/transcriptome/C_felis/S1/links/SWISSP/cf-contig_646-SWISSP.txt","Coiled-coil domain-containing protein 72 homolog")</f>
        <v>Coiled-coil domain-containing protein 72 homolog</v>
      </c>
      <c r="BB322" t="str">
        <f>HYPERLINK("http://www.uniprot.org/uniprot/Q9XZS3","2E-018")</f>
        <v>2E-018</v>
      </c>
      <c r="BC322" t="s">
        <v>4049</v>
      </c>
      <c r="BD322">
        <v>91.3</v>
      </c>
      <c r="BE322">
        <v>58</v>
      </c>
      <c r="BF322">
        <v>64</v>
      </c>
      <c r="BG322">
        <v>74</v>
      </c>
      <c r="BH322">
        <v>92</v>
      </c>
      <c r="BI322">
        <v>15</v>
      </c>
      <c r="BJ322">
        <v>0</v>
      </c>
      <c r="BK322">
        <v>6</v>
      </c>
      <c r="BL322">
        <v>5</v>
      </c>
      <c r="BM322">
        <v>1</v>
      </c>
      <c r="BN322">
        <v>2</v>
      </c>
      <c r="BO322" t="s">
        <v>12</v>
      </c>
      <c r="BQ322" t="s">
        <v>1676</v>
      </c>
      <c r="BR322" t="s">
        <v>1804</v>
      </c>
      <c r="BS322" s="4" t="str">
        <f>HYPERLINK("http://exon.niaid.nih.gov/transcriptome/C_felis/S1/links/CDD/cf-contig_646-CDD.txt","TMA7")</f>
        <v>TMA7</v>
      </c>
      <c r="BT322" t="str">
        <f>HYPERLINK("http://www.ncbi.nlm.nih.gov/Structure/cdd/cddsrv.cgi?uid=pfam09072&amp;version=v4.0","3E-023")</f>
        <v>3E-023</v>
      </c>
      <c r="BU322" t="s">
        <v>4050</v>
      </c>
      <c r="BV322" s="4" t="s">
        <v>4051</v>
      </c>
      <c r="BW322">
        <f>HYPERLINK("http://exon.niaid.nih.gov/transcriptome/C_felis/S1/links/GO/cf-contig_646-GO.txt",0.000000000000000001)</f>
        <v>1.0000000000000001E-18</v>
      </c>
      <c r="BX322" t="str">
        <f>HYPERLINK("http://amigo.geneontology.org/cgi-bin/amigo/term_details?term=GO:0003674","GO:0003674")</f>
        <v>GO:0003674</v>
      </c>
      <c r="BY322" t="s">
        <v>1851</v>
      </c>
      <c r="BZ322" t="s">
        <v>1852</v>
      </c>
      <c r="CA322" t="s">
        <v>1853</v>
      </c>
      <c r="CB322" t="s">
        <v>42</v>
      </c>
      <c r="CD322" s="5">
        <v>1.0000000000000001E-18</v>
      </c>
      <c r="CE322" t="str">
        <f>HYPERLINK("http://amigo.geneontology.org/cgi-bin/amigo/term_details?term=GO:0005575","GO:0005575")</f>
        <v>GO:0005575</v>
      </c>
      <c r="CF322" t="s">
        <v>1838</v>
      </c>
      <c r="CG322" t="s">
        <v>1839</v>
      </c>
      <c r="CH322" t="s">
        <v>1840</v>
      </c>
      <c r="CI322" t="s">
        <v>42</v>
      </c>
      <c r="CK322" s="5">
        <v>1.0000000000000001E-18</v>
      </c>
      <c r="CL322" t="str">
        <f>HYPERLINK("http://amigo.geneontology.org/cgi-bin/amigo/term_details?term=GO:0008150","GO:0008150")</f>
        <v>GO:0008150</v>
      </c>
      <c r="CM322" t="s">
        <v>1857</v>
      </c>
      <c r="CN322" t="s">
        <v>1858</v>
      </c>
      <c r="CO322" t="s">
        <v>1859</v>
      </c>
      <c r="CP322" t="s">
        <v>42</v>
      </c>
      <c r="CR322" s="5">
        <v>1.0000000000000001E-18</v>
      </c>
      <c r="CS322" s="4" t="str">
        <f>HYPERLINK("http://exon.niaid.nih.gov/transcriptome/C_felis/S1/links/KOG/cf-contig_646-KOG.txt","Uncharacterized conserved protein")</f>
        <v>Uncharacterized conserved protein</v>
      </c>
      <c r="CT322" t="str">
        <f>HYPERLINK("http://www.ncbi.nlm.nih.gov/COG/grace/shokog.cgi?KOG4766","1E-019")</f>
        <v>1E-019</v>
      </c>
      <c r="CU322" t="s">
        <v>1711</v>
      </c>
      <c r="CV322" s="4" t="str">
        <f>HYPERLINK("http://exon.niaid.nih.gov/transcriptome/C_felis/S1/links/PFAM/cf-contig_646-PFAM.txt","TMA7")</f>
        <v>TMA7</v>
      </c>
      <c r="CW322" t="str">
        <f>HYPERLINK("http://pfam.sanger.ac.uk/family?acc=PF09072","7E-024")</f>
        <v>7E-024</v>
      </c>
      <c r="CX322" s="4" t="str">
        <f>HYPERLINK("http://exon.niaid.nih.gov/transcriptome/C_felis/S1/links/SMART/cf-contig_646-SMART.txt","OmpH")</f>
        <v>OmpH</v>
      </c>
      <c r="CY322" t="str">
        <f>HYPERLINK("http://smart.embl-heidelberg.de/smart/do_annotation.pl?DOMAIN=OmpH&amp;BLAST=DUMMY","0.022")</f>
        <v>0.022</v>
      </c>
      <c r="CZ322" s="4" t="s">
        <v>42</v>
      </c>
      <c r="DA322" t="s">
        <v>42</v>
      </c>
      <c r="DB322" t="s">
        <v>42</v>
      </c>
      <c r="DC322" t="s">
        <v>42</v>
      </c>
      <c r="DD322" t="s">
        <v>42</v>
      </c>
      <c r="DE322" t="s">
        <v>42</v>
      </c>
      <c r="DF322" t="s">
        <v>42</v>
      </c>
      <c r="DG322" t="s">
        <v>42</v>
      </c>
      <c r="DH322" s="4" t="s">
        <v>42</v>
      </c>
      <c r="DI322" t="s">
        <v>42</v>
      </c>
      <c r="DJ322" s="4" t="s">
        <v>42</v>
      </c>
      <c r="DK322" t="s">
        <v>42</v>
      </c>
      <c r="DL322" s="4">
        <v>528</v>
      </c>
      <c r="DM322">
        <v>1</v>
      </c>
      <c r="DN322" s="4">
        <v>540</v>
      </c>
      <c r="DO322">
        <v>1</v>
      </c>
      <c r="DP322" s="4">
        <v>551</v>
      </c>
      <c r="DQ322">
        <v>1</v>
      </c>
      <c r="DR322" s="4">
        <v>571</v>
      </c>
      <c r="DS322">
        <v>1</v>
      </c>
      <c r="DT322" s="4">
        <v>584</v>
      </c>
      <c r="DU322">
        <v>1</v>
      </c>
      <c r="DV322" s="4">
        <v>598</v>
      </c>
      <c r="DW322">
        <v>1</v>
      </c>
      <c r="DX322" s="4">
        <v>607</v>
      </c>
      <c r="DY322">
        <v>1</v>
      </c>
      <c r="DZ322" s="4">
        <v>616</v>
      </c>
      <c r="EA322">
        <v>1</v>
      </c>
      <c r="EB322" s="4">
        <v>621</v>
      </c>
      <c r="EC322">
        <v>1</v>
      </c>
      <c r="ED322" s="4">
        <v>625</v>
      </c>
      <c r="EE322">
        <v>1</v>
      </c>
      <c r="EF322" s="4">
        <v>631</v>
      </c>
      <c r="EG322">
        <v>1</v>
      </c>
      <c r="EH322" s="4">
        <v>639</v>
      </c>
      <c r="EI322">
        <v>1</v>
      </c>
      <c r="EJ322" s="4">
        <v>646</v>
      </c>
      <c r="EK322">
        <v>1</v>
      </c>
    </row>
    <row r="323" spans="1:141" x14ac:dyDescent="0.2">
      <c r="A323" t="str">
        <f>HYPERLINK("http://exon.niaid.nih.gov/transcriptome/C_felis/S1/links/cf/cf-contig_195.txt","cf-contig_195")</f>
        <v>cf-contig_195</v>
      </c>
      <c r="B323">
        <v>4</v>
      </c>
      <c r="C323" s="10" t="s">
        <v>4681</v>
      </c>
      <c r="D323">
        <v>4</v>
      </c>
      <c r="E323" t="str">
        <f>HYPERLINK("http://exon.niaid.nih.gov/transcriptome/C_felis/S1/links/cf/cf-5-36-asb-195.txt","Contig-195")</f>
        <v>Contig-195</v>
      </c>
      <c r="F323" t="str">
        <f>HYPERLINK("http://exon.niaid.nih.gov/transcriptome/C_felis/S1/links/cf/cf-5-36-195-CLU.txt","Contig195")</f>
        <v>Contig195</v>
      </c>
      <c r="G323" t="str">
        <f>HYPERLINK("http://exon.niaid.nih.gov/transcriptome/C_felis/S1/links/cf/cf-5-36-195-qual.txt","80.5")</f>
        <v>80.5</v>
      </c>
      <c r="H323" t="s">
        <v>11</v>
      </c>
      <c r="I323">
        <v>70.400000000000006</v>
      </c>
      <c r="J323">
        <v>513</v>
      </c>
      <c r="K323" t="s">
        <v>12</v>
      </c>
      <c r="L323">
        <v>4</v>
      </c>
      <c r="M323" t="s">
        <v>208</v>
      </c>
      <c r="N323">
        <v>513</v>
      </c>
      <c r="O323">
        <v>533</v>
      </c>
      <c r="P323">
        <v>339</v>
      </c>
      <c r="Q323" t="s">
        <v>1015</v>
      </c>
      <c r="R323">
        <v>2</v>
      </c>
      <c r="S323" s="7" t="str">
        <f>HYPERLINK("http://exon.niaid.nih.gov/transcriptome/C_felis/S1/links/Sigp/CF-CONTIG_195-SigP.txt","Cyt")</f>
        <v>Cyt</v>
      </c>
      <c r="U323">
        <v>4</v>
      </c>
      <c r="V323" s="4">
        <v>166</v>
      </c>
      <c r="W323">
        <v>1</v>
      </c>
      <c r="X323" s="4">
        <v>168</v>
      </c>
      <c r="Y323">
        <v>1</v>
      </c>
      <c r="Z323" s="4">
        <v>166</v>
      </c>
      <c r="AA323">
        <v>1</v>
      </c>
      <c r="AB323" s="4" t="str">
        <f>HYPERLINK("http://exon.niaid.nih.gov/transcriptome/C_felis/S1/links/XC-ASB/cf-contig_195-XC-ASB.txt","XC-contig_55")</f>
        <v>XC-contig_55</v>
      </c>
      <c r="AC323">
        <v>1.9999999999999999E-75</v>
      </c>
      <c r="AD323" s="10" t="s">
        <v>4681</v>
      </c>
      <c r="AE323" t="s">
        <v>4605</v>
      </c>
      <c r="AF323" t="str">
        <f>HYPERLINK("http://exon.niaid.nih.gov/transcriptome/C_felis/S1/links/NR/cf-contig_195-NR.txt","NR")</f>
        <v>NR</v>
      </c>
      <c r="AG323" s="5">
        <v>8.0000000000000003E-56</v>
      </c>
      <c r="AH323">
        <v>67.400000000000006</v>
      </c>
      <c r="AI323" s="4" t="str">
        <f>HYPERLINK("http://exon.niaid.nih.gov/transcriptome/C_felis/S1/links/NR/cf-contig_195-NR.txt","translationally controlled tumor protein")</f>
        <v>translationally controlled tumor protein</v>
      </c>
      <c r="AJ323" t="str">
        <f>HYPERLINK("http://www.ncbi.nlm.nih.gov/sutils/blink.cgi?pid=121511968","8E-056")</f>
        <v>8E-056</v>
      </c>
      <c r="AK323" t="str">
        <f>HYPERLINK("http://www.ncbi.nlm.nih.gov/protein/121511968","gi|121511968")</f>
        <v>gi|121511968</v>
      </c>
      <c r="AL323">
        <v>220</v>
      </c>
      <c r="AM323">
        <v>115</v>
      </c>
      <c r="AN323">
        <v>172</v>
      </c>
      <c r="AO323">
        <v>93</v>
      </c>
      <c r="AP323">
        <v>67</v>
      </c>
      <c r="AQ323">
        <v>8</v>
      </c>
      <c r="AR323">
        <v>0</v>
      </c>
      <c r="AS323">
        <v>57</v>
      </c>
      <c r="AT323">
        <v>5</v>
      </c>
      <c r="AU323">
        <v>1</v>
      </c>
      <c r="AV323">
        <v>2</v>
      </c>
      <c r="AW323" t="s">
        <v>12</v>
      </c>
      <c r="AX323">
        <v>0.87</v>
      </c>
      <c r="AY323" t="s">
        <v>1676</v>
      </c>
      <c r="AZ323" t="s">
        <v>1717</v>
      </c>
      <c r="BA323" s="4" t="str">
        <f>HYPERLINK("http://exon.niaid.nih.gov/transcriptome/C_felis/S1/links/SWISSP/cf-contig_195-SWISSP.txt","Translationally-controlled tumor protein homolog")</f>
        <v>Translationally-controlled tumor protein homolog</v>
      </c>
      <c r="BB323" t="str">
        <f>HYPERLINK("http://www.uniprot.org/uniprot/Q75VN3","2E-051")</f>
        <v>2E-051</v>
      </c>
      <c r="BC323" t="s">
        <v>2384</v>
      </c>
      <c r="BD323">
        <v>201</v>
      </c>
      <c r="BE323">
        <v>115</v>
      </c>
      <c r="BF323">
        <v>172</v>
      </c>
      <c r="BG323">
        <v>81</v>
      </c>
      <c r="BH323">
        <v>67</v>
      </c>
      <c r="BI323">
        <v>21</v>
      </c>
      <c r="BJ323">
        <v>0</v>
      </c>
      <c r="BK323">
        <v>57</v>
      </c>
      <c r="BL323">
        <v>5</v>
      </c>
      <c r="BM323">
        <v>1</v>
      </c>
      <c r="BN323">
        <v>2</v>
      </c>
      <c r="BO323" t="s">
        <v>12</v>
      </c>
      <c r="BP323">
        <v>0.87</v>
      </c>
      <c r="BQ323" t="s">
        <v>1676</v>
      </c>
      <c r="BR323" t="s">
        <v>2037</v>
      </c>
      <c r="BS323" s="4" t="str">
        <f>HYPERLINK("http://exon.niaid.nih.gov/transcriptome/C_felis/S1/links/CDD/cf-contig_195-CDD.txt","TCTP")</f>
        <v>TCTP</v>
      </c>
      <c r="BT323" t="str">
        <f>HYPERLINK("http://www.ncbi.nlm.nih.gov/Structure/cdd/cddsrv.cgi?uid=pfam00838&amp;version=v4.0","2E-035")</f>
        <v>2E-035</v>
      </c>
      <c r="BU323" t="s">
        <v>2385</v>
      </c>
      <c r="BV323" s="4" t="s">
        <v>2386</v>
      </c>
      <c r="BW323">
        <f>HYPERLINK("http://exon.niaid.nih.gov/transcriptome/C_felis/S1/links/GO/cf-contig_195-GO.txt",6E-50)</f>
        <v>5.9999999999999998E-50</v>
      </c>
      <c r="BX323" t="str">
        <f>HYPERLINK("http://amigo.geneontology.org/cgi-bin/amigo/term_details?term=GO:0005085","GO:0005085")</f>
        <v>GO:0005085</v>
      </c>
      <c r="BY323" t="s">
        <v>2387</v>
      </c>
      <c r="BZ323" t="s">
        <v>2388</v>
      </c>
      <c r="CA323" t="s">
        <v>2389</v>
      </c>
      <c r="CB323" t="s">
        <v>42</v>
      </c>
      <c r="CD323" s="5">
        <v>9.9999999999999994E-50</v>
      </c>
      <c r="CE323" t="str">
        <f>HYPERLINK("http://amigo.geneontology.org/cgi-bin/amigo/term_details?term=GO:0005737","GO:0005737")</f>
        <v>GO:0005737</v>
      </c>
      <c r="CF323" t="s">
        <v>1966</v>
      </c>
      <c r="CG323" t="s">
        <v>1967</v>
      </c>
      <c r="CH323" t="s">
        <v>42</v>
      </c>
      <c r="CI323" t="s">
        <v>42</v>
      </c>
      <c r="CK323" s="5">
        <v>9.9999999999999994E-50</v>
      </c>
      <c r="CL323" t="str">
        <f>HYPERLINK("http://amigo.geneontology.org/cgi-bin/amigo/term_details?term=GO:0045793","GO:0045793")</f>
        <v>GO:0045793</v>
      </c>
      <c r="CM323" t="s">
        <v>2390</v>
      </c>
      <c r="CN323" t="s">
        <v>2391</v>
      </c>
      <c r="CO323" t="s">
        <v>2392</v>
      </c>
      <c r="CP323" t="s">
        <v>42</v>
      </c>
      <c r="CR323" s="5">
        <v>9.9999999999999994E-50</v>
      </c>
      <c r="CS323" s="4" t="str">
        <f>HYPERLINK("http://exon.niaid.nih.gov/transcriptome/C_felis/S1/links/KOG/cf-contig_195-KOG.txt","Microtubule-binding protein (translationally controlled tumor protein)")</f>
        <v>Microtubule-binding protein (translationally controlled tumor protein)</v>
      </c>
      <c r="CT323" t="str">
        <f>HYPERLINK("http://www.ncbi.nlm.nih.gov/COG/grace/shokog.cgi?KOG1727","1E-031")</f>
        <v>1E-031</v>
      </c>
      <c r="CU323" t="s">
        <v>2393</v>
      </c>
      <c r="CV323" s="4" t="str">
        <f>HYPERLINK("http://exon.niaid.nih.gov/transcriptome/C_felis/S1/links/PFAM/cf-contig_195-PFAM.txt","TCTP")</f>
        <v>TCTP</v>
      </c>
      <c r="CW323" t="str">
        <f>HYPERLINK("http://pfam.sanger.ac.uk/family?acc=PF00838","4E-036")</f>
        <v>4E-036</v>
      </c>
      <c r="CX323" s="4" t="str">
        <f>HYPERLINK("http://exon.niaid.nih.gov/transcriptome/C_felis/S1/links/SMART/cf-contig_195-SMART.txt","PSN")</f>
        <v>PSN</v>
      </c>
      <c r="CY323" t="str">
        <f>HYPERLINK("http://smart.embl-heidelberg.de/smart/do_annotation.pl?DOMAIN=PSN&amp;BLAST=DUMMY","0.024")</f>
        <v>0.024</v>
      </c>
      <c r="CZ323" s="4" t="s">
        <v>42</v>
      </c>
      <c r="DA323" t="s">
        <v>42</v>
      </c>
      <c r="DB323" t="s">
        <v>42</v>
      </c>
      <c r="DC323" t="s">
        <v>42</v>
      </c>
      <c r="DD323" t="s">
        <v>42</v>
      </c>
      <c r="DE323" t="s">
        <v>42</v>
      </c>
      <c r="DF323" t="s">
        <v>42</v>
      </c>
      <c r="DG323" t="s">
        <v>42</v>
      </c>
      <c r="DH323" s="4" t="s">
        <v>42</v>
      </c>
      <c r="DI323" t="s">
        <v>42</v>
      </c>
      <c r="DJ323" s="4" t="s">
        <v>42</v>
      </c>
      <c r="DK323" t="s">
        <v>42</v>
      </c>
      <c r="DL323" s="4">
        <v>166</v>
      </c>
      <c r="DM323">
        <v>1</v>
      </c>
      <c r="DN323" s="4">
        <v>168</v>
      </c>
      <c r="DO323">
        <v>1</v>
      </c>
      <c r="DP323" s="4">
        <v>166</v>
      </c>
      <c r="DQ323">
        <v>1</v>
      </c>
      <c r="DR323" s="4">
        <v>165</v>
      </c>
      <c r="DS323">
        <v>1</v>
      </c>
      <c r="DT323" s="4">
        <v>169</v>
      </c>
      <c r="DU323">
        <v>1</v>
      </c>
      <c r="DV323" s="4">
        <v>179</v>
      </c>
      <c r="DW323">
        <v>1</v>
      </c>
      <c r="DX323" s="4">
        <v>181</v>
      </c>
      <c r="DY323">
        <v>1</v>
      </c>
      <c r="DZ323" s="4">
        <v>183</v>
      </c>
      <c r="EA323">
        <v>1</v>
      </c>
      <c r="EB323" s="4">
        <v>188</v>
      </c>
      <c r="EC323">
        <v>1</v>
      </c>
      <c r="ED323" s="4">
        <v>189</v>
      </c>
      <c r="EE323">
        <v>1</v>
      </c>
      <c r="EF323" s="4">
        <v>190</v>
      </c>
      <c r="EG323">
        <v>1</v>
      </c>
      <c r="EH323" s="4">
        <v>190</v>
      </c>
      <c r="EI323">
        <v>1</v>
      </c>
      <c r="EJ323" s="4">
        <v>195</v>
      </c>
      <c r="EK323">
        <v>1</v>
      </c>
    </row>
    <row r="324" spans="1:141" x14ac:dyDescent="0.2">
      <c r="A324" t="str">
        <f>HYPERLINK("http://exon.niaid.nih.gov/transcriptome/C_felis/S1/links/cf/cf-contig_124.txt","cf-contig_124")</f>
        <v>cf-contig_124</v>
      </c>
      <c r="B324">
        <v>6</v>
      </c>
      <c r="C324" s="10" t="s">
        <v>4642</v>
      </c>
      <c r="D324">
        <v>6</v>
      </c>
      <c r="E324" t="str">
        <f>HYPERLINK("http://exon.niaid.nih.gov/transcriptome/C_felis/S1/links/cf/cf-5-36-asb-124.txt","Contig-124")</f>
        <v>Contig-124</v>
      </c>
      <c r="F324" t="str">
        <f>HYPERLINK("http://exon.niaid.nih.gov/transcriptome/C_felis/S1/links/cf/cf-5-36-124-CLU.txt","Contig124")</f>
        <v>Contig124</v>
      </c>
      <c r="G324" t="str">
        <f>HYPERLINK("http://exon.niaid.nih.gov/transcriptome/C_felis/S1/links/cf/cf-5-36-124-qual.txt","91.6")</f>
        <v>91.6</v>
      </c>
      <c r="H324" t="s">
        <v>11</v>
      </c>
      <c r="I324">
        <v>63.1</v>
      </c>
      <c r="J324">
        <v>344</v>
      </c>
      <c r="K324" t="s">
        <v>12</v>
      </c>
      <c r="L324">
        <v>6</v>
      </c>
      <c r="M324" t="s">
        <v>137</v>
      </c>
      <c r="N324">
        <v>346</v>
      </c>
      <c r="O324">
        <v>369</v>
      </c>
      <c r="P324">
        <v>297</v>
      </c>
      <c r="Q324" t="s">
        <v>944</v>
      </c>
      <c r="R324">
        <v>1</v>
      </c>
      <c r="S324" s="7" t="s">
        <v>4585</v>
      </c>
      <c r="U324">
        <v>6</v>
      </c>
      <c r="V324" s="4">
        <v>131</v>
      </c>
      <c r="W324">
        <v>1</v>
      </c>
      <c r="X324" s="4">
        <v>127</v>
      </c>
      <c r="Y324">
        <v>1</v>
      </c>
      <c r="Z324" s="4">
        <v>124</v>
      </c>
      <c r="AA324">
        <v>1</v>
      </c>
      <c r="AB324" s="4" t="str">
        <f>HYPERLINK("http://exon.niaid.nih.gov/transcriptome/C_felis/S1/links/XC-ASB/cf-contig_124-XC-ASB.txt","XC-contig_91")</f>
        <v>XC-contig_91</v>
      </c>
      <c r="AC324">
        <v>2.0000000000000001E-61</v>
      </c>
      <c r="AD324" s="10" t="s">
        <v>4642</v>
      </c>
      <c r="AE324" t="s">
        <v>4605</v>
      </c>
      <c r="AF324" t="str">
        <f>HYPERLINK("http://exon.niaid.nih.gov/transcriptome/C_felis/S1/links/NR/cf-contig_124-NR.txt","NR")</f>
        <v>NR</v>
      </c>
      <c r="AG324" s="5">
        <v>2E-45</v>
      </c>
      <c r="AH324">
        <v>74.599999999999994</v>
      </c>
      <c r="AI324" s="4" t="str">
        <f>HYPERLINK("http://exon.niaid.nih.gov/transcriptome/C_felis/S1/links/NR/cf-contig_124-NR.txt","ubiquitin-ribosomal protein S30e fusion protein")</f>
        <v>ubiquitin-ribosomal protein S30e fusion protein</v>
      </c>
      <c r="AJ324" t="str">
        <f>HYPERLINK("http://www.ncbi.nlm.nih.gov/sutils/blink.cgi?pid=121512022","2E-045")</f>
        <v>2E-045</v>
      </c>
      <c r="AK324" t="str">
        <f>HYPERLINK("http://www.ncbi.nlm.nih.gov/protein/121512022","gi|121512022")</f>
        <v>gi|121512022</v>
      </c>
      <c r="AL324">
        <v>185</v>
      </c>
      <c r="AM324">
        <v>96</v>
      </c>
      <c r="AN324">
        <v>130</v>
      </c>
      <c r="AO324">
        <v>94</v>
      </c>
      <c r="AP324">
        <v>75</v>
      </c>
      <c r="AQ324">
        <v>5</v>
      </c>
      <c r="AR324">
        <v>0</v>
      </c>
      <c r="AS324">
        <v>34</v>
      </c>
      <c r="AT324">
        <v>7</v>
      </c>
      <c r="AU324">
        <v>1</v>
      </c>
      <c r="AV324">
        <v>1</v>
      </c>
      <c r="AW324" t="s">
        <v>12</v>
      </c>
      <c r="AY324" t="s">
        <v>1676</v>
      </c>
      <c r="AZ324" t="s">
        <v>1717</v>
      </c>
      <c r="BA324" s="4" t="str">
        <f>HYPERLINK("http://exon.niaid.nih.gov/transcriptome/C_felis/S1/links/SWISSP/cf-contig_124-SWISSP.txt","40S ribosomal protein S30")</f>
        <v>40S ribosomal protein S30</v>
      </c>
      <c r="BB324" t="str">
        <f>HYPERLINK("http://www.uniprot.org/uniprot/P62864","4E-023")</f>
        <v>4E-023</v>
      </c>
      <c r="BC324" t="s">
        <v>2138</v>
      </c>
      <c r="BD324">
        <v>106</v>
      </c>
      <c r="BE324">
        <v>58</v>
      </c>
      <c r="BF324">
        <v>59</v>
      </c>
      <c r="BG324">
        <v>84</v>
      </c>
      <c r="BH324">
        <v>100</v>
      </c>
      <c r="BI324">
        <v>9</v>
      </c>
      <c r="BJ324">
        <v>0</v>
      </c>
      <c r="BK324">
        <v>1</v>
      </c>
      <c r="BL324">
        <v>121</v>
      </c>
      <c r="BM324">
        <v>1</v>
      </c>
      <c r="BN324">
        <v>1</v>
      </c>
      <c r="BO324" t="s">
        <v>12</v>
      </c>
      <c r="BQ324" t="s">
        <v>1676</v>
      </c>
      <c r="BR324" t="s">
        <v>1684</v>
      </c>
      <c r="BS324" s="4" t="str">
        <f>HYPERLINK("http://exon.niaid.nih.gov/transcriptome/C_felis/S1/links/CDD/cf-contig_124-CDD.txt","Ribosomal_S30")</f>
        <v>Ribosomal_S30</v>
      </c>
      <c r="BT324" t="str">
        <f>HYPERLINK("http://www.ncbi.nlm.nih.gov/Structure/cdd/cddsrv.cgi?uid=pfam04758&amp;version=v4.0","2E-027")</f>
        <v>2E-027</v>
      </c>
      <c r="BU324" t="s">
        <v>2139</v>
      </c>
      <c r="BV324" s="4" t="s">
        <v>2140</v>
      </c>
      <c r="BW324">
        <f>HYPERLINK("http://exon.niaid.nih.gov/transcriptome/C_felis/S1/links/GO/cf-contig_124-GO.txt",1E-35)</f>
        <v>1E-35</v>
      </c>
      <c r="BX324" t="str">
        <f>HYPERLINK("http://amigo.geneontology.org/cgi-bin/amigo/term_details?term=GO:0003735","GO:0003735")</f>
        <v>GO:0003735</v>
      </c>
      <c r="BY324" t="s">
        <v>1929</v>
      </c>
      <c r="BZ324" t="s">
        <v>1930</v>
      </c>
      <c r="CA324" t="s">
        <v>1931</v>
      </c>
      <c r="CB324" t="s">
        <v>42</v>
      </c>
      <c r="CD324" s="5">
        <v>1E-35</v>
      </c>
      <c r="CE324" t="str">
        <f>HYPERLINK("http://amigo.geneontology.org/cgi-bin/amigo/term_details?term=GO:0022627","GO:0022627")</f>
        <v>GO:0022627</v>
      </c>
      <c r="CF324" t="s">
        <v>2034</v>
      </c>
      <c r="CG324" t="s">
        <v>2035</v>
      </c>
      <c r="CH324" t="s">
        <v>2036</v>
      </c>
      <c r="CI324" t="s">
        <v>42</v>
      </c>
      <c r="CK324" s="5">
        <v>1E-35</v>
      </c>
      <c r="CL324" t="str">
        <f>HYPERLINK("http://amigo.geneontology.org/cgi-bin/amigo/term_details?term=GO:0006412","GO:0006412")</f>
        <v>GO:0006412</v>
      </c>
      <c r="CM324" t="s">
        <v>1935</v>
      </c>
      <c r="CN324" t="s">
        <v>1936</v>
      </c>
      <c r="CO324" t="s">
        <v>1937</v>
      </c>
      <c r="CP324" t="s">
        <v>42</v>
      </c>
      <c r="CR324" s="5">
        <v>1E-35</v>
      </c>
      <c r="CS324" s="4" t="str">
        <f>HYPERLINK("http://exon.niaid.nih.gov/transcriptome/C_felis/S1/links/KOG/cf-contig_124-KOG.txt","Ubiquitin-like/40S ribosomal S30 protein fusion")</f>
        <v>Ubiquitin-like/40S ribosomal S30 protein fusion</v>
      </c>
      <c r="CT324" t="str">
        <f>HYPERLINK("http://www.ncbi.nlm.nih.gov/COG/grace/shokog.cgi?KOG0009","2E-026")</f>
        <v>2E-026</v>
      </c>
      <c r="CU324" t="s">
        <v>2141</v>
      </c>
      <c r="CV324" s="4" t="str">
        <f>HYPERLINK("http://exon.niaid.nih.gov/transcriptome/C_felis/S1/links/PFAM/cf-contig_124-PFAM.txt","Ribosomal_S30")</f>
        <v>Ribosomal_S30</v>
      </c>
      <c r="CW324" t="str">
        <f>HYPERLINK("http://pfam.sanger.ac.uk/family?acc=PF04758","6E-028")</f>
        <v>6E-028</v>
      </c>
      <c r="CX324" s="4" t="str">
        <f>HYPERLINK("http://exon.niaid.nih.gov/transcriptome/C_felis/S1/links/SMART/cf-contig_124-SMART.txt","CRISPR_assoc")</f>
        <v>CRISPR_assoc</v>
      </c>
      <c r="CY324" t="str">
        <f>HYPERLINK("http://smart.embl-heidelberg.de/smart/do_annotation.pl?DOMAIN=CRISPR_assoc&amp;BLAST=DUMMY","0.020")</f>
        <v>0.020</v>
      </c>
      <c r="CZ324" s="4" t="s">
        <v>42</v>
      </c>
      <c r="DA324" t="s">
        <v>42</v>
      </c>
      <c r="DB324" t="s">
        <v>42</v>
      </c>
      <c r="DC324" t="s">
        <v>42</v>
      </c>
      <c r="DD324" t="s">
        <v>42</v>
      </c>
      <c r="DE324" t="s">
        <v>42</v>
      </c>
      <c r="DF324" t="s">
        <v>42</v>
      </c>
      <c r="DG324" t="s">
        <v>42</v>
      </c>
      <c r="DH324" s="4" t="s">
        <v>42</v>
      </c>
      <c r="DI324" t="s">
        <v>42</v>
      </c>
      <c r="DJ324" s="4" t="s">
        <v>42</v>
      </c>
      <c r="DK324" t="s">
        <v>42</v>
      </c>
      <c r="DL324" s="4">
        <v>131</v>
      </c>
      <c r="DM324">
        <v>1</v>
      </c>
      <c r="DN324" s="4">
        <v>127</v>
      </c>
      <c r="DO324">
        <v>1</v>
      </c>
      <c r="DP324" s="4">
        <v>124</v>
      </c>
      <c r="DQ324">
        <v>1</v>
      </c>
      <c r="DR324" s="4">
        <v>116</v>
      </c>
      <c r="DS324">
        <v>1</v>
      </c>
      <c r="DT324" s="4">
        <v>114</v>
      </c>
      <c r="DU324">
        <v>1</v>
      </c>
      <c r="DV324" s="4">
        <v>123</v>
      </c>
      <c r="DW324">
        <v>1</v>
      </c>
      <c r="DX324" s="4">
        <v>125</v>
      </c>
      <c r="DY324">
        <v>1</v>
      </c>
      <c r="DZ324" s="4">
        <v>125</v>
      </c>
      <c r="EA324">
        <v>1</v>
      </c>
      <c r="EB324" s="4">
        <v>128</v>
      </c>
      <c r="EC324">
        <v>1</v>
      </c>
      <c r="ED324" s="4">
        <v>129</v>
      </c>
      <c r="EE324">
        <v>1</v>
      </c>
      <c r="EF324" s="4">
        <v>126</v>
      </c>
      <c r="EG324">
        <v>1</v>
      </c>
      <c r="EH324" s="4">
        <v>123</v>
      </c>
      <c r="EI324">
        <v>1</v>
      </c>
      <c r="EJ324" s="4">
        <v>124</v>
      </c>
      <c r="EK324">
        <v>1</v>
      </c>
    </row>
    <row r="325" spans="1:141" s="6" customFormat="1" ht="12" customHeight="1" x14ac:dyDescent="0.2">
      <c r="A325" s="12" t="s">
        <v>4895</v>
      </c>
      <c r="C325" s="8"/>
      <c r="V325" s="1"/>
      <c r="X325" s="1"/>
      <c r="Z325" s="1"/>
      <c r="AB325" s="1" t="s">
        <v>42</v>
      </c>
      <c r="AD325" s="8"/>
      <c r="AE325" s="11"/>
      <c r="AF325" s="11"/>
      <c r="AG325" s="11"/>
      <c r="AH325" s="11"/>
      <c r="AI325" s="1"/>
      <c r="BA325" s="1"/>
      <c r="BS325" s="1"/>
      <c r="BV325" s="1"/>
      <c r="CS325" s="1"/>
      <c r="CV325" s="1"/>
      <c r="CX325" s="1"/>
      <c r="CZ325" s="1"/>
      <c r="DH325" s="1"/>
      <c r="DJ325" s="1"/>
      <c r="DL325" s="1"/>
      <c r="DN325" s="1"/>
      <c r="DP325" s="1"/>
      <c r="DR325" s="1"/>
      <c r="DT325" s="1"/>
      <c r="DV325" s="1"/>
      <c r="DX325" s="1"/>
      <c r="DZ325" s="1"/>
      <c r="EB325" s="1"/>
      <c r="ED325" s="1"/>
      <c r="EF325" s="1"/>
      <c r="EH325" s="1"/>
      <c r="EJ325" s="1"/>
    </row>
    <row r="326" spans="1:141" x14ac:dyDescent="0.2">
      <c r="A326" t="str">
        <f>HYPERLINK("http://exon.niaid.nih.gov/transcriptome/C_felis/S1/links/cf/cf-contig_783.txt","cf-contig_783")</f>
        <v>cf-contig_783</v>
      </c>
      <c r="B326">
        <v>1</v>
      </c>
      <c r="C326" s="10" t="s">
        <v>4874</v>
      </c>
      <c r="D326">
        <v>1</v>
      </c>
      <c r="E326" t="str">
        <f>HYPERLINK("http://exon.niaid.nih.gov/transcriptome/C_felis/S1/links/cf/cf-5-36-asb-783.txt","Contig-783")</f>
        <v>Contig-783</v>
      </c>
      <c r="F326" t="str">
        <f>HYPERLINK("http://exon.niaid.nih.gov/transcriptome/C_felis/S1/links/cf/cf-5-36-783-CLU.txt","Contig783")</f>
        <v>Contig783</v>
      </c>
      <c r="G326" t="str">
        <f>HYPERLINK("http://exon.niaid.nih.gov/transcriptome/C_felis/S1/links/cf/cf-5-36-783-qual.txt","56.5")</f>
        <v>56.5</v>
      </c>
      <c r="H326" t="s">
        <v>11</v>
      </c>
      <c r="I326">
        <v>66.2</v>
      </c>
      <c r="J326">
        <v>806</v>
      </c>
      <c r="K326" t="s">
        <v>12</v>
      </c>
      <c r="L326">
        <v>1</v>
      </c>
      <c r="M326" t="s">
        <v>796</v>
      </c>
      <c r="N326">
        <v>806</v>
      </c>
      <c r="O326">
        <v>825</v>
      </c>
      <c r="P326">
        <v>432</v>
      </c>
      <c r="Q326" t="s">
        <v>1602</v>
      </c>
      <c r="R326">
        <v>1</v>
      </c>
      <c r="S326" s="7" t="str">
        <f>HYPERLINK("http://exon.niaid.nih.gov/transcriptome/C_felis/S1/links/Sigp/CF-CONTIG_783-SigP.txt","Cyt")</f>
        <v>Cyt</v>
      </c>
      <c r="U326">
        <v>1</v>
      </c>
      <c r="V326" s="4">
        <v>628</v>
      </c>
      <c r="W326">
        <v>1</v>
      </c>
      <c r="X326" s="4">
        <v>649</v>
      </c>
      <c r="Y326">
        <v>1</v>
      </c>
      <c r="Z326" s="4">
        <v>665</v>
      </c>
      <c r="AA326">
        <v>1</v>
      </c>
      <c r="AB326" s="4" t="str">
        <f>HYPERLINK("http://exon.niaid.nih.gov/transcriptome/C_felis/S1/links/XC-ASB/cf-contig_783-XC-ASB.txt","XC-contig_155")</f>
        <v>XC-contig_155</v>
      </c>
      <c r="AC326">
        <v>0.19</v>
      </c>
      <c r="AD326" s="10" t="s">
        <v>4874</v>
      </c>
      <c r="AE326" t="s">
        <v>4612</v>
      </c>
      <c r="AF326" t="str">
        <f>HYPERLINK("http://exon.niaid.nih.gov/transcriptome/C_felis/S1/links/KOG/cf-contig_783-KOG.txt","KOG")</f>
        <v>KOG</v>
      </c>
      <c r="AG326" s="5">
        <v>7.9999999999999996E-44</v>
      </c>
      <c r="AH326">
        <v>62</v>
      </c>
      <c r="AI326" s="4" t="str">
        <f>HYPERLINK("http://exon.niaid.nih.gov/transcriptome/C_felis/S1/links/NR/cf-contig_783-NR.txt","CG17765")</f>
        <v>CG17765</v>
      </c>
      <c r="AJ326" t="str">
        <f>HYPERLINK("http://www.ncbi.nlm.nih.gov/sutils/blink.cgi?pid=19921976","6E-051")</f>
        <v>6E-051</v>
      </c>
      <c r="AK326" t="str">
        <f>HYPERLINK("http://www.ncbi.nlm.nih.gov/protein/19921976","gi|19921976")</f>
        <v>gi|19921976</v>
      </c>
      <c r="AL326">
        <v>205</v>
      </c>
      <c r="AM326">
        <v>137</v>
      </c>
      <c r="AN326">
        <v>199</v>
      </c>
      <c r="AO326">
        <v>71</v>
      </c>
      <c r="AP326">
        <v>69</v>
      </c>
      <c r="AQ326">
        <v>40</v>
      </c>
      <c r="AR326">
        <v>3</v>
      </c>
      <c r="AS326">
        <v>15</v>
      </c>
      <c r="AT326">
        <v>136</v>
      </c>
      <c r="AU326">
        <v>1</v>
      </c>
      <c r="AV326">
        <v>1</v>
      </c>
      <c r="AW326" t="s">
        <v>12</v>
      </c>
      <c r="AY326" t="s">
        <v>1676</v>
      </c>
      <c r="AZ326" t="s">
        <v>4237</v>
      </c>
      <c r="BA326" s="4" t="str">
        <f>HYPERLINK("http://exon.niaid.nih.gov/transcriptome/C_felis/S1/links/SWISSP/cf-contig_783-SWISSP.txt","Peflin")</f>
        <v>Peflin</v>
      </c>
      <c r="BB326" t="str">
        <f>HYPERLINK("http://www.uniprot.org/uniprot/Q641Z8","5E-028")</f>
        <v>5E-028</v>
      </c>
      <c r="BC326" t="s">
        <v>4505</v>
      </c>
      <c r="BD326">
        <v>125</v>
      </c>
      <c r="BE326">
        <v>125</v>
      </c>
      <c r="BF326">
        <v>283</v>
      </c>
      <c r="BG326">
        <v>48</v>
      </c>
      <c r="BH326">
        <v>45</v>
      </c>
      <c r="BI326">
        <v>65</v>
      </c>
      <c r="BJ326">
        <v>2</v>
      </c>
      <c r="BK326">
        <v>102</v>
      </c>
      <c r="BL326">
        <v>145</v>
      </c>
      <c r="BM326">
        <v>1</v>
      </c>
      <c r="BN326">
        <v>1</v>
      </c>
      <c r="BO326" t="s">
        <v>12</v>
      </c>
      <c r="BQ326" t="s">
        <v>1676</v>
      </c>
      <c r="BR326" t="s">
        <v>1684</v>
      </c>
      <c r="BS326" s="4" t="str">
        <f>HYPERLINK("http://exon.niaid.nih.gov/transcriptome/C_felis/S1/links/CDD/cf-contig_783-CDD.txt","PTZ00184")</f>
        <v>PTZ00184</v>
      </c>
      <c r="BT326" t="str">
        <f>HYPERLINK("http://www.ncbi.nlm.nih.gov/Structure/cdd/cddsrv.cgi?uid=PTZ00184&amp;version=v4.0","2E-012")</f>
        <v>2E-012</v>
      </c>
      <c r="BU326" t="s">
        <v>4506</v>
      </c>
      <c r="BV326" s="4" t="s">
        <v>4507</v>
      </c>
      <c r="BW326">
        <f>HYPERLINK("http://exon.niaid.nih.gov/transcriptome/C_felis/S1/links/GO/cf-contig_783-GO.txt",2E-52)</f>
        <v>2E-52</v>
      </c>
      <c r="BX326" t="str">
        <f>HYPERLINK("http://amigo.geneontology.org/cgi-bin/amigo/term_details?term=GO:0005509","GO:0005509")</f>
        <v>GO:0005509</v>
      </c>
      <c r="BY326" t="s">
        <v>2274</v>
      </c>
      <c r="BZ326" t="s">
        <v>2275</v>
      </c>
      <c r="CA326" t="s">
        <v>2276</v>
      </c>
      <c r="CB326" t="s">
        <v>42</v>
      </c>
      <c r="CD326" s="5">
        <v>7.9999999999999995E-29</v>
      </c>
      <c r="CE326" t="str">
        <f>HYPERLINK("http://amigo.geneontology.org/cgi-bin/amigo/term_details?term=GO:0005737","GO:0005737")</f>
        <v>GO:0005737</v>
      </c>
      <c r="CF326" t="s">
        <v>1966</v>
      </c>
      <c r="CG326" t="s">
        <v>1967</v>
      </c>
      <c r="CH326" t="s">
        <v>42</v>
      </c>
      <c r="CI326" t="s">
        <v>42</v>
      </c>
      <c r="CK326" s="5">
        <v>7.9999999999999995E-29</v>
      </c>
      <c r="CL326" t="str">
        <f>HYPERLINK("http://amigo.geneontology.org/cgi-bin/amigo/term_details?term=GO:0051592","GO:0051592")</f>
        <v>GO:0051592</v>
      </c>
      <c r="CM326" t="s">
        <v>4508</v>
      </c>
      <c r="CN326" t="s">
        <v>4509</v>
      </c>
      <c r="CO326" t="s">
        <v>4510</v>
      </c>
      <c r="CP326" t="s">
        <v>42</v>
      </c>
      <c r="CR326" s="5">
        <v>7.9999999999999995E-29</v>
      </c>
      <c r="CS326" s="4" t="str">
        <f>HYPERLINK("http://exon.niaid.nih.gov/transcriptome/C_felis/S1/links/KOG/cf-contig_783-KOG.txt","Ca2+-binding protein, EF-Hand protein superfamily")</f>
        <v>Ca2+-binding protein, EF-Hand protein superfamily</v>
      </c>
      <c r="CT326" t="str">
        <f>HYPERLINK("http://www.ncbi.nlm.nih.gov/COG/grace/shokog.cgi?KOG0037","8E-044")</f>
        <v>8E-044</v>
      </c>
      <c r="CU326" t="s">
        <v>1780</v>
      </c>
      <c r="CV326" s="4" t="str">
        <f>HYPERLINK("http://exon.niaid.nih.gov/transcriptome/C_felis/S1/links/PFAM/cf-contig_783-PFAM.txt","efhand")</f>
        <v>efhand</v>
      </c>
      <c r="CW326" t="str">
        <f>HYPERLINK("http://pfam.sanger.ac.uk/family?acc=PF00036","4E-004")</f>
        <v>4E-004</v>
      </c>
      <c r="CX326" s="4" t="str">
        <f>HYPERLINK("http://exon.niaid.nih.gov/transcriptome/C_felis/S1/links/SMART/cf-contig_783-SMART.txt","EFh")</f>
        <v>EFh</v>
      </c>
      <c r="CY326" t="str">
        <f>HYPERLINK("http://smart.embl-heidelberg.de/smart/do_annotation.pl?DOMAIN=EFh&amp;BLAST=DUMMY","2E-004")</f>
        <v>2E-004</v>
      </c>
      <c r="CZ326" s="4" t="s">
        <v>42</v>
      </c>
      <c r="DA326" t="s">
        <v>42</v>
      </c>
      <c r="DB326" t="s">
        <v>42</v>
      </c>
      <c r="DC326" t="s">
        <v>42</v>
      </c>
      <c r="DD326" t="s">
        <v>42</v>
      </c>
      <c r="DE326" t="s">
        <v>42</v>
      </c>
      <c r="DF326" t="s">
        <v>42</v>
      </c>
      <c r="DG326" t="s">
        <v>42</v>
      </c>
      <c r="DH326" s="4" t="s">
        <v>42</v>
      </c>
      <c r="DI326" t="s">
        <v>42</v>
      </c>
      <c r="DJ326" s="4" t="s">
        <v>42</v>
      </c>
      <c r="DK326" t="s">
        <v>42</v>
      </c>
      <c r="DL326" s="4">
        <v>628</v>
      </c>
      <c r="DM326">
        <v>1</v>
      </c>
      <c r="DN326" s="4">
        <v>649</v>
      </c>
      <c r="DO326">
        <v>1</v>
      </c>
      <c r="DP326" s="4">
        <v>665</v>
      </c>
      <c r="DQ326">
        <v>1</v>
      </c>
      <c r="DR326" s="4">
        <v>687</v>
      </c>
      <c r="DS326">
        <v>1</v>
      </c>
      <c r="DT326" s="4">
        <v>703</v>
      </c>
      <c r="DU326">
        <v>1</v>
      </c>
      <c r="DV326" s="4">
        <v>718</v>
      </c>
      <c r="DW326">
        <v>1</v>
      </c>
      <c r="DX326" s="4">
        <v>732</v>
      </c>
      <c r="DY326">
        <v>1</v>
      </c>
      <c r="DZ326" s="4">
        <v>743</v>
      </c>
      <c r="EA326">
        <v>1</v>
      </c>
      <c r="EB326" s="4">
        <v>750</v>
      </c>
      <c r="EC326">
        <v>1</v>
      </c>
      <c r="ED326" s="4">
        <v>755</v>
      </c>
      <c r="EE326">
        <v>1</v>
      </c>
      <c r="EF326" s="4">
        <v>762</v>
      </c>
      <c r="EG326">
        <v>1</v>
      </c>
      <c r="EH326" s="4">
        <v>774</v>
      </c>
      <c r="EI326">
        <v>1</v>
      </c>
      <c r="EJ326" s="4">
        <v>783</v>
      </c>
      <c r="EK326">
        <v>1</v>
      </c>
    </row>
    <row r="327" spans="1:141" x14ac:dyDescent="0.2">
      <c r="A327" t="str">
        <f>HYPERLINK("http://exon.niaid.nih.gov/transcriptome/C_felis/S1/links/cf/cf-contig_596.txt","cf-contig_596")</f>
        <v>cf-contig_596</v>
      </c>
      <c r="B327">
        <v>1</v>
      </c>
      <c r="C327" s="10" t="s">
        <v>4818</v>
      </c>
      <c r="D327">
        <v>1</v>
      </c>
      <c r="E327" t="str">
        <f>HYPERLINK("http://exon.niaid.nih.gov/transcriptome/C_felis/S1/links/cf/cf-5-36-asb-596.txt","Contig-596")</f>
        <v>Contig-596</v>
      </c>
      <c r="F327" t="str">
        <f>HYPERLINK("http://exon.niaid.nih.gov/transcriptome/C_felis/S1/links/cf/cf-5-36-596-CLU.txt","Contig596")</f>
        <v>Contig596</v>
      </c>
      <c r="G327" t="str">
        <f>HYPERLINK("http://exon.niaid.nih.gov/transcriptome/C_felis/S1/links/cf/cf-5-36-596-qual.txt","64.8")</f>
        <v>64.8</v>
      </c>
      <c r="H327" t="s">
        <v>11</v>
      </c>
      <c r="I327">
        <v>68.3</v>
      </c>
      <c r="J327">
        <v>417</v>
      </c>
      <c r="K327" t="s">
        <v>12</v>
      </c>
      <c r="L327">
        <v>1</v>
      </c>
      <c r="M327" t="s">
        <v>609</v>
      </c>
      <c r="N327">
        <v>417</v>
      </c>
      <c r="O327">
        <v>436</v>
      </c>
      <c r="P327">
        <v>336</v>
      </c>
      <c r="Q327" t="s">
        <v>1415</v>
      </c>
      <c r="R327">
        <v>2</v>
      </c>
      <c r="S327" s="7" t="str">
        <f>HYPERLINK("http://exon.niaid.nih.gov/transcriptome/C_felis/S1/links/Sigp/CF-CONTIG_596-SigP.txt","Cyt")</f>
        <v>Cyt</v>
      </c>
      <c r="U327">
        <v>1</v>
      </c>
      <c r="V327" s="4">
        <v>485</v>
      </c>
      <c r="W327">
        <v>1</v>
      </c>
      <c r="X327" s="4">
        <v>496</v>
      </c>
      <c r="Y327">
        <v>1</v>
      </c>
      <c r="Z327" s="4">
        <v>505</v>
      </c>
      <c r="AA327">
        <v>1</v>
      </c>
      <c r="AB327" s="4" t="str">
        <f>HYPERLINK("http://exon.niaid.nih.gov/transcriptome/C_felis/S1/links/XC-ASB/cf-contig_596-XC-ASB.txt","XC-contig_215")</f>
        <v>XC-contig_215</v>
      </c>
      <c r="AC327">
        <v>1.9E-2</v>
      </c>
      <c r="AD327" s="10" t="s">
        <v>4818</v>
      </c>
      <c r="AE327" t="s">
        <v>4612</v>
      </c>
      <c r="AF327" t="str">
        <f>HYPERLINK("http://exon.niaid.nih.gov/transcriptome/C_felis/S1/links/PFAM/cf-contig_596-PFAM.txt","PFAM")</f>
        <v>PFAM</v>
      </c>
      <c r="AG327" s="5">
        <v>4.0000000000000002E-42</v>
      </c>
      <c r="AH327">
        <v>89.9</v>
      </c>
      <c r="AI327" s="4" t="str">
        <f>HYPERLINK("http://exon.niaid.nih.gov/transcriptome/C_felis/S1/links/NR/cf-contig_596-NR.txt","Mitogen-activated protein kinase kinase 1-interacting protein 1")</f>
        <v>Mitogen-activated protein kinase kinase 1-interacting protein 1</v>
      </c>
      <c r="AJ327" t="str">
        <f>HYPERLINK("http://www.ncbi.nlm.nih.gov/sutils/blink.cgi?pid=307210664","1E-036")</f>
        <v>1E-036</v>
      </c>
      <c r="AK327" t="str">
        <f>HYPERLINK("http://www.ncbi.nlm.nih.gov/protein/307210664","gi|307210664")</f>
        <v>gi|307210664</v>
      </c>
      <c r="AL327">
        <v>156</v>
      </c>
      <c r="AM327">
        <v>108</v>
      </c>
      <c r="AN327">
        <v>124</v>
      </c>
      <c r="AO327">
        <v>66</v>
      </c>
      <c r="AP327">
        <v>88</v>
      </c>
      <c r="AQ327">
        <v>37</v>
      </c>
      <c r="AR327">
        <v>0</v>
      </c>
      <c r="AS327">
        <v>16</v>
      </c>
      <c r="AT327">
        <v>11</v>
      </c>
      <c r="AU327">
        <v>1</v>
      </c>
      <c r="AV327">
        <v>2</v>
      </c>
      <c r="AW327" t="s">
        <v>12</v>
      </c>
      <c r="AY327" t="s">
        <v>1676</v>
      </c>
      <c r="AZ327" t="s">
        <v>1712</v>
      </c>
      <c r="BA327" s="4" t="str">
        <f>HYPERLINK("http://exon.niaid.nih.gov/transcriptome/C_felis/S1/links/SWISSP/cf-contig_596-SWISSP.txt","Ragulator complex protein LAMTOR3 homolog")</f>
        <v>Ragulator complex protein LAMTOR3 homolog</v>
      </c>
      <c r="BB327" t="str">
        <f>HYPERLINK("http://www.uniprot.org/uniprot/Q9VJD2","1E-034")</f>
        <v>1E-034</v>
      </c>
      <c r="BC327" t="s">
        <v>3845</v>
      </c>
      <c r="BD327">
        <v>145</v>
      </c>
      <c r="BE327">
        <v>109</v>
      </c>
      <c r="BF327">
        <v>124</v>
      </c>
      <c r="BG327">
        <v>60</v>
      </c>
      <c r="BH327">
        <v>89</v>
      </c>
      <c r="BI327">
        <v>43</v>
      </c>
      <c r="BJ327">
        <v>0</v>
      </c>
      <c r="BK327">
        <v>15</v>
      </c>
      <c r="BL327">
        <v>8</v>
      </c>
      <c r="BM327">
        <v>1</v>
      </c>
      <c r="BN327">
        <v>2</v>
      </c>
      <c r="BO327" t="s">
        <v>12</v>
      </c>
      <c r="BQ327" t="s">
        <v>1676</v>
      </c>
      <c r="BR327" t="s">
        <v>1804</v>
      </c>
      <c r="BS327" s="4" t="str">
        <f>HYPERLINK("http://exon.niaid.nih.gov/transcriptome/C_felis/S1/links/CDD/cf-contig_596-CDD.txt","MAPKK1_Int")</f>
        <v>MAPKK1_Int</v>
      </c>
      <c r="BT327" t="str">
        <f>HYPERLINK("http://www.ncbi.nlm.nih.gov/Structure/cdd/cddsrv.cgi?uid=pfam08923&amp;version=v4.0","2E-041")</f>
        <v>2E-041</v>
      </c>
      <c r="BU327" t="s">
        <v>3846</v>
      </c>
      <c r="BV327" s="4" t="s">
        <v>3847</v>
      </c>
      <c r="BW327">
        <f>HYPERLINK("http://exon.niaid.nih.gov/transcriptome/C_felis/S1/links/GO/cf-contig_596-GO.txt",9E-35)</f>
        <v>9.0000000000000002E-35</v>
      </c>
      <c r="BX327" t="str">
        <f>HYPERLINK("http://amigo.geneontology.org/cgi-bin/amigo/term_details?term=GO:0005070","GO:0005070")</f>
        <v>GO:0005070</v>
      </c>
      <c r="BY327" t="s">
        <v>3848</v>
      </c>
      <c r="BZ327" t="s">
        <v>3849</v>
      </c>
      <c r="CA327" t="s">
        <v>3850</v>
      </c>
      <c r="CB327" t="s">
        <v>42</v>
      </c>
      <c r="CD327" s="5">
        <v>9.0000000000000002E-35</v>
      </c>
      <c r="CE327" t="str">
        <f>HYPERLINK("http://amigo.geneontology.org/cgi-bin/amigo/term_details?term=GO:0005626","GO:0005626")</f>
        <v>GO:0005626</v>
      </c>
      <c r="CF327" t="s">
        <v>3851</v>
      </c>
      <c r="CG327" t="s">
        <v>3852</v>
      </c>
      <c r="CH327" t="s">
        <v>3853</v>
      </c>
      <c r="CI327" t="s">
        <v>42</v>
      </c>
      <c r="CK327" s="5">
        <v>9.0000000000000002E-35</v>
      </c>
      <c r="CL327" t="str">
        <f>HYPERLINK("http://amigo.geneontology.org/cgi-bin/amigo/term_details?term=GO:0016310","GO:0016310")</f>
        <v>GO:0016310</v>
      </c>
      <c r="CM327" t="s">
        <v>3854</v>
      </c>
      <c r="CN327" t="s">
        <v>3855</v>
      </c>
      <c r="CO327" t="s">
        <v>42</v>
      </c>
      <c r="CP327" t="s">
        <v>42</v>
      </c>
      <c r="CR327" s="5">
        <v>9.0000000000000002E-35</v>
      </c>
      <c r="CS327" s="4" t="str">
        <f>HYPERLINK("http://exon.niaid.nih.gov/transcriptome/C_felis/S1/links/KOG/cf-contig_596-KOG.txt","N-myristoyl transferase")</f>
        <v>N-myristoyl transferase</v>
      </c>
      <c r="CT327" t="str">
        <f>HYPERLINK("http://www.ncbi.nlm.nih.gov/COG/grace/shokog.cgi?KOG2779","2.1")</f>
        <v>2.1</v>
      </c>
      <c r="CU327" t="s">
        <v>1761</v>
      </c>
      <c r="CV327" s="4" t="str">
        <f>HYPERLINK("http://exon.niaid.nih.gov/transcriptome/C_felis/S1/links/PFAM/cf-contig_596-PFAM.txt","MAPKK1_Int")</f>
        <v>MAPKK1_Int</v>
      </c>
      <c r="CW327" t="str">
        <f>HYPERLINK("http://pfam.sanger.ac.uk/family?acc=PF08923","4E-042")</f>
        <v>4E-042</v>
      </c>
      <c r="CX327" s="4" t="str">
        <f>HYPERLINK("http://exon.niaid.nih.gov/transcriptome/C_felis/S1/links/SMART/cf-contig_596-SMART.txt","IL6")</f>
        <v>IL6</v>
      </c>
      <c r="CY327" t="str">
        <f>HYPERLINK("http://smart.embl-heidelberg.de/smart/do_annotation.pl?DOMAIN=IL6&amp;BLAST=DUMMY","0.36")</f>
        <v>0.36</v>
      </c>
      <c r="CZ327" s="4" t="s">
        <v>42</v>
      </c>
      <c r="DA327" t="s">
        <v>42</v>
      </c>
      <c r="DB327" t="s">
        <v>42</v>
      </c>
      <c r="DC327" t="s">
        <v>42</v>
      </c>
      <c r="DD327" t="s">
        <v>42</v>
      </c>
      <c r="DE327" t="s">
        <v>42</v>
      </c>
      <c r="DF327" t="s">
        <v>42</v>
      </c>
      <c r="DG327" t="s">
        <v>42</v>
      </c>
      <c r="DH327" s="4" t="s">
        <v>42</v>
      </c>
      <c r="DI327" t="s">
        <v>42</v>
      </c>
      <c r="DJ327" s="4" t="s">
        <v>42</v>
      </c>
      <c r="DK327" t="s">
        <v>42</v>
      </c>
      <c r="DL327" s="4">
        <v>485</v>
      </c>
      <c r="DM327">
        <v>1</v>
      </c>
      <c r="DN327" s="4">
        <v>496</v>
      </c>
      <c r="DO327">
        <v>1</v>
      </c>
      <c r="DP327" s="4">
        <v>505</v>
      </c>
      <c r="DQ327">
        <v>1</v>
      </c>
      <c r="DR327" s="4">
        <v>524</v>
      </c>
      <c r="DS327">
        <v>1</v>
      </c>
      <c r="DT327" s="4">
        <v>536</v>
      </c>
      <c r="DU327">
        <v>1</v>
      </c>
      <c r="DV327" s="4">
        <v>550</v>
      </c>
      <c r="DW327">
        <v>1</v>
      </c>
      <c r="DX327" s="4">
        <v>559</v>
      </c>
      <c r="DY327">
        <v>1</v>
      </c>
      <c r="DZ327" s="4">
        <v>567</v>
      </c>
      <c r="EA327">
        <v>1</v>
      </c>
      <c r="EB327" s="4">
        <v>572</v>
      </c>
      <c r="EC327">
        <v>1</v>
      </c>
      <c r="ED327" s="4">
        <v>576</v>
      </c>
      <c r="EE327">
        <v>1</v>
      </c>
      <c r="EF327" s="4">
        <v>582</v>
      </c>
      <c r="EG327">
        <v>1</v>
      </c>
      <c r="EH327" s="4">
        <v>589</v>
      </c>
      <c r="EI327">
        <v>1</v>
      </c>
      <c r="EJ327" s="4">
        <v>596</v>
      </c>
      <c r="EK327">
        <v>1</v>
      </c>
    </row>
    <row r="328" spans="1:141" x14ac:dyDescent="0.2">
      <c r="A328" t="str">
        <f>HYPERLINK("http://exon.niaid.nih.gov/transcriptome/C_felis/S1/links/cf/cf-contig_567.txt","cf-contig_567")</f>
        <v>cf-contig_567</v>
      </c>
      <c r="B328">
        <v>1</v>
      </c>
      <c r="C328" s="10" t="s">
        <v>4805</v>
      </c>
      <c r="D328">
        <v>1</v>
      </c>
      <c r="E328" t="str">
        <f>HYPERLINK("http://exon.niaid.nih.gov/transcriptome/C_felis/S1/links/cf/cf-5-36-asb-567.txt","Contig-567")</f>
        <v>Contig-567</v>
      </c>
      <c r="F328" t="str">
        <f>HYPERLINK("http://exon.niaid.nih.gov/transcriptome/C_felis/S1/links/cf/cf-5-36-567-CLU.txt","Contig567")</f>
        <v>Contig567</v>
      </c>
      <c r="G328" t="str">
        <f>HYPERLINK("http://exon.niaid.nih.gov/transcriptome/C_felis/S1/links/cf/cf-5-36-567-qual.txt","67.5")</f>
        <v>67.5</v>
      </c>
      <c r="H328" t="s">
        <v>11</v>
      </c>
      <c r="I328">
        <v>64</v>
      </c>
      <c r="J328">
        <v>348</v>
      </c>
      <c r="K328" t="s">
        <v>12</v>
      </c>
      <c r="L328">
        <v>1</v>
      </c>
      <c r="M328" t="s">
        <v>580</v>
      </c>
      <c r="N328">
        <v>348</v>
      </c>
      <c r="O328">
        <v>367</v>
      </c>
      <c r="P328">
        <v>150</v>
      </c>
      <c r="Q328" t="s">
        <v>1386</v>
      </c>
      <c r="R328">
        <v>3</v>
      </c>
      <c r="S328" s="7" t="s">
        <v>4585</v>
      </c>
      <c r="U328">
        <v>1</v>
      </c>
      <c r="V328" s="4">
        <v>463</v>
      </c>
      <c r="W328">
        <v>1</v>
      </c>
      <c r="X328" s="4">
        <v>473</v>
      </c>
      <c r="Y328">
        <v>1</v>
      </c>
      <c r="Z328" s="4">
        <v>480</v>
      </c>
      <c r="AA328">
        <v>1</v>
      </c>
      <c r="AB328" s="4" t="str">
        <f>HYPERLINK("http://exon.niaid.nih.gov/transcriptome/C_felis/S1/links/XC-ASB/cf-contig_567-XC-ASB.txt","XC-contig_139")</f>
        <v>XC-contig_139</v>
      </c>
      <c r="AC328">
        <v>0.19</v>
      </c>
      <c r="AD328" s="10" t="s">
        <v>4805</v>
      </c>
      <c r="AE328" t="s">
        <v>4612</v>
      </c>
      <c r="AF328" t="str">
        <f>HYPERLINK("http://exon.niaid.nih.gov/transcriptome/C_felis/S1/links/NR/cf-contig_567-NR.txt","NR")</f>
        <v>NR</v>
      </c>
      <c r="AG328">
        <v>2.0000000000000002E-15</v>
      </c>
      <c r="AH328">
        <v>11.8</v>
      </c>
      <c r="AI328" s="4" t="str">
        <f>HYPERLINK("http://exon.niaid.nih.gov/transcriptome/C_felis/S1/links/NR/cf-contig_567-NR.txt","hypothetical protein TcasGA2_TC008405")</f>
        <v>hypothetical protein TcasGA2_TC008405</v>
      </c>
      <c r="AJ328" t="str">
        <f>HYPERLINK("http://www.ncbi.nlm.nih.gov/sutils/blink.cgi?pid=270006236","2E-015")</f>
        <v>2E-015</v>
      </c>
      <c r="AK328" t="str">
        <f>HYPERLINK("http://www.ncbi.nlm.nih.gov/protein/270006236","gi|270006236")</f>
        <v>gi|270006236</v>
      </c>
      <c r="AL328">
        <v>86.3</v>
      </c>
      <c r="AM328">
        <v>89</v>
      </c>
      <c r="AN328">
        <v>454</v>
      </c>
      <c r="AO328">
        <v>47</v>
      </c>
      <c r="AP328">
        <v>20</v>
      </c>
      <c r="AQ328">
        <v>49</v>
      </c>
      <c r="AR328">
        <v>0</v>
      </c>
      <c r="AS328">
        <v>365</v>
      </c>
      <c r="AT328">
        <v>3</v>
      </c>
      <c r="AU328">
        <v>1</v>
      </c>
      <c r="AV328">
        <v>3</v>
      </c>
      <c r="AW328" t="s">
        <v>12</v>
      </c>
      <c r="AX328">
        <v>2.2469999999999999</v>
      </c>
      <c r="AY328" t="s">
        <v>1676</v>
      </c>
      <c r="AZ328" t="s">
        <v>1878</v>
      </c>
      <c r="BA328" s="4" t="str">
        <f>HYPERLINK("http://exon.niaid.nih.gov/transcriptome/C_felis/S1/links/SWISSP/cf-contig_567-SWISSP.txt","FK506-binding protein 59")</f>
        <v>FK506-binding protein 59</v>
      </c>
      <c r="BB328" t="str">
        <f>HYPERLINK("http://www.uniprot.org/uniprot/Q9VL78","2E-007")</f>
        <v>2E-007</v>
      </c>
      <c r="BC328" t="s">
        <v>3724</v>
      </c>
      <c r="BD328">
        <v>54.3</v>
      </c>
      <c r="BE328">
        <v>44</v>
      </c>
      <c r="BF328">
        <v>439</v>
      </c>
      <c r="BG328">
        <v>53</v>
      </c>
      <c r="BH328">
        <v>10</v>
      </c>
      <c r="BI328">
        <v>21</v>
      </c>
      <c r="BJ328">
        <v>0</v>
      </c>
      <c r="BK328">
        <v>363</v>
      </c>
      <c r="BL328">
        <v>3</v>
      </c>
      <c r="BM328">
        <v>1</v>
      </c>
      <c r="BN328">
        <v>3</v>
      </c>
      <c r="BO328" t="s">
        <v>12</v>
      </c>
      <c r="BQ328" t="s">
        <v>1676</v>
      </c>
      <c r="BR328" t="s">
        <v>1804</v>
      </c>
      <c r="BS328" s="4" t="str">
        <f>HYPERLINK("http://exon.niaid.nih.gov/transcriptome/C_felis/S1/links/CDD/cf-contig_567-CDD.txt","PRK14396")</f>
        <v>PRK14396</v>
      </c>
      <c r="BT328" t="str">
        <f>HYPERLINK("http://www.ncbi.nlm.nih.gov/Structure/cdd/cddsrv.cgi?uid=PRK14396&amp;version=v4.0","0.21")</f>
        <v>0.21</v>
      </c>
      <c r="BU328" t="s">
        <v>3725</v>
      </c>
      <c r="BV328" s="4" t="s">
        <v>3726</v>
      </c>
      <c r="BW328">
        <f>HYPERLINK("http://exon.niaid.nih.gov/transcriptome/C_felis/S1/links/GO/cf-contig_567-GO.txt",0.0000002)</f>
        <v>1.9999999999999999E-7</v>
      </c>
      <c r="BX328" t="str">
        <f>HYPERLINK("http://amigo.geneontology.org/cgi-bin/amigo/term_details?term=GO:0003755","GO:0003755")</f>
        <v>GO:0003755</v>
      </c>
      <c r="BY328" t="s">
        <v>3727</v>
      </c>
      <c r="BZ328" t="s">
        <v>3728</v>
      </c>
      <c r="CA328" t="s">
        <v>3729</v>
      </c>
      <c r="CB328" t="str">
        <f>HYPERLINK("http://www.genome.jp/dbget-bin/www_bfind_sub?mode=bfind&amp;max_hit=1000&amp;dbkey=kegg&amp;keywords=EC:5.2.1.8","EC:5.2.1.8")</f>
        <v>EC:5.2.1.8</v>
      </c>
      <c r="CD328">
        <v>1.9999999999999999E-7</v>
      </c>
      <c r="CE328" t="str">
        <f>HYPERLINK("http://amigo.geneontology.org/cgi-bin/amigo/term_details?term=GO:0016027","GO:0016027")</f>
        <v>GO:0016027</v>
      </c>
      <c r="CF328" t="s">
        <v>3730</v>
      </c>
      <c r="CG328" t="s">
        <v>3731</v>
      </c>
      <c r="CH328" t="s">
        <v>3732</v>
      </c>
      <c r="CI328" t="s">
        <v>42</v>
      </c>
      <c r="CK328">
        <v>1.9999999999999999E-7</v>
      </c>
      <c r="CL328" t="str">
        <f>HYPERLINK("http://amigo.geneontology.org/cgi-bin/amigo/term_details?term=GO:0007422","GO:0007422")</f>
        <v>GO:0007422</v>
      </c>
      <c r="CM328" t="s">
        <v>3733</v>
      </c>
      <c r="CN328" t="s">
        <v>3734</v>
      </c>
      <c r="CO328" t="s">
        <v>42</v>
      </c>
      <c r="CP328" t="s">
        <v>42</v>
      </c>
      <c r="CR328">
        <v>1.9999999999999999E-7</v>
      </c>
      <c r="CS328" s="4" t="str">
        <f>HYPERLINK("http://exon.niaid.nih.gov/transcriptome/C_felis/S1/links/KOG/cf-contig_567-KOG.txt","FKBP-type peptidyl-prolyl cis-trans isomerase")</f>
        <v>FKBP-type peptidyl-prolyl cis-trans isomerase</v>
      </c>
      <c r="CT328" t="str">
        <f>HYPERLINK("http://www.ncbi.nlm.nih.gov/COG/grace/shokog.cgi?KOG0543","8E-010")</f>
        <v>8E-010</v>
      </c>
      <c r="CU328" t="s">
        <v>2198</v>
      </c>
      <c r="CV328" s="4" t="str">
        <f>HYPERLINK("http://exon.niaid.nih.gov/transcriptome/C_felis/S1/links/PFAM/cf-contig_567-PFAM.txt","THOC7")</f>
        <v>THOC7</v>
      </c>
      <c r="CW328" t="str">
        <f>HYPERLINK("http://pfam.sanger.ac.uk/family?acc=PF05615","0.14")</f>
        <v>0.14</v>
      </c>
      <c r="CX328" s="4" t="str">
        <f>HYPERLINK("http://exon.niaid.nih.gov/transcriptome/C_felis/S1/links/SMART/cf-contig_567-SMART.txt","Haemagg_act")</f>
        <v>Haemagg_act</v>
      </c>
      <c r="CY328" t="str">
        <f>HYPERLINK("http://smart.embl-heidelberg.de/smart/do_annotation.pl?DOMAIN=Haemagg_act&amp;BLAST=DUMMY","0.24")</f>
        <v>0.24</v>
      </c>
      <c r="CZ328" s="4" t="s">
        <v>42</v>
      </c>
      <c r="DA328" t="s">
        <v>42</v>
      </c>
      <c r="DB328" t="s">
        <v>42</v>
      </c>
      <c r="DC328" t="s">
        <v>42</v>
      </c>
      <c r="DD328" t="s">
        <v>42</v>
      </c>
      <c r="DE328" t="s">
        <v>42</v>
      </c>
      <c r="DF328" t="s">
        <v>42</v>
      </c>
      <c r="DG328" t="s">
        <v>42</v>
      </c>
      <c r="DH328" s="4" t="s">
        <v>42</v>
      </c>
      <c r="DI328" t="s">
        <v>42</v>
      </c>
      <c r="DJ328" s="4" t="s">
        <v>42</v>
      </c>
      <c r="DK328" t="s">
        <v>42</v>
      </c>
      <c r="DL328" s="4">
        <v>463</v>
      </c>
      <c r="DM328">
        <v>1</v>
      </c>
      <c r="DN328" s="4">
        <v>473</v>
      </c>
      <c r="DO328">
        <v>1</v>
      </c>
      <c r="DP328" s="4">
        <v>480</v>
      </c>
      <c r="DQ328">
        <v>1</v>
      </c>
      <c r="DR328" s="4">
        <v>497</v>
      </c>
      <c r="DS328">
        <v>1</v>
      </c>
      <c r="DT328" s="4">
        <v>509</v>
      </c>
      <c r="DU328">
        <v>1</v>
      </c>
      <c r="DV328" s="4">
        <v>523</v>
      </c>
      <c r="DW328">
        <v>1</v>
      </c>
      <c r="DX328" s="4">
        <v>531</v>
      </c>
      <c r="DY328">
        <v>1</v>
      </c>
      <c r="DZ328" s="4">
        <v>539</v>
      </c>
      <c r="EA328">
        <v>1</v>
      </c>
      <c r="EB328" s="4">
        <v>544</v>
      </c>
      <c r="EC328">
        <v>1</v>
      </c>
      <c r="ED328" s="4">
        <v>548</v>
      </c>
      <c r="EE328">
        <v>1</v>
      </c>
      <c r="EF328" s="4">
        <v>553</v>
      </c>
      <c r="EG328">
        <v>1</v>
      </c>
      <c r="EH328" s="4">
        <v>560</v>
      </c>
      <c r="EI328">
        <v>1</v>
      </c>
      <c r="EJ328" s="4">
        <v>567</v>
      </c>
      <c r="EK328">
        <v>1</v>
      </c>
    </row>
    <row r="329" spans="1:141" x14ac:dyDescent="0.2">
      <c r="A329" t="str">
        <f>HYPERLINK("http://exon.niaid.nih.gov/transcriptome/C_felis/S1/links/cf/cf-contig_644.txt","cf-contig_644")</f>
        <v>cf-contig_644</v>
      </c>
      <c r="B329">
        <v>1</v>
      </c>
      <c r="C329" s="10" t="s">
        <v>4834</v>
      </c>
      <c r="D329">
        <v>1</v>
      </c>
      <c r="E329" t="str">
        <f>HYPERLINK("http://exon.niaid.nih.gov/transcriptome/C_felis/S1/links/cf/cf-5-36-asb-644.txt","Contig-644")</f>
        <v>Contig-644</v>
      </c>
      <c r="F329" t="str">
        <f>HYPERLINK("http://exon.niaid.nih.gov/transcriptome/C_felis/S1/links/cf/cf-5-36-644-CLU.txt","Contig644")</f>
        <v>Contig644</v>
      </c>
      <c r="G329" t="str">
        <f>HYPERLINK("http://exon.niaid.nih.gov/transcriptome/C_felis/S1/links/cf/cf-5-36-644-qual.txt","65.3")</f>
        <v>65.3</v>
      </c>
      <c r="H329" t="s">
        <v>11</v>
      </c>
      <c r="I329">
        <v>68</v>
      </c>
      <c r="J329">
        <v>437</v>
      </c>
      <c r="K329" t="s">
        <v>12</v>
      </c>
      <c r="L329">
        <v>1</v>
      </c>
      <c r="M329" t="s">
        <v>657</v>
      </c>
      <c r="N329">
        <v>437</v>
      </c>
      <c r="O329">
        <v>456</v>
      </c>
      <c r="P329">
        <v>369</v>
      </c>
      <c r="Q329" t="s">
        <v>1463</v>
      </c>
      <c r="R329">
        <v>3</v>
      </c>
      <c r="S329" s="7" t="str">
        <f>HYPERLINK("http://exon.niaid.nih.gov/transcriptome/C_felis/S1/links/Sigp/CF-CONTIG_644-SigP.txt","Cyt")</f>
        <v>Cyt</v>
      </c>
      <c r="U329">
        <v>1</v>
      </c>
      <c r="V329" s="4">
        <v>527</v>
      </c>
      <c r="W329">
        <v>1</v>
      </c>
      <c r="X329" s="4">
        <v>539</v>
      </c>
      <c r="Y329">
        <v>1</v>
      </c>
      <c r="Z329" s="4">
        <v>549</v>
      </c>
      <c r="AA329">
        <v>1</v>
      </c>
      <c r="AB329" s="4" t="str">
        <f>HYPERLINK("http://exon.niaid.nih.gov/transcriptome/C_felis/S1/links/XC-ASB/cf-contig_644-XC-ASB.txt","XC-contig_209")</f>
        <v>XC-contig_209</v>
      </c>
      <c r="AC329">
        <v>1.7</v>
      </c>
      <c r="AD329" s="10" t="s">
        <v>4834</v>
      </c>
      <c r="AE329" t="s">
        <v>4612</v>
      </c>
      <c r="AF329" t="str">
        <f>HYPERLINK("http://exon.niaid.nih.gov/transcriptome/C_felis/S1/links/GO/cf-contig_644-GO.txt","GO")</f>
        <v>GO</v>
      </c>
      <c r="AG329">
        <v>2.0000000000000001E-9</v>
      </c>
      <c r="AH329">
        <v>10.5</v>
      </c>
      <c r="AI329" s="4" t="str">
        <f>HYPERLINK("http://exon.niaid.nih.gov/transcriptome/C_felis/S1/links/NR/cf-contig_644-NR.txt","rho gtpase activating protein")</f>
        <v>rho gtpase activating protein</v>
      </c>
      <c r="AJ329" t="str">
        <f>HYPERLINK("http://www.ncbi.nlm.nih.gov/sutils/blink.cgi?pid=157136992","5E-015")</f>
        <v>5E-015</v>
      </c>
      <c r="AK329" t="str">
        <f>HYPERLINK("http://www.ncbi.nlm.nih.gov/protein/157136992","gi|157136992")</f>
        <v>gi|157136992</v>
      </c>
      <c r="AL329">
        <v>84.7</v>
      </c>
      <c r="AM329">
        <v>102</v>
      </c>
      <c r="AN329">
        <v>917</v>
      </c>
      <c r="AO329">
        <v>43</v>
      </c>
      <c r="AP329">
        <v>11</v>
      </c>
      <c r="AQ329">
        <v>62</v>
      </c>
      <c r="AR329">
        <v>0</v>
      </c>
      <c r="AS329">
        <v>815</v>
      </c>
      <c r="AT329">
        <v>45</v>
      </c>
      <c r="AU329">
        <v>1</v>
      </c>
      <c r="AV329">
        <v>3</v>
      </c>
      <c r="AW329" t="s">
        <v>12</v>
      </c>
      <c r="AY329" t="s">
        <v>1676</v>
      </c>
      <c r="AZ329" t="s">
        <v>2267</v>
      </c>
      <c r="BA329" s="4" t="str">
        <f>HYPERLINK("http://exon.niaid.nih.gov/transcriptome/C_felis/S1/links/SWISSP/cf-contig_644-SWISSP.txt","Dentin sialophosphoprotein")</f>
        <v>Dentin sialophosphoprotein</v>
      </c>
      <c r="BB329" t="str">
        <f>HYPERLINK("http://www.uniprot.org/uniprot/Q9NZW4","0.002")</f>
        <v>0.002</v>
      </c>
      <c r="BC329" t="s">
        <v>4042</v>
      </c>
      <c r="BD329">
        <v>41.6</v>
      </c>
      <c r="BE329">
        <v>310</v>
      </c>
      <c r="BF329">
        <v>1301</v>
      </c>
      <c r="BG329">
        <v>28</v>
      </c>
      <c r="BH329">
        <v>24</v>
      </c>
      <c r="BI329">
        <v>89</v>
      </c>
      <c r="BJ329">
        <v>4</v>
      </c>
      <c r="BK329">
        <v>635</v>
      </c>
      <c r="BL329">
        <v>9</v>
      </c>
      <c r="BM329">
        <v>2</v>
      </c>
      <c r="BN329">
        <v>3</v>
      </c>
      <c r="BO329" t="s">
        <v>12</v>
      </c>
      <c r="BQ329" t="s">
        <v>1676</v>
      </c>
      <c r="BR329" t="s">
        <v>1690</v>
      </c>
      <c r="BS329" s="4" t="str">
        <f>HYPERLINK("http://exon.niaid.nih.gov/transcriptome/C_felis/S1/links/CDD/cf-contig_644-CDD.txt","PRD_Mga")</f>
        <v>PRD_Mga</v>
      </c>
      <c r="BT329" t="str">
        <f>HYPERLINK("http://www.ncbi.nlm.nih.gov/Structure/cdd/cddsrv.cgi?uid=pfam08270&amp;version=v4.0","0.11")</f>
        <v>0.11</v>
      </c>
      <c r="BU329" t="s">
        <v>4043</v>
      </c>
      <c r="BV329" s="4" t="s">
        <v>4044</v>
      </c>
      <c r="BW329">
        <f>HYPERLINK("http://exon.niaid.nih.gov/transcriptome/C_felis/S1/links/GO/cf-contig_644-GO.txt",0.000000002)</f>
        <v>2.0000000000000001E-9</v>
      </c>
      <c r="BX329" t="s">
        <v>42</v>
      </c>
      <c r="BY329" t="s">
        <v>42</v>
      </c>
      <c r="BZ329" t="s">
        <v>42</v>
      </c>
      <c r="CA329" t="s">
        <v>42</v>
      </c>
      <c r="CC329" t="s">
        <v>42</v>
      </c>
      <c r="CD329" t="s">
        <v>42</v>
      </c>
      <c r="CE329" t="str">
        <f>HYPERLINK("http://amigo.geneontology.org/cgi-bin/amigo/term_details?term=GO:0005622","GO:0005622")</f>
        <v>GO:0005622</v>
      </c>
      <c r="CF329" t="s">
        <v>2085</v>
      </c>
      <c r="CG329" t="s">
        <v>2086</v>
      </c>
      <c r="CH329" t="s">
        <v>2087</v>
      </c>
      <c r="CI329" t="s">
        <v>42</v>
      </c>
      <c r="CK329">
        <v>2.0000000000000001E-9</v>
      </c>
      <c r="CL329" t="str">
        <f>HYPERLINK("http://amigo.geneontology.org/cgi-bin/amigo/term_details?term=GO:0007165","GO:0007165")</f>
        <v>GO:0007165</v>
      </c>
      <c r="CM329" t="s">
        <v>4045</v>
      </c>
      <c r="CN329" t="s">
        <v>4046</v>
      </c>
      <c r="CO329" t="s">
        <v>4047</v>
      </c>
      <c r="CP329" t="s">
        <v>42</v>
      </c>
      <c r="CR329">
        <v>2.0000000000000001E-9</v>
      </c>
      <c r="CS329" s="4" t="str">
        <f>HYPERLINK("http://exon.niaid.nih.gov/transcriptome/C_felis/S1/links/KOG/cf-contig_644-KOG.txt","T-type voltage-gated Ca2+ channel, pore-forming alpha1I subunit")</f>
        <v>T-type voltage-gated Ca2+ channel, pore-forming alpha1I subunit</v>
      </c>
      <c r="CT329" t="str">
        <f>HYPERLINK("http://www.ncbi.nlm.nih.gov/COG/grace/shokog.cgi?KOG2302","0.095")</f>
        <v>0.095</v>
      </c>
      <c r="CU329" t="s">
        <v>1702</v>
      </c>
      <c r="CV329" s="4" t="str">
        <f>HYPERLINK("http://exon.niaid.nih.gov/transcriptome/C_felis/S1/links/PFAM/cf-contig_644-PFAM.txt","PRD_Mga")</f>
        <v>PRD_Mga</v>
      </c>
      <c r="CW329" t="str">
        <f>HYPERLINK("http://pfam.sanger.ac.uk/family?acc=PF08270","0.023")</f>
        <v>0.023</v>
      </c>
      <c r="CX329" s="4" t="str">
        <f>HYPERLINK("http://exon.niaid.nih.gov/transcriptome/C_felis/S1/links/SMART/cf-contig_644-SMART.txt","WAP")</f>
        <v>WAP</v>
      </c>
      <c r="CY329" t="str">
        <f>HYPERLINK("http://smart.embl-heidelberg.de/smart/do_annotation.pl?DOMAIN=WAP&amp;BLAST=DUMMY","0.18")</f>
        <v>0.18</v>
      </c>
      <c r="CZ329" s="4" t="s">
        <v>42</v>
      </c>
      <c r="DA329" t="s">
        <v>42</v>
      </c>
      <c r="DB329" t="s">
        <v>42</v>
      </c>
      <c r="DC329" t="s">
        <v>42</v>
      </c>
      <c r="DD329" t="s">
        <v>42</v>
      </c>
      <c r="DE329" t="s">
        <v>42</v>
      </c>
      <c r="DF329" t="s">
        <v>42</v>
      </c>
      <c r="DG329" t="s">
        <v>42</v>
      </c>
      <c r="DH329" s="4" t="s">
        <v>42</v>
      </c>
      <c r="DI329" t="s">
        <v>42</v>
      </c>
      <c r="DJ329" s="4" t="s">
        <v>42</v>
      </c>
      <c r="DK329" t="s">
        <v>42</v>
      </c>
      <c r="DL329" s="4">
        <v>527</v>
      </c>
      <c r="DM329">
        <v>1</v>
      </c>
      <c r="DN329" s="4">
        <v>539</v>
      </c>
      <c r="DO329">
        <v>1</v>
      </c>
      <c r="DP329" s="4">
        <v>549</v>
      </c>
      <c r="DQ329">
        <v>1</v>
      </c>
      <c r="DR329" s="4">
        <v>569</v>
      </c>
      <c r="DS329">
        <v>1</v>
      </c>
      <c r="DT329" s="4">
        <v>582</v>
      </c>
      <c r="DU329">
        <v>1</v>
      </c>
      <c r="DV329" s="4">
        <v>596</v>
      </c>
      <c r="DW329">
        <v>1</v>
      </c>
      <c r="DX329" s="4">
        <v>605</v>
      </c>
      <c r="DY329">
        <v>1</v>
      </c>
      <c r="DZ329" s="4">
        <v>614</v>
      </c>
      <c r="EA329">
        <v>1</v>
      </c>
      <c r="EB329" s="4">
        <v>619</v>
      </c>
      <c r="EC329">
        <v>1</v>
      </c>
      <c r="ED329" s="4">
        <v>623</v>
      </c>
      <c r="EE329">
        <v>1</v>
      </c>
      <c r="EF329" s="4">
        <v>629</v>
      </c>
      <c r="EG329">
        <v>1</v>
      </c>
      <c r="EH329" s="4">
        <v>637</v>
      </c>
      <c r="EI329">
        <v>1</v>
      </c>
      <c r="EJ329" s="4">
        <v>644</v>
      </c>
      <c r="EK329">
        <v>1</v>
      </c>
    </row>
    <row r="330" spans="1:141" x14ac:dyDescent="0.2">
      <c r="A330" t="str">
        <f>HYPERLINK("http://exon.niaid.nih.gov/transcriptome/C_felis/S1/links/cf/cf-contig_323.txt","cf-contig_323")</f>
        <v>cf-contig_323</v>
      </c>
      <c r="B330">
        <v>1</v>
      </c>
      <c r="C330" s="10" t="s">
        <v>4733</v>
      </c>
      <c r="D330">
        <v>1</v>
      </c>
      <c r="E330" t="str">
        <f>HYPERLINK("http://exon.niaid.nih.gov/transcriptome/C_felis/S1/links/cf/cf-5-36-asb-323.txt","Contig-323")</f>
        <v>Contig-323</v>
      </c>
      <c r="F330" t="str">
        <f>HYPERLINK("http://exon.niaid.nih.gov/transcriptome/C_felis/S1/links/cf/cf-5-36-323-CLU.txt","Contig323")</f>
        <v>Contig323</v>
      </c>
      <c r="G330" t="str">
        <f>HYPERLINK("http://exon.niaid.nih.gov/transcriptome/C_felis/S1/links/cf/cf-5-36-323-qual.txt","64.4")</f>
        <v>64.4</v>
      </c>
      <c r="H330" t="s">
        <v>11</v>
      </c>
      <c r="I330">
        <v>51.7</v>
      </c>
      <c r="J330">
        <v>581</v>
      </c>
      <c r="K330" t="s">
        <v>12</v>
      </c>
      <c r="L330">
        <v>1</v>
      </c>
      <c r="M330" t="s">
        <v>336</v>
      </c>
      <c r="N330">
        <v>581</v>
      </c>
      <c r="O330">
        <v>600</v>
      </c>
      <c r="P330">
        <v>465</v>
      </c>
      <c r="Q330" t="s">
        <v>1143</v>
      </c>
      <c r="R330">
        <v>3</v>
      </c>
      <c r="S330" s="7" t="str">
        <f>HYPERLINK("http://exon.niaid.nih.gov/transcriptome/C_felis/S1/links/Sigp/CF-CONTIG_323-SigP.txt","Cyt")</f>
        <v>Cyt</v>
      </c>
      <c r="U330">
        <v>1</v>
      </c>
      <c r="V330" s="4">
        <v>260</v>
      </c>
      <c r="W330">
        <v>1</v>
      </c>
      <c r="X330" s="4">
        <v>266</v>
      </c>
      <c r="Y330">
        <v>1</v>
      </c>
      <c r="Z330" s="4">
        <v>265</v>
      </c>
      <c r="AA330">
        <v>1</v>
      </c>
      <c r="AB330" s="4" t="str">
        <f>HYPERLINK("http://exon.niaid.nih.gov/transcriptome/C_felis/S1/links/XC-ASB/cf-contig_323-XC-ASB.txt","XC-contig_57")</f>
        <v>XC-contig_57</v>
      </c>
      <c r="AC330">
        <v>0.9</v>
      </c>
      <c r="AD330" s="10" t="s">
        <v>4733</v>
      </c>
      <c r="AE330" t="s">
        <v>4612</v>
      </c>
      <c r="AF330" t="str">
        <f>HYPERLINK("http://exon.niaid.nih.gov/transcriptome/C_felis/S1/links/GO/cf-contig_323-GO.txt","GO")</f>
        <v>GO</v>
      </c>
      <c r="AG330" s="5">
        <v>3.9999999999999997E-65</v>
      </c>
      <c r="AH330">
        <v>54.3</v>
      </c>
      <c r="AI330" s="4" t="str">
        <f>HYPERLINK("http://exon.niaid.nih.gov/transcriptome/C_felis/S1/links/NR/cf-contig_323-NR.txt","AGAP007127-PA")</f>
        <v>AGAP007127-PA</v>
      </c>
      <c r="AJ330" t="str">
        <f>HYPERLINK("http://www.ncbi.nlm.nih.gov/sutils/blink.cgi?pid=158286230","2E-083")</f>
        <v>2E-083</v>
      </c>
      <c r="AK330" t="str">
        <f>HYPERLINK("http://www.ncbi.nlm.nih.gov/protein/158286230","gi|158286230")</f>
        <v>gi|158286230</v>
      </c>
      <c r="AL330">
        <v>312</v>
      </c>
      <c r="AM330">
        <v>154</v>
      </c>
      <c r="AN330">
        <v>237</v>
      </c>
      <c r="AO330">
        <v>99</v>
      </c>
      <c r="AP330">
        <v>65</v>
      </c>
      <c r="AQ330">
        <v>1</v>
      </c>
      <c r="AR330">
        <v>0</v>
      </c>
      <c r="AS330">
        <v>83</v>
      </c>
      <c r="AT330">
        <v>3</v>
      </c>
      <c r="AU330">
        <v>1</v>
      </c>
      <c r="AV330">
        <v>3</v>
      </c>
      <c r="AW330" t="s">
        <v>12</v>
      </c>
      <c r="AY330" t="s">
        <v>1676</v>
      </c>
      <c r="AZ330" t="s">
        <v>2374</v>
      </c>
      <c r="BA330" s="4" t="str">
        <f>HYPERLINK("http://exon.niaid.nih.gov/transcriptome/C_felis/S1/links/SWISSP/cf-contig_323-SWISSP.txt","Regulator of G-protein signaling 20")</f>
        <v>Regulator of G-protein signaling 20</v>
      </c>
      <c r="BB330" t="str">
        <f>HYPERLINK("http://www.uniprot.org/uniprot/O76081","3E-054")</f>
        <v>3E-054</v>
      </c>
      <c r="BC330" t="s">
        <v>2833</v>
      </c>
      <c r="BD330">
        <v>211</v>
      </c>
      <c r="BE330">
        <v>128</v>
      </c>
      <c r="BF330">
        <v>388</v>
      </c>
      <c r="BG330">
        <v>76</v>
      </c>
      <c r="BH330">
        <v>33</v>
      </c>
      <c r="BI330">
        <v>30</v>
      </c>
      <c r="BJ330">
        <v>0</v>
      </c>
      <c r="BK330">
        <v>251</v>
      </c>
      <c r="BL330">
        <v>30</v>
      </c>
      <c r="BM330">
        <v>1</v>
      </c>
      <c r="BN330">
        <v>3</v>
      </c>
      <c r="BO330" t="s">
        <v>12</v>
      </c>
      <c r="BQ330" t="s">
        <v>1676</v>
      </c>
      <c r="BR330" t="s">
        <v>1690</v>
      </c>
      <c r="BS330" s="4" t="str">
        <f>HYPERLINK("http://exon.niaid.nih.gov/transcriptome/C_felis/S1/links/CDD/cf-contig_323-CDD.txt","RGS_RZ-like")</f>
        <v>RGS_RZ-like</v>
      </c>
      <c r="BT330" t="str">
        <f>HYPERLINK("http://www.ncbi.nlm.nih.gov/Structure/cdd/cddsrv.cgi?uid=cd08718&amp;version=v4.0","1E-070")</f>
        <v>1E-070</v>
      </c>
      <c r="BU330" t="s">
        <v>2834</v>
      </c>
      <c r="BV330" s="4" t="s">
        <v>2835</v>
      </c>
      <c r="BW330">
        <f>HYPERLINK("http://exon.niaid.nih.gov/transcriptome/C_felis/S1/links/GO/cf-contig_323-GO.txt",4E-65)</f>
        <v>3.9999999999999997E-65</v>
      </c>
      <c r="BX330" t="str">
        <f>HYPERLINK("http://amigo.geneontology.org/cgi-bin/amigo/term_details?term=GO:0004871","GO:0004871")</f>
        <v>GO:0004871</v>
      </c>
      <c r="BY330" t="s">
        <v>2836</v>
      </c>
      <c r="BZ330" t="s">
        <v>2837</v>
      </c>
      <c r="CA330" t="s">
        <v>2838</v>
      </c>
      <c r="CB330" t="s">
        <v>42</v>
      </c>
      <c r="CD330" s="5">
        <v>2.0000000000000001E-54</v>
      </c>
      <c r="CE330" t="str">
        <f>HYPERLINK("http://amigo.geneontology.org/cgi-bin/amigo/term_details?term=GO:0005634","GO:0005634")</f>
        <v>GO:0005634</v>
      </c>
      <c r="CF330" t="s">
        <v>2064</v>
      </c>
      <c r="CG330" t="s">
        <v>2065</v>
      </c>
      <c r="CH330" t="s">
        <v>2066</v>
      </c>
      <c r="CI330" t="s">
        <v>42</v>
      </c>
      <c r="CK330" s="5">
        <v>2.0000000000000001E-54</v>
      </c>
      <c r="CL330" t="str">
        <f>HYPERLINK("http://amigo.geneontology.org/cgi-bin/amigo/term_details?term=GO:0008277","GO:0008277")</f>
        <v>GO:0008277</v>
      </c>
      <c r="CM330" t="s">
        <v>2839</v>
      </c>
      <c r="CN330" t="s">
        <v>2840</v>
      </c>
      <c r="CO330" t="s">
        <v>2841</v>
      </c>
      <c r="CP330" t="s">
        <v>42</v>
      </c>
      <c r="CR330" s="5">
        <v>2.0000000000000001E-54</v>
      </c>
      <c r="CS330" s="4" t="str">
        <f>HYPERLINK("http://exon.niaid.nih.gov/transcriptome/C_felis/S1/links/KOG/cf-contig_323-KOG.txt","G protein signaling regulators")</f>
        <v>G protein signaling regulators</v>
      </c>
      <c r="CT330" t="str">
        <f>HYPERLINK("http://www.ncbi.nlm.nih.gov/COG/grace/shokog.cgi?KOG3589","3E-044")</f>
        <v>3E-044</v>
      </c>
      <c r="CU330" t="s">
        <v>1780</v>
      </c>
      <c r="CV330" s="4" t="str">
        <f>HYPERLINK("http://exon.niaid.nih.gov/transcriptome/C_felis/S1/links/PFAM/cf-contig_323-PFAM.txt","RGS")</f>
        <v>RGS</v>
      </c>
      <c r="CW330" t="str">
        <f>HYPERLINK("http://pfam.sanger.ac.uk/family?acc=PF00615","4E-039")</f>
        <v>4E-039</v>
      </c>
      <c r="CX330" s="4" t="str">
        <f>HYPERLINK("http://exon.niaid.nih.gov/transcriptome/C_felis/S1/links/SMART/cf-contig_323-SMART.txt","RGS")</f>
        <v>RGS</v>
      </c>
      <c r="CY330" t="str">
        <f>HYPERLINK("http://smart.embl-heidelberg.de/smart/do_annotation.pl?DOMAIN=RGS&amp;BLAST=DUMMY","5E-038")</f>
        <v>5E-038</v>
      </c>
      <c r="CZ330" s="4" t="s">
        <v>42</v>
      </c>
      <c r="DA330" t="s">
        <v>42</v>
      </c>
      <c r="DB330" t="s">
        <v>42</v>
      </c>
      <c r="DC330" t="s">
        <v>42</v>
      </c>
      <c r="DD330" t="s">
        <v>42</v>
      </c>
      <c r="DE330" t="s">
        <v>42</v>
      </c>
      <c r="DF330" t="s">
        <v>42</v>
      </c>
      <c r="DG330" t="s">
        <v>42</v>
      </c>
      <c r="DH330" s="4" t="s">
        <v>42</v>
      </c>
      <c r="DI330" t="s">
        <v>42</v>
      </c>
      <c r="DJ330" s="4" t="s">
        <v>42</v>
      </c>
      <c r="DK330" t="s">
        <v>42</v>
      </c>
      <c r="DL330" s="4">
        <v>260</v>
      </c>
      <c r="DM330">
        <v>1</v>
      </c>
      <c r="DN330" s="4">
        <v>266</v>
      </c>
      <c r="DO330">
        <v>1</v>
      </c>
      <c r="DP330" s="4">
        <v>265</v>
      </c>
      <c r="DQ330">
        <v>1</v>
      </c>
      <c r="DR330" s="4">
        <v>274</v>
      </c>
      <c r="DS330">
        <v>1</v>
      </c>
      <c r="DT330" s="4">
        <v>284</v>
      </c>
      <c r="DU330">
        <v>1</v>
      </c>
      <c r="DV330" s="4">
        <v>296</v>
      </c>
      <c r="DW330">
        <v>1</v>
      </c>
      <c r="DX330" s="4">
        <v>298</v>
      </c>
      <c r="DY330">
        <v>1</v>
      </c>
      <c r="DZ330" s="4">
        <v>303</v>
      </c>
      <c r="EA330">
        <v>1</v>
      </c>
      <c r="EB330" s="4">
        <v>308</v>
      </c>
      <c r="EC330">
        <v>1</v>
      </c>
      <c r="ED330" s="4">
        <v>312</v>
      </c>
      <c r="EE330">
        <v>1</v>
      </c>
      <c r="EF330" s="4">
        <v>316</v>
      </c>
      <c r="EG330">
        <v>1</v>
      </c>
      <c r="EH330" s="4">
        <v>318</v>
      </c>
      <c r="EI330">
        <v>1</v>
      </c>
      <c r="EJ330" s="4">
        <v>323</v>
      </c>
      <c r="EK330">
        <v>1</v>
      </c>
    </row>
    <row r="331" spans="1:141" x14ac:dyDescent="0.2">
      <c r="A331" t="str">
        <f>HYPERLINK("http://exon.niaid.nih.gov/transcriptome/C_felis/S1/links/cf/cf-contig_290.txt","cf-contig_290")</f>
        <v>cf-contig_290</v>
      </c>
      <c r="B331">
        <v>1</v>
      </c>
      <c r="C331" s="10" t="s">
        <v>4721</v>
      </c>
      <c r="D331">
        <v>1</v>
      </c>
      <c r="E331" t="str">
        <f>HYPERLINK("http://exon.niaid.nih.gov/transcriptome/C_felis/S1/links/cf/cf-5-36-asb-290.txt","Contig-290")</f>
        <v>Contig-290</v>
      </c>
      <c r="F331" t="str">
        <f>HYPERLINK("http://exon.niaid.nih.gov/transcriptome/C_felis/S1/links/cf/cf-5-36-290-CLU.txt","Contig290")</f>
        <v>Contig290</v>
      </c>
      <c r="G331" t="str">
        <f>HYPERLINK("http://exon.niaid.nih.gov/transcriptome/C_felis/S1/links/cf/cf-5-36-290-qual.txt","63.8")</f>
        <v>63.8</v>
      </c>
      <c r="H331" t="s">
        <v>11</v>
      </c>
      <c r="I331">
        <v>52.3</v>
      </c>
      <c r="J331">
        <v>157</v>
      </c>
      <c r="K331" t="s">
        <v>12</v>
      </c>
      <c r="L331">
        <v>1</v>
      </c>
      <c r="M331" t="s">
        <v>303</v>
      </c>
      <c r="N331">
        <v>157</v>
      </c>
      <c r="O331">
        <v>176</v>
      </c>
      <c r="P331">
        <v>78</v>
      </c>
      <c r="Q331" t="s">
        <v>1110</v>
      </c>
      <c r="R331">
        <v>2</v>
      </c>
      <c r="S331" s="7" t="s">
        <v>4585</v>
      </c>
      <c r="U331">
        <v>1</v>
      </c>
      <c r="V331" s="4">
        <f>HYPERLINK("http://exon.niaid.nih.gov/transcriptome/C_felis/S1/links/cluster/cf-5-36-asb30-50-Id-CLU25.txt", 25)</f>
        <v>25</v>
      </c>
      <c r="W331">
        <f>HYPERLINK("http://exon.niaid.nih.gov/transcriptome/C_felis/S1/links/cluster/cf-5-36-asb30-50-Id-CLTL25.txt", 3)</f>
        <v>3</v>
      </c>
      <c r="X331" s="4">
        <f>HYPERLINK("http://exon.niaid.nih.gov/transcriptome/C_felis/S1/links/cluster/cf-5-36-asb35-50-Id-CLU21.txt", 21)</f>
        <v>21</v>
      </c>
      <c r="Y331">
        <f>HYPERLINK("http://exon.niaid.nih.gov/transcriptome/C_felis/S1/links/cluster/cf-5-36-asb35-50-Id-CLTL21.txt", 3)</f>
        <v>3</v>
      </c>
      <c r="Z331" s="4">
        <f>HYPERLINK("http://exon.niaid.nih.gov/transcriptome/C_felis/S1/links/cluster/cf-5-36-asb40-50-Id-CLU52.txt", 52)</f>
        <v>52</v>
      </c>
      <c r="AA331">
        <f>HYPERLINK("http://exon.niaid.nih.gov/transcriptome/C_felis/S1/links/cluster/cf-5-36-asb40-50-Id-CLTL52.txt", 2)</f>
        <v>2</v>
      </c>
      <c r="AB331" s="4" t="str">
        <f>HYPERLINK("http://exon.niaid.nih.gov/transcriptome/C_felis/S1/links/XC-ASB/cf-contig_290-XC-ASB.txt","XC-contig_160")</f>
        <v>XC-contig_160</v>
      </c>
      <c r="AC331">
        <v>0.44</v>
      </c>
      <c r="AD331" s="10" t="s">
        <v>4721</v>
      </c>
      <c r="AE331" t="s">
        <v>4612</v>
      </c>
      <c r="AF331" t="str">
        <f>HYPERLINK("http://exon.niaid.nih.gov/transcriptome/C_felis/S1/links/GO/cf-contig_290-GO.txt","GO")</f>
        <v>GO</v>
      </c>
      <c r="AG331">
        <v>5.0000000000000003E-10</v>
      </c>
      <c r="AH331">
        <v>6.2</v>
      </c>
      <c r="AI331" s="4" t="str">
        <f>HYPERLINK("http://exon.niaid.nih.gov/transcriptome/C_felis/S1/links/NR/cf-contig_290-NR.txt","hCG2015412")</f>
        <v>hCG2015412</v>
      </c>
      <c r="AJ331" t="str">
        <f>HYPERLINK("http://www.ncbi.nlm.nih.gov/sutils/blink.cgi?pid=119618519","2E-012")</f>
        <v>2E-012</v>
      </c>
      <c r="AK331" t="str">
        <f>HYPERLINK("http://www.ncbi.nlm.nih.gov/protein/119618519","gi|119618519")</f>
        <v>gi|119618519</v>
      </c>
      <c r="AL331">
        <v>75.900000000000006</v>
      </c>
      <c r="AM331">
        <v>43</v>
      </c>
      <c r="AN331">
        <v>149</v>
      </c>
      <c r="AO331">
        <v>79</v>
      </c>
      <c r="AP331">
        <v>30</v>
      </c>
      <c r="AQ331">
        <v>9</v>
      </c>
      <c r="AR331">
        <v>0</v>
      </c>
      <c r="AS331">
        <v>95</v>
      </c>
      <c r="AT331">
        <v>12</v>
      </c>
      <c r="AU331">
        <v>1</v>
      </c>
      <c r="AV331">
        <v>-1</v>
      </c>
      <c r="AW331" t="s">
        <v>12</v>
      </c>
      <c r="AY331" t="s">
        <v>1666</v>
      </c>
      <c r="AZ331" t="s">
        <v>1690</v>
      </c>
      <c r="BA331" s="4" t="str">
        <f>HYPERLINK("http://exon.niaid.nih.gov/transcriptome/C_felis/S1/links/SWISSP/cf-contig_290-SWISSP.txt","BEN domain-containing protein 2")</f>
        <v>BEN domain-containing protein 2</v>
      </c>
      <c r="BB331" t="str">
        <f>HYPERLINK("http://www.uniprot.org/uniprot/Q8NDZ0","4E-012")</f>
        <v>4E-012</v>
      </c>
      <c r="BC331" t="s">
        <v>2697</v>
      </c>
      <c r="BD331">
        <v>70.099999999999994</v>
      </c>
      <c r="BE331">
        <v>43</v>
      </c>
      <c r="BF331">
        <v>799</v>
      </c>
      <c r="BG331">
        <v>75</v>
      </c>
      <c r="BH331">
        <v>6</v>
      </c>
      <c r="BI331">
        <v>11</v>
      </c>
      <c r="BJ331">
        <v>0</v>
      </c>
      <c r="BK331">
        <v>80</v>
      </c>
      <c r="BL331">
        <v>10</v>
      </c>
      <c r="BM331">
        <v>1</v>
      </c>
      <c r="BN331">
        <v>-3</v>
      </c>
      <c r="BO331" t="s">
        <v>12</v>
      </c>
      <c r="BQ331" t="s">
        <v>1666</v>
      </c>
      <c r="BR331" t="s">
        <v>1690</v>
      </c>
      <c r="BS331" s="4" t="str">
        <f>HYPERLINK("http://exon.niaid.nih.gov/transcriptome/C_felis/S1/links/CDD/cf-contig_290-CDD.txt","PHA02701")</f>
        <v>PHA02701</v>
      </c>
      <c r="BT331" t="str">
        <f>HYPERLINK("http://www.ncbi.nlm.nih.gov/Structure/cdd/cddsrv.cgi?uid=PHA02701&amp;version=v4.0","1.3")</f>
        <v>1.3</v>
      </c>
      <c r="BU331" t="s">
        <v>2698</v>
      </c>
      <c r="BV331" s="4" t="s">
        <v>2699</v>
      </c>
      <c r="BW331">
        <f>HYPERLINK("http://exon.niaid.nih.gov/transcriptome/C_felis/S1/links/GO/cf-contig_290-GO.txt",0.00000000000007)</f>
        <v>7.0000000000000005E-14</v>
      </c>
      <c r="BX331" t="str">
        <f>HYPERLINK("http://amigo.geneontology.org/cgi-bin/amigo/term_details?term=GO:0000166","GO:0000166")</f>
        <v>GO:0000166</v>
      </c>
      <c r="BY331" t="s">
        <v>2415</v>
      </c>
      <c r="BZ331" t="s">
        <v>2416</v>
      </c>
      <c r="CA331" t="s">
        <v>42</v>
      </c>
      <c r="CB331" t="s">
        <v>42</v>
      </c>
      <c r="CD331">
        <v>5.0000000000000003E-10</v>
      </c>
      <c r="CE331" t="str">
        <f>HYPERLINK("http://amigo.geneontology.org/cgi-bin/amigo/term_details?term=GO:0005634","GO:0005634")</f>
        <v>GO:0005634</v>
      </c>
      <c r="CF331" t="s">
        <v>2064</v>
      </c>
      <c r="CG331" t="s">
        <v>2065</v>
      </c>
      <c r="CH331" t="s">
        <v>2066</v>
      </c>
      <c r="CI331" t="s">
        <v>42</v>
      </c>
      <c r="CK331">
        <v>5.0000000000000003E-10</v>
      </c>
      <c r="CL331" t="str">
        <f>HYPERLINK("http://amigo.geneontology.org/cgi-bin/amigo/term_details?term=GO:0006468","GO:0006468")</f>
        <v>GO:0006468</v>
      </c>
      <c r="CM331" t="s">
        <v>2700</v>
      </c>
      <c r="CN331" t="s">
        <v>2701</v>
      </c>
      <c r="CO331" t="s">
        <v>2702</v>
      </c>
      <c r="CP331" t="s">
        <v>42</v>
      </c>
      <c r="CR331">
        <v>5.0000000000000003E-10</v>
      </c>
      <c r="CS331" s="4" t="str">
        <f>HYPERLINK("http://exon.niaid.nih.gov/transcriptome/C_felis/S1/links/KOG/cf-contig_290-KOG.txt","Similar to cyclophilin-type peptidyl-prolyl cis-trans isomerase")</f>
        <v>Similar to cyclophilin-type peptidyl-prolyl cis-trans isomerase</v>
      </c>
      <c r="CT331" t="str">
        <f>HYPERLINK("http://www.ncbi.nlm.nih.gov/COG/grace/shokog.cgi?KOG0884","0.69")</f>
        <v>0.69</v>
      </c>
      <c r="CU331" t="s">
        <v>2198</v>
      </c>
      <c r="CV331" s="4" t="str">
        <f>HYPERLINK("http://exon.niaid.nih.gov/transcriptome/C_felis/S1/links/PFAM/cf-contig_290-PFAM.txt","Amelin")</f>
        <v>Amelin</v>
      </c>
      <c r="CW331" t="str">
        <f>HYPERLINK("http://pfam.sanger.ac.uk/family?acc=PF05111","0.45")</f>
        <v>0.45</v>
      </c>
      <c r="CX331" s="4" t="str">
        <f>HYPERLINK("http://exon.niaid.nih.gov/transcriptome/C_felis/S1/links/SMART/cf-contig_290-SMART.txt","Amelin")</f>
        <v>Amelin</v>
      </c>
      <c r="CY331" t="str">
        <f>HYPERLINK("http://smart.embl-heidelberg.de/smart/do_annotation.pl?DOMAIN=Amelin&amp;BLAST=DUMMY","0.14")</f>
        <v>0.14</v>
      </c>
      <c r="CZ331" s="4" t="s">
        <v>42</v>
      </c>
      <c r="DA331" t="s">
        <v>42</v>
      </c>
      <c r="DB331" t="s">
        <v>42</v>
      </c>
      <c r="DC331" t="s">
        <v>42</v>
      </c>
      <c r="DD331" t="s">
        <v>42</v>
      </c>
      <c r="DE331" t="s">
        <v>42</v>
      </c>
      <c r="DF331" t="s">
        <v>42</v>
      </c>
      <c r="DG331" t="s">
        <v>42</v>
      </c>
      <c r="DH331" s="4" t="s">
        <v>42</v>
      </c>
      <c r="DI331" t="s">
        <v>42</v>
      </c>
      <c r="DJ331" s="4" t="s">
        <v>42</v>
      </c>
      <c r="DK331" t="s">
        <v>42</v>
      </c>
      <c r="DL331" s="4">
        <f>HYPERLINK("http://exon.niaid.nih.gov/transcriptome/C_felis/S1/links/cluster/cf-5-36-asb30-50-Id-CLU25.txt", 25)</f>
        <v>25</v>
      </c>
      <c r="DM331">
        <f>HYPERLINK("http://exon.niaid.nih.gov/transcriptome/C_felis/S1/links/cluster/cf-5-36-asb30-50-Id-CLTL25.txt", 3)</f>
        <v>3</v>
      </c>
      <c r="DN331" s="4">
        <f>HYPERLINK("http://exon.niaid.nih.gov/transcriptome/C_felis/S1/links/cluster/cf-5-36-asb35-50-Id-CLU21.txt", 21)</f>
        <v>21</v>
      </c>
      <c r="DO331">
        <f>HYPERLINK("http://exon.niaid.nih.gov/transcriptome/C_felis/S1/links/cluster/cf-5-36-asb35-50-Id-CLTL21.txt", 3)</f>
        <v>3</v>
      </c>
      <c r="DP331" s="4">
        <f>HYPERLINK("http://exon.niaid.nih.gov/transcriptome/C_felis/S1/links/cluster/cf-5-36-asb40-50-Id-CLU52.txt", 52)</f>
        <v>52</v>
      </c>
      <c r="DQ331">
        <f>HYPERLINK("http://exon.niaid.nih.gov/transcriptome/C_felis/S1/links/cluster/cf-5-36-asb40-50-Id-CLTL52.txt", 2)</f>
        <v>2</v>
      </c>
      <c r="DR331" s="4">
        <f>HYPERLINK("http://exon.niaid.nih.gov/transcriptome/C_felis/S1/links/cluster/cf-5-36-asb45-50-Id-CLU43.txt", 43)</f>
        <v>43</v>
      </c>
      <c r="DS331">
        <f>HYPERLINK("http://exon.niaid.nih.gov/transcriptome/C_felis/S1/links/cluster/cf-5-36-asb45-50-Id-CLTL43.txt", 2)</f>
        <v>2</v>
      </c>
      <c r="DT331" s="4">
        <v>252</v>
      </c>
      <c r="DU331">
        <v>1</v>
      </c>
      <c r="DV331" s="4">
        <v>264</v>
      </c>
      <c r="DW331">
        <v>1</v>
      </c>
      <c r="DX331" s="4">
        <v>266</v>
      </c>
      <c r="DY331">
        <v>1</v>
      </c>
      <c r="DZ331" s="4">
        <v>271</v>
      </c>
      <c r="EA331">
        <v>1</v>
      </c>
      <c r="EB331" s="4">
        <v>276</v>
      </c>
      <c r="EC331">
        <v>1</v>
      </c>
      <c r="ED331" s="4">
        <v>279</v>
      </c>
      <c r="EE331">
        <v>1</v>
      </c>
      <c r="EF331" s="4">
        <v>283</v>
      </c>
      <c r="EG331">
        <v>1</v>
      </c>
      <c r="EH331" s="4">
        <v>285</v>
      </c>
      <c r="EI331">
        <v>1</v>
      </c>
      <c r="EJ331" s="4">
        <v>290</v>
      </c>
      <c r="EK331">
        <v>1</v>
      </c>
    </row>
    <row r="332" spans="1:141" x14ac:dyDescent="0.2">
      <c r="A332" t="str">
        <f>HYPERLINK("http://exon.niaid.nih.gov/transcriptome/C_felis/S1/links/cf/cf-contig_315.txt","cf-contig_315")</f>
        <v>cf-contig_315</v>
      </c>
      <c r="B332">
        <v>1</v>
      </c>
      <c r="C332" s="10" t="s">
        <v>4729</v>
      </c>
      <c r="D332">
        <v>1</v>
      </c>
      <c r="E332" t="str">
        <f>HYPERLINK("http://exon.niaid.nih.gov/transcriptome/C_felis/S1/links/cf/cf-5-36-asb-315.txt","Contig-315")</f>
        <v>Contig-315</v>
      </c>
      <c r="F332" t="str">
        <f>HYPERLINK("http://exon.niaid.nih.gov/transcriptome/C_felis/S1/links/cf/cf-5-36-315-CLU.txt","Contig315")</f>
        <v>Contig315</v>
      </c>
      <c r="G332" t="str">
        <f>HYPERLINK("http://exon.niaid.nih.gov/transcriptome/C_felis/S1/links/cf/cf-5-36-315-qual.txt","61.5")</f>
        <v>61.5</v>
      </c>
      <c r="H332" t="s">
        <v>11</v>
      </c>
      <c r="I332">
        <v>44.9</v>
      </c>
      <c r="J332">
        <v>295</v>
      </c>
      <c r="K332" t="s">
        <v>12</v>
      </c>
      <c r="L332">
        <v>1</v>
      </c>
      <c r="M332" t="s">
        <v>328</v>
      </c>
      <c r="N332">
        <v>295</v>
      </c>
      <c r="O332">
        <v>314</v>
      </c>
      <c r="P332">
        <v>309</v>
      </c>
      <c r="Q332" t="s">
        <v>1135</v>
      </c>
      <c r="R332">
        <v>2</v>
      </c>
      <c r="S332" s="7" t="str">
        <f>HYPERLINK("http://exon.niaid.nih.gov/transcriptome/C_felis/S1/links/Sigp/CF-CONTIG_315-SigP.txt","Cyt")</f>
        <v>Cyt</v>
      </c>
      <c r="U332">
        <v>1</v>
      </c>
      <c r="V332" s="4">
        <v>254</v>
      </c>
      <c r="W332">
        <v>1</v>
      </c>
      <c r="X332" s="4">
        <v>259</v>
      </c>
      <c r="Y332">
        <v>1</v>
      </c>
      <c r="Z332" s="4">
        <v>258</v>
      </c>
      <c r="AA332">
        <v>1</v>
      </c>
      <c r="AB332" s="4" t="str">
        <f>HYPERLINK("http://exon.niaid.nih.gov/transcriptome/C_felis/S1/links/XC-ASB/cf-contig_315-XC-ASB.txt","XC-contig_18")</f>
        <v>XC-contig_18</v>
      </c>
      <c r="AC332">
        <v>0.55000000000000004</v>
      </c>
      <c r="AD332" s="10" t="s">
        <v>4729</v>
      </c>
      <c r="AE332" t="s">
        <v>4730</v>
      </c>
      <c r="AF332" t="str">
        <f>HYPERLINK("http://exon.niaid.nih.gov/transcriptome/C_felis/S1/links/GO/cf-contig_315-GO.txt","GO")</f>
        <v>GO</v>
      </c>
      <c r="AG332">
        <v>2.9999999999999999E-7</v>
      </c>
      <c r="AH332">
        <v>30</v>
      </c>
      <c r="AI332" s="4" t="str">
        <f>HYPERLINK("http://exon.niaid.nih.gov/transcriptome/C_felis/S1/links/NR/cf-contig_315-NR.txt","hypothetical protein LOC100507445")</f>
        <v>hypothetical protein LOC100507445</v>
      </c>
      <c r="AJ332" t="str">
        <f>HYPERLINK("http://www.ncbi.nlm.nih.gov/sutils/blink.cgi?pid=310109944","8E-009")</f>
        <v>8E-009</v>
      </c>
      <c r="AK332" t="str">
        <f>HYPERLINK("http://www.ncbi.nlm.nih.gov/protein/310109944","gi|310109944")</f>
        <v>gi|310109944</v>
      </c>
      <c r="AL332">
        <v>63.9</v>
      </c>
      <c r="AM332">
        <v>62</v>
      </c>
      <c r="AN332">
        <v>121</v>
      </c>
      <c r="AO332">
        <v>57</v>
      </c>
      <c r="AP332">
        <v>52</v>
      </c>
      <c r="AQ332">
        <v>27</v>
      </c>
      <c r="AR332">
        <v>2</v>
      </c>
      <c r="AS332">
        <v>59</v>
      </c>
      <c r="AT332">
        <v>67</v>
      </c>
      <c r="AU332">
        <v>1</v>
      </c>
      <c r="AV332">
        <v>1</v>
      </c>
      <c r="AW332" t="s">
        <v>12</v>
      </c>
      <c r="AX332">
        <v>3.226</v>
      </c>
      <c r="AY332" t="s">
        <v>1676</v>
      </c>
      <c r="AZ332" t="s">
        <v>1690</v>
      </c>
      <c r="BA332" s="4" t="str">
        <f>HYPERLINK("http://exon.niaid.nih.gov/transcriptome/C_felis/S1/links/SWISSP/cf-contig_315-SWISSP.txt","Histone demethylase UTY")</f>
        <v>Histone demethylase UTY</v>
      </c>
      <c r="BB332" t="str">
        <f>HYPERLINK("http://www.uniprot.org/uniprot/Q6B4Z3","8E-008")</f>
        <v>8E-008</v>
      </c>
      <c r="BC332" t="s">
        <v>2795</v>
      </c>
      <c r="BD332">
        <v>55.8</v>
      </c>
      <c r="BE332">
        <v>57</v>
      </c>
      <c r="BF332">
        <v>1079</v>
      </c>
      <c r="BG332">
        <v>53</v>
      </c>
      <c r="BH332">
        <v>5</v>
      </c>
      <c r="BI332">
        <v>27</v>
      </c>
      <c r="BJ332">
        <v>2</v>
      </c>
      <c r="BK332">
        <v>1001</v>
      </c>
      <c r="BL332">
        <v>97</v>
      </c>
      <c r="BM332">
        <v>1</v>
      </c>
      <c r="BN332">
        <v>-3</v>
      </c>
      <c r="BO332" t="s">
        <v>12</v>
      </c>
      <c r="BP332">
        <v>1.754</v>
      </c>
      <c r="BQ332" t="s">
        <v>1666</v>
      </c>
      <c r="BR332" t="s">
        <v>2796</v>
      </c>
      <c r="BS332" s="4" t="str">
        <f>HYPERLINK("http://exon.niaid.nih.gov/transcriptome/C_felis/S1/links/CDD/cf-contig_315-CDD.txt","Fib_succ_major")</f>
        <v>Fib_succ_major</v>
      </c>
      <c r="BT332" t="str">
        <f>HYPERLINK("http://www.ncbi.nlm.nih.gov/Structure/cdd/cddsrv.cgi?uid=pfam09603&amp;version=v4.0","0.48")</f>
        <v>0.48</v>
      </c>
      <c r="BU332" t="s">
        <v>2797</v>
      </c>
      <c r="BV332" s="4" t="s">
        <v>2798</v>
      </c>
      <c r="BW332">
        <f>HYPERLINK("http://exon.niaid.nih.gov/transcriptome/C_felis/S1/links/GO/cf-contig_315-GO.txt",0.00000008)</f>
        <v>8.0000000000000002E-8</v>
      </c>
      <c r="BX332" t="str">
        <f>HYPERLINK("http://amigo.geneontology.org/cgi-bin/amigo/term_details?term=GO:0004722","GO:0004722")</f>
        <v>GO:0004722</v>
      </c>
      <c r="BY332" t="s">
        <v>2799</v>
      </c>
      <c r="BZ332" t="s">
        <v>2800</v>
      </c>
      <c r="CA332" t="s">
        <v>2801</v>
      </c>
      <c r="CB332" t="s">
        <v>42</v>
      </c>
      <c r="CD332">
        <v>1.0000000000000001E-5</v>
      </c>
      <c r="CE332" t="str">
        <f>HYPERLINK("http://amigo.geneontology.org/cgi-bin/amigo/term_details?term=GO:0005634","GO:0005634")</f>
        <v>GO:0005634</v>
      </c>
      <c r="CF332" t="s">
        <v>2064</v>
      </c>
      <c r="CG332" t="s">
        <v>2065</v>
      </c>
      <c r="CH332" t="s">
        <v>2066</v>
      </c>
      <c r="CI332" t="s">
        <v>42</v>
      </c>
      <c r="CK332">
        <v>1.0000000000000001E-5</v>
      </c>
      <c r="CL332" t="str">
        <f>HYPERLINK("http://amigo.geneontology.org/cgi-bin/amigo/term_details?term=GO:0006470","GO:0006470")</f>
        <v>GO:0006470</v>
      </c>
      <c r="CM332" t="s">
        <v>2802</v>
      </c>
      <c r="CN332" t="s">
        <v>2803</v>
      </c>
      <c r="CO332" t="s">
        <v>2804</v>
      </c>
      <c r="CP332" t="s">
        <v>42</v>
      </c>
      <c r="CR332">
        <v>1.0000000000000001E-5</v>
      </c>
      <c r="CS332" s="4" t="str">
        <f>HYPERLINK("http://exon.niaid.nih.gov/transcriptome/C_felis/S1/links/KOG/cf-contig_315-KOG.txt","Synaptic vesicle protein Synapsin")</f>
        <v>Synaptic vesicle protein Synapsin</v>
      </c>
      <c r="CT332" t="str">
        <f>HYPERLINK("http://www.ncbi.nlm.nih.gov/COG/grace/shokog.cgi?KOG3895","0.26")</f>
        <v>0.26</v>
      </c>
      <c r="CU332" t="s">
        <v>2805</v>
      </c>
      <c r="CV332" s="4" t="str">
        <f>HYPERLINK("http://exon.niaid.nih.gov/transcriptome/C_felis/S1/links/PFAM/cf-contig_315-PFAM.txt","Fib_succ_major")</f>
        <v>Fib_succ_major</v>
      </c>
      <c r="CW332" t="str">
        <f>HYPERLINK("http://pfam.sanger.ac.uk/family?acc=PF09603","0.10")</f>
        <v>0.10</v>
      </c>
      <c r="CX332" s="4" t="str">
        <f>HYPERLINK("http://exon.niaid.nih.gov/transcriptome/C_felis/S1/links/SMART/cf-contig_315-SMART.txt","GRAN")</f>
        <v>GRAN</v>
      </c>
      <c r="CY332" t="str">
        <f>HYPERLINK("http://smart.embl-heidelberg.de/smart/do_annotation.pl?DOMAIN=GRAN&amp;BLAST=DUMMY","0.21")</f>
        <v>0.21</v>
      </c>
      <c r="CZ332" s="4" t="s">
        <v>42</v>
      </c>
      <c r="DA332" t="s">
        <v>42</v>
      </c>
      <c r="DB332" t="s">
        <v>42</v>
      </c>
      <c r="DC332" t="s">
        <v>42</v>
      </c>
      <c r="DD332" t="s">
        <v>42</v>
      </c>
      <c r="DE332" t="s">
        <v>42</v>
      </c>
      <c r="DF332" t="s">
        <v>42</v>
      </c>
      <c r="DG332" t="s">
        <v>42</v>
      </c>
      <c r="DH332" s="4" t="s">
        <v>42</v>
      </c>
      <c r="DI332" t="s">
        <v>42</v>
      </c>
      <c r="DJ332" s="4" t="s">
        <v>42</v>
      </c>
      <c r="DK332" t="s">
        <v>42</v>
      </c>
      <c r="DL332" s="4">
        <v>254</v>
      </c>
      <c r="DM332">
        <v>1</v>
      </c>
      <c r="DN332" s="4">
        <v>259</v>
      </c>
      <c r="DO332">
        <v>1</v>
      </c>
      <c r="DP332" s="4">
        <v>258</v>
      </c>
      <c r="DQ332">
        <v>1</v>
      </c>
      <c r="DR332" s="4">
        <v>267</v>
      </c>
      <c r="DS332">
        <v>1</v>
      </c>
      <c r="DT332" s="4">
        <v>277</v>
      </c>
      <c r="DU332">
        <v>1</v>
      </c>
      <c r="DV332" s="4">
        <v>289</v>
      </c>
      <c r="DW332">
        <v>1</v>
      </c>
      <c r="DX332" s="4">
        <v>291</v>
      </c>
      <c r="DY332">
        <v>1</v>
      </c>
      <c r="DZ332" s="4">
        <v>296</v>
      </c>
      <c r="EA332">
        <v>1</v>
      </c>
      <c r="EB332" s="4">
        <v>301</v>
      </c>
      <c r="EC332">
        <v>1</v>
      </c>
      <c r="ED332" s="4">
        <v>304</v>
      </c>
      <c r="EE332">
        <v>1</v>
      </c>
      <c r="EF332" s="4">
        <v>308</v>
      </c>
      <c r="EG332">
        <v>1</v>
      </c>
      <c r="EH332" s="4">
        <v>310</v>
      </c>
      <c r="EI332">
        <v>1</v>
      </c>
      <c r="EJ332" s="4">
        <v>315</v>
      </c>
      <c r="EK332">
        <v>1</v>
      </c>
    </row>
    <row r="333" spans="1:141" x14ac:dyDescent="0.2">
      <c r="A333" t="str">
        <f>HYPERLINK("http://exon.niaid.nih.gov/transcriptome/C_felis/S1/links/cf/cf-contig_579.txt","cf-contig_579")</f>
        <v>cf-contig_579</v>
      </c>
      <c r="B333">
        <v>1</v>
      </c>
      <c r="C333" s="10" t="s">
        <v>4808</v>
      </c>
      <c r="D333">
        <v>1</v>
      </c>
      <c r="E333" t="str">
        <f>HYPERLINK("http://exon.niaid.nih.gov/transcriptome/C_felis/S1/links/cf/cf-5-36-asb-579.txt","Contig-579")</f>
        <v>Contig-579</v>
      </c>
      <c r="F333" t="str">
        <f>HYPERLINK("http://exon.niaid.nih.gov/transcriptome/C_felis/S1/links/cf/cf-5-36-579-CLU.txt","Contig579")</f>
        <v>Contig579</v>
      </c>
      <c r="G333" t="str">
        <f>HYPERLINK("http://exon.niaid.nih.gov/transcriptome/C_felis/S1/links/cf/cf-5-36-579-qual.txt","62.7")</f>
        <v>62.7</v>
      </c>
      <c r="H333" t="s">
        <v>11</v>
      </c>
      <c r="I333">
        <v>66.400000000000006</v>
      </c>
      <c r="J333">
        <v>580</v>
      </c>
      <c r="K333" t="s">
        <v>12</v>
      </c>
      <c r="L333">
        <v>1</v>
      </c>
      <c r="M333" t="s">
        <v>592</v>
      </c>
      <c r="N333">
        <v>580</v>
      </c>
      <c r="O333">
        <v>599</v>
      </c>
      <c r="P333">
        <v>264</v>
      </c>
      <c r="Q333" t="s">
        <v>1398</v>
      </c>
      <c r="R333">
        <v>2</v>
      </c>
      <c r="S333" s="7" t="str">
        <f>HYPERLINK("http://exon.niaid.nih.gov/transcriptome/C_felis/S1/links/Sigp/CF-CONTIG_579-SigP.txt","Cyt")</f>
        <v>Cyt</v>
      </c>
      <c r="U333">
        <v>1</v>
      </c>
      <c r="V333" s="4">
        <v>472</v>
      </c>
      <c r="W333">
        <v>1</v>
      </c>
      <c r="X333" s="4">
        <v>482</v>
      </c>
      <c r="Y333">
        <v>1</v>
      </c>
      <c r="Z333" s="4">
        <v>491</v>
      </c>
      <c r="AA333">
        <v>1</v>
      </c>
      <c r="AB333" s="4" t="str">
        <f>HYPERLINK("http://exon.niaid.nih.gov/transcriptome/C_felis/S1/links/XC-ASB/cf-contig_579-XC-ASB.txt","XC-contig_68")</f>
        <v>XC-contig_68</v>
      </c>
      <c r="AC333">
        <v>0.02</v>
      </c>
      <c r="AD333" s="10" t="s">
        <v>4808</v>
      </c>
      <c r="AE333" t="s">
        <v>4730</v>
      </c>
      <c r="AF333" t="str">
        <f>HYPERLINK("http://exon.niaid.nih.gov/transcriptome/C_felis/S1/links/NR/cf-contig_579-NR.txt","NR")</f>
        <v>NR</v>
      </c>
      <c r="AG333" s="5">
        <v>2.0000000000000001E-22</v>
      </c>
      <c r="AH333">
        <v>9.3000000000000007</v>
      </c>
      <c r="AI333" s="4" t="str">
        <f>HYPERLINK("http://exon.niaid.nih.gov/transcriptome/C_felis/S1/links/NR/cf-contig_579-NR.txt","hypothetical protein TcasGA2_TC000807")</f>
        <v>hypothetical protein TcasGA2_TC000807</v>
      </c>
      <c r="AJ333" t="str">
        <f>HYPERLINK("http://www.ncbi.nlm.nih.gov/sutils/blink.cgi?pid=270001905","2E-022")</f>
        <v>2E-022</v>
      </c>
      <c r="AK333" t="str">
        <f>HYPERLINK("http://www.ncbi.nlm.nih.gov/protein/270001905","gi|270001905")</f>
        <v>gi|270001905</v>
      </c>
      <c r="AL333">
        <v>110</v>
      </c>
      <c r="AM333">
        <v>77</v>
      </c>
      <c r="AN333">
        <v>846</v>
      </c>
      <c r="AO333">
        <v>65</v>
      </c>
      <c r="AP333">
        <v>9</v>
      </c>
      <c r="AQ333">
        <v>27</v>
      </c>
      <c r="AR333">
        <v>6</v>
      </c>
      <c r="AS333">
        <v>766</v>
      </c>
      <c r="AT333">
        <v>44</v>
      </c>
      <c r="AU333">
        <v>1</v>
      </c>
      <c r="AV333">
        <v>2</v>
      </c>
      <c r="AW333" t="s">
        <v>12</v>
      </c>
      <c r="AY333" t="s">
        <v>1676</v>
      </c>
      <c r="AZ333" t="s">
        <v>1878</v>
      </c>
      <c r="BA333" s="4" t="str">
        <f>HYPERLINK("http://exon.niaid.nih.gov/transcriptome/C_felis/S1/links/SWISSP/cf-contig_579-SWISSP.txt","Programmed cell death 6-interacting protein")</f>
        <v>Programmed cell death 6-interacting protein</v>
      </c>
      <c r="BB333" t="str">
        <f>HYPERLINK("http://www.uniprot.org/uniprot/Q8WUM4","4E-007")</f>
        <v>4E-007</v>
      </c>
      <c r="BC333" t="s">
        <v>3773</v>
      </c>
      <c r="BD333">
        <v>54.7</v>
      </c>
      <c r="BE333">
        <v>91</v>
      </c>
      <c r="BF333">
        <v>868</v>
      </c>
      <c r="BG333">
        <v>41</v>
      </c>
      <c r="BH333">
        <v>11</v>
      </c>
      <c r="BI333">
        <v>52</v>
      </c>
      <c r="BJ333">
        <v>9</v>
      </c>
      <c r="BK333">
        <v>772</v>
      </c>
      <c r="BL333">
        <v>2</v>
      </c>
      <c r="BM333">
        <v>2</v>
      </c>
      <c r="BN333">
        <v>2</v>
      </c>
      <c r="BO333" t="s">
        <v>12</v>
      </c>
      <c r="BQ333" t="s">
        <v>1676</v>
      </c>
      <c r="BR333" t="s">
        <v>1690</v>
      </c>
      <c r="BS333" s="4" t="str">
        <f>HYPERLINK("http://exon.niaid.nih.gov/transcriptome/C_felis/S1/links/CDD/cf-contig_579-CDD.txt","WWbp")</f>
        <v>WWbp</v>
      </c>
      <c r="BT333" t="str">
        <f>HYPERLINK("http://www.ncbi.nlm.nih.gov/Structure/cdd/cddsrv.cgi?uid=pfam10349&amp;version=v4.0","5E-007")</f>
        <v>5E-007</v>
      </c>
      <c r="BU333" t="s">
        <v>3774</v>
      </c>
      <c r="BV333" s="4" t="s">
        <v>3775</v>
      </c>
      <c r="BW333">
        <f>HYPERLINK("http://exon.niaid.nih.gov/transcriptome/C_felis/S1/links/GO/cf-contig_579-GO.txt",4E-21)</f>
        <v>3.9999999999999996E-21</v>
      </c>
      <c r="BX333" t="str">
        <f>HYPERLINK("http://amigo.geneontology.org/cgi-bin/amigo/term_details?term=GO:0004871","GO:0004871")</f>
        <v>GO:0004871</v>
      </c>
      <c r="BY333" t="s">
        <v>2836</v>
      </c>
      <c r="BZ333" t="s">
        <v>2837</v>
      </c>
      <c r="CA333" t="s">
        <v>2838</v>
      </c>
      <c r="CB333" t="s">
        <v>42</v>
      </c>
      <c r="CD333" s="5">
        <v>3.9999999999999996E-21</v>
      </c>
      <c r="CE333" t="str">
        <f>HYPERLINK("http://amigo.geneontology.org/cgi-bin/amigo/term_details?term=GO:0005575","GO:0005575")</f>
        <v>GO:0005575</v>
      </c>
      <c r="CF333" t="s">
        <v>1838</v>
      </c>
      <c r="CG333" t="s">
        <v>1839</v>
      </c>
      <c r="CH333" t="s">
        <v>1840</v>
      </c>
      <c r="CI333" t="s">
        <v>42</v>
      </c>
      <c r="CK333" s="5">
        <v>3.9999999999999996E-21</v>
      </c>
      <c r="CL333" t="str">
        <f>HYPERLINK("http://amigo.geneontology.org/cgi-bin/amigo/term_details?term=GO:0046330","GO:0046330")</f>
        <v>GO:0046330</v>
      </c>
      <c r="CM333" t="s">
        <v>3776</v>
      </c>
      <c r="CN333" t="s">
        <v>3777</v>
      </c>
      <c r="CO333" t="s">
        <v>3778</v>
      </c>
      <c r="CP333" t="s">
        <v>42</v>
      </c>
      <c r="CR333" s="5">
        <v>3.9999999999999996E-21</v>
      </c>
      <c r="CS333" s="4" t="str">
        <f>HYPERLINK("http://exon.niaid.nih.gov/transcriptome/C_felis/S1/links/KOG/cf-contig_579-KOG.txt","Vesicle coat complex COPII, subunit SEC31")</f>
        <v>Vesicle coat complex COPII, subunit SEC31</v>
      </c>
      <c r="CT333" t="str">
        <f>HYPERLINK("http://www.ncbi.nlm.nih.gov/COG/grace/shokog.cgi?KOG0307","2E-006")</f>
        <v>2E-006</v>
      </c>
      <c r="CU333" t="s">
        <v>1686</v>
      </c>
      <c r="CV333" s="4" t="str">
        <f>HYPERLINK("http://exon.niaid.nih.gov/transcriptome/C_felis/S1/links/PFAM/cf-contig_579-PFAM.txt","WWbp")</f>
        <v>WWbp</v>
      </c>
      <c r="CW333" t="str">
        <f>HYPERLINK("http://pfam.sanger.ac.uk/family?acc=PF10349","1E-007")</f>
        <v>1E-007</v>
      </c>
      <c r="CX333" s="4" t="str">
        <f>HYPERLINK("http://exon.niaid.nih.gov/transcriptome/C_felis/S1/links/SMART/cf-contig_579-SMART.txt","Amelogenin")</f>
        <v>Amelogenin</v>
      </c>
      <c r="CY333" t="str">
        <f>HYPERLINK("http://smart.embl-heidelberg.de/smart/do_annotation.pl?DOMAIN=Amelogenin&amp;BLAST=DUMMY","0.001")</f>
        <v>0.001</v>
      </c>
      <c r="CZ333" s="4" t="s">
        <v>42</v>
      </c>
      <c r="DA333" t="s">
        <v>42</v>
      </c>
      <c r="DB333" t="s">
        <v>42</v>
      </c>
      <c r="DC333" t="s">
        <v>42</v>
      </c>
      <c r="DD333" t="s">
        <v>42</v>
      </c>
      <c r="DE333" t="s">
        <v>42</v>
      </c>
      <c r="DF333" t="s">
        <v>42</v>
      </c>
      <c r="DG333" t="s">
        <v>42</v>
      </c>
      <c r="DH333" s="4" t="s">
        <v>42</v>
      </c>
      <c r="DI333" t="s">
        <v>42</v>
      </c>
      <c r="DJ333" s="4" t="s">
        <v>42</v>
      </c>
      <c r="DK333" t="s">
        <v>42</v>
      </c>
      <c r="DL333" s="4">
        <v>472</v>
      </c>
      <c r="DM333">
        <v>1</v>
      </c>
      <c r="DN333" s="4">
        <v>482</v>
      </c>
      <c r="DO333">
        <v>1</v>
      </c>
      <c r="DP333" s="4">
        <v>491</v>
      </c>
      <c r="DQ333">
        <v>1</v>
      </c>
      <c r="DR333" s="4">
        <v>509</v>
      </c>
      <c r="DS333">
        <v>1</v>
      </c>
      <c r="DT333" s="4">
        <v>521</v>
      </c>
      <c r="DU333">
        <v>1</v>
      </c>
      <c r="DV333" s="4">
        <v>535</v>
      </c>
      <c r="DW333">
        <v>1</v>
      </c>
      <c r="DX333" s="4">
        <v>543</v>
      </c>
      <c r="DY333">
        <v>1</v>
      </c>
      <c r="DZ333" s="4">
        <v>551</v>
      </c>
      <c r="EA333">
        <v>1</v>
      </c>
      <c r="EB333" s="4">
        <v>556</v>
      </c>
      <c r="EC333">
        <v>1</v>
      </c>
      <c r="ED333" s="4">
        <v>560</v>
      </c>
      <c r="EE333">
        <v>1</v>
      </c>
      <c r="EF333" s="4">
        <v>565</v>
      </c>
      <c r="EG333">
        <v>1</v>
      </c>
      <c r="EH333" s="4">
        <v>572</v>
      </c>
      <c r="EI333">
        <v>1</v>
      </c>
      <c r="EJ333" s="4">
        <v>579</v>
      </c>
      <c r="EK333">
        <v>1</v>
      </c>
    </row>
    <row r="334" spans="1:141" s="6" customFormat="1" ht="12" customHeight="1" x14ac:dyDescent="0.2">
      <c r="A334" s="12" t="s">
        <v>4898</v>
      </c>
      <c r="AB334" s="6" t="s">
        <v>42</v>
      </c>
    </row>
    <row r="335" spans="1:141" x14ac:dyDescent="0.2">
      <c r="A335" t="str">
        <f>HYPERLINK("http://exon.niaid.nih.gov/transcriptome/C_felis/S1/links/cf/cf-contig_687.txt","cf-contig_687")</f>
        <v>cf-contig_687</v>
      </c>
      <c r="B335">
        <v>1</v>
      </c>
      <c r="C335" s="10" t="s">
        <v>4845</v>
      </c>
      <c r="D335">
        <v>1</v>
      </c>
      <c r="E335" t="str">
        <f>HYPERLINK("http://exon.niaid.nih.gov/transcriptome/C_felis/S1/links/cf/cf-5-36-asb-687.txt","Contig-687")</f>
        <v>Contig-687</v>
      </c>
      <c r="F335" t="str">
        <f>HYPERLINK("http://exon.niaid.nih.gov/transcriptome/C_felis/S1/links/cf/cf-5-36-687-CLU.txt","Contig687")</f>
        <v>Contig687</v>
      </c>
      <c r="G335" t="str">
        <f>HYPERLINK("http://exon.niaid.nih.gov/transcriptome/C_felis/S1/links/cf/cf-5-36-687-qual.txt","64.1")</f>
        <v>64.1</v>
      </c>
      <c r="H335" t="s">
        <v>11</v>
      </c>
      <c r="I335">
        <v>62.6</v>
      </c>
      <c r="J335">
        <v>438</v>
      </c>
      <c r="K335" t="s">
        <v>12</v>
      </c>
      <c r="L335">
        <v>1</v>
      </c>
      <c r="M335" t="s">
        <v>700</v>
      </c>
      <c r="N335">
        <v>438</v>
      </c>
      <c r="O335">
        <v>457</v>
      </c>
      <c r="P335">
        <v>417</v>
      </c>
      <c r="Q335" t="s">
        <v>1506</v>
      </c>
      <c r="R335">
        <v>2</v>
      </c>
      <c r="S335" s="7" t="str">
        <f>HYPERLINK("http://exon.niaid.nih.gov/transcriptome/C_felis/S1/links/Sigp/CF-CONTIG_687-SigP.txt","Cyt")</f>
        <v>Cyt</v>
      </c>
      <c r="U335">
        <v>1</v>
      </c>
      <c r="V335" s="4">
        <v>560</v>
      </c>
      <c r="W335">
        <v>1</v>
      </c>
      <c r="X335" s="4">
        <v>575</v>
      </c>
      <c r="Y335">
        <v>1</v>
      </c>
      <c r="Z335" s="4">
        <v>587</v>
      </c>
      <c r="AA335">
        <v>1</v>
      </c>
      <c r="AB335" s="4" t="str">
        <f>HYPERLINK("http://exon.niaid.nih.gov/transcriptome/C_felis/S1/links/XC-ASB/cf-contig_687-XC-ASB.txt","XC-contig_65")</f>
        <v>XC-contig_65</v>
      </c>
      <c r="AC335">
        <v>3.6999999999999998E-2</v>
      </c>
      <c r="AD335" s="10" t="s">
        <v>4845</v>
      </c>
      <c r="AE335" t="s">
        <v>4709</v>
      </c>
      <c r="AF335" t="str">
        <f>HYPERLINK("http://exon.niaid.nih.gov/transcriptome/C_felis/S1/links/GO/cf-contig_687-GO.txt","GO")</f>
        <v>GO</v>
      </c>
      <c r="AG335" s="5">
        <v>2.0000000000000001E-18</v>
      </c>
      <c r="AH335">
        <v>18</v>
      </c>
      <c r="AI335" s="4" t="str">
        <f>HYPERLINK("http://exon.niaid.nih.gov/transcriptome/C_felis/S1/links/NR/cf-contig_687-NR.txt","AGAP003242-PA")</f>
        <v>AGAP003242-PA</v>
      </c>
      <c r="AJ335" t="str">
        <f>HYPERLINK("http://www.ncbi.nlm.nih.gov/sutils/blink.cgi?pid=347969528","4E-021")</f>
        <v>4E-021</v>
      </c>
      <c r="AK335" t="str">
        <f>HYPERLINK("http://www.ncbi.nlm.nih.gov/protein/347969528","gi|347969528")</f>
        <v>gi|347969528</v>
      </c>
      <c r="AL335">
        <v>104</v>
      </c>
      <c r="AM335">
        <v>130</v>
      </c>
      <c r="AN335">
        <v>678</v>
      </c>
      <c r="AO335">
        <v>51</v>
      </c>
      <c r="AP335">
        <v>19</v>
      </c>
      <c r="AQ335">
        <v>65</v>
      </c>
      <c r="AR335">
        <v>8</v>
      </c>
      <c r="AS335">
        <v>528</v>
      </c>
      <c r="AT335">
        <v>10</v>
      </c>
      <c r="AU335">
        <v>1</v>
      </c>
      <c r="AV335">
        <v>1</v>
      </c>
      <c r="AW335" t="s">
        <v>12</v>
      </c>
      <c r="AY335" t="s">
        <v>1676</v>
      </c>
      <c r="AZ335" t="s">
        <v>2374</v>
      </c>
      <c r="BA335" s="4" t="str">
        <f>HYPERLINK("http://exon.niaid.nih.gov/transcriptome/C_felis/S1/links/SWISSP/cf-contig_687-SWISSP.txt","Another transcription unit protein")</f>
        <v>Another transcription unit protein</v>
      </c>
      <c r="BB335" t="str">
        <f>HYPERLINK("http://www.uniprot.org/uniprot/Q94546","3E-018")</f>
        <v>3E-018</v>
      </c>
      <c r="BC335" t="s">
        <v>4166</v>
      </c>
      <c r="BD335">
        <v>90.9</v>
      </c>
      <c r="BE335">
        <v>134</v>
      </c>
      <c r="BF335">
        <v>725</v>
      </c>
      <c r="BG335">
        <v>40</v>
      </c>
      <c r="BH335">
        <v>19</v>
      </c>
      <c r="BI335">
        <v>81</v>
      </c>
      <c r="BJ335">
        <v>8</v>
      </c>
      <c r="BK335">
        <v>559</v>
      </c>
      <c r="BL335">
        <v>1</v>
      </c>
      <c r="BM335">
        <v>1</v>
      </c>
      <c r="BN335">
        <v>1</v>
      </c>
      <c r="BO335" t="s">
        <v>12</v>
      </c>
      <c r="BQ335" t="s">
        <v>1676</v>
      </c>
      <c r="BR335" t="s">
        <v>1804</v>
      </c>
      <c r="BS335" s="4" t="str">
        <f>HYPERLINK("http://exon.niaid.nih.gov/transcriptome/C_felis/S1/links/CDD/cf-contig_687-CDD.txt","Cwf_Cwc_15")</f>
        <v>Cwf_Cwc_15</v>
      </c>
      <c r="BT335" t="str">
        <f>HYPERLINK("http://www.ncbi.nlm.nih.gov/Structure/cdd/cddsrv.cgi?uid=pfam04889&amp;version=v4.0","0.004")</f>
        <v>0.004</v>
      </c>
      <c r="BU335" t="s">
        <v>4167</v>
      </c>
      <c r="BV335" s="4" t="s">
        <v>4168</v>
      </c>
      <c r="BW335">
        <f>HYPERLINK("http://exon.niaid.nih.gov/transcriptome/C_felis/S1/links/GO/cf-contig_687-GO.txt",0.000000000000000002)</f>
        <v>2.0000000000000001E-18</v>
      </c>
      <c r="BX335" t="str">
        <f>HYPERLINK("http://amigo.geneontology.org/cgi-bin/amigo/term_details?term=GO:0003674","GO:0003674")</f>
        <v>GO:0003674</v>
      </c>
      <c r="BY335" t="s">
        <v>1851</v>
      </c>
      <c r="BZ335" t="s">
        <v>1852</v>
      </c>
      <c r="CA335" t="s">
        <v>1853</v>
      </c>
      <c r="CB335" t="s">
        <v>42</v>
      </c>
      <c r="CD335" s="5">
        <v>2.0000000000000001E-18</v>
      </c>
      <c r="CE335" t="str">
        <f>HYPERLINK("http://amigo.geneontology.org/cgi-bin/amigo/term_details?term=GO:0005575","GO:0005575")</f>
        <v>GO:0005575</v>
      </c>
      <c r="CF335" t="s">
        <v>1838</v>
      </c>
      <c r="CG335" t="s">
        <v>1839</v>
      </c>
      <c r="CH335" t="s">
        <v>1840</v>
      </c>
      <c r="CI335" t="s">
        <v>42</v>
      </c>
      <c r="CK335" s="5">
        <v>2.0000000000000001E-18</v>
      </c>
      <c r="CL335" t="str">
        <f>HYPERLINK("http://amigo.geneontology.org/cgi-bin/amigo/term_details?term=GO:0008150","GO:0008150")</f>
        <v>GO:0008150</v>
      </c>
      <c r="CM335" t="s">
        <v>1857</v>
      </c>
      <c r="CN335" t="s">
        <v>1858</v>
      </c>
      <c r="CO335" t="s">
        <v>1859</v>
      </c>
      <c r="CP335" t="s">
        <v>42</v>
      </c>
      <c r="CR335" s="5">
        <v>2.0000000000000001E-18</v>
      </c>
      <c r="CS335" s="4" t="str">
        <f>HYPERLINK("http://exon.niaid.nih.gov/transcriptome/C_felis/S1/links/KOG/cf-contig_687-KOG.txt","Uncharacterized conserved protein")</f>
        <v>Uncharacterized conserved protein</v>
      </c>
      <c r="CT335" t="str">
        <f>HYPERLINK("http://www.ncbi.nlm.nih.gov/COG/grace/shokog.cgi?KOG2428","3E-010")</f>
        <v>3E-010</v>
      </c>
      <c r="CU335" t="s">
        <v>1711</v>
      </c>
      <c r="CV335" s="4" t="str">
        <f>HYPERLINK("http://exon.niaid.nih.gov/transcriptome/C_felis/S1/links/PFAM/cf-contig_687-PFAM.txt","Cwf_Cwc_15")</f>
        <v>Cwf_Cwc_15</v>
      </c>
      <c r="CW335" t="str">
        <f>HYPERLINK("http://pfam.sanger.ac.uk/family?acc=PF04889","8E-004")</f>
        <v>8E-004</v>
      </c>
      <c r="CX335" s="4" t="str">
        <f>HYPERLINK("http://exon.niaid.nih.gov/transcriptome/C_felis/S1/links/SMART/cf-contig_687-SMART.txt","SPT2")</f>
        <v>SPT2</v>
      </c>
      <c r="CY335" t="str">
        <f>HYPERLINK("http://smart.embl-heidelberg.de/smart/do_annotation.pl?DOMAIN=SPT2&amp;BLAST=DUMMY","0.001")</f>
        <v>0.001</v>
      </c>
      <c r="CZ335" s="4" t="s">
        <v>42</v>
      </c>
      <c r="DA335" t="s">
        <v>42</v>
      </c>
      <c r="DB335" t="s">
        <v>42</v>
      </c>
      <c r="DC335" t="s">
        <v>42</v>
      </c>
      <c r="DD335" t="s">
        <v>42</v>
      </c>
      <c r="DE335" t="s">
        <v>42</v>
      </c>
      <c r="DF335" t="s">
        <v>42</v>
      </c>
      <c r="DG335" t="s">
        <v>42</v>
      </c>
      <c r="DH335" s="4" t="s">
        <v>42</v>
      </c>
      <c r="DI335" t="s">
        <v>42</v>
      </c>
      <c r="DJ335" s="4" t="s">
        <v>42</v>
      </c>
      <c r="DK335" t="s">
        <v>42</v>
      </c>
      <c r="DL335" s="4">
        <v>560</v>
      </c>
      <c r="DM335">
        <v>1</v>
      </c>
      <c r="DN335" s="4">
        <v>575</v>
      </c>
      <c r="DO335">
        <v>1</v>
      </c>
      <c r="DP335" s="4">
        <v>587</v>
      </c>
      <c r="DQ335">
        <v>1</v>
      </c>
      <c r="DR335" s="4">
        <v>608</v>
      </c>
      <c r="DS335">
        <v>1</v>
      </c>
      <c r="DT335" s="4">
        <v>622</v>
      </c>
      <c r="DU335">
        <v>1</v>
      </c>
      <c r="DV335" s="4">
        <v>636</v>
      </c>
      <c r="DW335">
        <v>1</v>
      </c>
      <c r="DX335" s="4">
        <v>645</v>
      </c>
      <c r="DY335">
        <v>1</v>
      </c>
      <c r="DZ335" s="4">
        <v>655</v>
      </c>
      <c r="EA335">
        <v>1</v>
      </c>
      <c r="EB335" s="4">
        <v>660</v>
      </c>
      <c r="EC335">
        <v>1</v>
      </c>
      <c r="ED335" s="4">
        <v>664</v>
      </c>
      <c r="EE335">
        <v>1</v>
      </c>
      <c r="EF335" s="4">
        <v>670</v>
      </c>
      <c r="EG335">
        <v>1</v>
      </c>
      <c r="EH335" s="4">
        <v>678</v>
      </c>
      <c r="EI335">
        <v>1</v>
      </c>
      <c r="EJ335" s="4">
        <v>687</v>
      </c>
      <c r="EK335">
        <v>1</v>
      </c>
    </row>
    <row r="336" spans="1:141" x14ac:dyDescent="0.2">
      <c r="A336" t="str">
        <f>HYPERLINK("http://exon.niaid.nih.gov/transcriptome/C_felis/S1/links/cf/cf-contig_746.txt","cf-contig_746")</f>
        <v>cf-contig_746</v>
      </c>
      <c r="B336">
        <v>1</v>
      </c>
      <c r="C336" s="10" t="s">
        <v>4863</v>
      </c>
      <c r="D336">
        <v>1</v>
      </c>
      <c r="E336" t="str">
        <f>HYPERLINK("http://exon.niaid.nih.gov/transcriptome/C_felis/S1/links/cf/cf-5-36-asb-746.txt","Contig-746")</f>
        <v>Contig-746</v>
      </c>
      <c r="F336" t="str">
        <f>HYPERLINK("http://exon.niaid.nih.gov/transcriptome/C_felis/S1/links/cf/cf-5-36-746-CLU.txt","Contig746")</f>
        <v>Contig746</v>
      </c>
      <c r="G336" t="str">
        <f>HYPERLINK("http://exon.niaid.nih.gov/transcriptome/C_felis/S1/links/cf/cf-5-36-746-qual.txt","63.6")</f>
        <v>63.6</v>
      </c>
      <c r="H336" t="s">
        <v>11</v>
      </c>
      <c r="I336">
        <v>67.099999999999994</v>
      </c>
      <c r="J336">
        <v>267</v>
      </c>
      <c r="K336" t="s">
        <v>12</v>
      </c>
      <c r="L336">
        <v>1</v>
      </c>
      <c r="M336" t="s">
        <v>759</v>
      </c>
      <c r="N336">
        <v>267</v>
      </c>
      <c r="O336">
        <v>286</v>
      </c>
      <c r="P336">
        <v>117</v>
      </c>
      <c r="Q336" t="s">
        <v>1565</v>
      </c>
      <c r="R336">
        <v>1</v>
      </c>
      <c r="S336" s="7" t="s">
        <v>4585</v>
      </c>
      <c r="U336">
        <v>1</v>
      </c>
      <c r="V336" s="4">
        <v>601</v>
      </c>
      <c r="W336">
        <v>1</v>
      </c>
      <c r="X336" s="4">
        <v>620</v>
      </c>
      <c r="Y336">
        <v>1</v>
      </c>
      <c r="Z336" s="4">
        <v>634</v>
      </c>
      <c r="AA336">
        <v>1</v>
      </c>
      <c r="AB336" s="4" t="str">
        <f>HYPERLINK("http://exon.niaid.nih.gov/transcriptome/C_felis/S1/links/XC-ASB/cf-contig_746-XC-ASB.txt","XC-contig_149")</f>
        <v>XC-contig_149</v>
      </c>
      <c r="AC336">
        <v>2.9000000000000001E-2</v>
      </c>
      <c r="AD336" s="10" t="s">
        <v>4863</v>
      </c>
      <c r="AE336" t="s">
        <v>4709</v>
      </c>
      <c r="AF336" t="str">
        <f>HYPERLINK("http://exon.niaid.nih.gov/transcriptome/C_felis/S1/links/KOG/cf-contig_746-KOG.txt","KOG")</f>
        <v>KOG</v>
      </c>
      <c r="AG336" s="5">
        <v>5.0000000000000004E-18</v>
      </c>
      <c r="AH336">
        <v>53.6</v>
      </c>
      <c r="AI336" s="4" t="str">
        <f>HYPERLINK("http://exon.niaid.nih.gov/transcriptome/C_felis/S1/links/NR/cf-contig_746-NR.txt","hypothetical protein DAPPUDRAFT_230475")</f>
        <v>hypothetical protein DAPPUDRAFT_230475</v>
      </c>
      <c r="AJ336" t="str">
        <f>HYPERLINK("http://www.ncbi.nlm.nih.gov/sutils/blink.cgi?pid=321475125","1E-013")</f>
        <v>1E-013</v>
      </c>
      <c r="AK336" t="str">
        <f>HYPERLINK("http://www.ncbi.nlm.nih.gov/protein/321475125","gi|321475125")</f>
        <v>gi|321475125</v>
      </c>
      <c r="AL336">
        <v>79.7</v>
      </c>
      <c r="AM336">
        <v>36</v>
      </c>
      <c r="AN336">
        <v>67</v>
      </c>
      <c r="AO336">
        <v>100</v>
      </c>
      <c r="AP336">
        <v>55</v>
      </c>
      <c r="AQ336">
        <v>0</v>
      </c>
      <c r="AR336">
        <v>0</v>
      </c>
      <c r="AS336">
        <v>31</v>
      </c>
      <c r="AT336">
        <v>21</v>
      </c>
      <c r="AU336">
        <v>1</v>
      </c>
      <c r="AV336">
        <v>3</v>
      </c>
      <c r="AW336" t="s">
        <v>12</v>
      </c>
      <c r="AY336" t="s">
        <v>1676</v>
      </c>
      <c r="AZ336" t="s">
        <v>4066</v>
      </c>
      <c r="BA336" s="4" t="str">
        <f>HYPERLINK("http://exon.niaid.nih.gov/transcriptome/C_felis/S1/links/SWISSP/cf-contig_746-SWISSP.txt","DNA-directed RNA polymerases I, II, and III subunit RPABC5")</f>
        <v>DNA-directed RNA polymerases I, II, and III subunit RPABC5</v>
      </c>
      <c r="BB336" t="str">
        <f>HYPERLINK("http://www.uniprot.org/uniprot/Q9VC49","5E-015")</f>
        <v>5E-015</v>
      </c>
      <c r="BC336" t="s">
        <v>4371</v>
      </c>
      <c r="BD336">
        <v>79.7</v>
      </c>
      <c r="BE336">
        <v>36</v>
      </c>
      <c r="BF336">
        <v>67</v>
      </c>
      <c r="BG336">
        <v>100</v>
      </c>
      <c r="BH336">
        <v>55</v>
      </c>
      <c r="BI336">
        <v>0</v>
      </c>
      <c r="BJ336">
        <v>0</v>
      </c>
      <c r="BK336">
        <v>31</v>
      </c>
      <c r="BL336">
        <v>21</v>
      </c>
      <c r="BM336">
        <v>1</v>
      </c>
      <c r="BN336">
        <v>3</v>
      </c>
      <c r="BO336" t="s">
        <v>12</v>
      </c>
      <c r="BQ336" t="s">
        <v>1676</v>
      </c>
      <c r="BR336" t="s">
        <v>1804</v>
      </c>
      <c r="BS336" s="4" t="str">
        <f>HYPERLINK("http://exon.niaid.nih.gov/transcriptome/C_felis/S1/links/CDD/cf-contig_746-CDD.txt","PLN00032")</f>
        <v>PLN00032</v>
      </c>
      <c r="BT336" t="str">
        <f>HYPERLINK("http://www.ncbi.nlm.nih.gov/Structure/cdd/cddsrv.cgi?uid=PLN00032&amp;version=v4.0","3E-017")</f>
        <v>3E-017</v>
      </c>
      <c r="BU336" t="s">
        <v>4372</v>
      </c>
      <c r="BV336" s="4" t="s">
        <v>4373</v>
      </c>
      <c r="BW336">
        <f>HYPERLINK("http://exon.niaid.nih.gov/transcriptome/C_felis/S1/links/GO/cf-contig_746-GO.txt",0.000000000000004)</f>
        <v>4.0000000000000003E-15</v>
      </c>
      <c r="BX336" t="str">
        <f>HYPERLINK("http://amigo.geneontology.org/cgi-bin/amigo/term_details?term=GO:0003899","GO:0003899")</f>
        <v>GO:0003899</v>
      </c>
      <c r="BY336" t="s">
        <v>4374</v>
      </c>
      <c r="BZ336" t="s">
        <v>4375</v>
      </c>
      <c r="CA336" t="s">
        <v>4376</v>
      </c>
      <c r="CB336" t="str">
        <f>HYPERLINK("http://www.genome.jp/dbget-bin/www_bfind_sub?mode=bfind&amp;max_hit=1000&amp;dbkey=kegg&amp;keywords=EC:2.7.7.6","EC:2.7.7.6")</f>
        <v>EC:2.7.7.6</v>
      </c>
      <c r="CD336">
        <v>4.0000000000000003E-15</v>
      </c>
      <c r="CE336" t="str">
        <f>HYPERLINK("http://amigo.geneontology.org/cgi-bin/amigo/term_details?term=GO:0005665","GO:0005665")</f>
        <v>GO:0005665</v>
      </c>
      <c r="CF336" t="s">
        <v>4377</v>
      </c>
      <c r="CG336" t="s">
        <v>4378</v>
      </c>
      <c r="CH336" t="s">
        <v>4379</v>
      </c>
      <c r="CI336" t="s">
        <v>42</v>
      </c>
      <c r="CK336">
        <v>4.0000000000000003E-15</v>
      </c>
      <c r="CL336" t="str">
        <f>HYPERLINK("http://amigo.geneontology.org/cgi-bin/amigo/term_details?term=GO:0006366","GO:0006366")</f>
        <v>GO:0006366</v>
      </c>
      <c r="CM336" t="s">
        <v>4380</v>
      </c>
      <c r="CN336" t="s">
        <v>4381</v>
      </c>
      <c r="CO336" t="s">
        <v>4382</v>
      </c>
      <c r="CP336" t="s">
        <v>42</v>
      </c>
      <c r="CR336">
        <v>4.0000000000000003E-15</v>
      </c>
      <c r="CS336" s="4" t="str">
        <f>HYPERLINK("http://exon.niaid.nih.gov/transcriptome/C_felis/S1/links/KOG/cf-contig_746-KOG.txt","DNA-directed RNA polymerase, subunit RPB10")</f>
        <v>DNA-directed RNA polymerase, subunit RPB10</v>
      </c>
      <c r="CT336" t="str">
        <f>HYPERLINK("http://www.ncbi.nlm.nih.gov/COG/grace/shokog.cgi?KOG3497","5E-018")</f>
        <v>5E-018</v>
      </c>
      <c r="CU336" t="s">
        <v>1692</v>
      </c>
      <c r="CV336" s="4" t="str">
        <f>HYPERLINK("http://exon.niaid.nih.gov/transcriptome/C_felis/S1/links/PFAM/cf-contig_746-PFAM.txt","RNA_pol_N")</f>
        <v>RNA_pol_N</v>
      </c>
      <c r="CW336" t="str">
        <f>HYPERLINK("http://pfam.sanger.ac.uk/family?acc=PF01194","6E-016")</f>
        <v>6E-016</v>
      </c>
      <c r="CX336" s="4" t="str">
        <f>HYPERLINK("http://exon.niaid.nih.gov/transcriptome/C_felis/S1/links/SMART/cf-contig_746-SMART.txt","BCS1_N")</f>
        <v>BCS1_N</v>
      </c>
      <c r="CY336" t="str">
        <f>HYPERLINK("http://smart.embl-heidelberg.de/smart/do_annotation.pl?DOMAIN=BCS1_N&amp;BLAST=DUMMY","0.034")</f>
        <v>0.034</v>
      </c>
      <c r="CZ336" s="4" t="s">
        <v>42</v>
      </c>
      <c r="DA336" t="s">
        <v>42</v>
      </c>
      <c r="DB336" t="s">
        <v>42</v>
      </c>
      <c r="DC336" t="s">
        <v>42</v>
      </c>
      <c r="DD336" t="s">
        <v>42</v>
      </c>
      <c r="DE336" t="s">
        <v>42</v>
      </c>
      <c r="DF336" t="s">
        <v>42</v>
      </c>
      <c r="DG336" t="s">
        <v>42</v>
      </c>
      <c r="DH336" s="4" t="s">
        <v>42</v>
      </c>
      <c r="DI336" t="s">
        <v>42</v>
      </c>
      <c r="DJ336" s="4" t="s">
        <v>42</v>
      </c>
      <c r="DK336" t="s">
        <v>42</v>
      </c>
      <c r="DL336" s="4">
        <v>601</v>
      </c>
      <c r="DM336">
        <v>1</v>
      </c>
      <c r="DN336" s="4">
        <v>620</v>
      </c>
      <c r="DO336">
        <v>1</v>
      </c>
      <c r="DP336" s="4">
        <v>634</v>
      </c>
      <c r="DQ336">
        <v>1</v>
      </c>
      <c r="DR336" s="4">
        <v>656</v>
      </c>
      <c r="DS336">
        <v>1</v>
      </c>
      <c r="DT336" s="4">
        <v>671</v>
      </c>
      <c r="DU336">
        <v>1</v>
      </c>
      <c r="DV336" s="4">
        <v>686</v>
      </c>
      <c r="DW336">
        <v>1</v>
      </c>
      <c r="DX336" s="4">
        <v>698</v>
      </c>
      <c r="DY336">
        <v>1</v>
      </c>
      <c r="DZ336" s="4">
        <v>709</v>
      </c>
      <c r="EA336">
        <v>1</v>
      </c>
      <c r="EB336" s="4">
        <v>715</v>
      </c>
      <c r="EC336">
        <v>1</v>
      </c>
      <c r="ED336" s="4">
        <v>720</v>
      </c>
      <c r="EE336">
        <v>1</v>
      </c>
      <c r="EF336" s="4">
        <v>726</v>
      </c>
      <c r="EG336">
        <v>1</v>
      </c>
      <c r="EH336" s="4">
        <v>737</v>
      </c>
      <c r="EI336">
        <v>1</v>
      </c>
      <c r="EJ336" s="4">
        <v>746</v>
      </c>
      <c r="EK336">
        <v>1</v>
      </c>
    </row>
    <row r="337" spans="1:141" x14ac:dyDescent="0.2">
      <c r="A337" t="str">
        <f>HYPERLINK("http://exon.niaid.nih.gov/transcriptome/C_felis/S1/links/cf/cf-contig_241.txt","cf-contig_241")</f>
        <v>cf-contig_241</v>
      </c>
      <c r="B337">
        <v>3</v>
      </c>
      <c r="C337" s="10" t="s">
        <v>4708</v>
      </c>
      <c r="D337">
        <v>3</v>
      </c>
      <c r="E337" t="str">
        <f>HYPERLINK("http://exon.niaid.nih.gov/transcriptome/C_felis/S1/links/cf/cf-5-36-asb-241.txt","Contig-241")</f>
        <v>Contig-241</v>
      </c>
      <c r="F337" t="str">
        <f>HYPERLINK("http://exon.niaid.nih.gov/transcriptome/C_felis/S1/links/cf/cf-5-36-241-CLU.txt","Contig241")</f>
        <v>Contig241</v>
      </c>
      <c r="G337" t="str">
        <f>HYPERLINK("http://exon.niaid.nih.gov/transcriptome/C_felis/S1/links/cf/cf-5-36-241-qual.txt","78.7")</f>
        <v>78.7</v>
      </c>
      <c r="H337" t="s">
        <v>11</v>
      </c>
      <c r="I337">
        <v>67.900000000000006</v>
      </c>
      <c r="J337">
        <v>286</v>
      </c>
      <c r="K337" t="s">
        <v>12</v>
      </c>
      <c r="L337">
        <v>3</v>
      </c>
      <c r="M337" t="s">
        <v>254</v>
      </c>
      <c r="N337">
        <v>287</v>
      </c>
      <c r="O337">
        <v>305</v>
      </c>
      <c r="P337">
        <v>246</v>
      </c>
      <c r="Q337" t="s">
        <v>1061</v>
      </c>
      <c r="R337">
        <v>2</v>
      </c>
      <c r="S337" s="7" t="str">
        <f>HYPERLINK("http://exon.niaid.nih.gov/transcriptome/C_felis/S1/links/Sigp/CF-CONTIG_241-SigP.txt","Cyt")</f>
        <v>Cyt</v>
      </c>
      <c r="U337">
        <v>3</v>
      </c>
      <c r="V337" s="4">
        <v>190</v>
      </c>
      <c r="W337">
        <v>1</v>
      </c>
      <c r="X337" s="4">
        <v>193</v>
      </c>
      <c r="Y337">
        <v>1</v>
      </c>
      <c r="Z337" s="4">
        <v>191</v>
      </c>
      <c r="AA337">
        <v>1</v>
      </c>
      <c r="AB337" s="4" t="str">
        <f>HYPERLINK("http://exon.niaid.nih.gov/transcriptome/C_felis/S1/links/XC-ASB/cf-contig_241-XC-ASB.txt","XC-contig_144")</f>
        <v>XC-contig_144</v>
      </c>
      <c r="AC337">
        <v>0.39</v>
      </c>
      <c r="AD337" s="10" t="s">
        <v>4708</v>
      </c>
      <c r="AE337" t="s">
        <v>4709</v>
      </c>
      <c r="AF337" t="str">
        <f>HYPERLINK("http://exon.niaid.nih.gov/transcriptome/C_felis/S1/links/KOG/cf-contig_241-KOG.txt","KOG")</f>
        <v>KOG</v>
      </c>
      <c r="AG337" s="5">
        <v>4.9999999999999996E-40</v>
      </c>
      <c r="AH337">
        <v>34.6</v>
      </c>
      <c r="AI337" s="4" t="str">
        <f>HYPERLINK("http://exon.niaid.nih.gov/transcriptome/C_felis/S1/links/NR/cf-contig_241-NR.txt","elongation factor 1 beta/delta chain")</f>
        <v>elongation factor 1 beta/delta chain</v>
      </c>
      <c r="AJ337" t="str">
        <f>HYPERLINK("http://www.ncbi.nlm.nih.gov/sutils/blink.cgi?pid=289741149","9E-035")</f>
        <v>9E-035</v>
      </c>
      <c r="AK337" t="str">
        <f>HYPERLINK("http://www.ncbi.nlm.nih.gov/protein/289741149","gi|289741149")</f>
        <v>gi|289741149</v>
      </c>
      <c r="AL337">
        <v>150</v>
      </c>
      <c r="AM337">
        <v>79</v>
      </c>
      <c r="AN337">
        <v>222</v>
      </c>
      <c r="AO337">
        <v>88</v>
      </c>
      <c r="AP337">
        <v>36</v>
      </c>
      <c r="AQ337">
        <v>9</v>
      </c>
      <c r="AR337">
        <v>0</v>
      </c>
      <c r="AS337">
        <v>143</v>
      </c>
      <c r="AT337">
        <v>8</v>
      </c>
      <c r="AU337">
        <v>1</v>
      </c>
      <c r="AV337">
        <v>2</v>
      </c>
      <c r="AW337" t="s">
        <v>12</v>
      </c>
      <c r="AY337" t="s">
        <v>1676</v>
      </c>
      <c r="AZ337" t="s">
        <v>2572</v>
      </c>
      <c r="BA337" s="4" t="str">
        <f>HYPERLINK("http://exon.niaid.nih.gov/transcriptome/C_felis/S1/links/SWISSP/cf-contig_241-SWISSP.txt","Elongation factor 1-beta'")</f>
        <v>Elongation factor 1-beta'</v>
      </c>
      <c r="BB337" t="str">
        <f>HYPERLINK("http://www.uniprot.org/uniprot/P29522","3E-035")</f>
        <v>3E-035</v>
      </c>
      <c r="BC337" t="s">
        <v>2573</v>
      </c>
      <c r="BD337">
        <v>147</v>
      </c>
      <c r="BE337">
        <v>79</v>
      </c>
      <c r="BF337">
        <v>222</v>
      </c>
      <c r="BG337">
        <v>86</v>
      </c>
      <c r="BH337">
        <v>36</v>
      </c>
      <c r="BI337">
        <v>11</v>
      </c>
      <c r="BJ337">
        <v>0</v>
      </c>
      <c r="BK337">
        <v>143</v>
      </c>
      <c r="BL337">
        <v>8</v>
      </c>
      <c r="BM337">
        <v>1</v>
      </c>
      <c r="BN337">
        <v>2</v>
      </c>
      <c r="BO337" t="s">
        <v>12</v>
      </c>
      <c r="BQ337" t="s">
        <v>1676</v>
      </c>
      <c r="BR337" t="s">
        <v>2037</v>
      </c>
      <c r="BS337" s="4" t="str">
        <f>HYPERLINK("http://exon.niaid.nih.gov/transcriptome/C_felis/S1/links/CDD/cf-contig_241-CDD.txt","EF1_GNE")</f>
        <v>EF1_GNE</v>
      </c>
      <c r="BT337" t="str">
        <f>HYPERLINK("http://www.ncbi.nlm.nih.gov/Structure/cdd/cddsrv.cgi?uid=pfam00736&amp;version=v4.0","4E-032")</f>
        <v>4E-032</v>
      </c>
      <c r="BU337" t="s">
        <v>2574</v>
      </c>
      <c r="BV337" s="4" t="s">
        <v>2575</v>
      </c>
      <c r="BW337">
        <f>HYPERLINK("http://exon.niaid.nih.gov/transcriptome/C_felis/S1/links/GO/cf-contig_241-GO.txt",7E-35)</f>
        <v>6.9999999999999999E-35</v>
      </c>
      <c r="BX337" t="str">
        <f>HYPERLINK("http://amigo.geneontology.org/cgi-bin/amigo/term_details?term=GO:0003747","GO:0003747")</f>
        <v>GO:0003747</v>
      </c>
      <c r="BY337" t="s">
        <v>2576</v>
      </c>
      <c r="BZ337" t="s">
        <v>2577</v>
      </c>
      <c r="CA337" t="s">
        <v>42</v>
      </c>
      <c r="CB337" t="s">
        <v>42</v>
      </c>
      <c r="CD337" s="5">
        <v>6.9999999999999999E-35</v>
      </c>
      <c r="CE337" t="str">
        <f>HYPERLINK("http://amigo.geneontology.org/cgi-bin/amigo/term_details?term=GO:0005829","GO:0005829")</f>
        <v>GO:0005829</v>
      </c>
      <c r="CF337" t="s">
        <v>2106</v>
      </c>
      <c r="CG337" t="s">
        <v>2107</v>
      </c>
      <c r="CH337" t="s">
        <v>42</v>
      </c>
      <c r="CI337" t="s">
        <v>42</v>
      </c>
      <c r="CK337" s="5">
        <v>6.9999999999999999E-35</v>
      </c>
      <c r="CL337" t="str">
        <f>HYPERLINK("http://amigo.geneontology.org/cgi-bin/amigo/term_details?term=GO:0006414","GO:0006414")</f>
        <v>GO:0006414</v>
      </c>
      <c r="CM337" t="s">
        <v>2402</v>
      </c>
      <c r="CN337" t="s">
        <v>2403</v>
      </c>
      <c r="CO337" t="s">
        <v>2404</v>
      </c>
      <c r="CP337" t="s">
        <v>42</v>
      </c>
      <c r="CR337" s="5">
        <v>6.9999999999999999E-35</v>
      </c>
      <c r="CS337" s="4" t="str">
        <f>HYPERLINK("http://exon.niaid.nih.gov/transcriptome/C_felis/S1/links/KOG/cf-contig_241-KOG.txt","Elongation factor 1 beta/delta chain")</f>
        <v>Elongation factor 1 beta/delta chain</v>
      </c>
      <c r="CT337" t="str">
        <f>HYPERLINK("http://www.ncbi.nlm.nih.gov/COG/grace/shokog.cgi?KOG1668","5E-040")</f>
        <v>5E-040</v>
      </c>
      <c r="CU337" t="s">
        <v>1692</v>
      </c>
      <c r="CV337" s="4" t="str">
        <f>HYPERLINK("http://exon.niaid.nih.gov/transcriptome/C_felis/S1/links/PFAM/cf-contig_241-PFAM.txt","EF1_GNE")</f>
        <v>EF1_GNE</v>
      </c>
      <c r="CW337" t="str">
        <f>HYPERLINK("http://pfam.sanger.ac.uk/family?acc=PF00736","9E-033")</f>
        <v>9E-033</v>
      </c>
      <c r="CX337" s="4" t="str">
        <f>HYPERLINK("http://exon.niaid.nih.gov/transcriptome/C_felis/S1/links/SMART/cf-contig_241-SMART.txt","EF1_GNE")</f>
        <v>EF1_GNE</v>
      </c>
      <c r="CY337" t="str">
        <f>HYPERLINK("http://smart.embl-heidelberg.de/smart/do_annotation.pl?DOMAIN=EF1_GNE&amp;BLAST=DUMMY","1E-030")</f>
        <v>1E-030</v>
      </c>
      <c r="CZ337" s="4" t="s">
        <v>42</v>
      </c>
      <c r="DA337" t="s">
        <v>42</v>
      </c>
      <c r="DB337" t="s">
        <v>42</v>
      </c>
      <c r="DC337" t="s">
        <v>42</v>
      </c>
      <c r="DD337" t="s">
        <v>42</v>
      </c>
      <c r="DE337" t="s">
        <v>42</v>
      </c>
      <c r="DF337" t="s">
        <v>42</v>
      </c>
      <c r="DG337" t="s">
        <v>42</v>
      </c>
      <c r="DH337" s="4" t="s">
        <v>42</v>
      </c>
      <c r="DI337" t="s">
        <v>42</v>
      </c>
      <c r="DJ337" s="4" t="s">
        <v>42</v>
      </c>
      <c r="DK337" t="s">
        <v>42</v>
      </c>
      <c r="DL337" s="4">
        <v>190</v>
      </c>
      <c r="DM337">
        <v>1</v>
      </c>
      <c r="DN337" s="4">
        <v>193</v>
      </c>
      <c r="DO337">
        <v>1</v>
      </c>
      <c r="DP337" s="4">
        <v>191</v>
      </c>
      <c r="DQ337">
        <v>1</v>
      </c>
      <c r="DR337" s="4">
        <v>199</v>
      </c>
      <c r="DS337">
        <v>1</v>
      </c>
      <c r="DT337" s="4">
        <v>205</v>
      </c>
      <c r="DU337">
        <v>1</v>
      </c>
      <c r="DV337" s="4">
        <v>217</v>
      </c>
      <c r="DW337">
        <v>1</v>
      </c>
      <c r="DX337" s="4">
        <v>219</v>
      </c>
      <c r="DY337">
        <v>1</v>
      </c>
      <c r="DZ337" s="4">
        <v>223</v>
      </c>
      <c r="EA337">
        <v>1</v>
      </c>
      <c r="EB337" s="4">
        <v>228</v>
      </c>
      <c r="EC337">
        <v>1</v>
      </c>
      <c r="ED337" s="4">
        <v>231</v>
      </c>
      <c r="EE337">
        <v>1</v>
      </c>
      <c r="EF337" s="4">
        <v>234</v>
      </c>
      <c r="EG337">
        <v>1</v>
      </c>
      <c r="EH337" s="4">
        <v>236</v>
      </c>
      <c r="EI337">
        <v>1</v>
      </c>
      <c r="EJ337" s="4">
        <v>241</v>
      </c>
      <c r="EK337">
        <v>1</v>
      </c>
    </row>
    <row r="338" spans="1:141" x14ac:dyDescent="0.2">
      <c r="A338" t="str">
        <f>HYPERLINK("http://exon.niaid.nih.gov/transcriptome/C_felis/S1/links/cf/cf-contig_695.txt","cf-contig_695")</f>
        <v>cf-contig_695</v>
      </c>
      <c r="B338">
        <v>1</v>
      </c>
      <c r="C338" s="10" t="s">
        <v>4847</v>
      </c>
      <c r="D338">
        <v>1</v>
      </c>
      <c r="E338" t="str">
        <f>HYPERLINK("http://exon.niaid.nih.gov/transcriptome/C_felis/S1/links/cf/cf-5-36-asb-695.txt","Contig-695")</f>
        <v>Contig-695</v>
      </c>
      <c r="F338" t="str">
        <f>HYPERLINK("http://exon.niaid.nih.gov/transcriptome/C_felis/S1/links/cf/cf-5-36-695-CLU.txt","Contig695")</f>
        <v>Contig695</v>
      </c>
      <c r="G338" t="str">
        <f>HYPERLINK("http://exon.niaid.nih.gov/transcriptome/C_felis/S1/links/cf/cf-5-36-695-qual.txt","64.4")</f>
        <v>64.4</v>
      </c>
      <c r="H338" t="s">
        <v>11</v>
      </c>
      <c r="I338">
        <v>71.099999999999994</v>
      </c>
      <c r="J338">
        <v>331</v>
      </c>
      <c r="K338" t="s">
        <v>12</v>
      </c>
      <c r="L338">
        <v>1</v>
      </c>
      <c r="M338" t="s">
        <v>708</v>
      </c>
      <c r="N338">
        <v>331</v>
      </c>
      <c r="O338">
        <v>350</v>
      </c>
      <c r="P338">
        <v>261</v>
      </c>
      <c r="Q338" t="s">
        <v>1514</v>
      </c>
      <c r="R338">
        <v>2</v>
      </c>
      <c r="S338" s="7" t="str">
        <f>HYPERLINK("http://exon.niaid.nih.gov/transcriptome/C_felis/S1/links/Sigp/CF-CONTIG_695-SigP.txt","Cyt")</f>
        <v>Cyt</v>
      </c>
      <c r="U338">
        <v>1</v>
      </c>
      <c r="V338" s="4">
        <v>567</v>
      </c>
      <c r="W338">
        <v>1</v>
      </c>
      <c r="X338" s="4">
        <v>582</v>
      </c>
      <c r="Y338">
        <v>1</v>
      </c>
      <c r="Z338" s="4">
        <v>594</v>
      </c>
      <c r="AA338">
        <v>1</v>
      </c>
      <c r="AB338" s="4" t="str">
        <f>HYPERLINK("http://exon.niaid.nih.gov/transcriptome/C_felis/S1/links/XC-ASB/cf-contig_695-XC-ASB.txt","XC-contig_64")</f>
        <v>XC-contig_64</v>
      </c>
      <c r="AC338">
        <v>0.64</v>
      </c>
      <c r="AD338" s="10" t="s">
        <v>4847</v>
      </c>
      <c r="AE338" t="s">
        <v>4709</v>
      </c>
      <c r="AF338" t="str">
        <f>HYPERLINK("http://exon.niaid.nih.gov/transcriptome/C_felis/S1/links/KOG/cf-contig_695-KOG.txt","KOG")</f>
        <v>KOG</v>
      </c>
      <c r="AG338" s="5">
        <v>4.0000000000000003E-43</v>
      </c>
      <c r="AH338">
        <v>56.4</v>
      </c>
      <c r="AI338" s="4" t="str">
        <f>HYPERLINK("http://exon.niaid.nih.gov/transcriptome/C_felis/S1/links/NR/cf-contig_695-NR.txt","protein mago nashi homolog 2-like")</f>
        <v>protein mago nashi homolog 2-like</v>
      </c>
      <c r="AJ338" t="str">
        <f>HYPERLINK("http://www.ncbi.nlm.nih.gov/sutils/blink.cgi?pid=156544015","9E-040")</f>
        <v>9E-040</v>
      </c>
      <c r="AK338" t="str">
        <f>HYPERLINK("http://www.ncbi.nlm.nih.gov/protein/156544015","gi|156544015")</f>
        <v>gi|156544015</v>
      </c>
      <c r="AL338">
        <v>166</v>
      </c>
      <c r="AM338">
        <v>82</v>
      </c>
      <c r="AN338">
        <v>146</v>
      </c>
      <c r="AO338">
        <v>96</v>
      </c>
      <c r="AP338">
        <v>57</v>
      </c>
      <c r="AQ338">
        <v>3</v>
      </c>
      <c r="AR338">
        <v>0</v>
      </c>
      <c r="AS338">
        <v>64</v>
      </c>
      <c r="AT338">
        <v>14</v>
      </c>
      <c r="AU338">
        <v>1</v>
      </c>
      <c r="AV338">
        <v>2</v>
      </c>
      <c r="AW338" t="s">
        <v>12</v>
      </c>
      <c r="AY338" t="s">
        <v>1676</v>
      </c>
      <c r="AZ338" t="s">
        <v>1897</v>
      </c>
      <c r="BA338" s="4" t="str">
        <f>HYPERLINK("http://exon.niaid.nih.gov/transcriptome/C_felis/S1/links/SWISSP/cf-contig_695-SWISSP.txt","Protein mago nashi")</f>
        <v>Protein mago nashi</v>
      </c>
      <c r="BB338" t="str">
        <f>HYPERLINK("http://www.uniprot.org/uniprot/P49028","4E-039")</f>
        <v>4E-039</v>
      </c>
      <c r="BC338" t="s">
        <v>4188</v>
      </c>
      <c r="BD338">
        <v>159</v>
      </c>
      <c r="BE338">
        <v>82</v>
      </c>
      <c r="BF338">
        <v>147</v>
      </c>
      <c r="BG338">
        <v>92</v>
      </c>
      <c r="BH338">
        <v>56</v>
      </c>
      <c r="BI338">
        <v>6</v>
      </c>
      <c r="BJ338">
        <v>0</v>
      </c>
      <c r="BK338">
        <v>65</v>
      </c>
      <c r="BL338">
        <v>14</v>
      </c>
      <c r="BM338">
        <v>1</v>
      </c>
      <c r="BN338">
        <v>2</v>
      </c>
      <c r="BO338" t="s">
        <v>12</v>
      </c>
      <c r="BQ338" t="s">
        <v>1676</v>
      </c>
      <c r="BR338" t="s">
        <v>1804</v>
      </c>
      <c r="BS338" s="4" t="str">
        <f>HYPERLINK("http://exon.niaid.nih.gov/transcriptome/C_felis/S1/links/CDD/cf-contig_695-CDD.txt","Mago_nashi")</f>
        <v>Mago_nashi</v>
      </c>
      <c r="BT338" t="str">
        <f>HYPERLINK("http://www.ncbi.nlm.nih.gov/Structure/cdd/cddsrv.cgi?uid=pfam02792&amp;version=v4.0","3E-040")</f>
        <v>3E-040</v>
      </c>
      <c r="BU338" t="s">
        <v>4189</v>
      </c>
      <c r="BV338" s="4" t="s">
        <v>4190</v>
      </c>
      <c r="BW338">
        <f>HYPERLINK("http://exon.niaid.nih.gov/transcriptome/C_felis/S1/links/GO/cf-contig_695-GO.txt",3E-39)</f>
        <v>3.0000000000000003E-39</v>
      </c>
      <c r="BX338" t="str">
        <f>HYPERLINK("http://amigo.geneontology.org/cgi-bin/amigo/term_details?term=GO:0003723","GO:0003723")</f>
        <v>GO:0003723</v>
      </c>
      <c r="BY338" t="s">
        <v>2062</v>
      </c>
      <c r="BZ338" t="s">
        <v>2063</v>
      </c>
      <c r="CA338" t="s">
        <v>42</v>
      </c>
      <c r="CB338" t="s">
        <v>42</v>
      </c>
      <c r="CD338" s="5">
        <v>4.9999999999999997E-37</v>
      </c>
      <c r="CE338" t="str">
        <f>HYPERLINK("http://amigo.geneontology.org/cgi-bin/amigo/term_details?term=GO:0005634","GO:0005634")</f>
        <v>GO:0005634</v>
      </c>
      <c r="CF338" t="s">
        <v>2064</v>
      </c>
      <c r="CG338" t="s">
        <v>2065</v>
      </c>
      <c r="CH338" t="s">
        <v>2066</v>
      </c>
      <c r="CI338" t="s">
        <v>42</v>
      </c>
      <c r="CK338" s="5">
        <v>4.9999999999999997E-37</v>
      </c>
      <c r="CL338" t="str">
        <f>HYPERLINK("http://amigo.geneontology.org/cgi-bin/amigo/term_details?term=GO:0051028","GO:0051028")</f>
        <v>GO:0051028</v>
      </c>
      <c r="CM338" t="s">
        <v>4191</v>
      </c>
      <c r="CN338" t="s">
        <v>4192</v>
      </c>
      <c r="CO338" t="s">
        <v>42</v>
      </c>
      <c r="CP338" t="s">
        <v>42</v>
      </c>
      <c r="CR338" s="5">
        <v>4.9999999999999997E-37</v>
      </c>
      <c r="CS338" s="4" t="str">
        <f>HYPERLINK("http://exon.niaid.nih.gov/transcriptome/C_felis/S1/links/KOG/cf-contig_695-KOG.txt","Exon-exon junction complex, Magoh component")</f>
        <v>Exon-exon junction complex, Magoh component</v>
      </c>
      <c r="CT338" t="str">
        <f>HYPERLINK("http://www.ncbi.nlm.nih.gov/COG/grace/shokog.cgi?KOG3392","4E-043")</f>
        <v>4E-043</v>
      </c>
      <c r="CU338" t="s">
        <v>1817</v>
      </c>
      <c r="CV338" s="4" t="str">
        <f>HYPERLINK("http://exon.niaid.nih.gov/transcriptome/C_felis/S1/links/PFAM/cf-contig_695-PFAM.txt","Mago_nashi")</f>
        <v>Mago_nashi</v>
      </c>
      <c r="CW338" t="str">
        <f>HYPERLINK("http://pfam.sanger.ac.uk/family?acc=PF02792","5E-041")</f>
        <v>5E-041</v>
      </c>
      <c r="CX338" s="4" t="str">
        <f>HYPERLINK("http://exon.niaid.nih.gov/transcriptome/C_felis/S1/links/SMART/cf-contig_695-SMART.txt","PTB")</f>
        <v>PTB</v>
      </c>
      <c r="CY338" t="str">
        <f>HYPERLINK("http://smart.embl-heidelberg.de/smart/do_annotation.pl?DOMAIN=PTB&amp;BLAST=DUMMY","0.048")</f>
        <v>0.048</v>
      </c>
      <c r="CZ338" s="4" t="s">
        <v>42</v>
      </c>
      <c r="DA338" t="s">
        <v>42</v>
      </c>
      <c r="DB338" t="s">
        <v>42</v>
      </c>
      <c r="DC338" t="s">
        <v>42</v>
      </c>
      <c r="DD338" t="s">
        <v>42</v>
      </c>
      <c r="DE338" t="s">
        <v>42</v>
      </c>
      <c r="DF338" t="s">
        <v>42</v>
      </c>
      <c r="DG338" t="s">
        <v>42</v>
      </c>
      <c r="DH338" s="4" t="s">
        <v>42</v>
      </c>
      <c r="DI338" t="s">
        <v>42</v>
      </c>
      <c r="DJ338" s="4" t="s">
        <v>42</v>
      </c>
      <c r="DK338" t="s">
        <v>42</v>
      </c>
      <c r="DL338" s="4">
        <v>567</v>
      </c>
      <c r="DM338">
        <v>1</v>
      </c>
      <c r="DN338" s="4">
        <v>582</v>
      </c>
      <c r="DO338">
        <v>1</v>
      </c>
      <c r="DP338" s="4">
        <v>594</v>
      </c>
      <c r="DQ338">
        <v>1</v>
      </c>
      <c r="DR338" s="4">
        <v>615</v>
      </c>
      <c r="DS338">
        <v>1</v>
      </c>
      <c r="DT338" s="4">
        <v>629</v>
      </c>
      <c r="DU338">
        <v>1</v>
      </c>
      <c r="DV338" s="4">
        <v>644</v>
      </c>
      <c r="DW338">
        <v>1</v>
      </c>
      <c r="DX338" s="4">
        <v>653</v>
      </c>
      <c r="DY338">
        <v>1</v>
      </c>
      <c r="DZ338" s="4">
        <v>663</v>
      </c>
      <c r="EA338">
        <v>1</v>
      </c>
      <c r="EB338" s="4">
        <v>668</v>
      </c>
      <c r="EC338">
        <v>1</v>
      </c>
      <c r="ED338" s="4">
        <v>672</v>
      </c>
      <c r="EE338">
        <v>1</v>
      </c>
      <c r="EF338" s="4">
        <v>678</v>
      </c>
      <c r="EG338">
        <v>1</v>
      </c>
      <c r="EH338" s="4">
        <v>686</v>
      </c>
      <c r="EI338">
        <v>1</v>
      </c>
      <c r="EJ338" s="4">
        <v>695</v>
      </c>
      <c r="EK338">
        <v>1</v>
      </c>
    </row>
    <row r="339" spans="1:141" x14ac:dyDescent="0.2">
      <c r="A339" t="str">
        <f>HYPERLINK("http://exon.niaid.nih.gov/transcriptome/C_felis/S1/links/cf/cf-contig_632.txt","cf-contig_632")</f>
        <v>cf-contig_632</v>
      </c>
      <c r="B339">
        <v>1</v>
      </c>
      <c r="C339" s="10" t="s">
        <v>4830</v>
      </c>
      <c r="D339">
        <v>1</v>
      </c>
      <c r="E339" t="str">
        <f>HYPERLINK("http://exon.niaid.nih.gov/transcriptome/C_felis/S1/links/cf/cf-5-36-asb-632.txt","Contig-632")</f>
        <v>Contig-632</v>
      </c>
      <c r="F339" t="str">
        <f>HYPERLINK("http://exon.niaid.nih.gov/transcriptome/C_felis/S1/links/cf/cf-5-36-632-CLU.txt","Contig632")</f>
        <v>Contig632</v>
      </c>
      <c r="G339" t="str">
        <f>HYPERLINK("http://exon.niaid.nih.gov/transcriptome/C_felis/S1/links/cf/cf-5-36-632-qual.txt","63.3")</f>
        <v>63.3</v>
      </c>
      <c r="H339" t="s">
        <v>11</v>
      </c>
      <c r="I339">
        <v>66.8</v>
      </c>
      <c r="J339">
        <v>361</v>
      </c>
      <c r="K339" t="s">
        <v>12</v>
      </c>
      <c r="L339">
        <v>1</v>
      </c>
      <c r="M339" t="s">
        <v>645</v>
      </c>
      <c r="N339">
        <v>361</v>
      </c>
      <c r="O339">
        <v>380</v>
      </c>
      <c r="P339">
        <v>285</v>
      </c>
      <c r="Q339" t="s">
        <v>1451</v>
      </c>
      <c r="R339">
        <v>1</v>
      </c>
      <c r="S339" s="7" t="str">
        <f>HYPERLINK("http://exon.niaid.nih.gov/transcriptome/C_felis/S1/links/Sigp/CF-CONTIG_632-SigP.txt","Cyt")</f>
        <v>Cyt</v>
      </c>
      <c r="U339">
        <v>1</v>
      </c>
      <c r="V339" s="4">
        <v>516</v>
      </c>
      <c r="W339">
        <v>1</v>
      </c>
      <c r="X339" s="4">
        <v>528</v>
      </c>
      <c r="Y339">
        <v>1</v>
      </c>
      <c r="Z339" s="4">
        <v>538</v>
      </c>
      <c r="AA339">
        <v>1</v>
      </c>
      <c r="AB339" s="4" t="str">
        <f>HYPERLINK("http://exon.niaid.nih.gov/transcriptome/C_felis/S1/links/XC-ASB/cf-contig_632-XC-ASB.txt","XC-contig_243")</f>
        <v>XC-contig_243</v>
      </c>
      <c r="AC339">
        <v>0.38</v>
      </c>
      <c r="AD339" s="10" t="s">
        <v>4830</v>
      </c>
      <c r="AE339" t="s">
        <v>4709</v>
      </c>
      <c r="AF339" t="str">
        <f>HYPERLINK("http://exon.niaid.nih.gov/transcriptome/C_felis/S1/links/NR/cf-contig_632-NR.txt","NR")</f>
        <v>NR</v>
      </c>
      <c r="AG339" s="5">
        <v>2.0000000000000001E-22</v>
      </c>
      <c r="AH339">
        <v>7.9</v>
      </c>
      <c r="AI339" s="4" t="str">
        <f>HYPERLINK("http://exon.niaid.nih.gov/transcriptome/C_felis/S1/links/NR/cf-contig_632-NR.txt","LOW QUALITY PROTEIN: transcription elongation factor SPT5")</f>
        <v>LOW QUALITY PROTEIN: transcription elongation factor SPT5</v>
      </c>
      <c r="AJ339" t="str">
        <f>HYPERLINK("http://www.ncbi.nlm.nih.gov/sutils/blink.cgi?pid=328775915","2E-022")</f>
        <v>2E-022</v>
      </c>
      <c r="AK339" t="str">
        <f>HYPERLINK("http://www.ncbi.nlm.nih.gov/protein/328775915","gi|328775915")</f>
        <v>gi|328775915</v>
      </c>
      <c r="AL339">
        <v>108</v>
      </c>
      <c r="AM339">
        <v>89</v>
      </c>
      <c r="AN339">
        <v>1134</v>
      </c>
      <c r="AO339">
        <v>60</v>
      </c>
      <c r="AP339">
        <v>8</v>
      </c>
      <c r="AQ339">
        <v>36</v>
      </c>
      <c r="AR339">
        <v>1</v>
      </c>
      <c r="AS339">
        <v>1040</v>
      </c>
      <c r="AT339">
        <v>10</v>
      </c>
      <c r="AU339">
        <v>1</v>
      </c>
      <c r="AV339">
        <v>1</v>
      </c>
      <c r="AW339" t="s">
        <v>12</v>
      </c>
      <c r="AY339" t="s">
        <v>1676</v>
      </c>
      <c r="AZ339" t="s">
        <v>2135</v>
      </c>
      <c r="BA339" s="4" t="str">
        <f>HYPERLINK("http://exon.niaid.nih.gov/transcriptome/C_felis/S1/links/SWISSP/cf-contig_632-SWISSP.txt","Transcription elongation factor SPT5")</f>
        <v>Transcription elongation factor SPT5</v>
      </c>
      <c r="BB339" t="str">
        <f>HYPERLINK("http://www.uniprot.org/uniprot/Q9DDT5","9E-020")</f>
        <v>9E-020</v>
      </c>
      <c r="BC339" t="s">
        <v>3999</v>
      </c>
      <c r="BD339">
        <v>95.5</v>
      </c>
      <c r="BE339">
        <v>90</v>
      </c>
      <c r="BF339">
        <v>1084</v>
      </c>
      <c r="BG339">
        <v>50</v>
      </c>
      <c r="BH339">
        <v>8</v>
      </c>
      <c r="BI339">
        <v>45</v>
      </c>
      <c r="BJ339">
        <v>2</v>
      </c>
      <c r="BK339">
        <v>992</v>
      </c>
      <c r="BL339">
        <v>10</v>
      </c>
      <c r="BM339">
        <v>1</v>
      </c>
      <c r="BN339">
        <v>1</v>
      </c>
      <c r="BO339" t="s">
        <v>12</v>
      </c>
      <c r="BQ339" t="s">
        <v>1676</v>
      </c>
      <c r="BR339" t="s">
        <v>2736</v>
      </c>
      <c r="BS339" s="4" t="str">
        <f>HYPERLINK("http://exon.niaid.nih.gov/transcriptome/C_felis/S1/links/CDD/cf-contig_632-CDD.txt","PRK05331")</f>
        <v>PRK05331</v>
      </c>
      <c r="BT339" t="str">
        <f>HYPERLINK("http://www.ncbi.nlm.nih.gov/Structure/cdd/cddsrv.cgi?uid=PRK05331&amp;version=v4.0","0.22")</f>
        <v>0.22</v>
      </c>
      <c r="BU339" t="s">
        <v>4000</v>
      </c>
      <c r="BV339" s="4" t="s">
        <v>4001</v>
      </c>
      <c r="BW339">
        <f>HYPERLINK("http://exon.niaid.nih.gov/transcriptome/C_felis/S1/links/GO/cf-contig_632-GO.txt",7E-20)</f>
        <v>7.0000000000000001E-20</v>
      </c>
      <c r="BX339" t="str">
        <f>HYPERLINK("http://amigo.geneontology.org/cgi-bin/amigo/term_details?term=GO:0005515","GO:0005515")</f>
        <v>GO:0005515</v>
      </c>
      <c r="BY339" t="s">
        <v>2423</v>
      </c>
      <c r="BZ339" t="s">
        <v>2424</v>
      </c>
      <c r="CA339" t="s">
        <v>2425</v>
      </c>
      <c r="CB339" t="s">
        <v>42</v>
      </c>
      <c r="CD339" s="5">
        <v>5.0000000000000004E-18</v>
      </c>
      <c r="CE339" t="str">
        <f>HYPERLINK("http://amigo.geneontology.org/cgi-bin/amigo/term_details?term=GO:0005634","GO:0005634")</f>
        <v>GO:0005634</v>
      </c>
      <c r="CF339" t="s">
        <v>2064</v>
      </c>
      <c r="CG339" t="s">
        <v>2065</v>
      </c>
      <c r="CH339" t="s">
        <v>2066</v>
      </c>
      <c r="CI339" t="s">
        <v>42</v>
      </c>
      <c r="CK339" s="5">
        <v>5.0000000000000004E-18</v>
      </c>
      <c r="CL339" t="str">
        <f>HYPERLINK("http://amigo.geneontology.org/cgi-bin/amigo/term_details?term=GO:0000122","GO:0000122")</f>
        <v>GO:0000122</v>
      </c>
      <c r="CM339" t="s">
        <v>3408</v>
      </c>
      <c r="CN339" t="s">
        <v>3409</v>
      </c>
      <c r="CO339" t="s">
        <v>3410</v>
      </c>
      <c r="CP339" t="s">
        <v>42</v>
      </c>
      <c r="CR339" s="5">
        <v>5.0000000000000004E-18</v>
      </c>
      <c r="CS339" s="4" t="str">
        <f>HYPERLINK("http://exon.niaid.nih.gov/transcriptome/C_felis/S1/links/KOG/cf-contig_632-KOG.txt","RNA polymerase II transcription elongation factor DSIF/SUPT5H/SPT5")</f>
        <v>RNA polymerase II transcription elongation factor DSIF/SUPT5H/SPT5</v>
      </c>
      <c r="CT339" t="str">
        <f>HYPERLINK("http://www.ncbi.nlm.nih.gov/COG/grace/shokog.cgi?KOG1999","6E-015")</f>
        <v>6E-015</v>
      </c>
      <c r="CU339" t="s">
        <v>1692</v>
      </c>
      <c r="CV339" s="4" t="str">
        <f>HYPERLINK("http://exon.niaid.nih.gov/transcriptome/C_felis/S1/links/PFAM/cf-contig_632-PFAM.txt","Pox_VERT_large")</f>
        <v>Pox_VERT_large</v>
      </c>
      <c r="CW339" t="str">
        <f>HYPERLINK("http://pfam.sanger.ac.uk/family?acc=PF04441","0.27")</f>
        <v>0.27</v>
      </c>
      <c r="CX339" s="4" t="str">
        <f>HYPERLINK("http://exon.niaid.nih.gov/transcriptome/C_felis/S1/links/SMART/cf-contig_632-SMART.txt","Agenet")</f>
        <v>Agenet</v>
      </c>
      <c r="CY339" t="str">
        <f>HYPERLINK("http://smart.embl-heidelberg.de/smart/do_annotation.pl?DOMAIN=Agenet&amp;BLAST=DUMMY","0.10")</f>
        <v>0.10</v>
      </c>
      <c r="CZ339" s="4" t="s">
        <v>42</v>
      </c>
      <c r="DA339" t="s">
        <v>42</v>
      </c>
      <c r="DB339" t="s">
        <v>42</v>
      </c>
      <c r="DC339" t="s">
        <v>42</v>
      </c>
      <c r="DD339" t="s">
        <v>42</v>
      </c>
      <c r="DE339" t="s">
        <v>42</v>
      </c>
      <c r="DF339" t="s">
        <v>42</v>
      </c>
      <c r="DG339" t="s">
        <v>42</v>
      </c>
      <c r="DH339" s="4" t="s">
        <v>42</v>
      </c>
      <c r="DI339" t="s">
        <v>42</v>
      </c>
      <c r="DJ339" s="4" t="s">
        <v>42</v>
      </c>
      <c r="DK339" t="s">
        <v>42</v>
      </c>
      <c r="DL339" s="4">
        <v>516</v>
      </c>
      <c r="DM339">
        <v>1</v>
      </c>
      <c r="DN339" s="4">
        <v>528</v>
      </c>
      <c r="DO339">
        <v>1</v>
      </c>
      <c r="DP339" s="4">
        <v>538</v>
      </c>
      <c r="DQ339">
        <v>1</v>
      </c>
      <c r="DR339" s="4">
        <v>558</v>
      </c>
      <c r="DS339">
        <v>1</v>
      </c>
      <c r="DT339" s="4">
        <v>571</v>
      </c>
      <c r="DU339">
        <v>1</v>
      </c>
      <c r="DV339" s="4">
        <v>585</v>
      </c>
      <c r="DW339">
        <v>1</v>
      </c>
      <c r="DX339" s="4">
        <v>594</v>
      </c>
      <c r="DY339">
        <v>1</v>
      </c>
      <c r="DZ339" s="4">
        <v>602</v>
      </c>
      <c r="EA339">
        <v>1</v>
      </c>
      <c r="EB339" s="4">
        <v>607</v>
      </c>
      <c r="EC339">
        <v>1</v>
      </c>
      <c r="ED339" s="4">
        <v>611</v>
      </c>
      <c r="EE339">
        <v>1</v>
      </c>
      <c r="EF339" s="4">
        <v>617</v>
      </c>
      <c r="EG339">
        <v>1</v>
      </c>
      <c r="EH339" s="4">
        <v>625</v>
      </c>
      <c r="EI339">
        <v>1</v>
      </c>
      <c r="EJ339" s="4">
        <v>632</v>
      </c>
      <c r="EK339">
        <v>1</v>
      </c>
    </row>
    <row r="340" spans="1:141" x14ac:dyDescent="0.2">
      <c r="A340" t="str">
        <f>HYPERLINK("http://exon.niaid.nih.gov/transcriptome/C_felis/S1/links/cf/cf-contig_684.txt","cf-contig_684")</f>
        <v>cf-contig_684</v>
      </c>
      <c r="B340">
        <v>1</v>
      </c>
      <c r="C340" s="10" t="s">
        <v>4844</v>
      </c>
      <c r="D340">
        <v>1</v>
      </c>
      <c r="E340" t="str">
        <f>HYPERLINK("http://exon.niaid.nih.gov/transcriptome/C_felis/S1/links/cf/cf-5-36-asb-684.txt","Contig-684")</f>
        <v>Contig-684</v>
      </c>
      <c r="F340" t="str">
        <f>HYPERLINK("http://exon.niaid.nih.gov/transcriptome/C_felis/S1/links/cf/cf-5-36-684-CLU.txt","Contig684")</f>
        <v>Contig684</v>
      </c>
      <c r="G340" t="str">
        <f>HYPERLINK("http://exon.niaid.nih.gov/transcriptome/C_felis/S1/links/cf/cf-5-36-684-qual.txt","39.2")</f>
        <v>39.2</v>
      </c>
      <c r="H340" t="s">
        <v>11</v>
      </c>
      <c r="I340">
        <v>74.8</v>
      </c>
      <c r="J340">
        <v>931</v>
      </c>
      <c r="K340" t="s">
        <v>12</v>
      </c>
      <c r="L340">
        <v>1</v>
      </c>
      <c r="M340" t="s">
        <v>697</v>
      </c>
      <c r="N340">
        <v>931</v>
      </c>
      <c r="O340">
        <v>950</v>
      </c>
      <c r="P340">
        <v>234</v>
      </c>
      <c r="Q340" t="s">
        <v>1503</v>
      </c>
      <c r="R340">
        <v>3</v>
      </c>
      <c r="S340" s="7" t="str">
        <f>HYPERLINK("http://exon.niaid.nih.gov/transcriptome/C_felis/S1/links/Sigp/CF-CONTIG_684-SigP.txt","Cyt")</f>
        <v>Cyt</v>
      </c>
      <c r="U340">
        <v>1</v>
      </c>
      <c r="V340" s="4">
        <v>557</v>
      </c>
      <c r="W340">
        <v>1</v>
      </c>
      <c r="X340" s="4">
        <v>572</v>
      </c>
      <c r="Y340">
        <v>1</v>
      </c>
      <c r="Z340" s="4">
        <v>584</v>
      </c>
      <c r="AA340">
        <v>1</v>
      </c>
      <c r="AB340" s="4" t="str">
        <f>HYPERLINK("http://exon.niaid.nih.gov/transcriptome/C_felis/S1/links/XC-ASB/cf-contig_684-XC-ASB.txt","XC-contig_163")</f>
        <v>XC-contig_163</v>
      </c>
      <c r="AC340">
        <v>2.4E-2</v>
      </c>
      <c r="AD340" s="10" t="s">
        <v>4844</v>
      </c>
      <c r="AE340" t="s">
        <v>4709</v>
      </c>
      <c r="AF340" t="str">
        <f>HYPERLINK("http://exon.niaid.nih.gov/transcriptome/C_felis/S1/links/KOG/cf-contig_684-KOG.txt","KOG")</f>
        <v>KOG</v>
      </c>
      <c r="AG340" s="5">
        <v>1.9999999999999999E-28</v>
      </c>
      <c r="AH340">
        <v>6.6</v>
      </c>
      <c r="AI340" s="4" t="str">
        <f>HYPERLINK("http://exon.niaid.nih.gov/transcriptome/C_felis/S1/links/NR/cf-contig_684-NR.txt","AGAP009600-PA")</f>
        <v>AGAP009600-PA</v>
      </c>
      <c r="AJ340" t="str">
        <f>HYPERLINK("http://www.ncbi.nlm.nih.gov/sutils/blink.cgi?pid=158298455","1E-021")</f>
        <v>1E-021</v>
      </c>
      <c r="AK340" t="str">
        <f>HYPERLINK("http://www.ncbi.nlm.nih.gov/protein/158298455","gi|158298455")</f>
        <v>gi|158298455</v>
      </c>
      <c r="AL340">
        <v>108</v>
      </c>
      <c r="AM340">
        <v>70</v>
      </c>
      <c r="AN340">
        <v>1036</v>
      </c>
      <c r="AO340">
        <v>75</v>
      </c>
      <c r="AP340">
        <v>7</v>
      </c>
      <c r="AQ340">
        <v>18</v>
      </c>
      <c r="AR340">
        <v>0</v>
      </c>
      <c r="AS340">
        <v>966</v>
      </c>
      <c r="AT340">
        <v>15</v>
      </c>
      <c r="AU340">
        <v>1</v>
      </c>
      <c r="AV340">
        <v>3</v>
      </c>
      <c r="AW340" t="s">
        <v>12</v>
      </c>
      <c r="AY340" t="s">
        <v>1676</v>
      </c>
      <c r="AZ340" t="s">
        <v>2374</v>
      </c>
      <c r="BA340" s="4" t="str">
        <f>HYPERLINK("http://exon.niaid.nih.gov/transcriptome/C_felis/S1/links/SWISSP/cf-contig_684-SWISSP.txt","Superkiller viralicidic activity 2-like 2")</f>
        <v>Superkiller viralicidic activity 2-like 2</v>
      </c>
      <c r="BB340" t="str">
        <f>HYPERLINK("http://www.uniprot.org/uniprot/Q9CZU3","2E-020")</f>
        <v>2E-020</v>
      </c>
      <c r="BC340" t="s">
        <v>4150</v>
      </c>
      <c r="BD340">
        <v>100</v>
      </c>
      <c r="BE340">
        <v>66</v>
      </c>
      <c r="BF340">
        <v>1040</v>
      </c>
      <c r="BG340">
        <v>74</v>
      </c>
      <c r="BH340">
        <v>6</v>
      </c>
      <c r="BI340">
        <v>17</v>
      </c>
      <c r="BJ340">
        <v>0</v>
      </c>
      <c r="BK340">
        <v>974</v>
      </c>
      <c r="BL340">
        <v>36</v>
      </c>
      <c r="BM340">
        <v>1</v>
      </c>
      <c r="BN340">
        <v>3</v>
      </c>
      <c r="BO340" t="s">
        <v>12</v>
      </c>
      <c r="BQ340" t="s">
        <v>1676</v>
      </c>
      <c r="BR340" t="s">
        <v>1705</v>
      </c>
      <c r="BS340" s="4" t="str">
        <f>HYPERLINK("http://exon.niaid.nih.gov/transcriptome/C_felis/S1/links/CDD/cf-contig_684-CDD.txt","DSHCT")</f>
        <v>DSHCT</v>
      </c>
      <c r="BT340" t="str">
        <f>HYPERLINK("http://www.ncbi.nlm.nih.gov/Structure/cdd/cddsrv.cgi?uid=pfam08148&amp;version=v4.0","6E-025")</f>
        <v>6E-025</v>
      </c>
      <c r="BU340" t="s">
        <v>4151</v>
      </c>
      <c r="BV340" s="4" t="s">
        <v>4152</v>
      </c>
      <c r="BW340">
        <f>HYPERLINK("http://exon.niaid.nih.gov/transcriptome/C_felis/S1/links/GO/cf-contig_684-GO.txt",3E-22)</f>
        <v>2.9999999999999999E-22</v>
      </c>
      <c r="BX340" t="str">
        <f>HYPERLINK("http://amigo.geneontology.org/cgi-bin/amigo/term_details?term=GO:0004004","GO:0004004")</f>
        <v>GO:0004004</v>
      </c>
      <c r="BY340" t="s">
        <v>1997</v>
      </c>
      <c r="BZ340" t="s">
        <v>1998</v>
      </c>
      <c r="CA340" t="s">
        <v>42</v>
      </c>
      <c r="CB340" t="s">
        <v>42</v>
      </c>
      <c r="CD340" s="5">
        <v>2.9999999999999999E-22</v>
      </c>
      <c r="CE340" t="str">
        <f>HYPERLINK("http://amigo.geneontology.org/cgi-bin/amigo/term_details?term=GO:0071013","GO:0071013")</f>
        <v>GO:0071013</v>
      </c>
      <c r="CF340" t="s">
        <v>4153</v>
      </c>
      <c r="CG340" t="s">
        <v>4154</v>
      </c>
      <c r="CH340" t="s">
        <v>4155</v>
      </c>
      <c r="CI340" t="s">
        <v>42</v>
      </c>
      <c r="CK340" s="5">
        <v>2.9999999999999999E-22</v>
      </c>
      <c r="CL340" t="str">
        <f>HYPERLINK("http://amigo.geneontology.org/cgi-bin/amigo/term_details?term=GO:0000398","GO:0000398")</f>
        <v>GO:0000398</v>
      </c>
      <c r="CM340" t="s">
        <v>4156</v>
      </c>
      <c r="CN340" t="s">
        <v>4157</v>
      </c>
      <c r="CO340" t="s">
        <v>4158</v>
      </c>
      <c r="CP340" t="s">
        <v>42</v>
      </c>
      <c r="CR340" s="5">
        <v>2.9999999999999999E-22</v>
      </c>
      <c r="CS340" s="4" t="str">
        <f>HYPERLINK("http://exon.niaid.nih.gov/transcriptome/C_felis/S1/links/KOG/cf-contig_684-KOG.txt","Nuclear exosomal RNA helicase MTR4, DEAD-box superfamily")</f>
        <v>Nuclear exosomal RNA helicase MTR4, DEAD-box superfamily</v>
      </c>
      <c r="CT340" t="str">
        <f>HYPERLINK("http://www.ncbi.nlm.nih.gov/COG/grace/shokog.cgi?KOG0948","2E-028")</f>
        <v>2E-028</v>
      </c>
      <c r="CU340" t="s">
        <v>1817</v>
      </c>
      <c r="CV340" s="4" t="str">
        <f>HYPERLINK("http://exon.niaid.nih.gov/transcriptome/C_felis/S1/links/PFAM/cf-contig_684-PFAM.txt","DSHCT")</f>
        <v>DSHCT</v>
      </c>
      <c r="CW340" t="str">
        <f>HYPERLINK("http://pfam.sanger.ac.uk/family?acc=PF08148","1E-025")</f>
        <v>1E-025</v>
      </c>
      <c r="CX340" s="4" t="str">
        <f>HYPERLINK("http://exon.niaid.nih.gov/transcriptome/C_felis/S1/links/SMART/cf-contig_684-SMART.txt","POLBc")</f>
        <v>POLBc</v>
      </c>
      <c r="CY340" t="str">
        <f>HYPERLINK("http://smart.embl-heidelberg.de/smart/do_annotation.pl?DOMAIN=POLBc&amp;BLAST=DUMMY","0.036")</f>
        <v>0.036</v>
      </c>
      <c r="CZ340" s="4" t="s">
        <v>42</v>
      </c>
      <c r="DA340" t="s">
        <v>42</v>
      </c>
      <c r="DB340" t="s">
        <v>42</v>
      </c>
      <c r="DC340" t="s">
        <v>42</v>
      </c>
      <c r="DD340" t="s">
        <v>42</v>
      </c>
      <c r="DE340" t="s">
        <v>42</v>
      </c>
      <c r="DF340" t="s">
        <v>42</v>
      </c>
      <c r="DG340" t="s">
        <v>42</v>
      </c>
      <c r="DH340" s="4" t="s">
        <v>42</v>
      </c>
      <c r="DI340" t="s">
        <v>42</v>
      </c>
      <c r="DJ340" s="4" t="s">
        <v>42</v>
      </c>
      <c r="DK340" t="s">
        <v>42</v>
      </c>
      <c r="DL340" s="4">
        <v>557</v>
      </c>
      <c r="DM340">
        <v>1</v>
      </c>
      <c r="DN340" s="4">
        <v>572</v>
      </c>
      <c r="DO340">
        <v>1</v>
      </c>
      <c r="DP340" s="4">
        <v>584</v>
      </c>
      <c r="DQ340">
        <v>1</v>
      </c>
      <c r="DR340" s="4">
        <v>605</v>
      </c>
      <c r="DS340">
        <v>1</v>
      </c>
      <c r="DT340" s="4">
        <v>619</v>
      </c>
      <c r="DU340">
        <v>1</v>
      </c>
      <c r="DV340" s="4">
        <v>633</v>
      </c>
      <c r="DW340">
        <v>1</v>
      </c>
      <c r="DX340" s="4">
        <v>642</v>
      </c>
      <c r="DY340">
        <v>1</v>
      </c>
      <c r="DZ340" s="4">
        <v>652</v>
      </c>
      <c r="EA340">
        <v>1</v>
      </c>
      <c r="EB340" s="4">
        <v>657</v>
      </c>
      <c r="EC340">
        <v>1</v>
      </c>
      <c r="ED340" s="4">
        <v>661</v>
      </c>
      <c r="EE340">
        <v>1</v>
      </c>
      <c r="EF340" s="4">
        <v>667</v>
      </c>
      <c r="EG340">
        <v>1</v>
      </c>
      <c r="EH340" s="4">
        <v>675</v>
      </c>
      <c r="EI340">
        <v>1</v>
      </c>
      <c r="EJ340" s="4">
        <v>684</v>
      </c>
      <c r="EK340">
        <v>1</v>
      </c>
    </row>
    <row r="341" spans="1:141" x14ac:dyDescent="0.2">
      <c r="A341" t="str">
        <f>HYPERLINK("http://exon.niaid.nih.gov/transcriptome/C_felis/S1/links/cf/cf-contig_509.txt","cf-contig_509")</f>
        <v>cf-contig_509</v>
      </c>
      <c r="B341">
        <v>1</v>
      </c>
      <c r="C341" s="10" t="s">
        <v>4789</v>
      </c>
      <c r="D341">
        <v>1</v>
      </c>
      <c r="E341" t="str">
        <f>HYPERLINK("http://exon.niaid.nih.gov/transcriptome/C_felis/S1/links/cf/cf-5-36-asb-509.txt","Contig-509")</f>
        <v>Contig-509</v>
      </c>
      <c r="F341" t="str">
        <f>HYPERLINK("http://exon.niaid.nih.gov/transcriptome/C_felis/S1/links/cf/cf-5-36-509-CLU.txt","Contig509")</f>
        <v>Contig509</v>
      </c>
      <c r="G341" t="str">
        <f>HYPERLINK("http://exon.niaid.nih.gov/transcriptome/C_felis/S1/links/cf/cf-5-36-509-qual.txt","62.1")</f>
        <v>62.1</v>
      </c>
      <c r="H341">
        <v>0.5</v>
      </c>
      <c r="I341">
        <v>60.9</v>
      </c>
      <c r="J341">
        <v>403</v>
      </c>
      <c r="K341" t="s">
        <v>12</v>
      </c>
      <c r="L341">
        <v>1</v>
      </c>
      <c r="M341" t="s">
        <v>522</v>
      </c>
      <c r="N341">
        <v>403</v>
      </c>
      <c r="O341">
        <v>422</v>
      </c>
      <c r="P341">
        <v>324</v>
      </c>
      <c r="Q341" t="s">
        <v>1328</v>
      </c>
      <c r="R341">
        <v>1</v>
      </c>
      <c r="S341" s="7" t="s">
        <v>4585</v>
      </c>
      <c r="U341">
        <v>1</v>
      </c>
      <c r="V341" s="4">
        <v>416</v>
      </c>
      <c r="W341">
        <v>1</v>
      </c>
      <c r="X341" s="4">
        <v>425</v>
      </c>
      <c r="Y341">
        <v>1</v>
      </c>
      <c r="Z341" s="4">
        <v>430</v>
      </c>
      <c r="AA341">
        <v>1</v>
      </c>
      <c r="AB341" s="4" t="str">
        <f>HYPERLINK("http://exon.niaid.nih.gov/transcriptome/C_felis/S1/links/XC-ASB/cf-contig_509-XC-ASB.txt","XC-contig_127")</f>
        <v>XC-contig_127</v>
      </c>
      <c r="AC341">
        <v>8.6999999999999994E-2</v>
      </c>
      <c r="AD341" s="10" t="s">
        <v>4789</v>
      </c>
      <c r="AE341" t="s">
        <v>4709</v>
      </c>
      <c r="AF341" t="str">
        <f>HYPERLINK("http://exon.niaid.nih.gov/transcriptome/C_felis/S1/links/NR/cf-contig_509-NR.txt","NR")</f>
        <v>NR</v>
      </c>
      <c r="AG341" s="5">
        <v>1.0000000000000001E-17</v>
      </c>
      <c r="AH341">
        <v>8.1999999999999993</v>
      </c>
      <c r="AI341" s="4" t="str">
        <f>HYPERLINK("http://exon.niaid.nih.gov/transcriptome/C_felis/S1/links/NR/cf-contig_509-NR.txt","RNA polymerase-associated protein CTR9 homolog")</f>
        <v>RNA polymerase-associated protein CTR9 homolog</v>
      </c>
      <c r="AJ341" t="str">
        <f>HYPERLINK("http://www.ncbi.nlm.nih.gov/sutils/blink.cgi?pid=340710827","1E-017")</f>
        <v>1E-017</v>
      </c>
      <c r="AK341" t="str">
        <f>HYPERLINK("http://www.ncbi.nlm.nih.gov/protein/340710827","gi|340710827")</f>
        <v>gi|340710827</v>
      </c>
      <c r="AL341">
        <v>93.2</v>
      </c>
      <c r="AM341">
        <v>196</v>
      </c>
      <c r="AN341">
        <v>1190</v>
      </c>
      <c r="AO341">
        <v>66</v>
      </c>
      <c r="AP341">
        <v>17</v>
      </c>
      <c r="AQ341">
        <v>33</v>
      </c>
      <c r="AR341">
        <v>11</v>
      </c>
      <c r="AS341">
        <v>993</v>
      </c>
      <c r="AT341">
        <v>15</v>
      </c>
      <c r="AU341">
        <v>4</v>
      </c>
      <c r="AV341">
        <v>3</v>
      </c>
      <c r="AW341" t="s">
        <v>12</v>
      </c>
      <c r="AY341" t="s">
        <v>1676</v>
      </c>
      <c r="AZ341" t="s">
        <v>2212</v>
      </c>
      <c r="BA341" s="4" t="str">
        <f>HYPERLINK("http://exon.niaid.nih.gov/transcriptome/C_felis/S1/links/SWISSP/cf-contig_509-SWISSP.txt","Serine/arginine-rich splicing factor 4")</f>
        <v>Serine/arginine-rich splicing factor 4</v>
      </c>
      <c r="BB341" t="str">
        <f>HYPERLINK("http://www.uniprot.org/uniprot/Q08170","5E-016")</f>
        <v>5E-016</v>
      </c>
      <c r="BC341" t="s">
        <v>3533</v>
      </c>
      <c r="BD341">
        <v>83.2</v>
      </c>
      <c r="BE341">
        <v>340</v>
      </c>
      <c r="BF341">
        <v>494</v>
      </c>
      <c r="BG341">
        <v>55</v>
      </c>
      <c r="BH341">
        <v>69</v>
      </c>
      <c r="BI341">
        <v>41</v>
      </c>
      <c r="BJ341">
        <v>0</v>
      </c>
      <c r="BK341">
        <v>154</v>
      </c>
      <c r="BL341">
        <v>9</v>
      </c>
      <c r="BM341">
        <v>17</v>
      </c>
      <c r="BN341">
        <v>3</v>
      </c>
      <c r="BO341" t="s">
        <v>12</v>
      </c>
      <c r="BQ341" t="s">
        <v>1676</v>
      </c>
      <c r="BR341" t="s">
        <v>1690</v>
      </c>
      <c r="BS341" s="4" t="str">
        <f>HYPERLINK("http://exon.niaid.nih.gov/transcriptome/C_felis/S1/links/CDD/cf-contig_509-CDD.txt","PHA03307")</f>
        <v>PHA03307</v>
      </c>
      <c r="BT341" t="str">
        <f>HYPERLINK("http://www.ncbi.nlm.nih.gov/Structure/cdd/cddsrv.cgi?uid=PHA03307&amp;version=v4.0","7E-008")</f>
        <v>7E-008</v>
      </c>
      <c r="BU341" t="s">
        <v>3534</v>
      </c>
      <c r="BV341" s="4" t="s">
        <v>3535</v>
      </c>
      <c r="BW341">
        <f>HYPERLINK("http://exon.niaid.nih.gov/transcriptome/C_felis/S1/links/GO/cf-contig_509-GO.txt",0.0000000000000002)</f>
        <v>2E-16</v>
      </c>
      <c r="BX341" t="str">
        <f>HYPERLINK("http://amigo.geneontology.org/cgi-bin/amigo/term_details?term=GO:0000166","GO:0000166")</f>
        <v>GO:0000166</v>
      </c>
      <c r="BY341" t="s">
        <v>2415</v>
      </c>
      <c r="BZ341" t="s">
        <v>2416</v>
      </c>
      <c r="CA341" t="s">
        <v>42</v>
      </c>
      <c r="CB341" t="s">
        <v>42</v>
      </c>
      <c r="CD341" s="5">
        <v>3.9999999999999999E-16</v>
      </c>
      <c r="CE341" t="str">
        <f>HYPERLINK("http://amigo.geneontology.org/cgi-bin/amigo/term_details?term=GO:0005634","GO:0005634")</f>
        <v>GO:0005634</v>
      </c>
      <c r="CF341" t="s">
        <v>2064</v>
      </c>
      <c r="CG341" t="s">
        <v>2065</v>
      </c>
      <c r="CH341" t="s">
        <v>2066</v>
      </c>
      <c r="CI341" t="s">
        <v>42</v>
      </c>
      <c r="CK341" s="5">
        <v>3.9999999999999999E-16</v>
      </c>
      <c r="CL341" t="str">
        <f>HYPERLINK("http://amigo.geneontology.org/cgi-bin/amigo/term_details?term=GO:0000375","GO:0000375")</f>
        <v>GO:0000375</v>
      </c>
      <c r="CM341" t="s">
        <v>3536</v>
      </c>
      <c r="CN341" t="s">
        <v>3537</v>
      </c>
      <c r="CO341" t="s">
        <v>3538</v>
      </c>
      <c r="CP341" t="s">
        <v>42</v>
      </c>
      <c r="CR341" s="5">
        <v>3.9999999999999999E-16</v>
      </c>
      <c r="CS341" s="4" t="str">
        <f>HYPERLINK("http://exon.niaid.nih.gov/transcriptome/C_felis/S1/links/KOG/cf-contig_509-KOG.txt","Predicted splicing factor, SR protein superfamily")</f>
        <v>Predicted splicing factor, SR protein superfamily</v>
      </c>
      <c r="CT341" t="str">
        <f>HYPERLINK("http://www.ncbi.nlm.nih.gov/COG/grace/shokog.cgi?KOG4207","2E-013")</f>
        <v>2E-013</v>
      </c>
      <c r="CU341" t="s">
        <v>1817</v>
      </c>
      <c r="CV341" s="4" t="str">
        <f>HYPERLINK("http://exon.niaid.nih.gov/transcriptome/C_felis/S1/links/PFAM/cf-contig_509-PFAM.txt","DUF1777")</f>
        <v>DUF1777</v>
      </c>
      <c r="CW341" t="str">
        <f>HYPERLINK("http://pfam.sanger.ac.uk/family?acc=PF08648","2E-008")</f>
        <v>2E-008</v>
      </c>
      <c r="CX341" s="4" t="str">
        <f>HYPERLINK("http://exon.niaid.nih.gov/transcriptome/C_felis/S1/links/SMART/cf-contig_509-SMART.txt","LytTR")</f>
        <v>LytTR</v>
      </c>
      <c r="CY341" t="str">
        <f>HYPERLINK("http://smart.embl-heidelberg.de/smart/do_annotation.pl?DOMAIN=LytTR&amp;BLAST=DUMMY","0.009")</f>
        <v>0.009</v>
      </c>
      <c r="CZ341" s="4" t="s">
        <v>42</v>
      </c>
      <c r="DA341" t="s">
        <v>42</v>
      </c>
      <c r="DB341" t="s">
        <v>42</v>
      </c>
      <c r="DC341" t="s">
        <v>42</v>
      </c>
      <c r="DD341" t="s">
        <v>42</v>
      </c>
      <c r="DE341" t="s">
        <v>42</v>
      </c>
      <c r="DF341" t="s">
        <v>42</v>
      </c>
      <c r="DG341" t="s">
        <v>42</v>
      </c>
      <c r="DH341" s="4" t="s">
        <v>42</v>
      </c>
      <c r="DI341" t="s">
        <v>42</v>
      </c>
      <c r="DJ341" s="4" t="s">
        <v>42</v>
      </c>
      <c r="DK341" t="s">
        <v>42</v>
      </c>
      <c r="DL341" s="4">
        <v>416</v>
      </c>
      <c r="DM341">
        <v>1</v>
      </c>
      <c r="DN341" s="4">
        <v>425</v>
      </c>
      <c r="DO341">
        <v>1</v>
      </c>
      <c r="DP341" s="4">
        <v>430</v>
      </c>
      <c r="DQ341">
        <v>1</v>
      </c>
      <c r="DR341" s="4">
        <v>445</v>
      </c>
      <c r="DS341">
        <v>1</v>
      </c>
      <c r="DT341" s="4">
        <v>455</v>
      </c>
      <c r="DU341">
        <v>1</v>
      </c>
      <c r="DV341" s="4">
        <v>469</v>
      </c>
      <c r="DW341">
        <v>1</v>
      </c>
      <c r="DX341" s="4">
        <v>475</v>
      </c>
      <c r="DY341">
        <v>1</v>
      </c>
      <c r="DZ341" s="4">
        <v>483</v>
      </c>
      <c r="EA341">
        <v>1</v>
      </c>
      <c r="EB341" s="4">
        <v>488</v>
      </c>
      <c r="EC341">
        <v>1</v>
      </c>
      <c r="ED341" s="4">
        <v>492</v>
      </c>
      <c r="EE341">
        <v>1</v>
      </c>
      <c r="EF341" s="4">
        <v>497</v>
      </c>
      <c r="EG341">
        <v>1</v>
      </c>
      <c r="EH341" s="4">
        <v>503</v>
      </c>
      <c r="EI341">
        <v>1</v>
      </c>
      <c r="EJ341" s="4">
        <v>509</v>
      </c>
      <c r="EK341">
        <v>1</v>
      </c>
    </row>
    <row r="342" spans="1:141" x14ac:dyDescent="0.2">
      <c r="A342" t="str">
        <f>HYPERLINK("http://exon.niaid.nih.gov/transcriptome/C_felis/S1/links/cf/cf-contig_505.txt","cf-contig_505")</f>
        <v>cf-contig_505</v>
      </c>
      <c r="B342">
        <v>1</v>
      </c>
      <c r="C342" s="10" t="s">
        <v>4786</v>
      </c>
      <c r="D342">
        <v>1</v>
      </c>
      <c r="E342" t="str">
        <f>HYPERLINK("http://exon.niaid.nih.gov/transcriptome/C_felis/S1/links/cf/cf-5-36-asb-505.txt","Contig-505")</f>
        <v>Contig-505</v>
      </c>
      <c r="F342" t="str">
        <f>HYPERLINK("http://exon.niaid.nih.gov/transcriptome/C_felis/S1/links/cf/cf-5-36-505-CLU.txt","Contig505")</f>
        <v>Contig505</v>
      </c>
      <c r="G342" t="str">
        <f>HYPERLINK("http://exon.niaid.nih.gov/transcriptome/C_felis/S1/links/cf/cf-5-36-505-qual.txt","56.8")</f>
        <v>56.8</v>
      </c>
      <c r="H342" t="s">
        <v>11</v>
      </c>
      <c r="I342">
        <v>69.2</v>
      </c>
      <c r="J342">
        <v>844</v>
      </c>
      <c r="K342" t="s">
        <v>12</v>
      </c>
      <c r="L342">
        <v>1</v>
      </c>
      <c r="M342" t="s">
        <v>518</v>
      </c>
      <c r="N342">
        <v>844</v>
      </c>
      <c r="O342">
        <v>863</v>
      </c>
      <c r="P342">
        <v>654</v>
      </c>
      <c r="Q342" t="s">
        <v>1324</v>
      </c>
      <c r="R342">
        <v>2</v>
      </c>
      <c r="S342" s="7" t="str">
        <f>HYPERLINK("http://exon.niaid.nih.gov/transcriptome/C_felis/S1/links/Sigp/CF-CONTIG_505-SigP.txt","Cyt")</f>
        <v>Cyt</v>
      </c>
      <c r="U342">
        <v>1</v>
      </c>
      <c r="V342" s="4">
        <v>413</v>
      </c>
      <c r="W342">
        <v>1</v>
      </c>
      <c r="X342" s="4">
        <v>422</v>
      </c>
      <c r="Y342">
        <v>1</v>
      </c>
      <c r="Z342" s="4">
        <v>427</v>
      </c>
      <c r="AA342">
        <v>1</v>
      </c>
      <c r="AB342" s="4" t="str">
        <f>HYPERLINK("http://exon.niaid.nih.gov/transcriptome/C_felis/S1/links/XC-ASB/cf-contig_505-XC-ASB.txt","XC-contig_236")</f>
        <v>XC-contig_236</v>
      </c>
      <c r="AC342">
        <v>5.6000000000000001E-2</v>
      </c>
      <c r="AD342" s="10" t="s">
        <v>4786</v>
      </c>
      <c r="AE342" t="s">
        <v>4709</v>
      </c>
      <c r="AF342" t="str">
        <f>HYPERLINK("http://exon.niaid.nih.gov/transcriptome/C_felis/S1/links/KOG/cf-contig_505-KOG.txt","KOG")</f>
        <v>KOG</v>
      </c>
      <c r="AG342" s="5">
        <v>9.9999999999999998E-20</v>
      </c>
      <c r="AH342">
        <v>70.5</v>
      </c>
      <c r="AI342" s="4" t="str">
        <f>HYPERLINK("http://exon.niaid.nih.gov/transcriptome/C_felis/S1/links/NR/cf-contig_505-NR.txt","similar to CG15561 CG15561-PA")</f>
        <v>similar to CG15561 CG15561-PA</v>
      </c>
      <c r="AJ342" t="str">
        <f>HYPERLINK("http://www.ncbi.nlm.nih.gov/sutils/blink.cgi?pid=91086943","1E-043")</f>
        <v>1E-043</v>
      </c>
      <c r="AK342" t="str">
        <f>HYPERLINK("http://www.ncbi.nlm.nih.gov/protein/91086943","gi|91086943")</f>
        <v>gi|91086943</v>
      </c>
      <c r="AL342">
        <v>181</v>
      </c>
      <c r="AM342">
        <v>200</v>
      </c>
      <c r="AN342">
        <v>389</v>
      </c>
      <c r="AO342">
        <v>49</v>
      </c>
      <c r="AP342">
        <v>52</v>
      </c>
      <c r="AQ342">
        <v>106</v>
      </c>
      <c r="AR342">
        <v>10</v>
      </c>
      <c r="AS342">
        <v>1</v>
      </c>
      <c r="AT342">
        <v>212</v>
      </c>
      <c r="AU342">
        <v>1</v>
      </c>
      <c r="AV342">
        <v>2</v>
      </c>
      <c r="AW342" t="s">
        <v>12</v>
      </c>
      <c r="AY342" t="s">
        <v>1676</v>
      </c>
      <c r="AZ342" t="s">
        <v>1878</v>
      </c>
      <c r="BA342" s="4" t="str">
        <f>HYPERLINK("http://exon.niaid.nih.gov/transcriptome/C_felis/S1/links/SWISSP/cf-contig_505-SWISSP.txt","G patch domain-containing protein 4")</f>
        <v>G patch domain-containing protein 4</v>
      </c>
      <c r="BB342" t="str">
        <f>HYPERLINK("http://www.uniprot.org/uniprot/Q566R3","2E-037")</f>
        <v>2E-037</v>
      </c>
      <c r="BC342" t="s">
        <v>3513</v>
      </c>
      <c r="BD342">
        <v>156</v>
      </c>
      <c r="BE342">
        <v>284</v>
      </c>
      <c r="BF342">
        <v>407</v>
      </c>
      <c r="BG342">
        <v>43</v>
      </c>
      <c r="BH342">
        <v>70</v>
      </c>
      <c r="BI342">
        <v>117</v>
      </c>
      <c r="BJ342">
        <v>9</v>
      </c>
      <c r="BK342">
        <v>12</v>
      </c>
      <c r="BL342">
        <v>212</v>
      </c>
      <c r="BM342">
        <v>2</v>
      </c>
      <c r="BN342">
        <v>2</v>
      </c>
      <c r="BO342" t="s">
        <v>12</v>
      </c>
      <c r="BQ342" t="s">
        <v>1676</v>
      </c>
      <c r="BR342" t="s">
        <v>1684</v>
      </c>
      <c r="BS342" s="4" t="str">
        <f>HYPERLINK("http://exon.niaid.nih.gov/transcriptome/C_felis/S1/links/CDD/cf-contig_505-CDD.txt","G-patch")</f>
        <v>G-patch</v>
      </c>
      <c r="BT342" t="str">
        <f>HYPERLINK("http://www.ncbi.nlm.nih.gov/Structure/cdd/cddsrv.cgi?uid=pfam01585&amp;version=v4.0","3E-009")</f>
        <v>3E-009</v>
      </c>
      <c r="BU342" t="s">
        <v>3514</v>
      </c>
      <c r="BV342" s="4" t="s">
        <v>3515</v>
      </c>
      <c r="BW342">
        <f>HYPERLINK("http://exon.niaid.nih.gov/transcriptome/C_felis/S1/links/GO/cf-contig_505-GO.txt",1E-43)</f>
        <v>1.0000000000000001E-43</v>
      </c>
      <c r="BX342" t="str">
        <f>HYPERLINK("http://amigo.geneontology.org/cgi-bin/amigo/term_details?term=GO:0003676","GO:0003676")</f>
        <v>GO:0003676</v>
      </c>
      <c r="BY342" t="s">
        <v>2009</v>
      </c>
      <c r="BZ342" t="s">
        <v>2010</v>
      </c>
      <c r="CA342" t="s">
        <v>42</v>
      </c>
      <c r="CB342" t="s">
        <v>42</v>
      </c>
      <c r="CD342" s="5">
        <v>1E-35</v>
      </c>
      <c r="CE342" t="str">
        <f>HYPERLINK("http://amigo.geneontology.org/cgi-bin/amigo/term_details?term=GO:0005622","GO:0005622")</f>
        <v>GO:0005622</v>
      </c>
      <c r="CF342" t="s">
        <v>2085</v>
      </c>
      <c r="CG342" t="s">
        <v>2086</v>
      </c>
      <c r="CH342" t="s">
        <v>2087</v>
      </c>
      <c r="CI342" t="s">
        <v>42</v>
      </c>
      <c r="CK342" s="5">
        <v>1E-35</v>
      </c>
      <c r="CL342" t="str">
        <f>HYPERLINK("http://amigo.geneontology.org/cgi-bin/amigo/term_details?term=GO:0008150","GO:0008150")</f>
        <v>GO:0008150</v>
      </c>
      <c r="CM342" t="s">
        <v>1857</v>
      </c>
      <c r="CN342" t="s">
        <v>1858</v>
      </c>
      <c r="CO342" t="s">
        <v>1859</v>
      </c>
      <c r="CP342" t="s">
        <v>42</v>
      </c>
      <c r="CR342" s="5">
        <v>1E-35</v>
      </c>
      <c r="CS342" s="4" t="str">
        <f>HYPERLINK("http://exon.niaid.nih.gov/transcriptome/C_felis/S1/links/KOG/cf-contig_505-KOG.txt","Telomerase elongation inhibitor/RNA maturation protein PINX1")</f>
        <v>Telomerase elongation inhibitor/RNA maturation protein PINX1</v>
      </c>
      <c r="CT342" t="str">
        <f>HYPERLINK("http://www.ncbi.nlm.nih.gov/COG/grace/shokog.cgi?KOG2809","1E-019")</f>
        <v>1E-019</v>
      </c>
      <c r="CU342" t="s">
        <v>3516</v>
      </c>
      <c r="CV342" s="4" t="str">
        <f>HYPERLINK("http://exon.niaid.nih.gov/transcriptome/C_felis/S1/links/PFAM/cf-contig_505-PFAM.txt","G-patch")</f>
        <v>G-patch</v>
      </c>
      <c r="CW342" t="str">
        <f>HYPERLINK("http://pfam.sanger.ac.uk/family?acc=PF01585","5E-010")</f>
        <v>5E-010</v>
      </c>
      <c r="CX342" s="4" t="str">
        <f>HYPERLINK("http://exon.niaid.nih.gov/transcriptome/C_felis/S1/links/SMART/cf-contig_505-SMART.txt","G_patch")</f>
        <v>G_patch</v>
      </c>
      <c r="CY342" t="str">
        <f>HYPERLINK("http://smart.embl-heidelberg.de/smart/do_annotation.pl?DOMAIN=G_patch&amp;BLAST=DUMMY","8E-011")</f>
        <v>8E-011</v>
      </c>
      <c r="CZ342" s="4" t="s">
        <v>42</v>
      </c>
      <c r="DA342" t="s">
        <v>42</v>
      </c>
      <c r="DB342" t="s">
        <v>42</v>
      </c>
      <c r="DC342" t="s">
        <v>42</v>
      </c>
      <c r="DD342" t="s">
        <v>42</v>
      </c>
      <c r="DE342" t="s">
        <v>42</v>
      </c>
      <c r="DF342" t="s">
        <v>42</v>
      </c>
      <c r="DG342" t="s">
        <v>42</v>
      </c>
      <c r="DH342" s="4" t="s">
        <v>42</v>
      </c>
      <c r="DI342" t="s">
        <v>42</v>
      </c>
      <c r="DJ342" s="4" t="s">
        <v>42</v>
      </c>
      <c r="DK342" t="s">
        <v>42</v>
      </c>
      <c r="DL342" s="4">
        <v>413</v>
      </c>
      <c r="DM342">
        <v>1</v>
      </c>
      <c r="DN342" s="4">
        <v>422</v>
      </c>
      <c r="DO342">
        <v>1</v>
      </c>
      <c r="DP342" s="4">
        <v>427</v>
      </c>
      <c r="DQ342">
        <v>1</v>
      </c>
      <c r="DR342" s="4">
        <v>442</v>
      </c>
      <c r="DS342">
        <v>1</v>
      </c>
      <c r="DT342" s="4">
        <v>452</v>
      </c>
      <c r="DU342">
        <v>1</v>
      </c>
      <c r="DV342" s="4">
        <v>466</v>
      </c>
      <c r="DW342">
        <v>1</v>
      </c>
      <c r="DX342" s="4">
        <v>472</v>
      </c>
      <c r="DY342">
        <v>1</v>
      </c>
      <c r="DZ342" s="4">
        <v>479</v>
      </c>
      <c r="EA342">
        <v>1</v>
      </c>
      <c r="EB342" s="4">
        <v>484</v>
      </c>
      <c r="EC342">
        <v>1</v>
      </c>
      <c r="ED342" s="4">
        <v>488</v>
      </c>
      <c r="EE342">
        <v>1</v>
      </c>
      <c r="EF342" s="4">
        <v>493</v>
      </c>
      <c r="EG342">
        <v>1</v>
      </c>
      <c r="EH342" s="4">
        <v>499</v>
      </c>
      <c r="EI342">
        <v>1</v>
      </c>
      <c r="EJ342" s="4">
        <v>505</v>
      </c>
      <c r="EK342">
        <v>1</v>
      </c>
    </row>
    <row r="343" spans="1:141" x14ac:dyDescent="0.2">
      <c r="A343" t="str">
        <f>HYPERLINK("http://exon.niaid.nih.gov/transcriptome/C_felis/S1/links/cf/cf-contig_767.txt","cf-contig_767")</f>
        <v>cf-contig_767</v>
      </c>
      <c r="B343">
        <v>1</v>
      </c>
      <c r="C343" s="10" t="s">
        <v>4872</v>
      </c>
      <c r="D343">
        <v>1</v>
      </c>
      <c r="E343" t="str">
        <f>HYPERLINK("http://exon.niaid.nih.gov/transcriptome/C_felis/S1/links/cf/cf-5-36-asb-767.txt","Contig-767")</f>
        <v>Contig-767</v>
      </c>
      <c r="F343" t="str">
        <f>HYPERLINK("http://exon.niaid.nih.gov/transcriptome/C_felis/S1/links/cf/cf-5-36-767-CLU.txt","Contig767")</f>
        <v>Contig767</v>
      </c>
      <c r="G343" t="str">
        <f>HYPERLINK("http://exon.niaid.nih.gov/transcriptome/C_felis/S1/links/cf/cf-5-36-767-qual.txt","64.6")</f>
        <v>64.6</v>
      </c>
      <c r="H343" t="s">
        <v>11</v>
      </c>
      <c r="I343">
        <v>68</v>
      </c>
      <c r="J343">
        <v>496</v>
      </c>
      <c r="K343" t="s">
        <v>12</v>
      </c>
      <c r="L343">
        <v>1</v>
      </c>
      <c r="M343" t="s">
        <v>780</v>
      </c>
      <c r="N343">
        <v>496</v>
      </c>
      <c r="O343">
        <v>515</v>
      </c>
      <c r="P343">
        <v>249</v>
      </c>
      <c r="Q343" t="s">
        <v>1586</v>
      </c>
      <c r="R343">
        <v>1</v>
      </c>
      <c r="S343" s="7" t="str">
        <f>HYPERLINK("http://exon.niaid.nih.gov/transcriptome/C_felis/S1/links/Sigp/CF-CONTIG_767-SigP.txt","Cyt")</f>
        <v>Cyt</v>
      </c>
      <c r="U343">
        <v>1</v>
      </c>
      <c r="V343" s="4">
        <v>615</v>
      </c>
      <c r="W343">
        <v>1</v>
      </c>
      <c r="X343" s="4">
        <v>636</v>
      </c>
      <c r="Y343">
        <v>1</v>
      </c>
      <c r="Z343" s="4">
        <v>652</v>
      </c>
      <c r="AA343">
        <v>1</v>
      </c>
      <c r="AB343" s="4" t="str">
        <f>HYPERLINK("http://exon.niaid.nih.gov/transcriptome/C_felis/S1/links/XC-ASB/cf-contig_767-XC-ASB.txt","XC-contig_185")</f>
        <v>XC-contig_185</v>
      </c>
      <c r="AC343">
        <v>0.21</v>
      </c>
      <c r="AD343" s="10" t="s">
        <v>4872</v>
      </c>
      <c r="AE343" t="s">
        <v>4709</v>
      </c>
      <c r="AF343" t="str">
        <f>HYPERLINK("http://exon.niaid.nih.gov/transcriptome/C_felis/S1/links/NR/cf-contig_767-NR.txt","NR")</f>
        <v>NR</v>
      </c>
      <c r="AG343" s="5">
        <v>1.9999999999999999E-38</v>
      </c>
      <c r="AH343">
        <v>98.7</v>
      </c>
      <c r="AI343" s="4" t="str">
        <f>HYPERLINK("http://exon.niaid.nih.gov/transcriptome/C_felis/S1/links/NR/cf-contig_767-NR.txt","transcription elongation factor 1 homolog isoform 1")</f>
        <v>transcription elongation factor 1 homolog isoform 1</v>
      </c>
      <c r="AJ343" t="str">
        <f>HYPERLINK("http://www.ncbi.nlm.nih.gov/sutils/blink.cgi?pid=340723162","2E-038")</f>
        <v>2E-038</v>
      </c>
      <c r="AK343" t="str">
        <f>HYPERLINK("http://www.ncbi.nlm.nih.gov/protein/340723162","gi|340723162")</f>
        <v>gi|340723162</v>
      </c>
      <c r="AL343">
        <v>162</v>
      </c>
      <c r="AM343">
        <v>80</v>
      </c>
      <c r="AN343">
        <v>82</v>
      </c>
      <c r="AO343">
        <v>88</v>
      </c>
      <c r="AP343">
        <v>99</v>
      </c>
      <c r="AQ343">
        <v>9</v>
      </c>
      <c r="AR343">
        <v>0</v>
      </c>
      <c r="AS343">
        <v>2</v>
      </c>
      <c r="AT343">
        <v>7</v>
      </c>
      <c r="AU343">
        <v>1</v>
      </c>
      <c r="AV343">
        <v>1</v>
      </c>
      <c r="AW343" t="s">
        <v>12</v>
      </c>
      <c r="AY343" t="s">
        <v>1676</v>
      </c>
      <c r="AZ343" t="s">
        <v>2212</v>
      </c>
      <c r="BA343" s="4" t="str">
        <f>HYPERLINK("http://exon.niaid.nih.gov/transcriptome/C_felis/S1/links/SWISSP/cf-contig_767-SWISSP.txt","Transcription elongation factor 1 homolog")</f>
        <v>Transcription elongation factor 1 homolog</v>
      </c>
      <c r="BB343" t="str">
        <f>HYPERLINK("http://www.uniprot.org/uniprot/Q8MQI6","4E-038")</f>
        <v>4E-038</v>
      </c>
      <c r="BC343" t="s">
        <v>4460</v>
      </c>
      <c r="BD343">
        <v>157</v>
      </c>
      <c r="BE343">
        <v>80</v>
      </c>
      <c r="BF343">
        <v>82</v>
      </c>
      <c r="BG343">
        <v>86</v>
      </c>
      <c r="BH343">
        <v>99</v>
      </c>
      <c r="BI343">
        <v>11</v>
      </c>
      <c r="BJ343">
        <v>0</v>
      </c>
      <c r="BK343">
        <v>2</v>
      </c>
      <c r="BL343">
        <v>7</v>
      </c>
      <c r="BM343">
        <v>1</v>
      </c>
      <c r="BN343">
        <v>1</v>
      </c>
      <c r="BO343" t="s">
        <v>12</v>
      </c>
      <c r="BQ343" t="s">
        <v>1676</v>
      </c>
      <c r="BR343" t="s">
        <v>1804</v>
      </c>
      <c r="BS343" s="4" t="str">
        <f>HYPERLINK("http://exon.niaid.nih.gov/transcriptome/C_felis/S1/links/CDD/cf-contig_767-CDD.txt","Elf1")</f>
        <v>Elf1</v>
      </c>
      <c r="BT343" t="str">
        <f>HYPERLINK("http://www.ncbi.nlm.nih.gov/Structure/cdd/cddsrv.cgi?uid=pfam05129&amp;version=v4.0","2E-031")</f>
        <v>2E-031</v>
      </c>
      <c r="BU343" t="s">
        <v>4461</v>
      </c>
      <c r="BV343" s="4" t="s">
        <v>4462</v>
      </c>
      <c r="BW343">
        <f>HYPERLINK("http://exon.niaid.nih.gov/transcriptome/C_felis/S1/links/GO/cf-contig_767-GO.txt",4E-38)</f>
        <v>3.9999999999999998E-38</v>
      </c>
      <c r="BX343" t="str">
        <f>HYPERLINK("http://amigo.geneontology.org/cgi-bin/amigo/term_details?term=GO:0003674","GO:0003674")</f>
        <v>GO:0003674</v>
      </c>
      <c r="BY343" t="s">
        <v>1851</v>
      </c>
      <c r="BZ343" t="s">
        <v>1852</v>
      </c>
      <c r="CA343" t="s">
        <v>1853</v>
      </c>
      <c r="CB343" t="s">
        <v>42</v>
      </c>
      <c r="CD343" s="5">
        <v>3.9999999999999998E-38</v>
      </c>
      <c r="CE343" t="str">
        <f>HYPERLINK("http://amigo.geneontology.org/cgi-bin/amigo/term_details?term=GO:0005575","GO:0005575")</f>
        <v>GO:0005575</v>
      </c>
      <c r="CF343" t="s">
        <v>1838</v>
      </c>
      <c r="CG343" t="s">
        <v>1839</v>
      </c>
      <c r="CH343" t="s">
        <v>1840</v>
      </c>
      <c r="CI343" t="s">
        <v>42</v>
      </c>
      <c r="CK343" s="5">
        <v>3.9999999999999998E-38</v>
      </c>
      <c r="CL343" t="str">
        <f>HYPERLINK("http://amigo.geneontology.org/cgi-bin/amigo/term_details?term=GO:0008150","GO:0008150")</f>
        <v>GO:0008150</v>
      </c>
      <c r="CM343" t="s">
        <v>1857</v>
      </c>
      <c r="CN343" t="s">
        <v>1858</v>
      </c>
      <c r="CO343" t="s">
        <v>1859</v>
      </c>
      <c r="CP343" t="s">
        <v>42</v>
      </c>
      <c r="CR343" s="5">
        <v>3.9999999999999998E-38</v>
      </c>
      <c r="CS343" s="4" t="str">
        <f>HYPERLINK("http://exon.niaid.nih.gov/transcriptome/C_felis/S1/links/KOG/cf-contig_767-KOG.txt","Uncharacterized Zn ribbon-containing protein")</f>
        <v>Uncharacterized Zn ribbon-containing protein</v>
      </c>
      <c r="CT343" t="str">
        <f>HYPERLINK("http://www.ncbi.nlm.nih.gov/COG/grace/shokog.cgi?KOG3214","2E-032")</f>
        <v>2E-032</v>
      </c>
      <c r="CU343" t="s">
        <v>1711</v>
      </c>
      <c r="CV343" s="4" t="str">
        <f>HYPERLINK("http://exon.niaid.nih.gov/transcriptome/C_felis/S1/links/PFAM/cf-contig_767-PFAM.txt","Elf1")</f>
        <v>Elf1</v>
      </c>
      <c r="CW343" t="str">
        <f>HYPERLINK("http://pfam.sanger.ac.uk/family?acc=PF05129","3E-032")</f>
        <v>3E-032</v>
      </c>
      <c r="CX343" s="4" t="str">
        <f>HYPERLINK("http://exon.niaid.nih.gov/transcriptome/C_felis/S1/links/SMART/cf-contig_767-SMART.txt","AgrB")</f>
        <v>AgrB</v>
      </c>
      <c r="CY343" t="str">
        <f>HYPERLINK("http://smart.embl-heidelberg.de/smart/do_annotation.pl?DOMAIN=AgrB&amp;BLAST=DUMMY","0.092")</f>
        <v>0.092</v>
      </c>
      <c r="CZ343" s="4" t="s">
        <v>42</v>
      </c>
      <c r="DA343" t="s">
        <v>42</v>
      </c>
      <c r="DB343" t="s">
        <v>42</v>
      </c>
      <c r="DC343" t="s">
        <v>42</v>
      </c>
      <c r="DD343" t="s">
        <v>42</v>
      </c>
      <c r="DE343" t="s">
        <v>42</v>
      </c>
      <c r="DF343" t="s">
        <v>42</v>
      </c>
      <c r="DG343" t="s">
        <v>42</v>
      </c>
      <c r="DH343" s="4" t="s">
        <v>42</v>
      </c>
      <c r="DI343" t="s">
        <v>42</v>
      </c>
      <c r="DJ343" s="4" t="s">
        <v>42</v>
      </c>
      <c r="DK343" t="s">
        <v>42</v>
      </c>
      <c r="DL343" s="4">
        <v>615</v>
      </c>
      <c r="DM343">
        <v>1</v>
      </c>
      <c r="DN343" s="4">
        <v>636</v>
      </c>
      <c r="DO343">
        <v>1</v>
      </c>
      <c r="DP343" s="4">
        <v>652</v>
      </c>
      <c r="DQ343">
        <v>1</v>
      </c>
      <c r="DR343" s="4">
        <v>674</v>
      </c>
      <c r="DS343">
        <v>1</v>
      </c>
      <c r="DT343" s="4">
        <v>689</v>
      </c>
      <c r="DU343">
        <v>1</v>
      </c>
      <c r="DV343" s="4">
        <v>704</v>
      </c>
      <c r="DW343">
        <v>1</v>
      </c>
      <c r="DX343" s="4">
        <v>718</v>
      </c>
      <c r="DY343">
        <v>1</v>
      </c>
      <c r="DZ343" s="4">
        <v>729</v>
      </c>
      <c r="EA343">
        <v>1</v>
      </c>
      <c r="EB343" s="4">
        <v>735</v>
      </c>
      <c r="EC343">
        <v>1</v>
      </c>
      <c r="ED343" s="4">
        <v>740</v>
      </c>
      <c r="EE343">
        <v>1</v>
      </c>
      <c r="EF343" s="4">
        <v>746</v>
      </c>
      <c r="EG343">
        <v>1</v>
      </c>
      <c r="EH343" s="4">
        <v>758</v>
      </c>
      <c r="EI343">
        <v>1</v>
      </c>
      <c r="EJ343" s="4">
        <v>767</v>
      </c>
      <c r="EK343">
        <v>1</v>
      </c>
    </row>
    <row r="344" spans="1:141" x14ac:dyDescent="0.2">
      <c r="A344" t="str">
        <f>HYPERLINK("http://exon.niaid.nih.gov/transcriptome/C_felis/S1/links/cf/cf-contig_409.txt","cf-contig_409")</f>
        <v>cf-contig_409</v>
      </c>
      <c r="B344">
        <v>1</v>
      </c>
      <c r="C344" s="10" t="s">
        <v>4758</v>
      </c>
      <c r="D344">
        <v>1</v>
      </c>
      <c r="E344" t="str">
        <f>HYPERLINK("http://exon.niaid.nih.gov/transcriptome/C_felis/S1/links/cf/cf-5-36-asb-409.txt","Contig-409")</f>
        <v>Contig-409</v>
      </c>
      <c r="F344" t="str">
        <f>HYPERLINK("http://exon.niaid.nih.gov/transcriptome/C_felis/S1/links/cf/cf-5-36-409-CLU.txt","Contig409")</f>
        <v>Contig409</v>
      </c>
      <c r="G344" t="str">
        <f>HYPERLINK("http://exon.niaid.nih.gov/transcriptome/C_felis/S1/links/cf/cf-5-36-409-qual.txt","63.2")</f>
        <v>63.2</v>
      </c>
      <c r="H344" t="s">
        <v>11</v>
      </c>
      <c r="I344">
        <v>70.400000000000006</v>
      </c>
      <c r="J344">
        <v>723</v>
      </c>
      <c r="K344" t="s">
        <v>12</v>
      </c>
      <c r="L344">
        <v>1</v>
      </c>
      <c r="M344" t="s">
        <v>422</v>
      </c>
      <c r="N344">
        <v>723</v>
      </c>
      <c r="O344">
        <v>742</v>
      </c>
      <c r="P344">
        <v>600</v>
      </c>
      <c r="Q344" t="s">
        <v>1229</v>
      </c>
      <c r="R344">
        <v>3</v>
      </c>
      <c r="S344" s="7" t="str">
        <f>HYPERLINK("http://exon.niaid.nih.gov/transcriptome/C_felis/S1/links/Sigp/CF-CONTIG_409-SigP.txt","Cyt")</f>
        <v>Cyt</v>
      </c>
      <c r="U344">
        <v>1</v>
      </c>
      <c r="V344" s="4">
        <v>335</v>
      </c>
      <c r="W344">
        <v>1</v>
      </c>
      <c r="X344" s="4">
        <v>343</v>
      </c>
      <c r="Y344">
        <v>1</v>
      </c>
      <c r="Z344" s="4">
        <v>344</v>
      </c>
      <c r="AA344">
        <v>1</v>
      </c>
      <c r="AB344" s="4" t="str">
        <f>HYPERLINK("http://exon.niaid.nih.gov/transcriptome/C_felis/S1/links/XC-ASB/cf-contig_409-XC-ASB.txt","XC-contig_57")</f>
        <v>XC-contig_57</v>
      </c>
      <c r="AC344">
        <v>1.2999999999999999E-2</v>
      </c>
      <c r="AD344" s="10" t="s">
        <v>4758</v>
      </c>
      <c r="AE344" t="s">
        <v>4709</v>
      </c>
      <c r="AF344" t="str">
        <f>HYPERLINK("http://exon.niaid.nih.gov/transcriptome/C_felis/S1/links/KOG/cf-contig_409-KOG.txt","KOG")</f>
        <v>KOG</v>
      </c>
      <c r="AG344">
        <v>5.9999999999999997E-7</v>
      </c>
      <c r="AH344">
        <v>11</v>
      </c>
      <c r="AI344" s="4" t="str">
        <f>HYPERLINK("http://exon.niaid.nih.gov/transcriptome/C_felis/S1/links/NR/cf-contig_409-NR.txt","CRE-XNP-1 protein")</f>
        <v>CRE-XNP-1 protein</v>
      </c>
      <c r="AJ344" t="str">
        <f>HYPERLINK("http://www.ncbi.nlm.nih.gov/sutils/blink.cgi?pid=308498547","1E-005")</f>
        <v>1E-005</v>
      </c>
      <c r="AK344" t="str">
        <f>HYPERLINK("http://www.ncbi.nlm.nih.gov/protein/308498547","gi|308498547")</f>
        <v>gi|308498547</v>
      </c>
      <c r="AL344">
        <v>55.1</v>
      </c>
      <c r="AM344">
        <v>439</v>
      </c>
      <c r="AN344">
        <v>1391</v>
      </c>
      <c r="AO344">
        <v>22</v>
      </c>
      <c r="AP344">
        <v>32</v>
      </c>
      <c r="AQ344">
        <v>134</v>
      </c>
      <c r="AR344">
        <v>17</v>
      </c>
      <c r="AS344">
        <v>3</v>
      </c>
      <c r="AT344">
        <v>57</v>
      </c>
      <c r="AU344">
        <v>4</v>
      </c>
      <c r="AV344">
        <v>3</v>
      </c>
      <c r="AW344" t="s">
        <v>12</v>
      </c>
      <c r="AY344" t="s">
        <v>1676</v>
      </c>
      <c r="AZ344" t="s">
        <v>2855</v>
      </c>
      <c r="BA344" s="4" t="str">
        <f>HYPERLINK("http://exon.niaid.nih.gov/transcriptome/C_felis/S1/links/SWISSP/cf-contig_409-SWISSP.txt","Transcriptional regulator ATRX homolog")</f>
        <v>Transcriptional regulator ATRX homolog</v>
      </c>
      <c r="BB344" t="str">
        <f>HYPERLINK("http://www.uniprot.org/uniprot/Q9U7E0","3E-006")</f>
        <v>3E-006</v>
      </c>
      <c r="BC344" t="s">
        <v>3117</v>
      </c>
      <c r="BD344">
        <v>52.4</v>
      </c>
      <c r="BE344">
        <v>450</v>
      </c>
      <c r="BF344">
        <v>1359</v>
      </c>
      <c r="BG344">
        <v>28</v>
      </c>
      <c r="BH344">
        <v>33</v>
      </c>
      <c r="BI344">
        <v>135</v>
      </c>
      <c r="BJ344">
        <v>7</v>
      </c>
      <c r="BK344">
        <v>3</v>
      </c>
      <c r="BL344">
        <v>18</v>
      </c>
      <c r="BM344">
        <v>4</v>
      </c>
      <c r="BN344">
        <v>3</v>
      </c>
      <c r="BO344" t="s">
        <v>12</v>
      </c>
      <c r="BQ344" t="s">
        <v>1676</v>
      </c>
      <c r="BR344" t="s">
        <v>1735</v>
      </c>
      <c r="BS344" s="4" t="str">
        <f>HYPERLINK("http://exon.niaid.nih.gov/transcriptome/C_felis/S1/links/CDD/cf-contig_409-CDD.txt","7TM_GPCR_Srz")</f>
        <v>7TM_GPCR_Srz</v>
      </c>
      <c r="BT344" t="str">
        <f>HYPERLINK("http://www.ncbi.nlm.nih.gov/Structure/cdd/cddsrv.cgi?uid=pfam10325&amp;version=v4.0","0.001")</f>
        <v>0.001</v>
      </c>
      <c r="BU344" t="s">
        <v>3118</v>
      </c>
      <c r="BV344" s="4" t="s">
        <v>3119</v>
      </c>
      <c r="BW344">
        <f>HYPERLINK("http://exon.niaid.nih.gov/transcriptome/C_felis/S1/links/GO/cf-contig_409-GO.txt",0.0000007)</f>
        <v>6.9999999999999997E-7</v>
      </c>
      <c r="BX344" t="str">
        <f>HYPERLINK("http://amigo.geneontology.org/cgi-bin/amigo/term_details?term=GO:0003682","GO:0003682")</f>
        <v>GO:0003682</v>
      </c>
      <c r="BY344" t="s">
        <v>3120</v>
      </c>
      <c r="BZ344" t="s">
        <v>3121</v>
      </c>
      <c r="CA344" t="s">
        <v>3122</v>
      </c>
      <c r="CB344" t="s">
        <v>42</v>
      </c>
      <c r="CD344">
        <v>6.9999999999999997E-7</v>
      </c>
      <c r="CE344" t="str">
        <f>HYPERLINK("http://amigo.geneontology.org/cgi-bin/amigo/term_details?term=GO:0000785","GO:0000785")</f>
        <v>GO:0000785</v>
      </c>
      <c r="CF344" t="s">
        <v>2781</v>
      </c>
      <c r="CG344" t="s">
        <v>2782</v>
      </c>
      <c r="CH344" t="s">
        <v>2783</v>
      </c>
      <c r="CI344" t="s">
        <v>42</v>
      </c>
      <c r="CK344">
        <v>6.9999999999999997E-7</v>
      </c>
      <c r="CL344" t="str">
        <f>HYPERLINK("http://amigo.geneontology.org/cgi-bin/amigo/term_details?term=GO:0006333","GO:0006333")</f>
        <v>GO:0006333</v>
      </c>
      <c r="CM344" t="s">
        <v>3123</v>
      </c>
      <c r="CN344" t="s">
        <v>3124</v>
      </c>
      <c r="CO344" t="s">
        <v>3125</v>
      </c>
      <c r="CP344" t="s">
        <v>42</v>
      </c>
      <c r="CR344">
        <v>6.9999999999999997E-7</v>
      </c>
      <c r="CS344" s="4" t="str">
        <f>HYPERLINK("http://exon.niaid.nih.gov/transcriptome/C_felis/S1/links/KOG/cf-contig_409-KOG.txt","Transcription regulator XNP/ATRX, DEAD-box superfamily")</f>
        <v>Transcription regulator XNP/ATRX, DEAD-box superfamily</v>
      </c>
      <c r="CT344" t="str">
        <f>HYPERLINK("http://www.ncbi.nlm.nih.gov/COG/grace/shokog.cgi?KOG1015","6E-007")</f>
        <v>6E-007</v>
      </c>
      <c r="CU344" t="s">
        <v>1692</v>
      </c>
      <c r="CV344" s="4" t="str">
        <f>HYPERLINK("http://exon.niaid.nih.gov/transcriptome/C_felis/S1/links/PFAM/cf-contig_409-PFAM.txt","7TM_GPCR_Srz")</f>
        <v>7TM_GPCR_Srz</v>
      </c>
      <c r="CW344" t="str">
        <f>HYPERLINK("http://pfam.sanger.ac.uk/family?acc=PF10325","2E-004")</f>
        <v>2E-004</v>
      </c>
      <c r="CX344" s="4" t="str">
        <f>HYPERLINK("http://exon.niaid.nih.gov/transcriptome/C_felis/S1/links/SMART/cf-contig_409-SMART.txt","Brr6_like_C_C")</f>
        <v>Brr6_like_C_C</v>
      </c>
      <c r="CY344" t="str">
        <f>HYPERLINK("http://smart.embl-heidelberg.de/smart/do_annotation.pl?DOMAIN=Brr6_like_C_C&amp;BLAST=DUMMY","0.12")</f>
        <v>0.12</v>
      </c>
      <c r="CZ344" s="4" t="s">
        <v>42</v>
      </c>
      <c r="DA344" t="s">
        <v>42</v>
      </c>
      <c r="DB344" t="s">
        <v>42</v>
      </c>
      <c r="DC344" t="s">
        <v>42</v>
      </c>
      <c r="DD344" t="s">
        <v>42</v>
      </c>
      <c r="DE344" t="s">
        <v>42</v>
      </c>
      <c r="DF344" t="s">
        <v>42</v>
      </c>
      <c r="DG344" t="s">
        <v>42</v>
      </c>
      <c r="DH344" s="4" t="s">
        <v>42</v>
      </c>
      <c r="DI344" t="s">
        <v>42</v>
      </c>
      <c r="DJ344" s="4" t="s">
        <v>42</v>
      </c>
      <c r="DK344" t="s">
        <v>42</v>
      </c>
      <c r="DL344" s="4">
        <v>335</v>
      </c>
      <c r="DM344">
        <v>1</v>
      </c>
      <c r="DN344" s="4">
        <v>343</v>
      </c>
      <c r="DO344">
        <v>1</v>
      </c>
      <c r="DP344" s="4">
        <v>344</v>
      </c>
      <c r="DQ344">
        <v>1</v>
      </c>
      <c r="DR344" s="4">
        <v>355</v>
      </c>
      <c r="DS344">
        <v>1</v>
      </c>
      <c r="DT344" s="4">
        <v>365</v>
      </c>
      <c r="DU344">
        <v>1</v>
      </c>
      <c r="DV344" s="4">
        <v>378</v>
      </c>
      <c r="DW344">
        <v>1</v>
      </c>
      <c r="DX344" s="4">
        <v>381</v>
      </c>
      <c r="DY344">
        <v>1</v>
      </c>
      <c r="DZ344" s="4">
        <v>386</v>
      </c>
      <c r="EA344">
        <v>1</v>
      </c>
      <c r="EB344" s="4">
        <v>391</v>
      </c>
      <c r="EC344">
        <v>1</v>
      </c>
      <c r="ED344" s="4">
        <v>395</v>
      </c>
      <c r="EE344">
        <v>1</v>
      </c>
      <c r="EF344" s="4">
        <v>400</v>
      </c>
      <c r="EG344">
        <v>1</v>
      </c>
      <c r="EH344" s="4">
        <v>403</v>
      </c>
      <c r="EI344">
        <v>1</v>
      </c>
      <c r="EJ344" s="4">
        <v>409</v>
      </c>
      <c r="EK344">
        <v>1</v>
      </c>
    </row>
    <row r="345" spans="1:141" x14ac:dyDescent="0.2">
      <c r="A345" t="str">
        <f>HYPERLINK("http://exon.niaid.nih.gov/transcriptome/C_felis/S1/links/cf/cf-contig_368.txt","cf-contig_368")</f>
        <v>cf-contig_368</v>
      </c>
      <c r="B345">
        <v>1</v>
      </c>
      <c r="C345" s="10" t="s">
        <v>4745</v>
      </c>
      <c r="D345">
        <v>1</v>
      </c>
      <c r="E345" t="str">
        <f>HYPERLINK("http://exon.niaid.nih.gov/transcriptome/C_felis/S1/links/cf/cf-5-36-asb-368.txt","Contig-368")</f>
        <v>Contig-368</v>
      </c>
      <c r="F345" t="str">
        <f>HYPERLINK("http://exon.niaid.nih.gov/transcriptome/C_felis/S1/links/cf/cf-5-36-368-CLU.txt","Contig368")</f>
        <v>Contig368</v>
      </c>
      <c r="G345" t="str">
        <f>HYPERLINK("http://exon.niaid.nih.gov/transcriptome/C_felis/S1/links/cf/cf-5-36-368-qual.txt","64.")</f>
        <v>64.</v>
      </c>
      <c r="H345" t="s">
        <v>11</v>
      </c>
      <c r="I345">
        <v>65.2</v>
      </c>
      <c r="J345">
        <v>450</v>
      </c>
      <c r="K345" t="s">
        <v>12</v>
      </c>
      <c r="L345">
        <v>1</v>
      </c>
      <c r="M345" t="s">
        <v>381</v>
      </c>
      <c r="N345">
        <v>450</v>
      </c>
      <c r="O345">
        <v>469</v>
      </c>
      <c r="P345">
        <v>357</v>
      </c>
      <c r="Q345" t="s">
        <v>1188</v>
      </c>
      <c r="R345">
        <v>3</v>
      </c>
      <c r="S345" s="7" t="str">
        <f>HYPERLINK("http://exon.niaid.nih.gov/transcriptome/C_felis/S1/links/Sigp/CF-CONTIG_368-SigP.txt","Cyt")</f>
        <v>Cyt</v>
      </c>
      <c r="U345">
        <v>1</v>
      </c>
      <c r="V345" s="4">
        <v>297</v>
      </c>
      <c r="W345">
        <v>1</v>
      </c>
      <c r="X345" s="4">
        <v>304</v>
      </c>
      <c r="Y345">
        <v>1</v>
      </c>
      <c r="Z345" s="4">
        <v>305</v>
      </c>
      <c r="AA345">
        <v>1</v>
      </c>
      <c r="AB345" s="4" t="str">
        <f>HYPERLINK("http://exon.niaid.nih.gov/transcriptome/C_felis/S1/links/XC-ASB/cf-contig_368-XC-ASB.txt","XC-contig_214")</f>
        <v>XC-contig_214</v>
      </c>
      <c r="AC345">
        <v>4.9999999999999999E-20</v>
      </c>
      <c r="AD345" s="10" t="s">
        <v>4745</v>
      </c>
      <c r="AE345" t="s">
        <v>4709</v>
      </c>
      <c r="AF345" t="str">
        <f>HYPERLINK("http://exon.niaid.nih.gov/transcriptome/C_felis/S1/links/KOG/cf-contig_368-KOG.txt","KOG")</f>
        <v>KOG</v>
      </c>
      <c r="AG345" s="5">
        <v>4.0000000000000002E-27</v>
      </c>
      <c r="AH345">
        <v>42.1</v>
      </c>
      <c r="AI345" s="4" t="str">
        <f>HYPERLINK("http://exon.niaid.nih.gov/transcriptome/C_felis/S1/links/NR/cf-contig_368-NR.txt","GH22956")</f>
        <v>GH22956</v>
      </c>
      <c r="AJ345" t="str">
        <f>HYPERLINK("http://www.ncbi.nlm.nih.gov/sutils/blink.cgi?pid=195056378","5E-028")</f>
        <v>5E-028</v>
      </c>
      <c r="AK345" t="str">
        <f>HYPERLINK("http://www.ncbi.nlm.nih.gov/protein/195056378","gi|195056378")</f>
        <v>gi|195056378</v>
      </c>
      <c r="AL345">
        <v>127</v>
      </c>
      <c r="AM345">
        <v>111</v>
      </c>
      <c r="AN345">
        <v>189</v>
      </c>
      <c r="AO345">
        <v>54</v>
      </c>
      <c r="AP345">
        <v>59</v>
      </c>
      <c r="AQ345">
        <v>52</v>
      </c>
      <c r="AR345">
        <v>0</v>
      </c>
      <c r="AS345">
        <v>76</v>
      </c>
      <c r="AT345">
        <v>6</v>
      </c>
      <c r="AU345">
        <v>1</v>
      </c>
      <c r="AV345">
        <v>3</v>
      </c>
      <c r="AW345" t="s">
        <v>12</v>
      </c>
      <c r="AY345" t="s">
        <v>1676</v>
      </c>
      <c r="AZ345" t="s">
        <v>1970</v>
      </c>
      <c r="BA345" s="4" t="str">
        <f>HYPERLINK("http://exon.niaid.nih.gov/transcriptome/C_felis/S1/links/SWISSP/cf-contig_368-SWISSP.txt","Protein DJ-1")</f>
        <v>Protein DJ-1</v>
      </c>
      <c r="BB345" t="str">
        <f>HYPERLINK("http://www.uniprot.org/uniprot/Q99497","3E-018")</f>
        <v>3E-018</v>
      </c>
      <c r="BC345" t="s">
        <v>2962</v>
      </c>
      <c r="BD345">
        <v>90.9</v>
      </c>
      <c r="BE345">
        <v>102</v>
      </c>
      <c r="BF345">
        <v>189</v>
      </c>
      <c r="BG345">
        <v>44</v>
      </c>
      <c r="BH345">
        <v>54</v>
      </c>
      <c r="BI345">
        <v>58</v>
      </c>
      <c r="BJ345">
        <v>0</v>
      </c>
      <c r="BK345">
        <v>84</v>
      </c>
      <c r="BL345">
        <v>27</v>
      </c>
      <c r="BM345">
        <v>1</v>
      </c>
      <c r="BN345">
        <v>3</v>
      </c>
      <c r="BO345" t="s">
        <v>12</v>
      </c>
      <c r="BQ345" t="s">
        <v>1676</v>
      </c>
      <c r="BR345" t="s">
        <v>1690</v>
      </c>
      <c r="BS345" s="4" t="str">
        <f>HYPERLINK("http://exon.niaid.nih.gov/transcriptome/C_felis/S1/links/CDD/cf-contig_368-CDD.txt","not_thiJ")</f>
        <v>not_thiJ</v>
      </c>
      <c r="BT345" t="str">
        <f>HYPERLINK("http://www.ncbi.nlm.nih.gov/Structure/cdd/cddsrv.cgi?uid=TIGR01383&amp;version=v4.0","8E-033")</f>
        <v>8E-033</v>
      </c>
      <c r="BU345" t="s">
        <v>2963</v>
      </c>
      <c r="BV345" s="4" t="s">
        <v>2964</v>
      </c>
      <c r="BW345">
        <f>HYPERLINK("http://exon.niaid.nih.gov/transcriptome/C_felis/S1/links/GO/cf-contig_368-GO.txt",9E-27)</f>
        <v>9.0000000000000003E-27</v>
      </c>
      <c r="BX345" t="str">
        <f>HYPERLINK("http://amigo.geneontology.org/cgi-bin/amigo/term_details?term=GO:0003729","GO:0003729")</f>
        <v>GO:0003729</v>
      </c>
      <c r="BY345" t="s">
        <v>2965</v>
      </c>
      <c r="BZ345" t="s">
        <v>2966</v>
      </c>
      <c r="CA345" t="s">
        <v>42</v>
      </c>
      <c r="CB345" t="s">
        <v>42</v>
      </c>
      <c r="CD345" s="5">
        <v>2.9999999999999998E-18</v>
      </c>
      <c r="CE345" t="str">
        <f>HYPERLINK("http://amigo.geneontology.org/cgi-bin/amigo/term_details?term=GO:0005634","GO:0005634")</f>
        <v>GO:0005634</v>
      </c>
      <c r="CF345" t="s">
        <v>2064</v>
      </c>
      <c r="CG345" t="s">
        <v>2065</v>
      </c>
      <c r="CH345" t="s">
        <v>2066</v>
      </c>
      <c r="CI345" t="s">
        <v>42</v>
      </c>
      <c r="CK345" s="5">
        <v>2.9999999999999998E-18</v>
      </c>
      <c r="CL345" t="str">
        <f>HYPERLINK("http://amigo.geneontology.org/cgi-bin/amigo/term_details?term=GO:0007005","GO:0007005")</f>
        <v>GO:0007005</v>
      </c>
      <c r="CM345" t="s">
        <v>2967</v>
      </c>
      <c r="CN345" t="s">
        <v>2968</v>
      </c>
      <c r="CO345" t="s">
        <v>2969</v>
      </c>
      <c r="CP345" t="s">
        <v>42</v>
      </c>
      <c r="CR345" s="5">
        <v>2.9999999999999998E-18</v>
      </c>
      <c r="CS345" s="4" t="str">
        <f>HYPERLINK("http://exon.niaid.nih.gov/transcriptome/C_felis/S1/links/KOG/cf-contig_368-KOG.txt","Putative transcriptional regulator DJ-1")</f>
        <v>Putative transcriptional regulator DJ-1</v>
      </c>
      <c r="CT345" t="str">
        <f>HYPERLINK("http://www.ncbi.nlm.nih.gov/COG/grace/shokog.cgi?KOG2764","4E-027")</f>
        <v>4E-027</v>
      </c>
      <c r="CU345" t="s">
        <v>2970</v>
      </c>
      <c r="CV345" s="4" t="str">
        <f>HYPERLINK("http://exon.niaid.nih.gov/transcriptome/C_felis/S1/links/PFAM/cf-contig_368-PFAM.txt","DJ-1_PfpI")</f>
        <v>DJ-1_PfpI</v>
      </c>
      <c r="CW345" t="str">
        <f>HYPERLINK("http://pfam.sanger.ac.uk/family?acc=PF01965","3E-019")</f>
        <v>3E-019</v>
      </c>
      <c r="CX345" s="4" t="str">
        <f>HYPERLINK("http://exon.niaid.nih.gov/transcriptome/C_felis/S1/links/SMART/cf-contig_368-SMART.txt","B41")</f>
        <v>B41</v>
      </c>
      <c r="CY345" t="str">
        <f>HYPERLINK("http://smart.embl-heidelberg.de/smart/do_annotation.pl?DOMAIN=B41&amp;BLAST=DUMMY","0.53")</f>
        <v>0.53</v>
      </c>
      <c r="CZ345" s="4" t="s">
        <v>42</v>
      </c>
      <c r="DA345" t="s">
        <v>42</v>
      </c>
      <c r="DB345" t="s">
        <v>42</v>
      </c>
      <c r="DC345" t="s">
        <v>42</v>
      </c>
      <c r="DD345" t="s">
        <v>42</v>
      </c>
      <c r="DE345" t="s">
        <v>42</v>
      </c>
      <c r="DF345" t="s">
        <v>42</v>
      </c>
      <c r="DG345" t="s">
        <v>42</v>
      </c>
      <c r="DH345" s="4" t="s">
        <v>42</v>
      </c>
      <c r="DI345" t="s">
        <v>42</v>
      </c>
      <c r="DJ345" s="4" t="s">
        <v>42</v>
      </c>
      <c r="DK345" t="s">
        <v>42</v>
      </c>
      <c r="DL345" s="4">
        <v>297</v>
      </c>
      <c r="DM345">
        <v>1</v>
      </c>
      <c r="DN345" s="4">
        <v>304</v>
      </c>
      <c r="DO345">
        <v>1</v>
      </c>
      <c r="DP345" s="4">
        <v>305</v>
      </c>
      <c r="DQ345">
        <v>1</v>
      </c>
      <c r="DR345" s="4">
        <v>316</v>
      </c>
      <c r="DS345">
        <v>1</v>
      </c>
      <c r="DT345" s="4">
        <v>326</v>
      </c>
      <c r="DU345">
        <v>1</v>
      </c>
      <c r="DV345" s="4">
        <v>339</v>
      </c>
      <c r="DW345">
        <v>1</v>
      </c>
      <c r="DX345" s="4">
        <v>342</v>
      </c>
      <c r="DY345">
        <v>1</v>
      </c>
      <c r="DZ345" s="4">
        <v>347</v>
      </c>
      <c r="EA345">
        <v>1</v>
      </c>
      <c r="EB345" s="4">
        <v>352</v>
      </c>
      <c r="EC345">
        <v>1</v>
      </c>
      <c r="ED345" s="4">
        <v>356</v>
      </c>
      <c r="EE345">
        <v>1</v>
      </c>
      <c r="EF345" s="4">
        <v>361</v>
      </c>
      <c r="EG345">
        <v>1</v>
      </c>
      <c r="EH345" s="4">
        <v>363</v>
      </c>
      <c r="EI345">
        <v>1</v>
      </c>
      <c r="EJ345" s="4">
        <v>368</v>
      </c>
      <c r="EK345">
        <v>1</v>
      </c>
    </row>
    <row r="346" spans="1:141" x14ac:dyDescent="0.2">
      <c r="A346" t="str">
        <f>HYPERLINK("http://exon.niaid.nih.gov/transcriptome/C_felis/S1/links/cf/cf-contig_311.txt","cf-contig_311")</f>
        <v>cf-contig_311</v>
      </c>
      <c r="B346">
        <v>1</v>
      </c>
      <c r="C346" s="10" t="s">
        <v>4727</v>
      </c>
      <c r="D346">
        <v>1</v>
      </c>
      <c r="E346" t="str">
        <f>HYPERLINK("http://exon.niaid.nih.gov/transcriptome/C_felis/S1/links/cf/cf-5-36-asb-311.txt","Contig-311")</f>
        <v>Contig-311</v>
      </c>
      <c r="F346" t="str">
        <f>HYPERLINK("http://exon.niaid.nih.gov/transcriptome/C_felis/S1/links/cf/cf-5-36-311-CLU.txt","Contig311")</f>
        <v>Contig311</v>
      </c>
      <c r="G346" t="str">
        <f>HYPERLINK("http://exon.niaid.nih.gov/transcriptome/C_felis/S1/links/cf/cf-5-36-311-qual.txt","64.9")</f>
        <v>64.9</v>
      </c>
      <c r="H346" t="s">
        <v>11</v>
      </c>
      <c r="I346">
        <v>52.3</v>
      </c>
      <c r="J346">
        <v>176</v>
      </c>
      <c r="K346" t="s">
        <v>12</v>
      </c>
      <c r="L346">
        <v>1</v>
      </c>
      <c r="M346" t="s">
        <v>324</v>
      </c>
      <c r="N346">
        <v>176</v>
      </c>
      <c r="O346">
        <v>195</v>
      </c>
      <c r="P346">
        <v>114</v>
      </c>
      <c r="Q346" t="s">
        <v>1131</v>
      </c>
      <c r="R346">
        <v>2</v>
      </c>
      <c r="S346" s="7" t="s">
        <v>4585</v>
      </c>
      <c r="U346">
        <v>1</v>
      </c>
      <c r="V346" s="4">
        <f>HYPERLINK("http://exon.niaid.nih.gov/transcriptome/C_felis/S1/links/cluster/cf-5-36-asb30-50-Id-CLU25.txt", 25)</f>
        <v>25</v>
      </c>
      <c r="W346">
        <f>HYPERLINK("http://exon.niaid.nih.gov/transcriptome/C_felis/S1/links/cluster/cf-5-36-asb30-50-Id-CLTL25.txt", 3)</f>
        <v>3</v>
      </c>
      <c r="X346" s="4">
        <f>HYPERLINK("http://exon.niaid.nih.gov/transcriptome/C_felis/S1/links/cluster/cf-5-36-asb35-50-Id-CLU21.txt", 21)</f>
        <v>21</v>
      </c>
      <c r="Y346">
        <f>HYPERLINK("http://exon.niaid.nih.gov/transcriptome/C_felis/S1/links/cluster/cf-5-36-asb35-50-Id-CLTL21.txt", 3)</f>
        <v>3</v>
      </c>
      <c r="Z346" s="4">
        <f>HYPERLINK("http://exon.niaid.nih.gov/transcriptome/C_felis/S1/links/cluster/cf-5-36-asb40-50-Id-CLU52.txt", 52)</f>
        <v>52</v>
      </c>
      <c r="AA346">
        <f>HYPERLINK("http://exon.niaid.nih.gov/transcriptome/C_felis/S1/links/cluster/cf-5-36-asb40-50-Id-CLTL52.txt", 2)</f>
        <v>2</v>
      </c>
      <c r="AB346" s="4" t="str">
        <f>HYPERLINK("http://exon.niaid.nih.gov/transcriptome/C_felis/S1/links/XC-ASB/cf-contig_311-XC-ASB.txt","XC-contig_161")</f>
        <v>XC-contig_161</v>
      </c>
      <c r="AC346">
        <v>7.8E-2</v>
      </c>
      <c r="AD346" s="10" t="s">
        <v>4727</v>
      </c>
      <c r="AE346" t="s">
        <v>4709</v>
      </c>
      <c r="AF346" t="str">
        <f>HYPERLINK("http://exon.niaid.nih.gov/transcriptome/C_felis/S1/links/GO/cf-contig_311-GO.txt","GO")</f>
        <v>GO</v>
      </c>
      <c r="AG346">
        <v>5E-15</v>
      </c>
      <c r="AH346">
        <v>31.2</v>
      </c>
      <c r="AI346" s="4" t="str">
        <f>HYPERLINK("http://exon.niaid.nih.gov/transcriptome/C_felis/S1/links/NR/cf-contig_311-NR.txt","hCG2019873")</f>
        <v>hCG2019873</v>
      </c>
      <c r="AJ346" t="str">
        <f>HYPERLINK("http://www.ncbi.nlm.nih.gov/sutils/blink.cgi?pid=119628850","4E-014")</f>
        <v>4E-014</v>
      </c>
      <c r="AK346" t="str">
        <f>HYPERLINK("http://www.ncbi.nlm.nih.gov/protein/119628850","gi|119628850")</f>
        <v>gi|119628850</v>
      </c>
      <c r="AL346">
        <v>81.599999999999994</v>
      </c>
      <c r="AM346">
        <v>50</v>
      </c>
      <c r="AN346">
        <v>127</v>
      </c>
      <c r="AO346">
        <v>72</v>
      </c>
      <c r="AP346">
        <v>40</v>
      </c>
      <c r="AQ346">
        <v>14</v>
      </c>
      <c r="AR346">
        <v>0</v>
      </c>
      <c r="AS346">
        <v>3</v>
      </c>
      <c r="AT346">
        <v>17</v>
      </c>
      <c r="AU346">
        <v>1</v>
      </c>
      <c r="AV346">
        <v>-3</v>
      </c>
      <c r="AW346" t="s">
        <v>12</v>
      </c>
      <c r="AX346">
        <v>2</v>
      </c>
      <c r="AY346" t="s">
        <v>1666</v>
      </c>
      <c r="AZ346" t="s">
        <v>1690</v>
      </c>
      <c r="BA346" s="4" t="str">
        <f>HYPERLINK("http://exon.niaid.nih.gov/transcriptome/C_felis/S1/links/SWISSP/cf-contig_311-SWISSP.txt","UPF0764 protein C16orf89")</f>
        <v>UPF0764 protein C16orf89</v>
      </c>
      <c r="BB346" t="str">
        <f>HYPERLINK("http://www.uniprot.org/uniprot/Q6UX73","7E-012")</f>
        <v>7E-012</v>
      </c>
      <c r="BC346" t="s">
        <v>2775</v>
      </c>
      <c r="BD346">
        <v>69.3</v>
      </c>
      <c r="BE346">
        <v>50</v>
      </c>
      <c r="BF346">
        <v>402</v>
      </c>
      <c r="BG346">
        <v>66</v>
      </c>
      <c r="BH346">
        <v>13</v>
      </c>
      <c r="BI346">
        <v>17</v>
      </c>
      <c r="BJ346">
        <v>0</v>
      </c>
      <c r="BK346">
        <v>320</v>
      </c>
      <c r="BL346">
        <v>17</v>
      </c>
      <c r="BM346">
        <v>1</v>
      </c>
      <c r="BN346">
        <v>-3</v>
      </c>
      <c r="BO346" t="s">
        <v>12</v>
      </c>
      <c r="BP346">
        <v>2</v>
      </c>
      <c r="BQ346" t="s">
        <v>1666</v>
      </c>
      <c r="BR346" t="s">
        <v>1690</v>
      </c>
      <c r="BS346" s="4" t="str">
        <f>HYPERLINK("http://exon.niaid.nih.gov/transcriptome/C_felis/S1/links/CDD/cf-contig_311-CDD.txt","Glyco_hydro_97")</f>
        <v>Glyco_hydro_97</v>
      </c>
      <c r="BT346" t="str">
        <f>HYPERLINK("http://www.ncbi.nlm.nih.gov/Structure/cdd/cddsrv.cgi?uid=pfam10566&amp;version=v4.0","1.5")</f>
        <v>1.5</v>
      </c>
      <c r="BU346" t="s">
        <v>2776</v>
      </c>
      <c r="BV346" s="4" t="s">
        <v>2777</v>
      </c>
      <c r="BW346">
        <f>HYPERLINK("http://exon.niaid.nih.gov/transcriptome/C_felis/S1/links/GO/cf-contig_311-GO.txt",0.000000000000005)</f>
        <v>5E-15</v>
      </c>
      <c r="BX346" t="str">
        <f>HYPERLINK("http://amigo.geneontology.org/cgi-bin/amigo/term_details?term=GO:0003677","GO:0003677")</f>
        <v>GO:0003677</v>
      </c>
      <c r="BY346" t="s">
        <v>2778</v>
      </c>
      <c r="BZ346" t="s">
        <v>2779</v>
      </c>
      <c r="CA346" t="s">
        <v>2780</v>
      </c>
      <c r="CB346" t="s">
        <v>42</v>
      </c>
      <c r="CD346">
        <v>5E-15</v>
      </c>
      <c r="CE346" t="str">
        <f>HYPERLINK("http://amigo.geneontology.org/cgi-bin/amigo/term_details?term=GO:0000785","GO:0000785")</f>
        <v>GO:0000785</v>
      </c>
      <c r="CF346" t="s">
        <v>2781</v>
      </c>
      <c r="CG346" t="s">
        <v>2782</v>
      </c>
      <c r="CH346" t="s">
        <v>2783</v>
      </c>
      <c r="CI346" t="s">
        <v>42</v>
      </c>
      <c r="CK346">
        <v>5E-15</v>
      </c>
      <c r="CL346" t="str">
        <f>HYPERLINK("http://amigo.geneontology.org/cgi-bin/amigo/term_details?term=GO:0006355","GO:0006355")</f>
        <v>GO:0006355</v>
      </c>
      <c r="CM346" t="s">
        <v>2784</v>
      </c>
      <c r="CN346" t="s">
        <v>2785</v>
      </c>
      <c r="CO346" t="s">
        <v>2786</v>
      </c>
      <c r="CP346" t="s">
        <v>42</v>
      </c>
      <c r="CR346">
        <v>5E-15</v>
      </c>
      <c r="CS346" s="4" t="str">
        <f>HYPERLINK("http://exon.niaid.nih.gov/transcriptome/C_felis/S1/links/KOG/cf-contig_311-KOG.txt","Anaphase promoting complex, Cdc20, Cdh1, and Ama1 subunits")</f>
        <v>Anaphase promoting complex, Cdc20, Cdh1, and Ama1 subunits</v>
      </c>
      <c r="CT346" t="str">
        <f>HYPERLINK("http://www.ncbi.nlm.nih.gov/COG/grace/shokog.cgi?KOG0305","0.33")</f>
        <v>0.33</v>
      </c>
      <c r="CU346" t="s">
        <v>2787</v>
      </c>
      <c r="CV346" s="4" t="str">
        <f>HYPERLINK("http://exon.niaid.nih.gov/transcriptome/C_felis/S1/links/PFAM/cf-contig_311-PFAM.txt","Glyco_hydro_97")</f>
        <v>Glyco_hydro_97</v>
      </c>
      <c r="CW346" t="str">
        <f>HYPERLINK("http://pfam.sanger.ac.uk/family?acc=PF10566","0.32")</f>
        <v>0.32</v>
      </c>
      <c r="CX346" s="4" t="str">
        <f>HYPERLINK("http://exon.niaid.nih.gov/transcriptome/C_felis/S1/links/SMART/cf-contig_311-SMART.txt","Alpha_L_fucos")</f>
        <v>Alpha_L_fucos</v>
      </c>
      <c r="CY346" t="str">
        <f>HYPERLINK("http://smart.embl-heidelberg.de/smart/do_annotation.pl?DOMAIN=Alpha_L_fucos&amp;BLAST=DUMMY","0.24")</f>
        <v>0.24</v>
      </c>
      <c r="CZ346" s="4" t="s">
        <v>42</v>
      </c>
      <c r="DA346" t="s">
        <v>42</v>
      </c>
      <c r="DB346" t="s">
        <v>42</v>
      </c>
      <c r="DC346" t="s">
        <v>42</v>
      </c>
      <c r="DD346" t="s">
        <v>42</v>
      </c>
      <c r="DE346" t="s">
        <v>42</v>
      </c>
      <c r="DF346" t="s">
        <v>42</v>
      </c>
      <c r="DG346" t="s">
        <v>42</v>
      </c>
      <c r="DH346" s="4" t="s">
        <v>42</v>
      </c>
      <c r="DI346" t="s">
        <v>42</v>
      </c>
      <c r="DJ346" s="4" t="s">
        <v>42</v>
      </c>
      <c r="DK346" t="s">
        <v>42</v>
      </c>
      <c r="DL346" s="4">
        <f>HYPERLINK("http://exon.niaid.nih.gov/transcriptome/C_felis/S1/links/cluster/cf-5-36-asb30-50-Id-CLU25.txt", 25)</f>
        <v>25</v>
      </c>
      <c r="DM346">
        <f>HYPERLINK("http://exon.niaid.nih.gov/transcriptome/C_felis/S1/links/cluster/cf-5-36-asb30-50-Id-CLTL25.txt", 3)</f>
        <v>3</v>
      </c>
      <c r="DN346" s="4">
        <f>HYPERLINK("http://exon.niaid.nih.gov/transcriptome/C_felis/S1/links/cluster/cf-5-36-asb35-50-Id-CLU21.txt", 21)</f>
        <v>21</v>
      </c>
      <c r="DO346">
        <f>HYPERLINK("http://exon.niaid.nih.gov/transcriptome/C_felis/S1/links/cluster/cf-5-36-asb35-50-Id-CLTL21.txt", 3)</f>
        <v>3</v>
      </c>
      <c r="DP346" s="4">
        <f>HYPERLINK("http://exon.niaid.nih.gov/transcriptome/C_felis/S1/links/cluster/cf-5-36-asb40-50-Id-CLU52.txt", 52)</f>
        <v>52</v>
      </c>
      <c r="DQ346">
        <f>HYPERLINK("http://exon.niaid.nih.gov/transcriptome/C_felis/S1/links/cluster/cf-5-36-asb40-50-Id-CLTL52.txt", 2)</f>
        <v>2</v>
      </c>
      <c r="DR346" s="4">
        <f>HYPERLINK("http://exon.niaid.nih.gov/transcriptome/C_felis/S1/links/cluster/cf-5-36-asb45-50-Id-CLU43.txt", 43)</f>
        <v>43</v>
      </c>
      <c r="DS346">
        <f>HYPERLINK("http://exon.niaid.nih.gov/transcriptome/C_felis/S1/links/cluster/cf-5-36-asb45-50-Id-CLTL43.txt", 2)</f>
        <v>2</v>
      </c>
      <c r="DT346" s="4">
        <v>273</v>
      </c>
      <c r="DU346">
        <v>1</v>
      </c>
      <c r="DV346" s="4">
        <v>285</v>
      </c>
      <c r="DW346">
        <v>1</v>
      </c>
      <c r="DX346" s="4">
        <v>287</v>
      </c>
      <c r="DY346">
        <v>1</v>
      </c>
      <c r="DZ346" s="4">
        <v>292</v>
      </c>
      <c r="EA346">
        <v>1</v>
      </c>
      <c r="EB346" s="4">
        <v>297</v>
      </c>
      <c r="EC346">
        <v>1</v>
      </c>
      <c r="ED346" s="4">
        <v>300</v>
      </c>
      <c r="EE346">
        <v>1</v>
      </c>
      <c r="EF346" s="4">
        <v>304</v>
      </c>
      <c r="EG346">
        <v>1</v>
      </c>
      <c r="EH346" s="4">
        <v>306</v>
      </c>
      <c r="EI346">
        <v>1</v>
      </c>
      <c r="EJ346" s="4">
        <v>311</v>
      </c>
      <c r="EK346">
        <v>1</v>
      </c>
    </row>
    <row r="347" spans="1:141" x14ac:dyDescent="0.2">
      <c r="A347" t="str">
        <f>HYPERLINK("http://exon.niaid.nih.gov/transcriptome/C_felis/S1/links/cf/cf-contig_476.txt","cf-contig_476")</f>
        <v>cf-contig_476</v>
      </c>
      <c r="B347">
        <v>1</v>
      </c>
      <c r="C347" s="10" t="s">
        <v>4780</v>
      </c>
      <c r="D347">
        <v>1</v>
      </c>
      <c r="E347" t="str">
        <f>HYPERLINK("http://exon.niaid.nih.gov/transcriptome/C_felis/S1/links/cf/cf-5-36-asb-476.txt","Contig-476")</f>
        <v>Contig-476</v>
      </c>
      <c r="F347" t="str">
        <f>HYPERLINK("http://exon.niaid.nih.gov/transcriptome/C_felis/S1/links/cf/cf-5-36-476-CLU.txt","Contig476")</f>
        <v>Contig476</v>
      </c>
      <c r="G347" t="str">
        <f>HYPERLINK("http://exon.niaid.nih.gov/transcriptome/C_felis/S1/links/cf/cf-5-36-476-qual.txt","52.1")</f>
        <v>52.1</v>
      </c>
      <c r="H347" t="s">
        <v>11</v>
      </c>
      <c r="I347">
        <v>66.5</v>
      </c>
      <c r="J347">
        <v>402</v>
      </c>
      <c r="K347" t="s">
        <v>12</v>
      </c>
      <c r="L347">
        <v>1</v>
      </c>
      <c r="M347" t="s">
        <v>489</v>
      </c>
      <c r="N347">
        <v>402</v>
      </c>
      <c r="O347">
        <v>421</v>
      </c>
      <c r="P347">
        <v>306</v>
      </c>
      <c r="Q347" t="s">
        <v>1295</v>
      </c>
      <c r="R347">
        <v>1</v>
      </c>
      <c r="S347" s="7" t="str">
        <f>HYPERLINK("http://exon.niaid.nih.gov/transcriptome/C_felis/S1/links/Sigp/CF-CONTIG_476-SigP.txt","Anch")</f>
        <v>Anch</v>
      </c>
      <c r="U347">
        <v>1</v>
      </c>
      <c r="V347" s="4">
        <v>387</v>
      </c>
      <c r="W347">
        <v>1</v>
      </c>
      <c r="X347" s="4">
        <v>396</v>
      </c>
      <c r="Y347">
        <v>1</v>
      </c>
      <c r="Z347" s="4">
        <v>401</v>
      </c>
      <c r="AA347">
        <v>1</v>
      </c>
      <c r="AB347" s="4" t="str">
        <f>HYPERLINK("http://exon.niaid.nih.gov/transcriptome/C_felis/S1/links/XC-ASB/cf-contig_476-XC-ASB.txt","XC-contig_226")</f>
        <v>XC-contig_226</v>
      </c>
      <c r="AC347">
        <v>3.0000000000000001E-3</v>
      </c>
      <c r="AD347" s="10" t="s">
        <v>4780</v>
      </c>
      <c r="AE347" t="s">
        <v>4781</v>
      </c>
      <c r="AF347" t="str">
        <f>HYPERLINK("http://exon.niaid.nih.gov/transcriptome/C_felis/S1/links/GO/cf-contig_476-GO.txt","GO")</f>
        <v>GO</v>
      </c>
      <c r="AG347" s="5">
        <v>5.0000000000000003E-38</v>
      </c>
      <c r="AH347">
        <v>18.3</v>
      </c>
      <c r="AI347" s="4" t="str">
        <f>HYPERLINK("http://exon.niaid.nih.gov/transcriptome/C_felis/S1/links/NR/cf-contig_476-NR.txt","chromatin assembly factor 1 subunit-like")</f>
        <v>chromatin assembly factor 1 subunit-like</v>
      </c>
      <c r="AJ347" t="str">
        <f>HYPERLINK("http://www.ncbi.nlm.nih.gov/sutils/blink.cgi?pid=291231647","3E-037")</f>
        <v>3E-037</v>
      </c>
      <c r="AK347" t="str">
        <f>HYPERLINK("http://www.ncbi.nlm.nih.gov/protein/291231647","gi|291231647")</f>
        <v>gi|291231647</v>
      </c>
      <c r="AL347">
        <v>158</v>
      </c>
      <c r="AM347">
        <v>202</v>
      </c>
      <c r="AN347">
        <v>427</v>
      </c>
      <c r="AO347">
        <v>92</v>
      </c>
      <c r="AP347">
        <v>48</v>
      </c>
      <c r="AQ347">
        <v>6</v>
      </c>
      <c r="AR347">
        <v>0</v>
      </c>
      <c r="AS347">
        <v>223</v>
      </c>
      <c r="AT347">
        <v>24</v>
      </c>
      <c r="AU347">
        <v>2</v>
      </c>
      <c r="AV347">
        <v>3</v>
      </c>
      <c r="AW347" t="s">
        <v>12</v>
      </c>
      <c r="AY347" t="s">
        <v>1676</v>
      </c>
      <c r="AZ347" t="s">
        <v>1820</v>
      </c>
      <c r="BA347" s="4" t="str">
        <f>HYPERLINK("http://exon.niaid.nih.gov/transcriptome/C_felis/S1/links/SWISSP/cf-contig_476-SWISSP.txt","Histone-binding protein RBBP7")</f>
        <v>Histone-binding protein RBBP7</v>
      </c>
      <c r="BB347" t="str">
        <f>HYPERLINK("http://www.uniprot.org/uniprot/Q7ZTY4","6E-038")</f>
        <v>6E-038</v>
      </c>
      <c r="BC347" t="s">
        <v>3405</v>
      </c>
      <c r="BD347">
        <v>155</v>
      </c>
      <c r="BE347">
        <v>250</v>
      </c>
      <c r="BF347">
        <v>426</v>
      </c>
      <c r="BG347">
        <v>91</v>
      </c>
      <c r="BH347">
        <v>59</v>
      </c>
      <c r="BI347">
        <v>7</v>
      </c>
      <c r="BJ347">
        <v>0</v>
      </c>
      <c r="BK347">
        <v>175</v>
      </c>
      <c r="BL347">
        <v>24</v>
      </c>
      <c r="BM347">
        <v>4</v>
      </c>
      <c r="BN347">
        <v>3</v>
      </c>
      <c r="BO347" t="s">
        <v>12</v>
      </c>
      <c r="BQ347" t="s">
        <v>1676</v>
      </c>
      <c r="BR347" t="s">
        <v>2736</v>
      </c>
      <c r="BS347" s="4" t="str">
        <f>HYPERLINK("http://exon.niaid.nih.gov/transcriptome/C_felis/S1/links/CDD/cf-contig_476-CDD.txt","WD40")</f>
        <v>WD40</v>
      </c>
      <c r="BT347" t="str">
        <f>HYPERLINK("http://www.ncbi.nlm.nih.gov/Structure/cdd/cddsrv.cgi?uid=pfam00400&amp;version=v4.0","0.001")</f>
        <v>0.001</v>
      </c>
      <c r="BU347" t="s">
        <v>3406</v>
      </c>
      <c r="BV347" s="4" t="s">
        <v>3407</v>
      </c>
      <c r="BW347">
        <f>HYPERLINK("http://exon.niaid.nih.gov/transcriptome/C_felis/S1/links/GO/cf-contig_476-GO.txt",5E-38)</f>
        <v>5.0000000000000003E-38</v>
      </c>
      <c r="BX347" t="str">
        <f>HYPERLINK("http://amigo.geneontology.org/cgi-bin/amigo/term_details?term=GO:0005515","GO:0005515")</f>
        <v>GO:0005515</v>
      </c>
      <c r="BY347" t="s">
        <v>2423</v>
      </c>
      <c r="BZ347" t="s">
        <v>2424</v>
      </c>
      <c r="CA347" t="s">
        <v>2425</v>
      </c>
      <c r="CB347" t="s">
        <v>42</v>
      </c>
      <c r="CD347" s="5">
        <v>5.9999999999999998E-35</v>
      </c>
      <c r="CE347" t="str">
        <f>HYPERLINK("http://amigo.geneontology.org/cgi-bin/amigo/term_details?term=GO:0005634","GO:0005634")</f>
        <v>GO:0005634</v>
      </c>
      <c r="CF347" t="s">
        <v>2064</v>
      </c>
      <c r="CG347" t="s">
        <v>2065</v>
      </c>
      <c r="CH347" t="s">
        <v>2066</v>
      </c>
      <c r="CI347" t="s">
        <v>42</v>
      </c>
      <c r="CK347" s="5">
        <v>5.9999999999999998E-35</v>
      </c>
      <c r="CL347" t="str">
        <f>HYPERLINK("http://amigo.geneontology.org/cgi-bin/amigo/term_details?term=GO:0000122","GO:0000122")</f>
        <v>GO:0000122</v>
      </c>
      <c r="CM347" t="s">
        <v>3408</v>
      </c>
      <c r="CN347" t="s">
        <v>3409</v>
      </c>
      <c r="CO347" t="s">
        <v>3410</v>
      </c>
      <c r="CP347" t="s">
        <v>42</v>
      </c>
      <c r="CR347" s="5">
        <v>5.9999999999999998E-35</v>
      </c>
      <c r="CS347" s="4" t="str">
        <f>HYPERLINK("http://exon.niaid.nih.gov/transcriptome/C_felis/S1/links/KOG/cf-contig_476-KOG.txt","Nucleosome remodeling factor, subunit CAF1/NURF55/MSI1")</f>
        <v>Nucleosome remodeling factor, subunit CAF1/NURF55/MSI1</v>
      </c>
      <c r="CT347" t="str">
        <f>HYPERLINK("http://www.ncbi.nlm.nih.gov/COG/grace/shokog.cgi?KOG0264","2E-036")</f>
        <v>2E-036</v>
      </c>
      <c r="CU347" t="s">
        <v>2096</v>
      </c>
      <c r="CV347" s="4" t="str">
        <f>HYPERLINK("http://exon.niaid.nih.gov/transcriptome/C_felis/S1/links/PFAM/cf-contig_476-PFAM.txt","WD40")</f>
        <v>WD40</v>
      </c>
      <c r="CW347" t="str">
        <f>HYPERLINK("http://pfam.sanger.ac.uk/family?acc=PF00400","2E-004")</f>
        <v>2E-004</v>
      </c>
      <c r="CX347" s="4" t="str">
        <f>HYPERLINK("http://exon.niaid.nih.gov/transcriptome/C_felis/S1/links/SMART/cf-contig_476-SMART.txt","WD40")</f>
        <v>WD40</v>
      </c>
      <c r="CY347" t="str">
        <f>HYPERLINK("http://smart.embl-heidelberg.de/smart/do_annotation.pl?DOMAIN=WD40&amp;BLAST=DUMMY","5E-005")</f>
        <v>5E-005</v>
      </c>
      <c r="CZ347" s="4" t="s">
        <v>42</v>
      </c>
      <c r="DA347" t="s">
        <v>42</v>
      </c>
      <c r="DB347" t="s">
        <v>42</v>
      </c>
      <c r="DC347" t="s">
        <v>42</v>
      </c>
      <c r="DD347" t="s">
        <v>42</v>
      </c>
      <c r="DE347" t="s">
        <v>42</v>
      </c>
      <c r="DF347" t="s">
        <v>42</v>
      </c>
      <c r="DG347" t="s">
        <v>42</v>
      </c>
      <c r="DH347" s="4" t="s">
        <v>42</v>
      </c>
      <c r="DI347" t="s">
        <v>42</v>
      </c>
      <c r="DJ347" s="4" t="s">
        <v>42</v>
      </c>
      <c r="DK347" t="s">
        <v>42</v>
      </c>
      <c r="DL347" s="4">
        <v>387</v>
      </c>
      <c r="DM347">
        <v>1</v>
      </c>
      <c r="DN347" s="4">
        <v>396</v>
      </c>
      <c r="DO347">
        <v>1</v>
      </c>
      <c r="DP347" s="4">
        <v>401</v>
      </c>
      <c r="DQ347">
        <v>1</v>
      </c>
      <c r="DR347" s="4">
        <v>416</v>
      </c>
      <c r="DS347">
        <v>1</v>
      </c>
      <c r="DT347" s="4">
        <v>426</v>
      </c>
      <c r="DU347">
        <v>1</v>
      </c>
      <c r="DV347" s="4">
        <v>440</v>
      </c>
      <c r="DW347">
        <v>1</v>
      </c>
      <c r="DX347" s="4">
        <v>444</v>
      </c>
      <c r="DY347">
        <v>1</v>
      </c>
      <c r="DZ347" s="4">
        <v>450</v>
      </c>
      <c r="EA347">
        <v>1</v>
      </c>
      <c r="EB347" s="4">
        <v>455</v>
      </c>
      <c r="EC347">
        <v>1</v>
      </c>
      <c r="ED347" s="4">
        <v>459</v>
      </c>
      <c r="EE347">
        <v>1</v>
      </c>
      <c r="EF347" s="4">
        <v>464</v>
      </c>
      <c r="EG347">
        <v>1</v>
      </c>
      <c r="EH347" s="4">
        <v>470</v>
      </c>
      <c r="EI347">
        <v>1</v>
      </c>
      <c r="EJ347" s="4">
        <v>476</v>
      </c>
      <c r="EK347">
        <v>1</v>
      </c>
    </row>
    <row r="348" spans="1:141" s="6" customFormat="1" ht="12" customHeight="1" x14ac:dyDescent="0.2">
      <c r="A348" s="12" t="s">
        <v>4902</v>
      </c>
      <c r="AB348" s="6" t="s">
        <v>42</v>
      </c>
    </row>
    <row r="349" spans="1:141" x14ac:dyDescent="0.2">
      <c r="A349" t="str">
        <f>HYPERLINK("http://exon.niaid.nih.gov/transcriptome/C_felis/S1/links/cf/cf-contig_210.txt","cf-contig_210")</f>
        <v>cf-contig_210</v>
      </c>
      <c r="B349">
        <v>3</v>
      </c>
      <c r="C349" s="10" t="s">
        <v>4692</v>
      </c>
      <c r="D349">
        <v>3</v>
      </c>
      <c r="E349" t="str">
        <f>HYPERLINK("http://exon.niaid.nih.gov/transcriptome/C_felis/S1/links/cf/cf-5-36-asb-210.txt","Contig-210")</f>
        <v>Contig-210</v>
      </c>
      <c r="F349" t="str">
        <f>HYPERLINK("http://exon.niaid.nih.gov/transcriptome/C_felis/S1/links/cf/cf-5-36-210-CLU.txt","Contig210")</f>
        <v>Contig210</v>
      </c>
      <c r="G349" t="str">
        <f>HYPERLINK("http://exon.niaid.nih.gov/transcriptome/C_felis/S1/links/cf/cf-5-36-210-qual.txt","83.7")</f>
        <v>83.7</v>
      </c>
      <c r="H349" t="s">
        <v>11</v>
      </c>
      <c r="I349">
        <v>62.4</v>
      </c>
      <c r="J349">
        <v>319</v>
      </c>
      <c r="K349" t="s">
        <v>12</v>
      </c>
      <c r="L349">
        <v>3</v>
      </c>
      <c r="M349" t="s">
        <v>223</v>
      </c>
      <c r="N349">
        <v>318</v>
      </c>
      <c r="O349">
        <v>338</v>
      </c>
      <c r="P349">
        <v>222</v>
      </c>
      <c r="Q349" t="s">
        <v>1030</v>
      </c>
      <c r="R349">
        <v>2</v>
      </c>
      <c r="S349" s="7" t="s">
        <v>4585</v>
      </c>
      <c r="U349">
        <v>3</v>
      </c>
      <c r="V349" s="4">
        <v>173</v>
      </c>
      <c r="W349">
        <v>1</v>
      </c>
      <c r="X349" s="4">
        <v>175</v>
      </c>
      <c r="Y349">
        <v>1</v>
      </c>
      <c r="Z349" s="4">
        <v>173</v>
      </c>
      <c r="AA349">
        <v>1</v>
      </c>
      <c r="AB349" s="4" t="str">
        <f>HYPERLINK("http://exon.niaid.nih.gov/transcriptome/C_felis/S1/links/XC-ASB/cf-contig_210-XC-ASB.txt","XC-contig_73")</f>
        <v>XC-contig_73</v>
      </c>
      <c r="AC349">
        <v>9.0999999999999998E-2</v>
      </c>
      <c r="AD349" s="10" t="s">
        <v>4692</v>
      </c>
      <c r="AE349" t="s">
        <v>4661</v>
      </c>
      <c r="AF349" t="str">
        <f>HYPERLINK("http://exon.niaid.nih.gov/transcriptome/C_felis/S1/links/NR/cf-contig_210-NR.txt","NR")</f>
        <v>NR</v>
      </c>
      <c r="AG349">
        <v>5.9999999999999997E-15</v>
      </c>
      <c r="AH349">
        <v>3.4</v>
      </c>
      <c r="AI349" s="4" t="str">
        <f>HYPERLINK("http://exon.niaid.nih.gov/transcriptome/C_felis/S1/links/NR/cf-contig_210-NR.txt","vitellogenin 1")</f>
        <v>vitellogenin 1</v>
      </c>
      <c r="AJ349" t="str">
        <f>HYPERLINK("http://www.ncbi.nlm.nih.gov/sutils/blink.cgi?pid=346969632","6E-015")</f>
        <v>6E-015</v>
      </c>
      <c r="AK349" t="str">
        <f>HYPERLINK("http://www.ncbi.nlm.nih.gov/protein/346969632","gi|346969632")</f>
        <v>gi|346969632</v>
      </c>
      <c r="AL349">
        <v>84.3</v>
      </c>
      <c r="AM349">
        <v>70</v>
      </c>
      <c r="AN349">
        <v>2052</v>
      </c>
      <c r="AO349">
        <v>56</v>
      </c>
      <c r="AP349">
        <v>3</v>
      </c>
      <c r="AQ349">
        <v>31</v>
      </c>
      <c r="AR349">
        <v>2</v>
      </c>
      <c r="AS349">
        <v>1979</v>
      </c>
      <c r="AT349">
        <v>11</v>
      </c>
      <c r="AU349">
        <v>1</v>
      </c>
      <c r="AV349">
        <v>2</v>
      </c>
      <c r="AW349" t="s">
        <v>12</v>
      </c>
      <c r="AY349" t="s">
        <v>1676</v>
      </c>
      <c r="AZ349" t="s">
        <v>2455</v>
      </c>
      <c r="BA349" s="4" t="str">
        <f>HYPERLINK("http://exon.niaid.nih.gov/transcriptome/C_felis/S1/links/SWISSP/cf-contig_210-SWISSP.txt","Vitellogenin-1")</f>
        <v>Vitellogenin-1</v>
      </c>
      <c r="BB349" t="str">
        <f>HYPERLINK("http://www.uniprot.org/uniprot/Q9U8M0","3E-010")</f>
        <v>3E-010</v>
      </c>
      <c r="BC349" t="s">
        <v>2456</v>
      </c>
      <c r="BD349">
        <v>63.9</v>
      </c>
      <c r="BE349">
        <v>69</v>
      </c>
      <c r="BF349">
        <v>1896</v>
      </c>
      <c r="BG349">
        <v>38</v>
      </c>
      <c r="BH349">
        <v>4</v>
      </c>
      <c r="BI349">
        <v>43</v>
      </c>
      <c r="BJ349">
        <v>1</v>
      </c>
      <c r="BK349">
        <v>1827</v>
      </c>
      <c r="BL349">
        <v>17</v>
      </c>
      <c r="BM349">
        <v>1</v>
      </c>
      <c r="BN349">
        <v>2</v>
      </c>
      <c r="BO349" t="s">
        <v>12</v>
      </c>
      <c r="BQ349" t="s">
        <v>1676</v>
      </c>
      <c r="BR349" t="s">
        <v>2150</v>
      </c>
      <c r="BS349" s="4" t="str">
        <f>HYPERLINK("http://exon.niaid.nih.gov/transcriptome/C_felis/S1/links/CDD/cf-contig_210-CDD.txt","CT")</f>
        <v>CT</v>
      </c>
      <c r="BT349" t="str">
        <f>HYPERLINK("http://www.ncbi.nlm.nih.gov/Structure/cdd/cddsrv.cgi?uid=smart00041&amp;version=v4.0","0.058")</f>
        <v>0.058</v>
      </c>
      <c r="BU349" t="s">
        <v>2457</v>
      </c>
      <c r="BV349" s="4" t="s">
        <v>2269</v>
      </c>
      <c r="BW349">
        <f>HYPERLINK("http://exon.niaid.nih.gov/transcriptome/C_felis/S1/links/GO/cf-contig_210-GO.txt",0.000000003)</f>
        <v>3E-9</v>
      </c>
      <c r="BX349" t="str">
        <f>HYPERLINK("http://amigo.geneontology.org/cgi-bin/amigo/term_details?term=GO:0003674","GO:0003674")</f>
        <v>GO:0003674</v>
      </c>
      <c r="BY349" t="s">
        <v>1851</v>
      </c>
      <c r="BZ349" t="s">
        <v>1852</v>
      </c>
      <c r="CA349" t="s">
        <v>1853</v>
      </c>
      <c r="CB349" t="s">
        <v>42</v>
      </c>
      <c r="CD349">
        <v>3E-9</v>
      </c>
      <c r="CE349" t="str">
        <f>HYPERLINK("http://amigo.geneontology.org/cgi-bin/amigo/term_details?term=GO:0005576","GO:0005576")</f>
        <v>GO:0005576</v>
      </c>
      <c r="CF349" t="s">
        <v>1854</v>
      </c>
      <c r="CG349" t="s">
        <v>1855</v>
      </c>
      <c r="CH349" t="s">
        <v>1856</v>
      </c>
      <c r="CI349" t="s">
        <v>42</v>
      </c>
      <c r="CK349">
        <v>3E-9</v>
      </c>
      <c r="CL349" t="str">
        <f>HYPERLINK("http://amigo.geneontology.org/cgi-bin/amigo/term_details?term=GO:0008150","GO:0008150")</f>
        <v>GO:0008150</v>
      </c>
      <c r="CM349" t="s">
        <v>1857</v>
      </c>
      <c r="CN349" t="s">
        <v>1858</v>
      </c>
      <c r="CO349" t="s">
        <v>1859</v>
      </c>
      <c r="CP349" t="s">
        <v>42</v>
      </c>
      <c r="CR349">
        <v>3E-9</v>
      </c>
      <c r="CS349" s="4" t="str">
        <f>HYPERLINK("http://exon.niaid.nih.gov/transcriptome/C_felis/S1/links/KOG/cf-contig_210-KOG.txt","Voltage-gated Ca2+ channels, alpha1 subunits")</f>
        <v>Voltage-gated Ca2+ channels, alpha1 subunits</v>
      </c>
      <c r="CT349" t="str">
        <f>HYPERLINK("http://www.ncbi.nlm.nih.gov/COG/grace/shokog.cgi?KOG2301","0.59")</f>
        <v>0.59</v>
      </c>
      <c r="CU349" t="s">
        <v>1702</v>
      </c>
      <c r="CV349" s="4" t="str">
        <f>HYPERLINK("http://exon.niaid.nih.gov/transcriptome/C_felis/S1/links/PFAM/cf-contig_210-PFAM.txt","MBA1")</f>
        <v>MBA1</v>
      </c>
      <c r="CW349" t="str">
        <f>HYPERLINK("http://pfam.sanger.ac.uk/family?acc=PF07961","0.044")</f>
        <v>0.044</v>
      </c>
      <c r="CX349" s="4" t="str">
        <f>HYPERLINK("http://exon.niaid.nih.gov/transcriptome/C_felis/S1/links/SMART/cf-contig_210-SMART.txt","CT")</f>
        <v>CT</v>
      </c>
      <c r="CY349" t="str">
        <f>HYPERLINK("http://smart.embl-heidelberg.de/smart/do_annotation.pl?DOMAIN=CT&amp;BLAST=DUMMY","9E-004")</f>
        <v>9E-004</v>
      </c>
      <c r="CZ349" s="4" t="s">
        <v>42</v>
      </c>
      <c r="DA349" t="s">
        <v>42</v>
      </c>
      <c r="DB349" t="s">
        <v>42</v>
      </c>
      <c r="DC349" t="s">
        <v>42</v>
      </c>
      <c r="DD349" t="s">
        <v>42</v>
      </c>
      <c r="DE349" t="s">
        <v>42</v>
      </c>
      <c r="DF349" t="s">
        <v>42</v>
      </c>
      <c r="DG349" t="s">
        <v>42</v>
      </c>
      <c r="DH349" s="4" t="s">
        <v>42</v>
      </c>
      <c r="DI349" t="s">
        <v>42</v>
      </c>
      <c r="DJ349" s="4" t="s">
        <v>42</v>
      </c>
      <c r="DK349" t="s">
        <v>42</v>
      </c>
      <c r="DL349" s="4">
        <v>173</v>
      </c>
      <c r="DM349">
        <v>1</v>
      </c>
      <c r="DN349" s="4">
        <v>175</v>
      </c>
      <c r="DO349">
        <v>1</v>
      </c>
      <c r="DP349" s="4">
        <v>173</v>
      </c>
      <c r="DQ349">
        <v>1</v>
      </c>
      <c r="DR349" s="4">
        <v>176</v>
      </c>
      <c r="DS349">
        <v>1</v>
      </c>
      <c r="DT349" s="4">
        <v>180</v>
      </c>
      <c r="DU349">
        <v>1</v>
      </c>
      <c r="DV349" s="4">
        <v>192</v>
      </c>
      <c r="DW349">
        <v>1</v>
      </c>
      <c r="DX349" s="4">
        <v>194</v>
      </c>
      <c r="DY349">
        <v>1</v>
      </c>
      <c r="DZ349" s="4">
        <v>196</v>
      </c>
      <c r="EA349">
        <v>1</v>
      </c>
      <c r="EB349" s="4">
        <v>201</v>
      </c>
      <c r="EC349">
        <v>1</v>
      </c>
      <c r="ED349" s="4">
        <v>204</v>
      </c>
      <c r="EE349">
        <v>1</v>
      </c>
      <c r="EF349" s="4">
        <v>205</v>
      </c>
      <c r="EG349">
        <v>1</v>
      </c>
      <c r="EH349" s="4">
        <v>205</v>
      </c>
      <c r="EI349">
        <v>1</v>
      </c>
      <c r="EJ349" s="4">
        <v>210</v>
      </c>
      <c r="EK349">
        <v>1</v>
      </c>
    </row>
    <row r="350" spans="1:141" x14ac:dyDescent="0.2">
      <c r="A350" t="str">
        <f>HYPERLINK("http://exon.niaid.nih.gov/transcriptome/C_felis/S1/links/cf/cf-contig_155.txt","cf-contig_155")</f>
        <v>cf-contig_155</v>
      </c>
      <c r="B350">
        <v>4</v>
      </c>
      <c r="C350" s="10" t="s">
        <v>4660</v>
      </c>
      <c r="D350">
        <v>4</v>
      </c>
      <c r="E350" t="str">
        <f>HYPERLINK("http://exon.niaid.nih.gov/transcriptome/C_felis/S1/links/cf/cf-5-36-asb-155.txt","Contig-155")</f>
        <v>Contig-155</v>
      </c>
      <c r="F350" t="str">
        <f>HYPERLINK("http://exon.niaid.nih.gov/transcriptome/C_felis/S1/links/cf/cf-5-36-155-CLU.txt","Contig155")</f>
        <v>Contig155</v>
      </c>
      <c r="G350" t="str">
        <f>HYPERLINK("http://exon.niaid.nih.gov/transcriptome/C_felis/S1/links/cf/cf-5-36-155-qual.txt","81.3")</f>
        <v>81.3</v>
      </c>
      <c r="H350" t="s">
        <v>11</v>
      </c>
      <c r="I350">
        <v>54</v>
      </c>
      <c r="J350">
        <v>649</v>
      </c>
      <c r="K350" t="s">
        <v>12</v>
      </c>
      <c r="L350">
        <v>4</v>
      </c>
      <c r="M350" t="s">
        <v>168</v>
      </c>
      <c r="N350">
        <v>649</v>
      </c>
      <c r="O350">
        <v>668</v>
      </c>
      <c r="P350">
        <v>564</v>
      </c>
      <c r="Q350" t="s">
        <v>975</v>
      </c>
      <c r="R350">
        <v>3</v>
      </c>
      <c r="S350" s="7" t="str">
        <f>HYPERLINK("http://exon.niaid.nih.gov/transcriptome/C_felis/S1/links/Sigp/CF-CONTIG_155-SigP.txt","Cyt")</f>
        <v>Cyt</v>
      </c>
      <c r="U350">
        <v>4</v>
      </c>
      <c r="V350" s="4">
        <f>HYPERLINK("http://exon.niaid.nih.gov/transcriptome/C_felis/S1/links/cluster/cf-5-36-asb30-50-Id-CLU44.txt", 44)</f>
        <v>44</v>
      </c>
      <c r="W350">
        <f>HYPERLINK("http://exon.niaid.nih.gov/transcriptome/C_felis/S1/links/cluster/cf-5-36-asb30-50-Id-CLTL44.txt", 2)</f>
        <v>2</v>
      </c>
      <c r="X350" s="4">
        <f>HYPERLINK("http://exon.niaid.nih.gov/transcriptome/C_felis/S1/links/cluster/cf-5-36-asb35-50-Id-CLU37.txt", 37)</f>
        <v>37</v>
      </c>
      <c r="Y350">
        <f>HYPERLINK("http://exon.niaid.nih.gov/transcriptome/C_felis/S1/links/cluster/cf-5-36-asb35-50-Id-CLTL37.txt", 2)</f>
        <v>2</v>
      </c>
      <c r="Z350" s="4">
        <f>HYPERLINK("http://exon.niaid.nih.gov/transcriptome/C_felis/S1/links/cluster/cf-5-36-asb40-50-Id-CLU35.txt", 35)</f>
        <v>35</v>
      </c>
      <c r="AA350">
        <f>HYPERLINK("http://exon.niaid.nih.gov/transcriptome/C_felis/S1/links/cluster/cf-5-36-asb40-50-Id-CLTL35.txt", 2)</f>
        <v>2</v>
      </c>
      <c r="AB350" s="4" t="str">
        <f>HYPERLINK("http://exon.niaid.nih.gov/transcriptome/C_felis/S1/links/XC-ASB/cf-contig_155-XC-ASB.txt","XC-contig_57")</f>
        <v>XC-contig_57</v>
      </c>
      <c r="AC350">
        <v>3E-10</v>
      </c>
      <c r="AD350" s="10" t="s">
        <v>4660</v>
      </c>
      <c r="AE350" t="s">
        <v>4661</v>
      </c>
      <c r="AF350" t="str">
        <f>HYPERLINK("http://exon.niaid.nih.gov/transcriptome/C_felis/S1/links/NR/cf-contig_155-NR.txt","NR")</f>
        <v>NR</v>
      </c>
      <c r="AG350" s="5">
        <v>2.9999999999999999E-38</v>
      </c>
      <c r="AH350">
        <v>9</v>
      </c>
      <c r="AI350" s="4" t="str">
        <f>HYPERLINK("http://exon.niaid.nih.gov/transcriptome/C_felis/S1/links/NR/cf-contig_155-NR.txt","vitellogenin C")</f>
        <v>vitellogenin C</v>
      </c>
      <c r="AJ350" t="str">
        <f>HYPERLINK("http://www.ncbi.nlm.nih.gov/sutils/blink.cgi?pid=54289297","3E-038")</f>
        <v>3E-038</v>
      </c>
      <c r="AK350" t="str">
        <f>HYPERLINK("http://www.ncbi.nlm.nih.gov/protein/54289297","gi|54289297")</f>
        <v>gi|54289297</v>
      </c>
      <c r="AL350">
        <v>162</v>
      </c>
      <c r="AM350">
        <v>1696</v>
      </c>
      <c r="AN350">
        <v>2032</v>
      </c>
      <c r="AO350">
        <v>47</v>
      </c>
      <c r="AP350">
        <v>84</v>
      </c>
      <c r="AQ350">
        <v>102</v>
      </c>
      <c r="AR350">
        <v>14</v>
      </c>
      <c r="AS350">
        <v>331</v>
      </c>
      <c r="AT350">
        <v>21</v>
      </c>
      <c r="AU350">
        <v>8</v>
      </c>
      <c r="AV350">
        <v>3</v>
      </c>
      <c r="AW350" t="s">
        <v>12</v>
      </c>
      <c r="AY350" t="s">
        <v>1676</v>
      </c>
      <c r="AZ350" t="s">
        <v>2265</v>
      </c>
      <c r="BA350" s="4" t="str">
        <f>HYPERLINK("http://exon.niaid.nih.gov/transcriptome/C_felis/S1/links/SWISSP/cf-contig_155-SWISSP.txt","Vitellogenin-A1")</f>
        <v>Vitellogenin-A1</v>
      </c>
      <c r="BB350" t="str">
        <f>HYPERLINK("http://www.uniprot.org/uniprot/Q16927","1E-029")</f>
        <v>1E-029</v>
      </c>
      <c r="BC350" t="s">
        <v>2266</v>
      </c>
      <c r="BD350">
        <v>129</v>
      </c>
      <c r="BE350">
        <v>1758</v>
      </c>
      <c r="BF350">
        <v>2169</v>
      </c>
      <c r="BG350">
        <v>39</v>
      </c>
      <c r="BH350">
        <v>81</v>
      </c>
      <c r="BI350">
        <v>119</v>
      </c>
      <c r="BJ350">
        <v>19</v>
      </c>
      <c r="BK350">
        <v>406</v>
      </c>
      <c r="BL350">
        <v>21</v>
      </c>
      <c r="BM350">
        <v>12</v>
      </c>
      <c r="BN350">
        <v>3</v>
      </c>
      <c r="BO350" t="s">
        <v>12</v>
      </c>
      <c r="BQ350" t="s">
        <v>1676</v>
      </c>
      <c r="BR350" t="s">
        <v>2267</v>
      </c>
      <c r="BS350" s="4" t="str">
        <f>HYPERLINK("http://exon.niaid.nih.gov/transcriptome/C_felis/S1/links/CDD/cf-contig_155-CDD.txt","DUF755")</f>
        <v>DUF755</v>
      </c>
      <c r="BT350" t="str">
        <f>HYPERLINK("http://www.ncbi.nlm.nih.gov/Structure/cdd/cddsrv.cgi?uid=pfam05501&amp;version=v4.0","2E-006")</f>
        <v>2E-006</v>
      </c>
      <c r="BU350" t="s">
        <v>2268</v>
      </c>
      <c r="BV350" s="4" t="s">
        <v>2269</v>
      </c>
      <c r="BW350">
        <f>HYPERLINK("http://exon.niaid.nih.gov/transcriptome/C_felis/S1/links/GO/cf-contig_155-GO.txt",5E-20)</f>
        <v>4.9999999999999999E-20</v>
      </c>
      <c r="BX350" t="str">
        <f>HYPERLINK("http://amigo.geneontology.org/cgi-bin/amigo/term_details?term=GO:0003674","GO:0003674")</f>
        <v>GO:0003674</v>
      </c>
      <c r="BY350" t="s">
        <v>1851</v>
      </c>
      <c r="BZ350" t="s">
        <v>1852</v>
      </c>
      <c r="CA350" t="s">
        <v>1853</v>
      </c>
      <c r="CB350" t="s">
        <v>42</v>
      </c>
      <c r="CD350" s="5">
        <v>4.9999999999999999E-20</v>
      </c>
      <c r="CE350" t="str">
        <f>HYPERLINK("http://amigo.geneontology.org/cgi-bin/amigo/term_details?term=GO:0005576","GO:0005576")</f>
        <v>GO:0005576</v>
      </c>
      <c r="CF350" t="s">
        <v>1854</v>
      </c>
      <c r="CG350" t="s">
        <v>1855</v>
      </c>
      <c r="CH350" t="s">
        <v>1856</v>
      </c>
      <c r="CI350" t="s">
        <v>42</v>
      </c>
      <c r="CK350" s="5">
        <v>4.9999999999999999E-20</v>
      </c>
      <c r="CL350" t="str">
        <f>HYPERLINK("http://amigo.geneontology.org/cgi-bin/amigo/term_details?term=GO:0008150","GO:0008150")</f>
        <v>GO:0008150</v>
      </c>
      <c r="CM350" t="s">
        <v>1857</v>
      </c>
      <c r="CN350" t="s">
        <v>1858</v>
      </c>
      <c r="CO350" t="s">
        <v>1859</v>
      </c>
      <c r="CP350" t="s">
        <v>42</v>
      </c>
      <c r="CR350" s="5">
        <v>4.9999999999999999E-20</v>
      </c>
      <c r="CS350" s="4" t="str">
        <f>HYPERLINK("http://exon.niaid.nih.gov/transcriptome/C_felis/S1/links/KOG/cf-contig_155-KOG.txt","Predicted C3H1-type Zn-finger protein")</f>
        <v>Predicted C3H1-type Zn-finger protein</v>
      </c>
      <c r="CT350" t="str">
        <f>HYPERLINK("http://www.ncbi.nlm.nih.gov/COG/grace/shokog.cgi?KOG3116","2E-009")</f>
        <v>2E-009</v>
      </c>
      <c r="CU350" t="s">
        <v>1721</v>
      </c>
      <c r="CV350" s="4" t="str">
        <f>HYPERLINK("http://exon.niaid.nih.gov/transcriptome/C_felis/S1/links/PFAM/cf-contig_155-PFAM.txt","DUF755")</f>
        <v>DUF755</v>
      </c>
      <c r="CW350" t="str">
        <f>HYPERLINK("http://pfam.sanger.ac.uk/family?acc=PF05501","5E-007")</f>
        <v>5E-007</v>
      </c>
      <c r="CX350" s="4" t="str">
        <f>HYPERLINK("http://exon.niaid.nih.gov/transcriptome/C_felis/S1/links/SMART/cf-contig_155-SMART.txt","CT")</f>
        <v>CT</v>
      </c>
      <c r="CY350" t="str">
        <f>HYPERLINK("http://smart.embl-heidelberg.de/smart/do_annotation.pl?DOMAIN=CT&amp;BLAST=DUMMY","6E-004")</f>
        <v>6E-004</v>
      </c>
      <c r="CZ350" s="4" t="s">
        <v>42</v>
      </c>
      <c r="DA350" t="s">
        <v>42</v>
      </c>
      <c r="DB350" t="s">
        <v>42</v>
      </c>
      <c r="DC350" t="s">
        <v>42</v>
      </c>
      <c r="DD350" t="s">
        <v>42</v>
      </c>
      <c r="DE350" t="s">
        <v>42</v>
      </c>
      <c r="DF350" t="s">
        <v>42</v>
      </c>
      <c r="DG350" t="s">
        <v>42</v>
      </c>
      <c r="DH350" s="4" t="s">
        <v>42</v>
      </c>
      <c r="DI350" t="s">
        <v>42</v>
      </c>
      <c r="DJ350" s="4" t="s">
        <v>42</v>
      </c>
      <c r="DK350" t="s">
        <v>42</v>
      </c>
      <c r="DL350" s="4">
        <f>HYPERLINK("http://exon.niaid.nih.gov/transcriptome/C_felis/S1/links/cluster/cf-5-36-asb30-50-Id-CLU44.txt", 44)</f>
        <v>44</v>
      </c>
      <c r="DM350">
        <f>HYPERLINK("http://exon.niaid.nih.gov/transcriptome/C_felis/S1/links/cluster/cf-5-36-asb30-50-Id-CLTL44.txt", 2)</f>
        <v>2</v>
      </c>
      <c r="DN350" s="4">
        <f>HYPERLINK("http://exon.niaid.nih.gov/transcriptome/C_felis/S1/links/cluster/cf-5-36-asb35-50-Id-CLU37.txt", 37)</f>
        <v>37</v>
      </c>
      <c r="DO350">
        <f>HYPERLINK("http://exon.niaid.nih.gov/transcriptome/C_felis/S1/links/cluster/cf-5-36-asb35-50-Id-CLTL37.txt", 2)</f>
        <v>2</v>
      </c>
      <c r="DP350" s="4">
        <f>HYPERLINK("http://exon.niaid.nih.gov/transcriptome/C_felis/S1/links/cluster/cf-5-36-asb40-50-Id-CLU35.txt", 35)</f>
        <v>35</v>
      </c>
      <c r="DQ350">
        <f>HYPERLINK("http://exon.niaid.nih.gov/transcriptome/C_felis/S1/links/cluster/cf-5-36-asb40-50-Id-CLTL35.txt", 2)</f>
        <v>2</v>
      </c>
      <c r="DR350" s="4">
        <f>HYPERLINK("http://exon.niaid.nih.gov/transcriptome/C_felis/S1/links/cluster/cf-5-36-asb45-50-Id-CLU33.txt", 33)</f>
        <v>33</v>
      </c>
      <c r="DS350">
        <f>HYPERLINK("http://exon.niaid.nih.gov/transcriptome/C_felis/S1/links/cluster/cf-5-36-asb45-50-Id-CLTL33.txt", 2)</f>
        <v>2</v>
      </c>
      <c r="DT350" s="4">
        <f>HYPERLINK("http://exon.niaid.nih.gov/transcriptome/C_felis/S1/links/cluster/cf-5-36-asb50-50-Id-CLU29.txt", 29)</f>
        <v>29</v>
      </c>
      <c r="DU350">
        <f>HYPERLINK("http://exon.niaid.nih.gov/transcriptome/C_felis/S1/links/cluster/cf-5-36-asb50-50-Id-CLTL29.txt", 2)</f>
        <v>2</v>
      </c>
      <c r="DV350" s="4">
        <f>HYPERLINK("http://exon.niaid.nih.gov/transcriptome/C_felis/S1/links/cluster/cf-5-36-asb55-50-Id-CLU27.txt", 27)</f>
        <v>27</v>
      </c>
      <c r="DW350">
        <f>HYPERLINK("http://exon.niaid.nih.gov/transcriptome/C_felis/S1/links/cluster/cf-5-36-asb55-50-Id-CLTL27.txt", 2)</f>
        <v>2</v>
      </c>
      <c r="DX350" s="4">
        <f>HYPERLINK("http://exon.niaid.nih.gov/transcriptome/C_felis/S1/links/cluster/cf-5-36-asb60-50-Id-CLU24.txt", 24)</f>
        <v>24</v>
      </c>
      <c r="DY350">
        <f>HYPERLINK("http://exon.niaid.nih.gov/transcriptome/C_felis/S1/links/cluster/cf-5-36-asb60-50-Id-CLTL24.txt", 2)</f>
        <v>2</v>
      </c>
      <c r="DZ350" s="4">
        <f>HYPERLINK("http://exon.niaid.nih.gov/transcriptome/C_felis/S1/links/cluster/cf-5-36-asb65-50-Id-CLU21.txt", 21)</f>
        <v>21</v>
      </c>
      <c r="EA350">
        <f>HYPERLINK("http://exon.niaid.nih.gov/transcriptome/C_felis/S1/links/cluster/cf-5-36-asb65-50-Id-CLTL21.txt", 2)</f>
        <v>2</v>
      </c>
      <c r="EB350" s="4">
        <f>HYPERLINK("http://exon.niaid.nih.gov/transcriptome/C_felis/S1/links/cluster/cf-5-36-asb70-50-Id-CLU16.txt", 16)</f>
        <v>16</v>
      </c>
      <c r="EC350">
        <f>HYPERLINK("http://exon.niaid.nih.gov/transcriptome/C_felis/S1/links/cluster/cf-5-36-asb70-50-Id-CLTL16.txt", 2)</f>
        <v>2</v>
      </c>
      <c r="ED350" s="4">
        <f>HYPERLINK("http://exon.niaid.nih.gov/transcriptome/C_felis/S1/links/cluster/cf-5-36-asb75-50-Id-CLU14.txt", 14)</f>
        <v>14</v>
      </c>
      <c r="EE350">
        <f>HYPERLINK("http://exon.niaid.nih.gov/transcriptome/C_felis/S1/links/cluster/cf-5-36-asb75-50-Id-CLTL14.txt", 2)</f>
        <v>2</v>
      </c>
      <c r="EF350" s="4">
        <v>153</v>
      </c>
      <c r="EG350">
        <v>1</v>
      </c>
      <c r="EH350" s="4">
        <v>152</v>
      </c>
      <c r="EI350">
        <v>1</v>
      </c>
      <c r="EJ350" s="4">
        <v>155</v>
      </c>
      <c r="EK350">
        <v>1</v>
      </c>
    </row>
    <row r="351" spans="1:141" x14ac:dyDescent="0.2">
      <c r="A351" t="str">
        <f>HYPERLINK("http://exon.niaid.nih.gov/transcriptome/C_felis/S1/links/cf/cf-contig_156.txt","cf-contig_156")</f>
        <v>cf-contig_156</v>
      </c>
      <c r="B351">
        <v>1</v>
      </c>
      <c r="C351" s="10" t="s">
        <v>4660</v>
      </c>
      <c r="D351">
        <v>1</v>
      </c>
      <c r="E351" t="str">
        <f>HYPERLINK("http://exon.niaid.nih.gov/transcriptome/C_felis/S1/links/cf/cf-5-36-asb-156.txt","Contig-156")</f>
        <v>Contig-156</v>
      </c>
      <c r="F351" t="str">
        <f>HYPERLINK("http://exon.niaid.nih.gov/transcriptome/C_felis/S1/links/cf/cf-5-36-156-CLU.txt","Contig156")</f>
        <v>Contig156</v>
      </c>
      <c r="G351" t="str">
        <f>HYPERLINK("http://exon.niaid.nih.gov/transcriptome/C_felis/S1/links/cf/cf-5-36-156-qual.txt","50.8")</f>
        <v>50.8</v>
      </c>
      <c r="H351" t="s">
        <v>11</v>
      </c>
      <c r="I351">
        <v>55.5</v>
      </c>
      <c r="J351">
        <v>536</v>
      </c>
      <c r="K351" t="s">
        <v>12</v>
      </c>
      <c r="L351">
        <v>1</v>
      </c>
      <c r="M351" t="s">
        <v>169</v>
      </c>
      <c r="N351">
        <v>536</v>
      </c>
      <c r="O351">
        <v>555</v>
      </c>
      <c r="P351">
        <v>453</v>
      </c>
      <c r="Q351" t="s">
        <v>976</v>
      </c>
      <c r="R351">
        <v>1</v>
      </c>
      <c r="S351" s="7" t="str">
        <f>HYPERLINK("http://exon.niaid.nih.gov/transcriptome/C_felis/S1/links/Sigp/CF-CONTIG_156-SigP.txt","Cyt")</f>
        <v>Cyt</v>
      </c>
      <c r="U351">
        <v>1</v>
      </c>
      <c r="V351" s="4">
        <f>HYPERLINK("http://exon.niaid.nih.gov/transcriptome/C_felis/S1/links/cluster/cf-5-36-asb30-50-Id-CLU44.txt", 44)</f>
        <v>44</v>
      </c>
      <c r="W351">
        <f>HYPERLINK("http://exon.niaid.nih.gov/transcriptome/C_felis/S1/links/cluster/cf-5-36-asb30-50-Id-CLTL44.txt", 2)</f>
        <v>2</v>
      </c>
      <c r="X351" s="4">
        <f>HYPERLINK("http://exon.niaid.nih.gov/transcriptome/C_felis/S1/links/cluster/cf-5-36-asb35-50-Id-CLU37.txt", 37)</f>
        <v>37</v>
      </c>
      <c r="Y351">
        <f>HYPERLINK("http://exon.niaid.nih.gov/transcriptome/C_felis/S1/links/cluster/cf-5-36-asb35-50-Id-CLTL37.txt", 2)</f>
        <v>2</v>
      </c>
      <c r="Z351" s="4">
        <f>HYPERLINK("http://exon.niaid.nih.gov/transcriptome/C_felis/S1/links/cluster/cf-5-36-asb40-50-Id-CLU35.txt", 35)</f>
        <v>35</v>
      </c>
      <c r="AA351">
        <f>HYPERLINK("http://exon.niaid.nih.gov/transcriptome/C_felis/S1/links/cluster/cf-5-36-asb40-50-Id-CLTL35.txt", 2)</f>
        <v>2</v>
      </c>
      <c r="AB351" s="4" t="str">
        <f>HYPERLINK("http://exon.niaid.nih.gov/transcriptome/C_felis/S1/links/XC-ASB/cf-contig_156-XC-ASB.txt","XC-contig_57")</f>
        <v>XC-contig_57</v>
      </c>
      <c r="AC351">
        <v>7.9999999999999995E-11</v>
      </c>
      <c r="AD351" s="10" t="s">
        <v>4660</v>
      </c>
      <c r="AE351" t="s">
        <v>4661</v>
      </c>
      <c r="AF351" t="str">
        <f>HYPERLINK("http://exon.niaid.nih.gov/transcriptome/C_felis/S1/links/NR/cf-contig_156-NR.txt","NR")</f>
        <v>NR</v>
      </c>
      <c r="AG351" s="5">
        <v>6.0000000000000001E-32</v>
      </c>
      <c r="AH351">
        <v>7.6</v>
      </c>
      <c r="AI351" s="4" t="str">
        <f>HYPERLINK("http://exon.niaid.nih.gov/transcriptome/C_felis/S1/links/NR/cf-contig_156-NR.txt","vitellogenin C")</f>
        <v>vitellogenin C</v>
      </c>
      <c r="AJ351" t="str">
        <f>HYPERLINK("http://www.ncbi.nlm.nih.gov/sutils/blink.cgi?pid=54289297","6E-032")</f>
        <v>6E-032</v>
      </c>
      <c r="AK351" t="str">
        <f>HYPERLINK("http://www.ncbi.nlm.nih.gov/protein/54289297","gi|54289297")</f>
        <v>gi|54289297</v>
      </c>
      <c r="AL351">
        <v>141</v>
      </c>
      <c r="AM351">
        <v>1680</v>
      </c>
      <c r="AN351">
        <v>2032</v>
      </c>
      <c r="AO351">
        <v>50</v>
      </c>
      <c r="AP351">
        <v>83</v>
      </c>
      <c r="AQ351">
        <v>78</v>
      </c>
      <c r="AR351">
        <v>11</v>
      </c>
      <c r="AS351">
        <v>347</v>
      </c>
      <c r="AT351">
        <v>10</v>
      </c>
      <c r="AU351">
        <v>7</v>
      </c>
      <c r="AV351">
        <v>1</v>
      </c>
      <c r="AW351" t="s">
        <v>12</v>
      </c>
      <c r="AY351" t="s">
        <v>1676</v>
      </c>
      <c r="AZ351" t="s">
        <v>2265</v>
      </c>
      <c r="BA351" s="4" t="str">
        <f>HYPERLINK("http://exon.niaid.nih.gov/transcriptome/C_felis/S1/links/SWISSP/cf-contig_156-SWISSP.txt","Vitellogenin-A1")</f>
        <v>Vitellogenin-A1</v>
      </c>
      <c r="BB351" t="str">
        <f>HYPERLINK("http://www.uniprot.org/uniprot/Q16927","9E-022")</f>
        <v>9E-022</v>
      </c>
      <c r="BC351" t="s">
        <v>2266</v>
      </c>
      <c r="BD351">
        <v>103</v>
      </c>
      <c r="BE351">
        <v>1746</v>
      </c>
      <c r="BF351">
        <v>2169</v>
      </c>
      <c r="BG351">
        <v>42</v>
      </c>
      <c r="BH351">
        <v>81</v>
      </c>
      <c r="BI351">
        <v>79</v>
      </c>
      <c r="BJ351">
        <v>8</v>
      </c>
      <c r="BK351">
        <v>0</v>
      </c>
      <c r="BL351">
        <v>0</v>
      </c>
      <c r="BM351">
        <v>21</v>
      </c>
      <c r="BN351">
        <v>1</v>
      </c>
      <c r="BO351" t="s">
        <v>12</v>
      </c>
      <c r="BQ351" t="s">
        <v>1676</v>
      </c>
      <c r="BR351" t="s">
        <v>2267</v>
      </c>
      <c r="BS351" s="4" t="str">
        <f>HYPERLINK("http://exon.niaid.nih.gov/transcriptome/C_felis/S1/links/CDD/cf-contig_156-CDD.txt","DUF755")</f>
        <v>DUF755</v>
      </c>
      <c r="BT351" t="str">
        <f>HYPERLINK("http://www.ncbi.nlm.nih.gov/Structure/cdd/cddsrv.cgi?uid=pfam05501&amp;version=v4.0","1E-006")</f>
        <v>1E-006</v>
      </c>
      <c r="BU351" t="s">
        <v>2270</v>
      </c>
      <c r="BV351" s="4" t="s">
        <v>2269</v>
      </c>
      <c r="BW351">
        <f>HYPERLINK("http://exon.niaid.nih.gov/transcriptome/C_felis/S1/links/GO/cf-contig_156-GO.txt",0.0000000000003)</f>
        <v>2.9999999999999998E-13</v>
      </c>
      <c r="BX351" t="str">
        <f>HYPERLINK("http://amigo.geneontology.org/cgi-bin/amigo/term_details?term=GO:0003674","GO:0003674")</f>
        <v>GO:0003674</v>
      </c>
      <c r="BY351" t="s">
        <v>1851</v>
      </c>
      <c r="BZ351" t="s">
        <v>1852</v>
      </c>
      <c r="CA351" t="s">
        <v>1853</v>
      </c>
      <c r="CB351" t="s">
        <v>42</v>
      </c>
      <c r="CD351">
        <v>2.9999999999999998E-13</v>
      </c>
      <c r="CE351" t="str">
        <f>HYPERLINK("http://amigo.geneontology.org/cgi-bin/amigo/term_details?term=GO:0005576","GO:0005576")</f>
        <v>GO:0005576</v>
      </c>
      <c r="CF351" t="s">
        <v>1854</v>
      </c>
      <c r="CG351" t="s">
        <v>1855</v>
      </c>
      <c r="CH351" t="s">
        <v>1856</v>
      </c>
      <c r="CI351" t="s">
        <v>42</v>
      </c>
      <c r="CK351">
        <v>2.9999999999999998E-13</v>
      </c>
      <c r="CL351" t="str">
        <f>HYPERLINK("http://amigo.geneontology.org/cgi-bin/amigo/term_details?term=GO:0008150","GO:0008150")</f>
        <v>GO:0008150</v>
      </c>
      <c r="CM351" t="s">
        <v>1857</v>
      </c>
      <c r="CN351" t="s">
        <v>1858</v>
      </c>
      <c r="CO351" t="s">
        <v>1859</v>
      </c>
      <c r="CP351" t="s">
        <v>42</v>
      </c>
      <c r="CR351">
        <v>2.9999999999999998E-13</v>
      </c>
      <c r="CS351" s="4" t="str">
        <f>HYPERLINK("http://exon.niaid.nih.gov/transcriptome/C_felis/S1/links/KOG/cf-contig_156-KOG.txt","Predicted C3H1-type Zn-finger protein")</f>
        <v>Predicted C3H1-type Zn-finger protein</v>
      </c>
      <c r="CT351" t="str">
        <f>HYPERLINK("http://www.ncbi.nlm.nih.gov/COG/grace/shokog.cgi?KOG3116","2E-009")</f>
        <v>2E-009</v>
      </c>
      <c r="CU351" t="s">
        <v>1721</v>
      </c>
      <c r="CV351" s="4" t="str">
        <f>HYPERLINK("http://exon.niaid.nih.gov/transcriptome/C_felis/S1/links/PFAM/cf-contig_156-PFAM.txt","DUF755")</f>
        <v>DUF755</v>
      </c>
      <c r="CW351" t="str">
        <f>HYPERLINK("http://pfam.sanger.ac.uk/family?acc=PF05501","3E-007")</f>
        <v>3E-007</v>
      </c>
      <c r="CX351" s="4" t="str">
        <f>HYPERLINK("http://exon.niaid.nih.gov/transcriptome/C_felis/S1/links/SMART/cf-contig_156-SMART.txt","PCRF")</f>
        <v>PCRF</v>
      </c>
      <c r="CY351" t="str">
        <f>HYPERLINK("http://smart.embl-heidelberg.de/smart/do_annotation.pl?DOMAIN=PCRF&amp;BLAST=DUMMY","0.002")</f>
        <v>0.002</v>
      </c>
      <c r="CZ351" s="4" t="s">
        <v>42</v>
      </c>
      <c r="DA351" t="s">
        <v>42</v>
      </c>
      <c r="DB351" t="s">
        <v>42</v>
      </c>
      <c r="DC351" t="s">
        <v>42</v>
      </c>
      <c r="DD351" t="s">
        <v>42</v>
      </c>
      <c r="DE351" t="s">
        <v>42</v>
      </c>
      <c r="DF351" t="s">
        <v>42</v>
      </c>
      <c r="DG351" t="s">
        <v>42</v>
      </c>
      <c r="DH351" s="4" t="s">
        <v>42</v>
      </c>
      <c r="DI351" t="s">
        <v>42</v>
      </c>
      <c r="DJ351" s="4" t="s">
        <v>42</v>
      </c>
      <c r="DK351" t="s">
        <v>42</v>
      </c>
      <c r="DL351" s="4">
        <f>HYPERLINK("http://exon.niaid.nih.gov/transcriptome/C_felis/S1/links/cluster/cf-5-36-asb30-50-Id-CLU44.txt", 44)</f>
        <v>44</v>
      </c>
      <c r="DM351">
        <f>HYPERLINK("http://exon.niaid.nih.gov/transcriptome/C_felis/S1/links/cluster/cf-5-36-asb30-50-Id-CLTL44.txt", 2)</f>
        <v>2</v>
      </c>
      <c r="DN351" s="4">
        <f>HYPERLINK("http://exon.niaid.nih.gov/transcriptome/C_felis/S1/links/cluster/cf-5-36-asb35-50-Id-CLU37.txt", 37)</f>
        <v>37</v>
      </c>
      <c r="DO351">
        <f>HYPERLINK("http://exon.niaid.nih.gov/transcriptome/C_felis/S1/links/cluster/cf-5-36-asb35-50-Id-CLTL37.txt", 2)</f>
        <v>2</v>
      </c>
      <c r="DP351" s="4">
        <f>HYPERLINK("http://exon.niaid.nih.gov/transcriptome/C_felis/S1/links/cluster/cf-5-36-asb40-50-Id-CLU35.txt", 35)</f>
        <v>35</v>
      </c>
      <c r="DQ351">
        <f>HYPERLINK("http://exon.niaid.nih.gov/transcriptome/C_felis/S1/links/cluster/cf-5-36-asb40-50-Id-CLTL35.txt", 2)</f>
        <v>2</v>
      </c>
      <c r="DR351" s="4">
        <f>HYPERLINK("http://exon.niaid.nih.gov/transcriptome/C_felis/S1/links/cluster/cf-5-36-asb45-50-Id-CLU33.txt", 33)</f>
        <v>33</v>
      </c>
      <c r="DS351">
        <f>HYPERLINK("http://exon.niaid.nih.gov/transcriptome/C_felis/S1/links/cluster/cf-5-36-asb45-50-Id-CLTL33.txt", 2)</f>
        <v>2</v>
      </c>
      <c r="DT351" s="4">
        <f>HYPERLINK("http://exon.niaid.nih.gov/transcriptome/C_felis/S1/links/cluster/cf-5-36-asb50-50-Id-CLU29.txt", 29)</f>
        <v>29</v>
      </c>
      <c r="DU351">
        <f>HYPERLINK("http://exon.niaid.nih.gov/transcriptome/C_felis/S1/links/cluster/cf-5-36-asb50-50-Id-CLTL29.txt", 2)</f>
        <v>2</v>
      </c>
      <c r="DV351" s="4">
        <f>HYPERLINK("http://exon.niaid.nih.gov/transcriptome/C_felis/S1/links/cluster/cf-5-36-asb55-50-Id-CLU27.txt", 27)</f>
        <v>27</v>
      </c>
      <c r="DW351">
        <f>HYPERLINK("http://exon.niaid.nih.gov/transcriptome/C_felis/S1/links/cluster/cf-5-36-asb55-50-Id-CLTL27.txt", 2)</f>
        <v>2</v>
      </c>
      <c r="DX351" s="4">
        <f>HYPERLINK("http://exon.niaid.nih.gov/transcriptome/C_felis/S1/links/cluster/cf-5-36-asb60-50-Id-CLU24.txt", 24)</f>
        <v>24</v>
      </c>
      <c r="DY351">
        <f>HYPERLINK("http://exon.niaid.nih.gov/transcriptome/C_felis/S1/links/cluster/cf-5-36-asb60-50-Id-CLTL24.txt", 2)</f>
        <v>2</v>
      </c>
      <c r="DZ351" s="4">
        <f>HYPERLINK("http://exon.niaid.nih.gov/transcriptome/C_felis/S1/links/cluster/cf-5-36-asb65-50-Id-CLU21.txt", 21)</f>
        <v>21</v>
      </c>
      <c r="EA351">
        <f>HYPERLINK("http://exon.niaid.nih.gov/transcriptome/C_felis/S1/links/cluster/cf-5-36-asb65-50-Id-CLTL21.txt", 2)</f>
        <v>2</v>
      </c>
      <c r="EB351" s="4">
        <f>HYPERLINK("http://exon.niaid.nih.gov/transcriptome/C_felis/S1/links/cluster/cf-5-36-asb70-50-Id-CLU16.txt", 16)</f>
        <v>16</v>
      </c>
      <c r="EC351">
        <f>HYPERLINK("http://exon.niaid.nih.gov/transcriptome/C_felis/S1/links/cluster/cf-5-36-asb70-50-Id-CLTL16.txt", 2)</f>
        <v>2</v>
      </c>
      <c r="ED351" s="4">
        <f>HYPERLINK("http://exon.niaid.nih.gov/transcriptome/C_felis/S1/links/cluster/cf-5-36-asb75-50-Id-CLU14.txt", 14)</f>
        <v>14</v>
      </c>
      <c r="EE351">
        <f>HYPERLINK("http://exon.niaid.nih.gov/transcriptome/C_felis/S1/links/cluster/cf-5-36-asb75-50-Id-CLTL14.txt", 2)</f>
        <v>2</v>
      </c>
      <c r="EF351" s="4">
        <v>154</v>
      </c>
      <c r="EG351">
        <v>1</v>
      </c>
      <c r="EH351" s="4">
        <v>153</v>
      </c>
      <c r="EI351">
        <v>1</v>
      </c>
      <c r="EJ351" s="4">
        <v>156</v>
      </c>
      <c r="EK351">
        <v>1</v>
      </c>
    </row>
    <row r="352" spans="1:141" x14ac:dyDescent="0.2">
      <c r="A352" t="str">
        <f>HYPERLINK("http://exon.niaid.nih.gov/transcriptome/C_felis/S1/links/cf/cf-contig_472.txt","cf-contig_472")</f>
        <v>cf-contig_472</v>
      </c>
      <c r="B352">
        <v>1</v>
      </c>
      <c r="C352" s="10" t="s">
        <v>4778</v>
      </c>
      <c r="D352">
        <v>1</v>
      </c>
      <c r="E352" t="str">
        <f>HYPERLINK("http://exon.niaid.nih.gov/transcriptome/C_felis/S1/links/cf/cf-5-36-asb-472.txt","Contig-472")</f>
        <v>Contig-472</v>
      </c>
      <c r="F352" t="str">
        <f>HYPERLINK("http://exon.niaid.nih.gov/transcriptome/C_felis/S1/links/cf/cf-5-36-472-CLU.txt","Contig472")</f>
        <v>Contig472</v>
      </c>
      <c r="G352" t="str">
        <f>HYPERLINK("http://exon.niaid.nih.gov/transcriptome/C_felis/S1/links/cf/cf-5-36-472-qual.txt","46.7")</f>
        <v>46.7</v>
      </c>
      <c r="H352" t="s">
        <v>11</v>
      </c>
      <c r="I352">
        <v>68.900000000000006</v>
      </c>
      <c r="J352">
        <v>598</v>
      </c>
      <c r="K352" t="s">
        <v>12</v>
      </c>
      <c r="L352">
        <v>1</v>
      </c>
      <c r="M352" t="s">
        <v>485</v>
      </c>
      <c r="N352">
        <v>598</v>
      </c>
      <c r="O352">
        <v>617</v>
      </c>
      <c r="P352">
        <v>300</v>
      </c>
      <c r="Q352" t="s">
        <v>1291</v>
      </c>
      <c r="R352">
        <v>1</v>
      </c>
      <c r="S352" s="7" t="str">
        <f>HYPERLINK("http://exon.niaid.nih.gov/transcriptome/C_felis/S1/links/Sigp/CF-CONTIG_472-SigP.txt","SIG")</f>
        <v>SIG</v>
      </c>
      <c r="T352" t="s">
        <v>4586</v>
      </c>
      <c r="U352">
        <v>1</v>
      </c>
      <c r="V352" s="4">
        <v>383</v>
      </c>
      <c r="W352">
        <v>1</v>
      </c>
      <c r="X352" s="4">
        <v>392</v>
      </c>
      <c r="Y352">
        <v>1</v>
      </c>
      <c r="Z352" s="4">
        <v>397</v>
      </c>
      <c r="AA352">
        <v>1</v>
      </c>
      <c r="AB352" s="4" t="str">
        <f>HYPERLINK("http://exon.niaid.nih.gov/transcriptome/C_felis/S1/links/XC-ASB/cf-contig_472-XC-ASB.txt","XC-contig_202")</f>
        <v>XC-contig_202</v>
      </c>
      <c r="AC352">
        <v>4E-51</v>
      </c>
      <c r="AD352" s="10" t="s">
        <v>4778</v>
      </c>
      <c r="AE352" t="s">
        <v>4779</v>
      </c>
      <c r="AF352" t="str">
        <f>HYPERLINK("http://exon.niaid.nih.gov/transcriptome/C_felis/S1/links/NR/cf-contig_472-NR.txt","NR")</f>
        <v>NR</v>
      </c>
      <c r="AG352" s="5">
        <v>3E-28</v>
      </c>
      <c r="AH352">
        <v>45.1</v>
      </c>
      <c r="AI352" s="4" t="str">
        <f>HYPERLINK("http://exon.niaid.nih.gov/transcriptome/C_felis/S1/links/NR/cf-contig_472-NR.txt","similar to ferritin")</f>
        <v>similar to ferritin</v>
      </c>
      <c r="AJ352" t="str">
        <f>HYPERLINK("http://www.ncbi.nlm.nih.gov/sutils/blink.cgi?pid=91077442","3E-028")</f>
        <v>3E-028</v>
      </c>
      <c r="AK352" t="str">
        <f>HYPERLINK("http://www.ncbi.nlm.nih.gov/protein/91077442","gi|91077442")</f>
        <v>gi|91077442</v>
      </c>
      <c r="AL352">
        <v>129</v>
      </c>
      <c r="AM352">
        <v>96</v>
      </c>
      <c r="AN352">
        <v>215</v>
      </c>
      <c r="AO352">
        <v>67</v>
      </c>
      <c r="AP352">
        <v>45</v>
      </c>
      <c r="AQ352">
        <v>32</v>
      </c>
      <c r="AR352">
        <v>0</v>
      </c>
      <c r="AS352">
        <v>115</v>
      </c>
      <c r="AT352">
        <v>7</v>
      </c>
      <c r="AU352">
        <v>1</v>
      </c>
      <c r="AV352">
        <v>1</v>
      </c>
      <c r="AW352" t="s">
        <v>12</v>
      </c>
      <c r="AY352" t="s">
        <v>1676</v>
      </c>
      <c r="AZ352" t="s">
        <v>1878</v>
      </c>
      <c r="BA352" s="4" t="str">
        <f>HYPERLINK("http://exon.niaid.nih.gov/transcriptome/C_felis/S1/links/SWISSP/cf-contig_472-SWISSP.txt","Ferritin subunit")</f>
        <v>Ferritin subunit</v>
      </c>
      <c r="BB352" t="str">
        <f>HYPERLINK("http://www.uniprot.org/uniprot/P41822","6E-020")</f>
        <v>6E-020</v>
      </c>
      <c r="BC352" t="s">
        <v>3384</v>
      </c>
      <c r="BD352">
        <v>97.4</v>
      </c>
      <c r="BE352">
        <v>83</v>
      </c>
      <c r="BF352">
        <v>209</v>
      </c>
      <c r="BG352">
        <v>58</v>
      </c>
      <c r="BH352">
        <v>40</v>
      </c>
      <c r="BI352">
        <v>36</v>
      </c>
      <c r="BJ352">
        <v>0</v>
      </c>
      <c r="BK352">
        <v>123</v>
      </c>
      <c r="BL352">
        <v>31</v>
      </c>
      <c r="BM352">
        <v>1</v>
      </c>
      <c r="BN352">
        <v>1</v>
      </c>
      <c r="BO352" t="s">
        <v>12</v>
      </c>
      <c r="BQ352" t="s">
        <v>1676</v>
      </c>
      <c r="BR352" t="s">
        <v>2267</v>
      </c>
      <c r="BS352" s="4" t="str">
        <f>HYPERLINK("http://exon.niaid.nih.gov/transcriptome/C_felis/S1/links/CDD/cf-contig_472-CDD.txt","Euk_Ferritin")</f>
        <v>Euk_Ferritin</v>
      </c>
      <c r="BT352" t="str">
        <f>HYPERLINK("http://www.ncbi.nlm.nih.gov/Structure/cdd/cddsrv.cgi?uid=cd01056&amp;version=v4.0","8E-023")</f>
        <v>8E-023</v>
      </c>
      <c r="BU352" t="s">
        <v>3385</v>
      </c>
      <c r="BV352" s="4" t="s">
        <v>3386</v>
      </c>
      <c r="BW352">
        <f>HYPERLINK("http://exon.niaid.nih.gov/transcriptome/C_felis/S1/links/GO/cf-contig_472-GO.txt",3E-22)</f>
        <v>2.9999999999999999E-22</v>
      </c>
      <c r="BX352" t="str">
        <f>HYPERLINK("http://amigo.geneontology.org/cgi-bin/amigo/term_details?term=GO:0008198","GO:0008198")</f>
        <v>GO:0008198</v>
      </c>
      <c r="BY352" t="s">
        <v>3387</v>
      </c>
      <c r="BZ352" t="s">
        <v>3388</v>
      </c>
      <c r="CA352" t="s">
        <v>42</v>
      </c>
      <c r="CB352" t="s">
        <v>42</v>
      </c>
      <c r="CD352" s="5">
        <v>2.9999999999999999E-22</v>
      </c>
      <c r="CE352" t="str">
        <f>HYPERLINK("http://amigo.geneontology.org/cgi-bin/amigo/term_details?term=GO:0008043","GO:0008043")</f>
        <v>GO:0008043</v>
      </c>
      <c r="CF352" t="s">
        <v>3389</v>
      </c>
      <c r="CG352" t="s">
        <v>3390</v>
      </c>
      <c r="CH352" t="s">
        <v>42</v>
      </c>
      <c r="CI352" t="s">
        <v>42</v>
      </c>
      <c r="CK352" s="5">
        <v>2.9999999999999999E-22</v>
      </c>
      <c r="CL352" t="str">
        <f>HYPERLINK("http://amigo.geneontology.org/cgi-bin/amigo/term_details?term=GO:0006879","GO:0006879")</f>
        <v>GO:0006879</v>
      </c>
      <c r="CM352" t="s">
        <v>3391</v>
      </c>
      <c r="CN352" t="s">
        <v>3392</v>
      </c>
      <c r="CO352" t="s">
        <v>3393</v>
      </c>
      <c r="CP352" t="s">
        <v>42</v>
      </c>
      <c r="CR352" s="5">
        <v>2.9999999999999999E-22</v>
      </c>
      <c r="CS352" s="4" t="str">
        <f>HYPERLINK("http://exon.niaid.nih.gov/transcriptome/C_felis/S1/links/KOG/cf-contig_472-KOG.txt","Ferritin")</f>
        <v>Ferritin</v>
      </c>
      <c r="CT352" t="str">
        <f>HYPERLINK("http://www.ncbi.nlm.nih.gov/COG/grace/shokog.cgi?KOG2332","1E-016")</f>
        <v>1E-016</v>
      </c>
      <c r="CU352" t="s">
        <v>1681</v>
      </c>
      <c r="CV352" s="4" t="str">
        <f>HYPERLINK("http://exon.niaid.nih.gov/transcriptome/C_felis/S1/links/PFAM/cf-contig_472-PFAM.txt","Ferritin")</f>
        <v>Ferritin</v>
      </c>
      <c r="CW352" t="str">
        <f>HYPERLINK("http://pfam.sanger.ac.uk/family?acc=PF00210","5E-009")</f>
        <v>5E-009</v>
      </c>
      <c r="CX352" s="4" t="str">
        <f>HYPERLINK("http://exon.niaid.nih.gov/transcriptome/C_felis/S1/links/SMART/cf-contig_472-SMART.txt","SecA_PP_bind")</f>
        <v>SecA_PP_bind</v>
      </c>
      <c r="CY352" t="str">
        <f>HYPERLINK("http://smart.embl-heidelberg.de/smart/do_annotation.pl?DOMAIN=SecA_PP_bind&amp;BLAST=DUMMY","0.11")</f>
        <v>0.11</v>
      </c>
      <c r="CZ352" s="4" t="s">
        <v>42</v>
      </c>
      <c r="DA352" t="s">
        <v>42</v>
      </c>
      <c r="DB352" t="s">
        <v>42</v>
      </c>
      <c r="DC352" t="s">
        <v>42</v>
      </c>
      <c r="DD352" t="s">
        <v>42</v>
      </c>
      <c r="DE352" t="s">
        <v>42</v>
      </c>
      <c r="DF352" t="s">
        <v>42</v>
      </c>
      <c r="DG352" t="s">
        <v>42</v>
      </c>
      <c r="DH352" s="4" t="s">
        <v>42</v>
      </c>
      <c r="DI352" t="s">
        <v>42</v>
      </c>
      <c r="DJ352" s="4" t="s">
        <v>42</v>
      </c>
      <c r="DK352" t="s">
        <v>42</v>
      </c>
      <c r="DL352" s="4">
        <v>383</v>
      </c>
      <c r="DM352">
        <v>1</v>
      </c>
      <c r="DN352" s="4">
        <v>392</v>
      </c>
      <c r="DO352">
        <v>1</v>
      </c>
      <c r="DP352" s="4">
        <v>397</v>
      </c>
      <c r="DQ352">
        <v>1</v>
      </c>
      <c r="DR352" s="4">
        <v>412</v>
      </c>
      <c r="DS352">
        <v>1</v>
      </c>
      <c r="DT352" s="4">
        <v>422</v>
      </c>
      <c r="DU352">
        <v>1</v>
      </c>
      <c r="DV352" s="4">
        <v>436</v>
      </c>
      <c r="DW352">
        <v>1</v>
      </c>
      <c r="DX352" s="4">
        <v>440</v>
      </c>
      <c r="DY352">
        <v>1</v>
      </c>
      <c r="DZ352" s="4">
        <v>446</v>
      </c>
      <c r="EA352">
        <v>1</v>
      </c>
      <c r="EB352" s="4">
        <v>451</v>
      </c>
      <c r="EC352">
        <v>1</v>
      </c>
      <c r="ED352" s="4">
        <v>455</v>
      </c>
      <c r="EE352">
        <v>1</v>
      </c>
      <c r="EF352" s="4">
        <v>460</v>
      </c>
      <c r="EG352">
        <v>1</v>
      </c>
      <c r="EH352" s="4">
        <v>466</v>
      </c>
      <c r="EI352">
        <v>1</v>
      </c>
      <c r="EJ352" s="4">
        <v>472</v>
      </c>
      <c r="EK352">
        <v>1</v>
      </c>
    </row>
    <row r="353" spans="1:141" s="6" customFormat="1" ht="12" customHeight="1" x14ac:dyDescent="0.2">
      <c r="A353" s="12" t="s">
        <v>4899</v>
      </c>
      <c r="AB353" s="6" t="s">
        <v>42</v>
      </c>
    </row>
    <row r="354" spans="1:141" x14ac:dyDescent="0.2">
      <c r="A354" t="str">
        <f>HYPERLINK("http://exon.niaid.nih.gov/transcriptome/C_felis/S1/links/cf/cf-contig_321.txt","cf-contig_321")</f>
        <v>cf-contig_321</v>
      </c>
      <c r="B354">
        <v>1</v>
      </c>
      <c r="C354" s="10" t="s">
        <v>4732</v>
      </c>
      <c r="D354">
        <v>1</v>
      </c>
      <c r="E354" t="str">
        <f>HYPERLINK("http://exon.niaid.nih.gov/transcriptome/C_felis/S1/links/cf/cf-5-36-asb-321.txt","Contig-321")</f>
        <v>Contig-321</v>
      </c>
      <c r="F354" t="str">
        <f>HYPERLINK("http://exon.niaid.nih.gov/transcriptome/C_felis/S1/links/cf/cf-5-36-321-CLU.txt","Contig321")</f>
        <v>Contig321</v>
      </c>
      <c r="G354" t="str">
        <f>HYPERLINK("http://exon.niaid.nih.gov/transcriptome/C_felis/S1/links/cf/cf-5-36-321-qual.txt","63.3")</f>
        <v>63.3</v>
      </c>
      <c r="H354" t="s">
        <v>11</v>
      </c>
      <c r="I354">
        <v>54.3</v>
      </c>
      <c r="J354">
        <v>333</v>
      </c>
      <c r="K354" t="s">
        <v>12</v>
      </c>
      <c r="L354">
        <v>1</v>
      </c>
      <c r="M354" t="s">
        <v>334</v>
      </c>
      <c r="N354">
        <v>333</v>
      </c>
      <c r="O354">
        <v>352</v>
      </c>
      <c r="P354">
        <v>309</v>
      </c>
      <c r="Q354" t="s">
        <v>1141</v>
      </c>
      <c r="R354">
        <v>2</v>
      </c>
      <c r="S354" s="7" t="str">
        <f>HYPERLINK("http://exon.niaid.nih.gov/transcriptome/C_felis/S1/links/Sigp/CF-CONTIG_321-SigP.txt","Cyt")</f>
        <v>Cyt</v>
      </c>
      <c r="U354">
        <v>1</v>
      </c>
      <c r="V354" s="4">
        <v>258</v>
      </c>
      <c r="W354">
        <v>1</v>
      </c>
      <c r="X354" s="4">
        <v>264</v>
      </c>
      <c r="Y354">
        <v>1</v>
      </c>
      <c r="Z354" s="4">
        <v>263</v>
      </c>
      <c r="AA354">
        <v>1</v>
      </c>
      <c r="AB354" s="4" t="str">
        <f>HYPERLINK("http://exon.niaid.nih.gov/transcriptome/C_felis/S1/links/XC-ASB/cf-contig_321-XC-ASB.txt","XC-contig_151")</f>
        <v>XC-contig_151</v>
      </c>
      <c r="AC354">
        <v>3.0000000000000001E-6</v>
      </c>
      <c r="AD354" s="10" t="s">
        <v>4732</v>
      </c>
      <c r="AE354" t="s">
        <v>4704</v>
      </c>
      <c r="AF354" t="str">
        <f>HYPERLINK("http://exon.niaid.nih.gov/transcriptome/C_felis/S1/links/NR/cf-contig_321-NR.txt","NR")</f>
        <v>NR</v>
      </c>
      <c r="AG354" s="5">
        <v>9.9999999999999997E-48</v>
      </c>
      <c r="AH354">
        <v>33.6</v>
      </c>
      <c r="AI354" s="4" t="str">
        <f>HYPERLINK("http://exon.niaid.nih.gov/transcriptome/C_felis/S1/links/NR/cf-contig_321-NR.txt","ADP/ATP translocase")</f>
        <v>ADP/ATP translocase</v>
      </c>
      <c r="AJ354" t="str">
        <f>HYPERLINK("http://www.ncbi.nlm.nih.gov/sutils/blink.cgi?pid=122938545","1E-047")</f>
        <v>1E-047</v>
      </c>
      <c r="AK354" t="str">
        <f>HYPERLINK("http://www.ncbi.nlm.nih.gov/protein/122938545","gi|122938545")</f>
        <v>gi|122938545</v>
      </c>
      <c r="AL354">
        <v>192</v>
      </c>
      <c r="AM354">
        <v>100</v>
      </c>
      <c r="AN354">
        <v>300</v>
      </c>
      <c r="AO354">
        <v>91</v>
      </c>
      <c r="AP354">
        <v>34</v>
      </c>
      <c r="AQ354">
        <v>9</v>
      </c>
      <c r="AR354">
        <v>0</v>
      </c>
      <c r="AS354">
        <v>200</v>
      </c>
      <c r="AT354">
        <v>8</v>
      </c>
      <c r="AU354">
        <v>1</v>
      </c>
      <c r="AV354">
        <v>2</v>
      </c>
      <c r="AW354" t="s">
        <v>12</v>
      </c>
      <c r="AY354" t="s">
        <v>1676</v>
      </c>
      <c r="AZ354" t="s">
        <v>2820</v>
      </c>
      <c r="BA354" s="4" t="str">
        <f>HYPERLINK("http://exon.niaid.nih.gov/transcriptome/C_felis/S1/links/SWISSP/cf-contig_321-SWISSP.txt","ADP,ATP carrier protein 2")</f>
        <v>ADP,ATP carrier protein 2</v>
      </c>
      <c r="BB354" t="str">
        <f>HYPERLINK("http://www.uniprot.org/uniprot/Q7PQV7","4E-047")</f>
        <v>4E-047</v>
      </c>
      <c r="BC354" t="s">
        <v>2821</v>
      </c>
      <c r="BD354">
        <v>186</v>
      </c>
      <c r="BE354">
        <v>166</v>
      </c>
      <c r="BF354">
        <v>300</v>
      </c>
      <c r="BG354">
        <v>88</v>
      </c>
      <c r="BH354">
        <v>56</v>
      </c>
      <c r="BI354">
        <v>12</v>
      </c>
      <c r="BJ354">
        <v>0</v>
      </c>
      <c r="BK354">
        <v>134</v>
      </c>
      <c r="BL354">
        <v>8</v>
      </c>
      <c r="BM354">
        <v>2</v>
      </c>
      <c r="BN354">
        <v>2</v>
      </c>
      <c r="BO354" t="s">
        <v>12</v>
      </c>
      <c r="BQ354" t="s">
        <v>1676</v>
      </c>
      <c r="BR354" t="s">
        <v>2117</v>
      </c>
      <c r="BS354" s="4" t="str">
        <f>HYPERLINK("http://exon.niaid.nih.gov/transcriptome/C_felis/S1/links/CDD/cf-contig_321-CDD.txt","PTZ00169")</f>
        <v>PTZ00169</v>
      </c>
      <c r="BT354" t="str">
        <f>HYPERLINK("http://www.ncbi.nlm.nih.gov/Structure/cdd/cddsrv.cgi?uid=PTZ00169&amp;version=v4.0","2E-040")</f>
        <v>2E-040</v>
      </c>
      <c r="BU354" t="s">
        <v>2822</v>
      </c>
      <c r="BV354" s="4" t="s">
        <v>2823</v>
      </c>
      <c r="BW354">
        <f>HYPERLINK("http://exon.niaid.nih.gov/transcriptome/C_felis/S1/links/GO/cf-contig_321-GO.txt",5E-47)</f>
        <v>5.0000000000000001E-47</v>
      </c>
      <c r="BX354" t="str">
        <f>HYPERLINK("http://amigo.geneontology.org/cgi-bin/amigo/term_details?term=GO:0005471","GO:0005471")</f>
        <v>GO:0005471</v>
      </c>
      <c r="BY354" t="s">
        <v>2824</v>
      </c>
      <c r="BZ354" t="s">
        <v>2825</v>
      </c>
      <c r="CA354" t="s">
        <v>2826</v>
      </c>
      <c r="CB354" t="s">
        <v>42</v>
      </c>
      <c r="CD354" s="5">
        <v>5.0000000000000001E-47</v>
      </c>
      <c r="CE354" t="str">
        <f>HYPERLINK("http://amigo.geneontology.org/cgi-bin/amigo/term_details?term=GO:0005743","GO:0005743")</f>
        <v>GO:0005743</v>
      </c>
      <c r="CF354" t="s">
        <v>2827</v>
      </c>
      <c r="CG354" t="s">
        <v>2828</v>
      </c>
      <c r="CH354" t="s">
        <v>2829</v>
      </c>
      <c r="CI354" t="s">
        <v>42</v>
      </c>
      <c r="CK354" s="5">
        <v>5.0000000000000001E-47</v>
      </c>
      <c r="CL354" t="str">
        <f>HYPERLINK("http://amigo.geneontology.org/cgi-bin/amigo/term_details?term=GO:0007629","GO:0007629")</f>
        <v>GO:0007629</v>
      </c>
      <c r="CM354" t="s">
        <v>2830</v>
      </c>
      <c r="CN354" t="s">
        <v>2831</v>
      </c>
      <c r="CO354" t="s">
        <v>2832</v>
      </c>
      <c r="CP354" t="s">
        <v>42</v>
      </c>
      <c r="CR354" s="5">
        <v>5.0000000000000001E-47</v>
      </c>
      <c r="CS354" s="4" t="str">
        <f>HYPERLINK("http://exon.niaid.nih.gov/transcriptome/C_felis/S1/links/KOG/cf-contig_321-KOG.txt","Mitochondrial ADP/ATP carrier proteins")</f>
        <v>Mitochondrial ADP/ATP carrier proteins</v>
      </c>
      <c r="CT354" t="str">
        <f>HYPERLINK("http://www.ncbi.nlm.nih.gov/COG/grace/shokog.cgi?KOG0749","5E-039")</f>
        <v>5E-039</v>
      </c>
      <c r="CU354" t="s">
        <v>1793</v>
      </c>
      <c r="CV354" s="4" t="str">
        <f>HYPERLINK("http://exon.niaid.nih.gov/transcriptome/C_felis/S1/links/PFAM/cf-contig_321-PFAM.txt","Mito_carr")</f>
        <v>Mito_carr</v>
      </c>
      <c r="CW354" t="str">
        <f>HYPERLINK("http://pfam.sanger.ac.uk/family?acc=PF00153","2E-016")</f>
        <v>2E-016</v>
      </c>
      <c r="CX354" s="4" t="str">
        <f>HYPERLINK("http://exon.niaid.nih.gov/transcriptome/C_felis/S1/links/SMART/cf-contig_321-SMART.txt","PTBI")</f>
        <v>PTBI</v>
      </c>
      <c r="CY354" t="str">
        <f>HYPERLINK("http://smart.embl-heidelberg.de/smart/do_annotation.pl?DOMAIN=PTBI&amp;BLAST=DUMMY","0.12")</f>
        <v>0.12</v>
      </c>
      <c r="CZ354" s="4" t="s">
        <v>42</v>
      </c>
      <c r="DA354" t="s">
        <v>42</v>
      </c>
      <c r="DB354" t="s">
        <v>42</v>
      </c>
      <c r="DC354" t="s">
        <v>42</v>
      </c>
      <c r="DD354" t="s">
        <v>42</v>
      </c>
      <c r="DE354" t="s">
        <v>42</v>
      </c>
      <c r="DF354" t="s">
        <v>42</v>
      </c>
      <c r="DG354" t="s">
        <v>42</v>
      </c>
      <c r="DH354" s="4" t="s">
        <v>42</v>
      </c>
      <c r="DI354" t="s">
        <v>42</v>
      </c>
      <c r="DJ354" s="4" t="s">
        <v>42</v>
      </c>
      <c r="DK354" t="s">
        <v>42</v>
      </c>
      <c r="DL354" s="4">
        <v>258</v>
      </c>
      <c r="DM354">
        <v>1</v>
      </c>
      <c r="DN354" s="4">
        <v>264</v>
      </c>
      <c r="DO354">
        <v>1</v>
      </c>
      <c r="DP354" s="4">
        <v>263</v>
      </c>
      <c r="DQ354">
        <v>1</v>
      </c>
      <c r="DR354" s="4">
        <v>272</v>
      </c>
      <c r="DS354">
        <v>1</v>
      </c>
      <c r="DT354" s="4">
        <v>282</v>
      </c>
      <c r="DU354">
        <v>1</v>
      </c>
      <c r="DV354" s="4">
        <v>294</v>
      </c>
      <c r="DW354">
        <v>1</v>
      </c>
      <c r="DX354" s="4">
        <v>296</v>
      </c>
      <c r="DY354">
        <v>1</v>
      </c>
      <c r="DZ354" s="4">
        <v>301</v>
      </c>
      <c r="EA354">
        <v>1</v>
      </c>
      <c r="EB354" s="4">
        <v>306</v>
      </c>
      <c r="EC354">
        <v>1</v>
      </c>
      <c r="ED354" s="4">
        <v>310</v>
      </c>
      <c r="EE354">
        <v>1</v>
      </c>
      <c r="EF354" s="4">
        <v>314</v>
      </c>
      <c r="EG354">
        <v>1</v>
      </c>
      <c r="EH354" s="4">
        <v>316</v>
      </c>
      <c r="EI354">
        <v>1</v>
      </c>
      <c r="EJ354" s="4">
        <v>321</v>
      </c>
      <c r="EK354">
        <v>1</v>
      </c>
    </row>
    <row r="355" spans="1:141" x14ac:dyDescent="0.2">
      <c r="A355" t="str">
        <f>HYPERLINK("http://exon.niaid.nih.gov/transcriptome/C_felis/S1/links/cf/cf-contig_702.txt","cf-contig_702")</f>
        <v>cf-contig_702</v>
      </c>
      <c r="B355">
        <v>1</v>
      </c>
      <c r="C355" s="10" t="s">
        <v>4851</v>
      </c>
      <c r="D355">
        <v>1</v>
      </c>
      <c r="E355" t="str">
        <f>HYPERLINK("http://exon.niaid.nih.gov/transcriptome/C_felis/S1/links/cf/cf-5-36-asb-702.txt","Contig-702")</f>
        <v>Contig-702</v>
      </c>
      <c r="F355" t="str">
        <f>HYPERLINK("http://exon.niaid.nih.gov/transcriptome/C_felis/S1/links/cf/cf-5-36-702-CLU.txt","Contig702")</f>
        <v>Contig702</v>
      </c>
      <c r="G355" t="str">
        <f>HYPERLINK("http://exon.niaid.nih.gov/transcriptome/C_felis/S1/links/cf/cf-5-36-702-qual.txt","65.")</f>
        <v>65.</v>
      </c>
      <c r="H355" t="s">
        <v>11</v>
      </c>
      <c r="I355">
        <v>64.400000000000006</v>
      </c>
      <c r="J355">
        <v>565</v>
      </c>
      <c r="K355" t="s">
        <v>12</v>
      </c>
      <c r="L355">
        <v>1</v>
      </c>
      <c r="M355" t="s">
        <v>715</v>
      </c>
      <c r="N355">
        <v>565</v>
      </c>
      <c r="O355">
        <v>584</v>
      </c>
      <c r="P355">
        <v>360</v>
      </c>
      <c r="Q355" t="s">
        <v>1521</v>
      </c>
      <c r="R355">
        <v>1</v>
      </c>
      <c r="S355" s="7" t="str">
        <f>HYPERLINK("http://exon.niaid.nih.gov/transcriptome/C_felis/S1/links/Sigp/CF-CONTIG_702-SigP.txt","Cyt")</f>
        <v>Cyt</v>
      </c>
      <c r="U355">
        <v>1</v>
      </c>
      <c r="V355" s="4">
        <v>572</v>
      </c>
      <c r="W355">
        <v>1</v>
      </c>
      <c r="X355" s="4">
        <v>587</v>
      </c>
      <c r="Y355">
        <v>1</v>
      </c>
      <c r="Z355" s="4">
        <v>599</v>
      </c>
      <c r="AA355">
        <v>1</v>
      </c>
      <c r="AB355" s="4" t="str">
        <f>HYPERLINK("http://exon.niaid.nih.gov/transcriptome/C_felis/S1/links/XC-ASB/cf-contig_702-XC-ASB.txt","XC-contig_26")</f>
        <v>XC-contig_26</v>
      </c>
      <c r="AC355">
        <v>0.05</v>
      </c>
      <c r="AD355" s="10" t="s">
        <v>4851</v>
      </c>
      <c r="AE355" t="s">
        <v>4704</v>
      </c>
      <c r="AF355" t="str">
        <f>HYPERLINK("http://exon.niaid.nih.gov/transcriptome/C_felis/S1/links/GO/cf-contig_702-GO.txt","GO")</f>
        <v>GO</v>
      </c>
      <c r="AG355" s="5">
        <v>9.9999999999999999E-56</v>
      </c>
      <c r="AH355">
        <v>18</v>
      </c>
      <c r="AI355" s="4" t="str">
        <f>HYPERLINK("http://exon.niaid.nih.gov/transcriptome/C_felis/S1/links/NR/cf-contig_702-NR.txt","ATP-binding cassette sub-family F member 2")</f>
        <v>ATP-binding cassette sub-family F member 2</v>
      </c>
      <c r="AJ355" t="str">
        <f>HYPERLINK("http://www.ncbi.nlm.nih.gov/sutils/blink.cgi?pid=114053001","3E-057")</f>
        <v>3E-057</v>
      </c>
      <c r="AK355" t="str">
        <f>HYPERLINK("http://www.ncbi.nlm.nih.gov/protein/114053001","gi|114053001")</f>
        <v>gi|114053001</v>
      </c>
      <c r="AL355">
        <v>225</v>
      </c>
      <c r="AM355">
        <v>406</v>
      </c>
      <c r="AN355">
        <v>622</v>
      </c>
      <c r="AO355">
        <v>87</v>
      </c>
      <c r="AP355">
        <v>65</v>
      </c>
      <c r="AQ355">
        <v>15</v>
      </c>
      <c r="AR355">
        <v>0</v>
      </c>
      <c r="AS355">
        <v>216</v>
      </c>
      <c r="AT355">
        <v>4</v>
      </c>
      <c r="AU355">
        <v>2</v>
      </c>
      <c r="AV355">
        <v>1</v>
      </c>
      <c r="AW355" t="s">
        <v>12</v>
      </c>
      <c r="AY355" t="s">
        <v>1676</v>
      </c>
      <c r="AZ355" t="s">
        <v>2037</v>
      </c>
      <c r="BA355" s="4" t="str">
        <f>HYPERLINK("http://exon.niaid.nih.gov/transcriptome/C_felis/S1/links/SWISSP/cf-contig_702-SWISSP.txt","ATP-binding cassette sub-family F member 2")</f>
        <v>ATP-binding cassette sub-family F member 2</v>
      </c>
      <c r="BB355" t="str">
        <f>HYPERLINK("http://www.uniprot.org/uniprot/Q2KJA2","3E-046")</f>
        <v>3E-046</v>
      </c>
      <c r="BC355" t="s">
        <v>4213</v>
      </c>
      <c r="BD355">
        <v>184</v>
      </c>
      <c r="BE355">
        <v>394</v>
      </c>
      <c r="BF355">
        <v>625</v>
      </c>
      <c r="BG355">
        <v>78</v>
      </c>
      <c r="BH355">
        <v>63</v>
      </c>
      <c r="BI355">
        <v>23</v>
      </c>
      <c r="BJ355">
        <v>0</v>
      </c>
      <c r="BK355">
        <v>218</v>
      </c>
      <c r="BL355">
        <v>4</v>
      </c>
      <c r="BM355">
        <v>2</v>
      </c>
      <c r="BN355">
        <v>1</v>
      </c>
      <c r="BO355" t="s">
        <v>12</v>
      </c>
      <c r="BQ355" t="s">
        <v>1676</v>
      </c>
      <c r="BR355" t="s">
        <v>1679</v>
      </c>
      <c r="BS355" s="4" t="str">
        <f>HYPERLINK("http://exon.niaid.nih.gov/transcriptome/C_felis/S1/links/CDD/cf-contig_702-CDD.txt","Uup")</f>
        <v>Uup</v>
      </c>
      <c r="BT355" t="str">
        <f>HYPERLINK("http://www.ncbi.nlm.nih.gov/Structure/cdd/cddsrv.cgi?uid=COG0488&amp;version=v4.0","5E-029")</f>
        <v>5E-029</v>
      </c>
      <c r="BU355" t="s">
        <v>4214</v>
      </c>
      <c r="BV355" s="4" t="s">
        <v>4215</v>
      </c>
      <c r="BW355">
        <f>HYPERLINK("http://exon.niaid.nih.gov/transcriptome/C_felis/S1/links/GO/cf-contig_702-GO.txt",1E-55)</f>
        <v>9.9999999999999999E-56</v>
      </c>
      <c r="BX355" t="str">
        <f>HYPERLINK("http://amigo.geneontology.org/cgi-bin/amigo/term_details?term=GO:0000166","GO:0000166")</f>
        <v>GO:0000166</v>
      </c>
      <c r="BY355" t="s">
        <v>2415</v>
      </c>
      <c r="BZ355" t="s">
        <v>2416</v>
      </c>
      <c r="CA355" t="s">
        <v>42</v>
      </c>
      <c r="CB355" t="s">
        <v>42</v>
      </c>
      <c r="CD355" s="5">
        <v>4.9999999999999999E-46</v>
      </c>
      <c r="CE355" t="str">
        <f>HYPERLINK("http://amigo.geneontology.org/cgi-bin/amigo/term_details?term=GO:0005739","GO:0005739")</f>
        <v>GO:0005739</v>
      </c>
      <c r="CF355" t="s">
        <v>2551</v>
      </c>
      <c r="CG355" t="s">
        <v>2552</v>
      </c>
      <c r="CH355" t="s">
        <v>2553</v>
      </c>
      <c r="CI355" t="s">
        <v>42</v>
      </c>
      <c r="CK355" s="5">
        <v>4.9999999999999999E-46</v>
      </c>
      <c r="CL355" t="str">
        <f>HYPERLINK("http://amigo.geneontology.org/cgi-bin/amigo/term_details?term=GO:0006810","GO:0006810")</f>
        <v>GO:0006810</v>
      </c>
      <c r="CM355" t="s">
        <v>4216</v>
      </c>
      <c r="CN355" t="s">
        <v>4217</v>
      </c>
      <c r="CO355" t="s">
        <v>4218</v>
      </c>
      <c r="CP355" t="s">
        <v>42</v>
      </c>
      <c r="CR355" s="5">
        <v>4.9999999999999999E-46</v>
      </c>
      <c r="CS355" s="4" t="str">
        <f>HYPERLINK("http://exon.niaid.nih.gov/transcriptome/C_felis/S1/links/KOG/cf-contig_702-KOG.txt","Predicted transporter (ABC superfamily)")</f>
        <v>Predicted transporter (ABC superfamily)</v>
      </c>
      <c r="CT355" t="str">
        <f>HYPERLINK("http://www.ncbi.nlm.nih.gov/COG/grace/shokog.cgi?KOG0927","1E-048")</f>
        <v>1E-048</v>
      </c>
      <c r="CU355" t="s">
        <v>1721</v>
      </c>
      <c r="CV355" s="4" t="str">
        <f>HYPERLINK("http://exon.niaid.nih.gov/transcriptome/C_felis/S1/links/PFAM/cf-contig_702-PFAM.txt","ABC_tran")</f>
        <v>ABC_tran</v>
      </c>
      <c r="CW355" t="str">
        <f>HYPERLINK("http://pfam.sanger.ac.uk/family?acc=PF00005","7E-007")</f>
        <v>7E-007</v>
      </c>
      <c r="CX355" s="4" t="str">
        <f>HYPERLINK("http://exon.niaid.nih.gov/transcriptome/C_felis/S1/links/SMART/cf-contig_702-SMART.txt","AAA")</f>
        <v>AAA</v>
      </c>
      <c r="CY355" t="str">
        <f>HYPERLINK("http://smart.embl-heidelberg.de/smart/do_annotation.pl?DOMAIN=AAA&amp;BLAST=DUMMY","1E-004")</f>
        <v>1E-004</v>
      </c>
      <c r="CZ355" s="4" t="s">
        <v>42</v>
      </c>
      <c r="DA355" t="s">
        <v>42</v>
      </c>
      <c r="DB355" t="s">
        <v>42</v>
      </c>
      <c r="DC355" t="s">
        <v>42</v>
      </c>
      <c r="DD355" t="s">
        <v>42</v>
      </c>
      <c r="DE355" t="s">
        <v>42</v>
      </c>
      <c r="DF355" t="s">
        <v>42</v>
      </c>
      <c r="DG355" t="s">
        <v>42</v>
      </c>
      <c r="DH355" s="4" t="s">
        <v>42</v>
      </c>
      <c r="DI355" t="s">
        <v>42</v>
      </c>
      <c r="DJ355" s="4" t="s">
        <v>42</v>
      </c>
      <c r="DK355" t="s">
        <v>42</v>
      </c>
      <c r="DL355" s="4">
        <v>572</v>
      </c>
      <c r="DM355">
        <v>1</v>
      </c>
      <c r="DN355" s="4">
        <v>587</v>
      </c>
      <c r="DO355">
        <v>1</v>
      </c>
      <c r="DP355" s="4">
        <v>599</v>
      </c>
      <c r="DQ355">
        <v>1</v>
      </c>
      <c r="DR355" s="4">
        <v>620</v>
      </c>
      <c r="DS355">
        <v>1</v>
      </c>
      <c r="DT355" s="4">
        <v>634</v>
      </c>
      <c r="DU355">
        <v>1</v>
      </c>
      <c r="DV355" s="4">
        <v>649</v>
      </c>
      <c r="DW355">
        <v>1</v>
      </c>
      <c r="DX355" s="4">
        <v>659</v>
      </c>
      <c r="DY355">
        <v>1</v>
      </c>
      <c r="DZ355" s="4">
        <v>669</v>
      </c>
      <c r="EA355">
        <v>1</v>
      </c>
      <c r="EB355" s="4">
        <v>674</v>
      </c>
      <c r="EC355">
        <v>1</v>
      </c>
      <c r="ED355" s="4">
        <v>678</v>
      </c>
      <c r="EE355">
        <v>1</v>
      </c>
      <c r="EF355" s="4">
        <v>684</v>
      </c>
      <c r="EG355">
        <v>1</v>
      </c>
      <c r="EH355" s="4">
        <v>693</v>
      </c>
      <c r="EI355">
        <v>1</v>
      </c>
      <c r="EJ355" s="4">
        <v>702</v>
      </c>
      <c r="EK355">
        <v>1</v>
      </c>
    </row>
    <row r="356" spans="1:141" x14ac:dyDescent="0.2">
      <c r="A356" t="str">
        <f>HYPERLINK("http://exon.niaid.nih.gov/transcriptome/C_felis/S1/links/cf/cf-contig_502.txt","cf-contig_502")</f>
        <v>cf-contig_502</v>
      </c>
      <c r="B356">
        <v>1</v>
      </c>
      <c r="C356" s="10" t="s">
        <v>4785</v>
      </c>
      <c r="D356">
        <v>1</v>
      </c>
      <c r="E356" t="str">
        <f>HYPERLINK("http://exon.niaid.nih.gov/transcriptome/C_felis/S1/links/cf/cf-5-36-asb-502.txt","Contig-502")</f>
        <v>Contig-502</v>
      </c>
      <c r="F356" t="str">
        <f>HYPERLINK("http://exon.niaid.nih.gov/transcriptome/C_felis/S1/links/cf/cf-5-36-502-CLU.txt","Contig502")</f>
        <v>Contig502</v>
      </c>
      <c r="G356" t="str">
        <f>HYPERLINK("http://exon.niaid.nih.gov/transcriptome/C_felis/S1/links/cf/cf-5-36-502-qual.txt","63.9")</f>
        <v>63.9</v>
      </c>
      <c r="H356" t="s">
        <v>11</v>
      </c>
      <c r="I356">
        <v>65.7</v>
      </c>
      <c r="J356">
        <v>395</v>
      </c>
      <c r="K356" t="s">
        <v>12</v>
      </c>
      <c r="L356">
        <v>1</v>
      </c>
      <c r="M356" t="s">
        <v>515</v>
      </c>
      <c r="N356">
        <v>395</v>
      </c>
      <c r="O356">
        <v>414</v>
      </c>
      <c r="P356">
        <v>222</v>
      </c>
      <c r="Q356" t="s">
        <v>1321</v>
      </c>
      <c r="R356">
        <v>1</v>
      </c>
      <c r="S356" s="7" t="str">
        <f>HYPERLINK("http://exon.niaid.nih.gov/transcriptome/C_felis/S1/links/Sigp/CF-CONTIG_502-SigP.txt","Cyt")</f>
        <v>Cyt</v>
      </c>
      <c r="U356">
        <v>1</v>
      </c>
      <c r="V356" s="4">
        <v>410</v>
      </c>
      <c r="W356">
        <v>1</v>
      </c>
      <c r="X356" s="4">
        <v>419</v>
      </c>
      <c r="Y356">
        <v>1</v>
      </c>
      <c r="Z356" s="4">
        <v>424</v>
      </c>
      <c r="AA356">
        <v>1</v>
      </c>
      <c r="AB356" s="4" t="str">
        <f>HYPERLINK("http://exon.niaid.nih.gov/transcriptome/C_felis/S1/links/XC-ASB/cf-contig_502-XC-ASB.txt","XC-contig_150")</f>
        <v>XC-contig_150</v>
      </c>
      <c r="AC356">
        <v>8.0000000000000007E-5</v>
      </c>
      <c r="AD356" s="10" t="s">
        <v>4785</v>
      </c>
      <c r="AE356" t="s">
        <v>4704</v>
      </c>
      <c r="AF356" t="str">
        <f>HYPERLINK("http://exon.niaid.nih.gov/transcriptome/C_felis/S1/links/GO/cf-contig_502-GO.txt","GO")</f>
        <v>GO</v>
      </c>
      <c r="AG356">
        <v>1.0000000000000001E-9</v>
      </c>
      <c r="AH356">
        <v>16</v>
      </c>
      <c r="AI356" s="4" t="str">
        <f>HYPERLINK("http://exon.niaid.nih.gov/transcriptome/C_felis/S1/links/NR/cf-contig_502-NR.txt","Putative GTPases (G3E family)")</f>
        <v>Putative GTPases (G3E family)</v>
      </c>
      <c r="AJ356" t="str">
        <f>HYPERLINK("http://www.ncbi.nlm.nih.gov/sutils/blink.cgi?pid=291521858","2E-012")</f>
        <v>2E-012</v>
      </c>
      <c r="AK356" t="str">
        <f>HYPERLINK("http://www.ncbi.nlm.nih.gov/protein/291521858","gi|291521858")</f>
        <v>gi|291521858</v>
      </c>
      <c r="AL356">
        <v>76.3</v>
      </c>
      <c r="AM356">
        <v>93</v>
      </c>
      <c r="AN356">
        <v>391</v>
      </c>
      <c r="AO356">
        <v>42</v>
      </c>
      <c r="AP356">
        <v>24</v>
      </c>
      <c r="AQ356">
        <v>43</v>
      </c>
      <c r="AR356">
        <v>14</v>
      </c>
      <c r="AS356">
        <v>208</v>
      </c>
      <c r="AT356">
        <v>58</v>
      </c>
      <c r="AU356">
        <v>4</v>
      </c>
      <c r="AV356">
        <v>1</v>
      </c>
      <c r="AW356" t="s">
        <v>1689</v>
      </c>
      <c r="AY356" t="s">
        <v>1676</v>
      </c>
      <c r="AZ356" t="s">
        <v>3495</v>
      </c>
      <c r="BA356" s="4" t="str">
        <f>HYPERLINK("http://exon.niaid.nih.gov/transcriptome/C_felis/S1/links/SWISSP/cf-contig_502-SWISSP.txt","Histidine-rich glycoprotein")</f>
        <v>Histidine-rich glycoprotein</v>
      </c>
      <c r="BB356" t="str">
        <f>HYPERLINK("http://www.uniprot.org/uniprot/P04929","9E-012")</f>
        <v>9E-012</v>
      </c>
      <c r="BC356" t="s">
        <v>3496</v>
      </c>
      <c r="BD356">
        <v>68.900000000000006</v>
      </c>
      <c r="BE356">
        <v>305</v>
      </c>
      <c r="BF356">
        <v>351</v>
      </c>
      <c r="BG356">
        <v>43</v>
      </c>
      <c r="BH356">
        <v>87</v>
      </c>
      <c r="BI356">
        <v>31</v>
      </c>
      <c r="BJ356">
        <v>0</v>
      </c>
      <c r="BK356">
        <v>0</v>
      </c>
      <c r="BL356">
        <v>0</v>
      </c>
      <c r="BM356">
        <v>70</v>
      </c>
      <c r="BN356">
        <v>1</v>
      </c>
      <c r="BO356" t="s">
        <v>1689</v>
      </c>
      <c r="BQ356" t="s">
        <v>1676</v>
      </c>
      <c r="BR356" t="s">
        <v>3497</v>
      </c>
      <c r="BS356" s="4" t="str">
        <f>HYPERLINK("http://exon.niaid.nih.gov/transcriptome/C_felis/S1/links/CDD/cf-contig_502-CDD.txt","ND2")</f>
        <v>ND2</v>
      </c>
      <c r="BT356" t="str">
        <f>HYPERLINK("http://www.ncbi.nlm.nih.gov/Structure/cdd/cddsrv.cgi?uid=MTH00091&amp;version=v4.0","3E-009")</f>
        <v>3E-009</v>
      </c>
      <c r="BU356" t="s">
        <v>3498</v>
      </c>
      <c r="BV356" s="4" t="s">
        <v>3499</v>
      </c>
      <c r="BW356">
        <f>HYPERLINK("http://exon.niaid.nih.gov/transcriptome/C_felis/S1/links/GO/cf-contig_502-GO.txt",0.000000001)</f>
        <v>1.0000000000000001E-9</v>
      </c>
      <c r="BX356" t="str">
        <f>HYPERLINK("http://amigo.geneontology.org/cgi-bin/amigo/term_details?term=GO:0030234","GO:0030234")</f>
        <v>GO:0030234</v>
      </c>
      <c r="BY356" t="s">
        <v>3500</v>
      </c>
      <c r="BZ356" t="s">
        <v>3501</v>
      </c>
      <c r="CA356" t="s">
        <v>3502</v>
      </c>
      <c r="CB356" t="s">
        <v>42</v>
      </c>
      <c r="CD356">
        <v>1.0000000000000001E-9</v>
      </c>
      <c r="CE356" t="str">
        <f>HYPERLINK("http://amigo.geneontology.org/cgi-bin/amigo/term_details?term=GO:0005887","GO:0005887")</f>
        <v>GO:0005887</v>
      </c>
      <c r="CF356" t="s">
        <v>3503</v>
      </c>
      <c r="CG356" t="s">
        <v>3504</v>
      </c>
      <c r="CH356" t="s">
        <v>42</v>
      </c>
      <c r="CI356" t="s">
        <v>42</v>
      </c>
      <c r="CK356">
        <v>1.0000000000000001E-9</v>
      </c>
      <c r="CL356" t="str">
        <f>HYPERLINK("http://amigo.geneontology.org/cgi-bin/amigo/term_details?term=GO:0007300","GO:0007300")</f>
        <v>GO:0007300</v>
      </c>
      <c r="CM356" t="s">
        <v>3505</v>
      </c>
      <c r="CN356" t="s">
        <v>3506</v>
      </c>
      <c r="CO356" t="s">
        <v>3507</v>
      </c>
      <c r="CP356" t="s">
        <v>42</v>
      </c>
      <c r="CR356">
        <v>1.0000000000000001E-9</v>
      </c>
      <c r="CS356" s="4" t="str">
        <f>HYPERLINK("http://exon.niaid.nih.gov/transcriptome/C_felis/S1/links/KOG/cf-contig_502-KOG.txt","Transporter, ABC superfamily (Breast cancer resistance protein)")</f>
        <v>Transporter, ABC superfamily (Breast cancer resistance protein)</v>
      </c>
      <c r="CT356" t="str">
        <f>HYPERLINK("http://www.ncbi.nlm.nih.gov/COG/grace/shokog.cgi?KOG0061","1E-006")</f>
        <v>1E-006</v>
      </c>
      <c r="CU356" t="s">
        <v>1730</v>
      </c>
      <c r="CV356" s="4" t="str">
        <f>HYPERLINK("http://exon.niaid.nih.gov/transcriptome/C_felis/S1/links/PFAM/cf-contig_502-PFAM.txt","ABC2_membrane")</f>
        <v>ABC2_membrane</v>
      </c>
      <c r="CW356" t="str">
        <f>HYPERLINK("http://pfam.sanger.ac.uk/family?acc=PF01061","1E-008")</f>
        <v>1E-008</v>
      </c>
      <c r="CX356" s="4" t="str">
        <f>HYPERLINK("http://exon.niaid.nih.gov/transcriptome/C_felis/S1/links/SMART/cf-contig_502-SMART.txt","PSN")</f>
        <v>PSN</v>
      </c>
      <c r="CY356" t="str">
        <f>HYPERLINK("http://smart.embl-heidelberg.de/smart/do_annotation.pl?DOMAIN=PSN&amp;BLAST=DUMMY","8E-007")</f>
        <v>8E-007</v>
      </c>
      <c r="CZ356" s="4" t="s">
        <v>42</v>
      </c>
      <c r="DA356" t="s">
        <v>42</v>
      </c>
      <c r="DB356" t="s">
        <v>42</v>
      </c>
      <c r="DC356" t="s">
        <v>42</v>
      </c>
      <c r="DD356" t="s">
        <v>42</v>
      </c>
      <c r="DE356" t="s">
        <v>42</v>
      </c>
      <c r="DF356" t="s">
        <v>42</v>
      </c>
      <c r="DG356" t="s">
        <v>42</v>
      </c>
      <c r="DH356" s="4" t="s">
        <v>42</v>
      </c>
      <c r="DI356" t="s">
        <v>42</v>
      </c>
      <c r="DJ356" s="4" t="s">
        <v>42</v>
      </c>
      <c r="DK356" t="s">
        <v>42</v>
      </c>
      <c r="DL356" s="4">
        <v>410</v>
      </c>
      <c r="DM356">
        <v>1</v>
      </c>
      <c r="DN356" s="4">
        <v>419</v>
      </c>
      <c r="DO356">
        <v>1</v>
      </c>
      <c r="DP356" s="4">
        <v>424</v>
      </c>
      <c r="DQ356">
        <v>1</v>
      </c>
      <c r="DR356" s="4">
        <v>439</v>
      </c>
      <c r="DS356">
        <v>1</v>
      </c>
      <c r="DT356" s="4">
        <v>449</v>
      </c>
      <c r="DU356">
        <v>1</v>
      </c>
      <c r="DV356" s="4">
        <v>463</v>
      </c>
      <c r="DW356">
        <v>1</v>
      </c>
      <c r="DX356" s="4">
        <v>469</v>
      </c>
      <c r="DY356">
        <v>1</v>
      </c>
      <c r="DZ356" s="4">
        <v>476</v>
      </c>
      <c r="EA356">
        <v>1</v>
      </c>
      <c r="EB356" s="4">
        <v>481</v>
      </c>
      <c r="EC356">
        <v>1</v>
      </c>
      <c r="ED356" s="4">
        <v>485</v>
      </c>
      <c r="EE356">
        <v>1</v>
      </c>
      <c r="EF356" s="4">
        <v>490</v>
      </c>
      <c r="EG356">
        <v>1</v>
      </c>
      <c r="EH356" s="4">
        <v>496</v>
      </c>
      <c r="EI356">
        <v>1</v>
      </c>
      <c r="EJ356" s="4">
        <v>502</v>
      </c>
      <c r="EK356">
        <v>1</v>
      </c>
    </row>
    <row r="357" spans="1:141" x14ac:dyDescent="0.2">
      <c r="A357" t="str">
        <f>HYPERLINK("http://exon.niaid.nih.gov/transcriptome/C_felis/S1/links/cf/cf-contig_663.txt","cf-contig_663")</f>
        <v>cf-contig_663</v>
      </c>
      <c r="B357">
        <v>1</v>
      </c>
      <c r="C357" s="10" t="s">
        <v>4838</v>
      </c>
      <c r="D357">
        <v>1</v>
      </c>
      <c r="E357" t="str">
        <f>HYPERLINK("http://exon.niaid.nih.gov/transcriptome/C_felis/S1/links/cf/cf-5-36-asb-663.txt","Contig-663")</f>
        <v>Contig-663</v>
      </c>
      <c r="F357" t="str">
        <f>HYPERLINK("http://exon.niaid.nih.gov/transcriptome/C_felis/S1/links/cf/cf-5-36-663-CLU.txt","Contig663")</f>
        <v>Contig663</v>
      </c>
      <c r="G357" t="str">
        <f>HYPERLINK("http://exon.niaid.nih.gov/transcriptome/C_felis/S1/links/cf/cf-5-36-663-qual.txt","62.")</f>
        <v>62.</v>
      </c>
      <c r="H357">
        <v>0.4</v>
      </c>
      <c r="I357">
        <v>66.400000000000006</v>
      </c>
      <c r="J357">
        <v>448</v>
      </c>
      <c r="K357" t="s">
        <v>12</v>
      </c>
      <c r="L357">
        <v>1</v>
      </c>
      <c r="M357" t="s">
        <v>676</v>
      </c>
      <c r="N357">
        <v>448</v>
      </c>
      <c r="O357">
        <v>467</v>
      </c>
      <c r="P357">
        <v>336</v>
      </c>
      <c r="Q357" t="s">
        <v>1482</v>
      </c>
      <c r="R357">
        <v>2</v>
      </c>
      <c r="S357" s="7" t="str">
        <f>HYPERLINK("http://exon.niaid.nih.gov/transcriptome/C_felis/S1/links/Sigp/CF-CONTIG_663-SigP.txt","Cyt")</f>
        <v>Cyt</v>
      </c>
      <c r="U357">
        <v>1</v>
      </c>
      <c r="V357" s="4">
        <v>542</v>
      </c>
      <c r="W357">
        <v>1</v>
      </c>
      <c r="X357" s="4">
        <v>554</v>
      </c>
      <c r="Y357">
        <v>1</v>
      </c>
      <c r="Z357" s="4">
        <v>566</v>
      </c>
      <c r="AA357">
        <v>1</v>
      </c>
      <c r="AB357" s="4" t="str">
        <f>HYPERLINK("http://exon.niaid.nih.gov/transcriptome/C_felis/S1/links/XC-ASB/cf-contig_663-XC-ASB.txt","XC-contig_209")</f>
        <v>XC-contig_209</v>
      </c>
      <c r="AC357">
        <v>0.19</v>
      </c>
      <c r="AD357" s="10" t="s">
        <v>4838</v>
      </c>
      <c r="AE357" t="s">
        <v>4704</v>
      </c>
      <c r="AF357" t="str">
        <f>HYPERLINK("http://exon.niaid.nih.gov/transcriptome/C_felis/S1/links/NR/cf-contig_663-NR.txt","NR")</f>
        <v>NR</v>
      </c>
      <c r="AG357" s="5">
        <v>5.0000000000000003E-33</v>
      </c>
      <c r="AH357">
        <v>48.3</v>
      </c>
      <c r="AI357" s="4" t="str">
        <f>HYPERLINK("http://exon.niaid.nih.gov/transcriptome/C_felis/S1/links/NR/cf-contig_663-NR.txt","ATP synthase delta chain")</f>
        <v>ATP synthase delta chain</v>
      </c>
      <c r="AJ357" t="str">
        <f>HYPERLINK("http://www.ncbi.nlm.nih.gov/sutils/blink.cgi?pid=157127489","8E-034")</f>
        <v>8E-034</v>
      </c>
      <c r="AK357" t="str">
        <f>HYPERLINK("http://www.ncbi.nlm.nih.gov/protein/157127489","gi|157127489")</f>
        <v>gi|157127489</v>
      </c>
      <c r="AL357">
        <v>147</v>
      </c>
      <c r="AM357">
        <v>100</v>
      </c>
      <c r="AN357">
        <v>210</v>
      </c>
      <c r="AO357">
        <v>68</v>
      </c>
      <c r="AP357">
        <v>48</v>
      </c>
      <c r="AQ357">
        <v>32</v>
      </c>
      <c r="AR357">
        <v>0</v>
      </c>
      <c r="AS357">
        <v>110</v>
      </c>
      <c r="AT357">
        <v>35</v>
      </c>
      <c r="AU357">
        <v>1</v>
      </c>
      <c r="AV357">
        <v>2</v>
      </c>
      <c r="AW357" t="s">
        <v>12</v>
      </c>
      <c r="AY357" t="s">
        <v>1676</v>
      </c>
      <c r="AZ357" t="s">
        <v>2267</v>
      </c>
      <c r="BA357" s="4" t="str">
        <f>HYPERLINK("http://exon.niaid.nih.gov/transcriptome/C_felis/S1/links/SWISSP/cf-contig_663-SWISSP.txt","ATP synthase subunit O, mitochondrial")</f>
        <v>ATP synthase subunit O, mitochondrial</v>
      </c>
      <c r="BB357" t="str">
        <f>HYPERLINK("http://www.uniprot.org/uniprot/Q24439","3E-032")</f>
        <v>3E-032</v>
      </c>
      <c r="BC357" t="s">
        <v>4093</v>
      </c>
      <c r="BD357">
        <v>137</v>
      </c>
      <c r="BE357">
        <v>98</v>
      </c>
      <c r="BF357">
        <v>209</v>
      </c>
      <c r="BG357">
        <v>65</v>
      </c>
      <c r="BH357">
        <v>47</v>
      </c>
      <c r="BI357">
        <v>34</v>
      </c>
      <c r="BJ357">
        <v>0</v>
      </c>
      <c r="BK357">
        <v>109</v>
      </c>
      <c r="BL357">
        <v>35</v>
      </c>
      <c r="BM357">
        <v>1</v>
      </c>
      <c r="BN357">
        <v>2</v>
      </c>
      <c r="BO357" t="s">
        <v>12</v>
      </c>
      <c r="BQ357" t="s">
        <v>1676</v>
      </c>
      <c r="BR357" t="s">
        <v>1804</v>
      </c>
      <c r="BS357" s="4" t="str">
        <f>HYPERLINK("http://exon.niaid.nih.gov/transcriptome/C_felis/S1/links/CDD/cf-contig_663-CDD.txt","OSCP")</f>
        <v>OSCP</v>
      </c>
      <c r="BT357" t="str">
        <f>HYPERLINK("http://www.ncbi.nlm.nih.gov/Structure/cdd/cddsrv.cgi?uid=pfam00213&amp;version=v4.0","2E-023")</f>
        <v>2E-023</v>
      </c>
      <c r="BU357" t="s">
        <v>4094</v>
      </c>
      <c r="BV357" s="4" t="s">
        <v>4095</v>
      </c>
      <c r="BW357">
        <f>HYPERLINK("http://exon.niaid.nih.gov/transcriptome/C_felis/S1/links/GO/cf-contig_663-GO.txt",2E-32)</f>
        <v>2.0000000000000001E-32</v>
      </c>
      <c r="BX357" t="str">
        <f>HYPERLINK("http://amigo.geneontology.org/cgi-bin/amigo/term_details?term=GO:0008553","GO:0008553")</f>
        <v>GO:0008553</v>
      </c>
      <c r="BY357" t="s">
        <v>2753</v>
      </c>
      <c r="BZ357" t="s">
        <v>2754</v>
      </c>
      <c r="CA357" t="s">
        <v>2755</v>
      </c>
      <c r="CB357" t="str">
        <f>HYPERLINK("http://www.genome.jp/dbget-bin/www_bfind_sub?mode=bfind&amp;max_hit=1000&amp;dbkey=kegg&amp;keywords=EC:3.6.3.6","EC:3.6.3.6")</f>
        <v>EC:3.6.3.6</v>
      </c>
      <c r="CD357" s="5">
        <v>2.0000000000000001E-32</v>
      </c>
      <c r="CE357" t="str">
        <f>HYPERLINK("http://amigo.geneontology.org/cgi-bin/amigo/term_details?term=GO:0005756","GO:0005756")</f>
        <v>GO:0005756</v>
      </c>
      <c r="CF357" t="s">
        <v>4096</v>
      </c>
      <c r="CG357" t="s">
        <v>4097</v>
      </c>
      <c r="CH357" t="s">
        <v>42</v>
      </c>
      <c r="CI357" t="s">
        <v>42</v>
      </c>
      <c r="CK357" s="5">
        <v>2.0000000000000001E-32</v>
      </c>
      <c r="CL357" t="str">
        <f>HYPERLINK("http://amigo.geneontology.org/cgi-bin/amigo/term_details?term=GO:0015992","GO:0015992")</f>
        <v>GO:0015992</v>
      </c>
      <c r="CM357" t="s">
        <v>2758</v>
      </c>
      <c r="CN357" t="s">
        <v>2759</v>
      </c>
      <c r="CO357" t="s">
        <v>2760</v>
      </c>
      <c r="CP357" t="s">
        <v>42</v>
      </c>
      <c r="CR357" s="5">
        <v>2.0000000000000001E-32</v>
      </c>
      <c r="CS357" s="4" t="str">
        <f>HYPERLINK("http://exon.niaid.nih.gov/transcriptome/C_felis/S1/links/KOG/cf-contig_663-KOG.txt","Mitochondrial F1F0-ATP synthase, subunit OSCP/ATP5")</f>
        <v>Mitochondrial F1F0-ATP synthase, subunit OSCP/ATP5</v>
      </c>
      <c r="CT357" t="str">
        <f>HYPERLINK("http://www.ncbi.nlm.nih.gov/COG/grace/shokog.cgi?KOG1662","2E-032")</f>
        <v>2E-032</v>
      </c>
      <c r="CU357" t="s">
        <v>1793</v>
      </c>
      <c r="CV357" s="4" t="str">
        <f>HYPERLINK("http://exon.niaid.nih.gov/transcriptome/C_felis/S1/links/PFAM/cf-contig_663-PFAM.txt","OSCP")</f>
        <v>OSCP</v>
      </c>
      <c r="CW357" t="str">
        <f>HYPERLINK("http://pfam.sanger.ac.uk/family?acc=PF00213","5E-024")</f>
        <v>5E-024</v>
      </c>
      <c r="CX357" s="4" t="str">
        <f>HYPERLINK("http://exon.niaid.nih.gov/transcriptome/C_felis/S1/links/SMART/cf-contig_663-SMART.txt","POLXc")</f>
        <v>POLXc</v>
      </c>
      <c r="CY357" t="str">
        <f>HYPERLINK("http://smart.embl-heidelberg.de/smart/do_annotation.pl?DOMAIN=POLXc&amp;BLAST=DUMMY","0.38")</f>
        <v>0.38</v>
      </c>
      <c r="CZ357" s="4" t="s">
        <v>42</v>
      </c>
      <c r="DA357" t="s">
        <v>42</v>
      </c>
      <c r="DB357" t="s">
        <v>42</v>
      </c>
      <c r="DC357" t="s">
        <v>42</v>
      </c>
      <c r="DD357" t="s">
        <v>42</v>
      </c>
      <c r="DE357" t="s">
        <v>42</v>
      </c>
      <c r="DF357" t="s">
        <v>42</v>
      </c>
      <c r="DG357" t="s">
        <v>42</v>
      </c>
      <c r="DH357" s="4" t="s">
        <v>42</v>
      </c>
      <c r="DI357" t="s">
        <v>42</v>
      </c>
      <c r="DJ357" s="4" t="s">
        <v>42</v>
      </c>
      <c r="DK357" t="s">
        <v>42</v>
      </c>
      <c r="DL357" s="4">
        <v>542</v>
      </c>
      <c r="DM357">
        <v>1</v>
      </c>
      <c r="DN357" s="4">
        <v>554</v>
      </c>
      <c r="DO357">
        <v>1</v>
      </c>
      <c r="DP357" s="4">
        <v>566</v>
      </c>
      <c r="DQ357">
        <v>1</v>
      </c>
      <c r="DR357" s="4">
        <v>586</v>
      </c>
      <c r="DS357">
        <v>1</v>
      </c>
      <c r="DT357" s="4">
        <v>599</v>
      </c>
      <c r="DU357">
        <v>1</v>
      </c>
      <c r="DV357" s="4">
        <v>613</v>
      </c>
      <c r="DW357">
        <v>1</v>
      </c>
      <c r="DX357" s="4">
        <v>622</v>
      </c>
      <c r="DY357">
        <v>1</v>
      </c>
      <c r="DZ357" s="4">
        <v>632</v>
      </c>
      <c r="EA357">
        <v>1</v>
      </c>
      <c r="EB357" s="4">
        <v>637</v>
      </c>
      <c r="EC357">
        <v>1</v>
      </c>
      <c r="ED357" s="4">
        <v>641</v>
      </c>
      <c r="EE357">
        <v>1</v>
      </c>
      <c r="EF357" s="4">
        <v>647</v>
      </c>
      <c r="EG357">
        <v>1</v>
      </c>
      <c r="EH357" s="4">
        <v>655</v>
      </c>
      <c r="EI357">
        <v>1</v>
      </c>
      <c r="EJ357" s="4">
        <v>663</v>
      </c>
      <c r="EK357">
        <v>1</v>
      </c>
    </row>
    <row r="358" spans="1:141" x14ac:dyDescent="0.2">
      <c r="A358" t="str">
        <f>HYPERLINK("http://exon.niaid.nih.gov/transcriptome/C_felis/S1/links/cf/cf-contig_571.txt","cf-contig_571")</f>
        <v>cf-contig_571</v>
      </c>
      <c r="B358">
        <v>1</v>
      </c>
      <c r="C358" s="10" t="s">
        <v>4806</v>
      </c>
      <c r="D358">
        <v>1</v>
      </c>
      <c r="E358" t="str">
        <f>HYPERLINK("http://exon.niaid.nih.gov/transcriptome/C_felis/S1/links/cf/cf-5-36-asb-571.txt","Contig-571")</f>
        <v>Contig-571</v>
      </c>
      <c r="F358" t="str">
        <f>HYPERLINK("http://exon.niaid.nih.gov/transcriptome/C_felis/S1/links/cf/cf-5-36-571-CLU.txt","Contig571")</f>
        <v>Contig571</v>
      </c>
      <c r="G358" t="str">
        <f>HYPERLINK("http://exon.niaid.nih.gov/transcriptome/C_felis/S1/links/cf/cf-5-36-571-qual.txt","65.8")</f>
        <v>65.8</v>
      </c>
      <c r="H358" t="s">
        <v>11</v>
      </c>
      <c r="I358">
        <v>63.3</v>
      </c>
      <c r="J358">
        <v>705</v>
      </c>
      <c r="K358" t="s">
        <v>12</v>
      </c>
      <c r="L358">
        <v>1</v>
      </c>
      <c r="M358" t="s">
        <v>584</v>
      </c>
      <c r="N358">
        <v>705</v>
      </c>
      <c r="O358">
        <v>724</v>
      </c>
      <c r="P358">
        <v>345</v>
      </c>
      <c r="Q358" t="s">
        <v>1390</v>
      </c>
      <c r="R358">
        <v>1</v>
      </c>
      <c r="S358" s="7" t="str">
        <f>HYPERLINK("http://exon.niaid.nih.gov/transcriptome/C_felis/S1/links/Sigp/CF-CONTIG_571-SigP.txt","SIG")</f>
        <v>SIG</v>
      </c>
      <c r="U358">
        <v>1</v>
      </c>
      <c r="V358" s="4">
        <v>465</v>
      </c>
      <c r="W358">
        <v>1</v>
      </c>
      <c r="X358" s="4">
        <v>475</v>
      </c>
      <c r="Y358">
        <v>1</v>
      </c>
      <c r="Z358" s="4">
        <v>483</v>
      </c>
      <c r="AA358">
        <v>1</v>
      </c>
      <c r="AB358" s="4" t="str">
        <f>HYPERLINK("http://exon.niaid.nih.gov/transcriptome/C_felis/S1/links/XC-ASB/cf-contig_571-XC-ASB.txt","XC-contig_4")</f>
        <v>XC-contig_4</v>
      </c>
      <c r="AC358">
        <v>3.4000000000000002E-2</v>
      </c>
      <c r="AD358" s="10" t="s">
        <v>4806</v>
      </c>
      <c r="AE358" t="s">
        <v>4704</v>
      </c>
      <c r="AF358" t="str">
        <f>HYPERLINK("http://exon.niaid.nih.gov/transcriptome/C_felis/S1/links/NR/cf-contig_571-NR.txt","NR")</f>
        <v>NR</v>
      </c>
      <c r="AG358" s="5">
        <v>4.9999999999999997E-50</v>
      </c>
      <c r="AH358">
        <v>21.5</v>
      </c>
      <c r="AI358" s="4" t="str">
        <f>HYPERLINK("http://exon.niaid.nih.gov/transcriptome/C_felis/S1/links/NR/cf-contig_571-NR.txt","high-affinity choline transporter 1-like")</f>
        <v>high-affinity choline transporter 1-like</v>
      </c>
      <c r="AJ358" t="str">
        <f>HYPERLINK("http://www.ncbi.nlm.nih.gov/sutils/blink.cgi?pid=193697533","5E-050")</f>
        <v>5E-050</v>
      </c>
      <c r="AK358" t="str">
        <f>HYPERLINK("http://www.ncbi.nlm.nih.gov/protein/193697533","gi|193697533")</f>
        <v>gi|193697533</v>
      </c>
      <c r="AL358">
        <v>202</v>
      </c>
      <c r="AM358">
        <v>124</v>
      </c>
      <c r="AN358">
        <v>584</v>
      </c>
      <c r="AO358">
        <v>76</v>
      </c>
      <c r="AP358">
        <v>21</v>
      </c>
      <c r="AQ358">
        <v>29</v>
      </c>
      <c r="AR358">
        <v>0</v>
      </c>
      <c r="AS358">
        <v>393</v>
      </c>
      <c r="AT358">
        <v>10</v>
      </c>
      <c r="AU358">
        <v>1</v>
      </c>
      <c r="AV358">
        <v>1</v>
      </c>
      <c r="AW358" t="s">
        <v>12</v>
      </c>
      <c r="AX358">
        <v>0.80600000000000005</v>
      </c>
      <c r="AY358" t="s">
        <v>1676</v>
      </c>
      <c r="AZ358" t="s">
        <v>2726</v>
      </c>
      <c r="BA358" s="4" t="str">
        <f>HYPERLINK("http://exon.niaid.nih.gov/transcriptome/C_felis/S1/links/SWISSP/cf-contig_571-SWISSP.txt","High-affinity choline transporter 1")</f>
        <v>High-affinity choline transporter 1</v>
      </c>
      <c r="BB358" t="str">
        <f>HYPERLINK("http://www.uniprot.org/uniprot/Q9VE46","2E-047")</f>
        <v>2E-047</v>
      </c>
      <c r="BC358" t="s">
        <v>3741</v>
      </c>
      <c r="BD358">
        <v>189</v>
      </c>
      <c r="BE358">
        <v>127</v>
      </c>
      <c r="BF358">
        <v>614</v>
      </c>
      <c r="BG358">
        <v>72</v>
      </c>
      <c r="BH358">
        <v>21</v>
      </c>
      <c r="BI358">
        <v>35</v>
      </c>
      <c r="BJ358">
        <v>2</v>
      </c>
      <c r="BK358">
        <v>396</v>
      </c>
      <c r="BL358">
        <v>10</v>
      </c>
      <c r="BM358">
        <v>1</v>
      </c>
      <c r="BN358">
        <v>1</v>
      </c>
      <c r="BO358" t="s">
        <v>12</v>
      </c>
      <c r="BP358">
        <v>0.78700000000000003</v>
      </c>
      <c r="BQ358" t="s">
        <v>1676</v>
      </c>
      <c r="BR358" t="s">
        <v>1804</v>
      </c>
      <c r="BS358" s="4" t="str">
        <f>HYPERLINK("http://exon.niaid.nih.gov/transcriptome/C_felis/S1/links/CDD/cf-contig_571-CDD.txt","COG4485")</f>
        <v>COG4485</v>
      </c>
      <c r="BT358" t="str">
        <f>HYPERLINK("http://www.ncbi.nlm.nih.gov/Structure/cdd/cddsrv.cgi?uid=COG4485&amp;version=v4.0","0.57")</f>
        <v>0.57</v>
      </c>
      <c r="BU358" t="s">
        <v>3742</v>
      </c>
      <c r="BV358" s="4" t="s">
        <v>3743</v>
      </c>
      <c r="BW358">
        <f>HYPERLINK("http://exon.niaid.nih.gov/transcriptome/C_felis/S1/links/GO/cf-contig_571-GO.txt",2E-47)</f>
        <v>1.9999999999999999E-47</v>
      </c>
      <c r="BX358" t="str">
        <f>HYPERLINK("http://amigo.geneontology.org/cgi-bin/amigo/term_details?term=GO:0005298","GO:0005298")</f>
        <v>GO:0005298</v>
      </c>
      <c r="BY358" t="s">
        <v>3744</v>
      </c>
      <c r="BZ358" t="s">
        <v>3745</v>
      </c>
      <c r="CA358" t="s">
        <v>3746</v>
      </c>
      <c r="CB358" t="s">
        <v>42</v>
      </c>
      <c r="CD358" s="5">
        <v>1.9999999999999999E-47</v>
      </c>
      <c r="CE358" t="str">
        <f>HYPERLINK("http://amigo.geneontology.org/cgi-bin/amigo/term_details?term=GO:0016021","GO:0016021")</f>
        <v>GO:0016021</v>
      </c>
      <c r="CF358" t="s">
        <v>3747</v>
      </c>
      <c r="CG358" t="s">
        <v>3748</v>
      </c>
      <c r="CH358" t="s">
        <v>3749</v>
      </c>
      <c r="CI358" t="s">
        <v>42</v>
      </c>
      <c r="CK358" s="5">
        <v>1.9999999999999999E-47</v>
      </c>
      <c r="CL358" t="str">
        <f>HYPERLINK("http://amigo.geneontology.org/cgi-bin/amigo/term_details?term=GO:0008292","GO:0008292")</f>
        <v>GO:0008292</v>
      </c>
      <c r="CM358" t="s">
        <v>3750</v>
      </c>
      <c r="CN358" t="s">
        <v>3751</v>
      </c>
      <c r="CO358" t="s">
        <v>3752</v>
      </c>
      <c r="CP358" t="s">
        <v>42</v>
      </c>
      <c r="CR358" s="5">
        <v>1.9999999999999999E-47</v>
      </c>
      <c r="CS358" s="4" t="str">
        <f>HYPERLINK("http://exon.niaid.nih.gov/transcriptome/C_felis/S1/links/KOG/cf-contig_571-KOG.txt","Choline transporter")</f>
        <v>Choline transporter</v>
      </c>
      <c r="CT358" t="str">
        <f>HYPERLINK("http://www.ncbi.nlm.nih.gov/COG/grace/shokog.cgi?KOG3761","2E-031")</f>
        <v>2E-031</v>
      </c>
      <c r="CU358" t="s">
        <v>1761</v>
      </c>
      <c r="CV358" s="4" t="str">
        <f>HYPERLINK("http://exon.niaid.nih.gov/transcriptome/C_felis/S1/links/PFAM/cf-contig_571-PFAM.txt","DUF222")</f>
        <v>DUF222</v>
      </c>
      <c r="CW358" t="str">
        <f>HYPERLINK("http://pfam.sanger.ac.uk/family?acc=PF02720","0.17")</f>
        <v>0.17</v>
      </c>
      <c r="CX358" s="4" t="str">
        <f>HYPERLINK("http://exon.niaid.nih.gov/transcriptome/C_felis/S1/links/SMART/cf-contig_571-SMART.txt","LRRCT")</f>
        <v>LRRCT</v>
      </c>
      <c r="CY358" t="str">
        <f>HYPERLINK("http://smart.embl-heidelberg.de/smart/do_annotation.pl?DOMAIN=LRRCT&amp;BLAST=DUMMY","0.25")</f>
        <v>0.25</v>
      </c>
      <c r="CZ358" s="4" t="s">
        <v>42</v>
      </c>
      <c r="DA358" t="s">
        <v>42</v>
      </c>
      <c r="DB358" t="s">
        <v>42</v>
      </c>
      <c r="DC358" t="s">
        <v>42</v>
      </c>
      <c r="DD358" t="s">
        <v>42</v>
      </c>
      <c r="DE358" t="s">
        <v>42</v>
      </c>
      <c r="DF358" t="s">
        <v>42</v>
      </c>
      <c r="DG358" t="s">
        <v>42</v>
      </c>
      <c r="DH358" s="4" t="s">
        <v>42</v>
      </c>
      <c r="DI358" t="s">
        <v>42</v>
      </c>
      <c r="DJ358" s="4" t="s">
        <v>42</v>
      </c>
      <c r="DK358" t="s">
        <v>42</v>
      </c>
      <c r="DL358" s="4">
        <v>465</v>
      </c>
      <c r="DM358">
        <v>1</v>
      </c>
      <c r="DN358" s="4">
        <v>475</v>
      </c>
      <c r="DO358">
        <v>1</v>
      </c>
      <c r="DP358" s="4">
        <v>483</v>
      </c>
      <c r="DQ358">
        <v>1</v>
      </c>
      <c r="DR358" s="4">
        <v>501</v>
      </c>
      <c r="DS358">
        <v>1</v>
      </c>
      <c r="DT358" s="4">
        <v>513</v>
      </c>
      <c r="DU358">
        <v>1</v>
      </c>
      <c r="DV358" s="4">
        <v>527</v>
      </c>
      <c r="DW358">
        <v>1</v>
      </c>
      <c r="DX358" s="4">
        <v>535</v>
      </c>
      <c r="DY358">
        <v>1</v>
      </c>
      <c r="DZ358" s="4">
        <v>543</v>
      </c>
      <c r="EA358">
        <v>1</v>
      </c>
      <c r="EB358" s="4">
        <v>548</v>
      </c>
      <c r="EC358">
        <v>1</v>
      </c>
      <c r="ED358" s="4">
        <v>552</v>
      </c>
      <c r="EE358">
        <v>1</v>
      </c>
      <c r="EF358" s="4">
        <v>557</v>
      </c>
      <c r="EG358">
        <v>1</v>
      </c>
      <c r="EH358" s="4">
        <v>564</v>
      </c>
      <c r="EI358">
        <v>1</v>
      </c>
      <c r="EJ358" s="4">
        <v>571</v>
      </c>
      <c r="EK358">
        <v>1</v>
      </c>
    </row>
    <row r="359" spans="1:141" x14ac:dyDescent="0.2">
      <c r="A359" t="str">
        <f>HYPERLINK("http://exon.niaid.nih.gov/transcriptome/C_felis/S1/links/cf/cf-contig_307.txt","cf-contig_307")</f>
        <v>cf-contig_307</v>
      </c>
      <c r="B359">
        <v>1</v>
      </c>
      <c r="C359" s="10" t="s">
        <v>4725</v>
      </c>
      <c r="D359">
        <v>1</v>
      </c>
      <c r="E359" t="str">
        <f>HYPERLINK("http://exon.niaid.nih.gov/transcriptome/C_felis/S1/links/cf/cf-5-36-asb-307.txt","Contig-307")</f>
        <v>Contig-307</v>
      </c>
      <c r="F359" t="str">
        <f>HYPERLINK("http://exon.niaid.nih.gov/transcriptome/C_felis/S1/links/cf/cf-5-36-307-CLU.txt","Contig307")</f>
        <v>Contig307</v>
      </c>
      <c r="G359" t="str">
        <f>HYPERLINK("http://exon.niaid.nih.gov/transcriptome/C_felis/S1/links/cf/cf-5-36-307-qual.txt","58.9")</f>
        <v>58.9</v>
      </c>
      <c r="H359" t="s">
        <v>11</v>
      </c>
      <c r="I359">
        <v>65.7</v>
      </c>
      <c r="J359">
        <v>360</v>
      </c>
      <c r="K359" t="s">
        <v>12</v>
      </c>
      <c r="L359">
        <v>1</v>
      </c>
      <c r="M359" t="s">
        <v>320</v>
      </c>
      <c r="N359">
        <v>360</v>
      </c>
      <c r="O359">
        <v>379</v>
      </c>
      <c r="P359">
        <v>249</v>
      </c>
      <c r="Q359" t="s">
        <v>1127</v>
      </c>
      <c r="R359">
        <v>2</v>
      </c>
      <c r="S359" s="7" t="s">
        <v>4585</v>
      </c>
      <c r="U359">
        <v>1</v>
      </c>
      <c r="V359" s="4">
        <v>248</v>
      </c>
      <c r="W359">
        <v>1</v>
      </c>
      <c r="X359" s="4">
        <v>253</v>
      </c>
      <c r="Y359">
        <v>1</v>
      </c>
      <c r="Z359" s="4">
        <v>252</v>
      </c>
      <c r="AA359">
        <v>1</v>
      </c>
      <c r="AB359" s="4" t="str">
        <f>HYPERLINK("http://exon.niaid.nih.gov/transcriptome/C_felis/S1/links/XC-ASB/cf-contig_307-XC-ASB.txt","XC-contig_226")</f>
        <v>XC-contig_226</v>
      </c>
      <c r="AC359">
        <v>0.38</v>
      </c>
      <c r="AD359" s="10" t="s">
        <v>4725</v>
      </c>
      <c r="AE359" t="s">
        <v>4704</v>
      </c>
      <c r="AF359" t="str">
        <f>HYPERLINK("http://exon.niaid.nih.gov/transcriptome/C_felis/S1/links/GO/cf-contig_307-GO.txt","GO")</f>
        <v>GO</v>
      </c>
      <c r="AG359" s="5">
        <v>2.0000000000000001E-22</v>
      </c>
      <c r="AH359">
        <v>88.8</v>
      </c>
      <c r="AI359" s="4" t="str">
        <f>HYPERLINK("http://exon.niaid.nih.gov/transcriptome/C_felis/S1/links/NR/cf-contig_307-NR.txt","AGAP006879-PA")</f>
        <v>AGAP006879-PA</v>
      </c>
      <c r="AJ359" t="str">
        <f>HYPERLINK("http://www.ncbi.nlm.nih.gov/sutils/blink.cgi?pid=118778802","6E-023")</f>
        <v>6E-023</v>
      </c>
      <c r="AK359" t="str">
        <f>HYPERLINK("http://www.ncbi.nlm.nih.gov/protein/118778802","gi|118778802")</f>
        <v>gi|118778802</v>
      </c>
      <c r="AL359">
        <v>110</v>
      </c>
      <c r="AM359">
        <v>70</v>
      </c>
      <c r="AN359">
        <v>82</v>
      </c>
      <c r="AO359">
        <v>77</v>
      </c>
      <c r="AP359">
        <v>87</v>
      </c>
      <c r="AQ359">
        <v>16</v>
      </c>
      <c r="AR359">
        <v>0</v>
      </c>
      <c r="AS359">
        <v>6</v>
      </c>
      <c r="AT359">
        <v>38</v>
      </c>
      <c r="AU359">
        <v>1</v>
      </c>
      <c r="AV359">
        <v>2</v>
      </c>
      <c r="AW359" t="s">
        <v>12</v>
      </c>
      <c r="AY359" t="s">
        <v>1676</v>
      </c>
      <c r="AZ359" t="s">
        <v>2374</v>
      </c>
      <c r="BA359" s="4" t="str">
        <f>HYPERLINK("http://exon.niaid.nih.gov/transcriptome/C_felis/S1/links/SWISSP/cf-contig_307-SWISSP.txt","ATP synthase subunit e, mitochondrial")</f>
        <v>ATP synthase subunit e, mitochondrial</v>
      </c>
      <c r="BB359" t="str">
        <f>HYPERLINK("http://www.uniprot.org/uniprot/P29419","3E-006")</f>
        <v>3E-006</v>
      </c>
      <c r="BC359" t="s">
        <v>2750</v>
      </c>
      <c r="BD359">
        <v>50.4</v>
      </c>
      <c r="BE359">
        <v>66</v>
      </c>
      <c r="BF359">
        <v>71</v>
      </c>
      <c r="BG359">
        <v>41</v>
      </c>
      <c r="BH359">
        <v>94</v>
      </c>
      <c r="BI359">
        <v>39</v>
      </c>
      <c r="BJ359">
        <v>0</v>
      </c>
      <c r="BK359">
        <v>4</v>
      </c>
      <c r="BL359">
        <v>41</v>
      </c>
      <c r="BM359">
        <v>1</v>
      </c>
      <c r="BN359">
        <v>2</v>
      </c>
      <c r="BO359" t="s">
        <v>12</v>
      </c>
      <c r="BQ359" t="s">
        <v>1676</v>
      </c>
      <c r="BR359" t="s">
        <v>1684</v>
      </c>
      <c r="BS359" s="4" t="str">
        <f>HYPERLINK("http://exon.niaid.nih.gov/transcriptome/C_felis/S1/links/CDD/cf-contig_307-CDD.txt","ATP-synt_E")</f>
        <v>ATP-synt_E</v>
      </c>
      <c r="BT359" t="str">
        <f>HYPERLINK("http://www.ncbi.nlm.nih.gov/Structure/cdd/cddsrv.cgi?uid=pfam05680&amp;version=v4.0","8E-021")</f>
        <v>8E-021</v>
      </c>
      <c r="BU359" t="s">
        <v>2751</v>
      </c>
      <c r="BV359" s="4" t="s">
        <v>2752</v>
      </c>
      <c r="BW359">
        <f>HYPERLINK("http://exon.niaid.nih.gov/transcriptome/C_felis/S1/links/GO/cf-contig_307-GO.txt",2E-22)</f>
        <v>2.0000000000000001E-22</v>
      </c>
      <c r="BX359" t="str">
        <f>HYPERLINK("http://amigo.geneontology.org/cgi-bin/amigo/term_details?term=GO:0008553","GO:0008553")</f>
        <v>GO:0008553</v>
      </c>
      <c r="BY359" t="s">
        <v>2753</v>
      </c>
      <c r="BZ359" t="s">
        <v>2754</v>
      </c>
      <c r="CA359" t="s">
        <v>2755</v>
      </c>
      <c r="CB359" t="str">
        <f>HYPERLINK("http://www.genome.jp/dbget-bin/www_bfind_sub?mode=bfind&amp;max_hit=1000&amp;dbkey=kegg&amp;keywords=EC:3.6.3.6","EC:3.6.3.6")</f>
        <v>EC:3.6.3.6</v>
      </c>
      <c r="CD359" s="5">
        <v>2.0000000000000001E-22</v>
      </c>
      <c r="CE359" t="str">
        <f>HYPERLINK("http://amigo.geneontology.org/cgi-bin/amigo/term_details?term=GO:0000276","GO:0000276")</f>
        <v>GO:0000276</v>
      </c>
      <c r="CF359" t="s">
        <v>2756</v>
      </c>
      <c r="CG359" t="s">
        <v>2757</v>
      </c>
      <c r="CH359" t="s">
        <v>42</v>
      </c>
      <c r="CI359" t="s">
        <v>42</v>
      </c>
      <c r="CK359" s="5">
        <v>2.0000000000000001E-22</v>
      </c>
      <c r="CL359" t="str">
        <f>HYPERLINK("http://amigo.geneontology.org/cgi-bin/amigo/term_details?term=GO:0015992","GO:0015992")</f>
        <v>GO:0015992</v>
      </c>
      <c r="CM359" t="s">
        <v>2758</v>
      </c>
      <c r="CN359" t="s">
        <v>2759</v>
      </c>
      <c r="CO359" t="s">
        <v>2760</v>
      </c>
      <c r="CP359" t="s">
        <v>42</v>
      </c>
      <c r="CR359" s="5">
        <v>2.0000000000000001E-22</v>
      </c>
      <c r="CS359" s="4" t="str">
        <f>HYPERLINK("http://exon.niaid.nih.gov/transcriptome/C_felis/S1/links/KOG/cf-contig_307-KOG.txt","Mitochondrial F1F0-ATP synthase, subunit e")</f>
        <v>Mitochondrial F1F0-ATP synthase, subunit e</v>
      </c>
      <c r="CT359" t="str">
        <f>HYPERLINK("http://www.ncbi.nlm.nih.gov/COG/grace/shokog.cgi?KOG4326","1E-020")</f>
        <v>1E-020</v>
      </c>
      <c r="CU359" t="s">
        <v>1793</v>
      </c>
      <c r="CV359" s="4" t="str">
        <f>HYPERLINK("http://exon.niaid.nih.gov/transcriptome/C_felis/S1/links/PFAM/cf-contig_307-PFAM.txt","ATP-synt_E")</f>
        <v>ATP-synt_E</v>
      </c>
      <c r="CW359" t="str">
        <f>HYPERLINK("http://pfam.sanger.ac.uk/family?acc=PF05680","2E-021")</f>
        <v>2E-021</v>
      </c>
      <c r="CX359" s="4" t="str">
        <f>HYPERLINK("http://exon.niaid.nih.gov/transcriptome/C_felis/S1/links/SMART/cf-contig_307-SMART.txt","Fapy_DNA_glyco")</f>
        <v>Fapy_DNA_glyco</v>
      </c>
      <c r="CY359" t="str">
        <f>HYPERLINK("http://smart.embl-heidelberg.de/smart/do_annotation.pl?DOMAIN=Fapy_DNA_glyco&amp;BLAST=DUMMY","0.021")</f>
        <v>0.021</v>
      </c>
      <c r="CZ359" s="4" t="s">
        <v>42</v>
      </c>
      <c r="DA359" t="s">
        <v>42</v>
      </c>
      <c r="DB359" t="s">
        <v>42</v>
      </c>
      <c r="DC359" t="s">
        <v>42</v>
      </c>
      <c r="DD359" t="s">
        <v>42</v>
      </c>
      <c r="DE359" t="s">
        <v>42</v>
      </c>
      <c r="DF359" t="s">
        <v>42</v>
      </c>
      <c r="DG359" t="s">
        <v>42</v>
      </c>
      <c r="DH359" s="4" t="s">
        <v>42</v>
      </c>
      <c r="DI359" t="s">
        <v>42</v>
      </c>
      <c r="DJ359" s="4" t="s">
        <v>42</v>
      </c>
      <c r="DK359" t="s">
        <v>42</v>
      </c>
      <c r="DL359" s="4">
        <v>248</v>
      </c>
      <c r="DM359">
        <v>1</v>
      </c>
      <c r="DN359" s="4">
        <v>253</v>
      </c>
      <c r="DO359">
        <v>1</v>
      </c>
      <c r="DP359" s="4">
        <v>252</v>
      </c>
      <c r="DQ359">
        <v>1</v>
      </c>
      <c r="DR359" s="4">
        <v>261</v>
      </c>
      <c r="DS359">
        <v>1</v>
      </c>
      <c r="DT359" s="4">
        <v>269</v>
      </c>
      <c r="DU359">
        <v>1</v>
      </c>
      <c r="DV359" s="4">
        <v>281</v>
      </c>
      <c r="DW359">
        <v>1</v>
      </c>
      <c r="DX359" s="4">
        <v>283</v>
      </c>
      <c r="DY359">
        <v>1</v>
      </c>
      <c r="DZ359" s="4">
        <v>288</v>
      </c>
      <c r="EA359">
        <v>1</v>
      </c>
      <c r="EB359" s="4">
        <v>293</v>
      </c>
      <c r="EC359">
        <v>1</v>
      </c>
      <c r="ED359" s="4">
        <v>296</v>
      </c>
      <c r="EE359">
        <v>1</v>
      </c>
      <c r="EF359" s="4">
        <v>300</v>
      </c>
      <c r="EG359">
        <v>1</v>
      </c>
      <c r="EH359" s="4">
        <v>302</v>
      </c>
      <c r="EI359">
        <v>1</v>
      </c>
      <c r="EJ359" s="4">
        <v>307</v>
      </c>
      <c r="EK359">
        <v>1</v>
      </c>
    </row>
    <row r="360" spans="1:141" x14ac:dyDescent="0.2">
      <c r="A360" t="str">
        <f>HYPERLINK("http://exon.niaid.nih.gov/transcriptome/C_felis/S1/links/cf/cf-contig_235.txt","cf-contig_235")</f>
        <v>cf-contig_235</v>
      </c>
      <c r="B360">
        <v>3</v>
      </c>
      <c r="C360" s="10" t="s">
        <v>4703</v>
      </c>
      <c r="D360">
        <v>3</v>
      </c>
      <c r="E360" t="str">
        <f>HYPERLINK("http://exon.niaid.nih.gov/transcriptome/C_felis/S1/links/cf/cf-5-36-asb-235.txt","Contig-235")</f>
        <v>Contig-235</v>
      </c>
      <c r="F360" t="str">
        <f>HYPERLINK("http://exon.niaid.nih.gov/transcriptome/C_felis/S1/links/cf/cf-5-36-235-CLU.txt","Contig235")</f>
        <v>Contig235</v>
      </c>
      <c r="G360" t="str">
        <f>HYPERLINK("http://exon.niaid.nih.gov/transcriptome/C_felis/S1/links/cf/cf-5-36-235-qual.txt","94.7")</f>
        <v>94.7</v>
      </c>
      <c r="H360" t="s">
        <v>11</v>
      </c>
      <c r="I360">
        <v>65.400000000000006</v>
      </c>
      <c r="J360">
        <v>691</v>
      </c>
      <c r="K360" t="s">
        <v>12</v>
      </c>
      <c r="L360">
        <v>3</v>
      </c>
      <c r="M360" t="s">
        <v>248</v>
      </c>
      <c r="N360">
        <v>706</v>
      </c>
      <c r="O360">
        <v>712</v>
      </c>
      <c r="P360">
        <v>429</v>
      </c>
      <c r="Q360" t="s">
        <v>1055</v>
      </c>
      <c r="R360">
        <v>1</v>
      </c>
      <c r="S360" s="7" t="str">
        <f>HYPERLINK("http://exon.niaid.nih.gov/transcriptome/C_felis/S1/links/Sigp/CF-CONTIG_235-SigP.txt","Cyt")</f>
        <v>Cyt</v>
      </c>
      <c r="U360">
        <v>3</v>
      </c>
      <c r="V360" s="4">
        <v>185</v>
      </c>
      <c r="W360">
        <v>1</v>
      </c>
      <c r="X360" s="4">
        <v>188</v>
      </c>
      <c r="Y360">
        <v>1</v>
      </c>
      <c r="Z360" s="4">
        <v>186</v>
      </c>
      <c r="AA360">
        <v>1</v>
      </c>
      <c r="AB360" s="4" t="str">
        <f>HYPERLINK("http://exon.niaid.nih.gov/transcriptome/C_felis/S1/links/XC-ASB/cf-contig_235-XC-ASB.txt","XC-contig_237")</f>
        <v>XC-contig_237</v>
      </c>
      <c r="AC360">
        <v>5.0000000000000001E-3</v>
      </c>
      <c r="AD360" s="10" t="s">
        <v>4703</v>
      </c>
      <c r="AE360" t="s">
        <v>4704</v>
      </c>
      <c r="AF360" t="str">
        <f>HYPERLINK("http://exon.niaid.nih.gov/transcriptome/C_felis/S1/links/NR/cf-contig_235-NR.txt","NR")</f>
        <v>NR</v>
      </c>
      <c r="AG360" s="5">
        <v>2E-50</v>
      </c>
      <c r="AH360">
        <v>70</v>
      </c>
      <c r="AI360" s="4" t="str">
        <f>HYPERLINK("http://exon.niaid.nih.gov/transcriptome/C_felis/S1/links/NR/cf-contig_235-NR.txt","mitochondrial import inner membrane translocase subunit Tim23, putative")</f>
        <v>mitochondrial import inner membrane translocase subunit Tim23, putative</v>
      </c>
      <c r="AJ360" t="str">
        <f>HYPERLINK("http://www.ncbi.nlm.nih.gov/sutils/blink.cgi?pid=242010956","2E-050")</f>
        <v>2E-050</v>
      </c>
      <c r="AK360" t="str">
        <f>HYPERLINK("http://www.ncbi.nlm.nih.gov/protein/242010956","gi|242010956")</f>
        <v>gi|242010956</v>
      </c>
      <c r="AL360">
        <v>203</v>
      </c>
      <c r="AM360">
        <v>137</v>
      </c>
      <c r="AN360">
        <v>197</v>
      </c>
      <c r="AO360">
        <v>69</v>
      </c>
      <c r="AP360">
        <v>70</v>
      </c>
      <c r="AQ360">
        <v>42</v>
      </c>
      <c r="AR360">
        <v>0</v>
      </c>
      <c r="AS360">
        <v>60</v>
      </c>
      <c r="AT360">
        <v>13</v>
      </c>
      <c r="AU360">
        <v>1</v>
      </c>
      <c r="AV360">
        <v>1</v>
      </c>
      <c r="AW360" t="s">
        <v>12</v>
      </c>
      <c r="AY360" t="s">
        <v>1676</v>
      </c>
      <c r="AZ360" t="s">
        <v>1751</v>
      </c>
      <c r="BA360" s="4" t="str">
        <f>HYPERLINK("http://exon.niaid.nih.gov/transcriptome/C_felis/S1/links/SWISSP/cf-contig_235-SWISSP.txt","Mitochondrial import inner membrane translocase subunit Tim23")</f>
        <v>Mitochondrial import inner membrane translocase subunit Tim23</v>
      </c>
      <c r="BB360" t="str">
        <f>HYPERLINK("http://www.uniprot.org/uniprot/Q9WTQ8","7E-027")</f>
        <v>7E-027</v>
      </c>
      <c r="BC360" t="s">
        <v>2548</v>
      </c>
      <c r="BD360">
        <v>120</v>
      </c>
      <c r="BE360">
        <v>127</v>
      </c>
      <c r="BF360">
        <v>209</v>
      </c>
      <c r="BG360">
        <v>48</v>
      </c>
      <c r="BH360">
        <v>61</v>
      </c>
      <c r="BI360">
        <v>67</v>
      </c>
      <c r="BJ360">
        <v>0</v>
      </c>
      <c r="BK360">
        <v>69</v>
      </c>
      <c r="BL360">
        <v>10</v>
      </c>
      <c r="BM360">
        <v>1</v>
      </c>
      <c r="BN360">
        <v>1</v>
      </c>
      <c r="BO360" t="s">
        <v>12</v>
      </c>
      <c r="BQ360" t="s">
        <v>1676</v>
      </c>
      <c r="BR360" t="s">
        <v>1705</v>
      </c>
      <c r="BS360" s="4" t="str">
        <f>HYPERLINK("http://exon.niaid.nih.gov/transcriptome/C_felis/S1/links/CDD/cf-contig_235-CDD.txt","3a0801s02tim23")</f>
        <v>3a0801s02tim23</v>
      </c>
      <c r="BT360" t="str">
        <f>HYPERLINK("http://www.ncbi.nlm.nih.gov/Structure/cdd/cddsrv.cgi?uid=TIGR00983&amp;version=v4.0","2E-027")</f>
        <v>2E-027</v>
      </c>
      <c r="BU360" t="s">
        <v>2549</v>
      </c>
      <c r="BV360" s="4" t="s">
        <v>2550</v>
      </c>
      <c r="BW360">
        <f>HYPERLINK("http://exon.niaid.nih.gov/transcriptome/C_felis/S1/links/GO/cf-contig_235-GO.txt",7E-27)</f>
        <v>7.0000000000000003E-27</v>
      </c>
      <c r="BX360" t="str">
        <f>HYPERLINK("http://amigo.geneontology.org/cgi-bin/amigo/term_details?term=GO:0005515","GO:0005515")</f>
        <v>GO:0005515</v>
      </c>
      <c r="BY360" t="s">
        <v>2423</v>
      </c>
      <c r="BZ360" t="s">
        <v>2424</v>
      </c>
      <c r="CA360" t="s">
        <v>2425</v>
      </c>
      <c r="CB360" t="s">
        <v>42</v>
      </c>
      <c r="CD360" s="5">
        <v>7.0000000000000003E-27</v>
      </c>
      <c r="CE360" t="str">
        <f>HYPERLINK("http://amigo.geneontology.org/cgi-bin/amigo/term_details?term=GO:0005739","GO:0005739")</f>
        <v>GO:0005739</v>
      </c>
      <c r="CF360" t="s">
        <v>2551</v>
      </c>
      <c r="CG360" t="s">
        <v>2552</v>
      </c>
      <c r="CH360" t="s">
        <v>2553</v>
      </c>
      <c r="CI360" t="s">
        <v>42</v>
      </c>
      <c r="CK360" s="5">
        <v>7.0000000000000003E-27</v>
      </c>
      <c r="CL360" t="str">
        <f>HYPERLINK("http://amigo.geneontology.org/cgi-bin/amigo/term_details?term=GO:0006626","GO:0006626")</f>
        <v>GO:0006626</v>
      </c>
      <c r="CM360" t="s">
        <v>2554</v>
      </c>
      <c r="CN360" t="s">
        <v>2555</v>
      </c>
      <c r="CO360" t="s">
        <v>2556</v>
      </c>
      <c r="CP360" t="s">
        <v>42</v>
      </c>
      <c r="CR360" s="5">
        <v>7.0000000000000003E-27</v>
      </c>
      <c r="CS360" s="4" t="str">
        <f>HYPERLINK("http://exon.niaid.nih.gov/transcriptome/C_felis/S1/links/KOG/cf-contig_235-KOG.txt","Mitochondrial import inner membrane translocase, subunit TIM23")</f>
        <v>Mitochondrial import inner membrane translocase, subunit TIM23</v>
      </c>
      <c r="CT360" t="str">
        <f>HYPERLINK("http://www.ncbi.nlm.nih.gov/COG/grace/shokog.cgi?KOG3324","1E-032")</f>
        <v>1E-032</v>
      </c>
      <c r="CU360" t="s">
        <v>1686</v>
      </c>
      <c r="CV360" s="4" t="str">
        <f>HYPERLINK("http://exon.niaid.nih.gov/transcriptome/C_felis/S1/links/PFAM/cf-contig_235-PFAM.txt","Tim17")</f>
        <v>Tim17</v>
      </c>
      <c r="CW360" t="str">
        <f>HYPERLINK("http://pfam.sanger.ac.uk/family?acc=PF02466","1E-023")</f>
        <v>1E-023</v>
      </c>
      <c r="CX360" s="4" t="str">
        <f>HYPERLINK("http://exon.niaid.nih.gov/transcriptome/C_felis/S1/links/SMART/cf-contig_235-SMART.txt","PKS_KS")</f>
        <v>PKS_KS</v>
      </c>
      <c r="CY360" t="str">
        <f>HYPERLINK("http://smart.embl-heidelberg.de/smart/do_annotation.pl?DOMAIN=PKS_KS&amp;BLAST=DUMMY","0.021")</f>
        <v>0.021</v>
      </c>
      <c r="CZ360" s="4" t="s">
        <v>42</v>
      </c>
      <c r="DA360" t="s">
        <v>42</v>
      </c>
      <c r="DB360" t="s">
        <v>42</v>
      </c>
      <c r="DC360" t="s">
        <v>42</v>
      </c>
      <c r="DD360" t="s">
        <v>42</v>
      </c>
      <c r="DE360" t="s">
        <v>42</v>
      </c>
      <c r="DF360" t="s">
        <v>42</v>
      </c>
      <c r="DG360" t="s">
        <v>42</v>
      </c>
      <c r="DH360" s="4" t="s">
        <v>42</v>
      </c>
      <c r="DI360" t="s">
        <v>42</v>
      </c>
      <c r="DJ360" s="4" t="s">
        <v>42</v>
      </c>
      <c r="DK360" t="s">
        <v>42</v>
      </c>
      <c r="DL360" s="4">
        <v>185</v>
      </c>
      <c r="DM360">
        <v>1</v>
      </c>
      <c r="DN360" s="4">
        <v>188</v>
      </c>
      <c r="DO360">
        <v>1</v>
      </c>
      <c r="DP360" s="4">
        <v>186</v>
      </c>
      <c r="DQ360">
        <v>1</v>
      </c>
      <c r="DR360" s="4">
        <v>193</v>
      </c>
      <c r="DS360">
        <v>1</v>
      </c>
      <c r="DT360" s="4">
        <v>199</v>
      </c>
      <c r="DU360">
        <v>1</v>
      </c>
      <c r="DV360" s="4">
        <v>211</v>
      </c>
      <c r="DW360">
        <v>1</v>
      </c>
      <c r="DX360" s="4">
        <v>213</v>
      </c>
      <c r="DY360">
        <v>1</v>
      </c>
      <c r="DZ360" s="4">
        <v>217</v>
      </c>
      <c r="EA360">
        <v>1</v>
      </c>
      <c r="EB360" s="4">
        <v>222</v>
      </c>
      <c r="EC360">
        <v>1</v>
      </c>
      <c r="ED360" s="4">
        <v>225</v>
      </c>
      <c r="EE360">
        <v>1</v>
      </c>
      <c r="EF360" s="4">
        <v>228</v>
      </c>
      <c r="EG360">
        <v>1</v>
      </c>
      <c r="EH360" s="4">
        <v>230</v>
      </c>
      <c r="EI360">
        <v>1</v>
      </c>
      <c r="EJ360" s="4">
        <v>235</v>
      </c>
      <c r="EK360">
        <v>1</v>
      </c>
    </row>
    <row r="361" spans="1:141" x14ac:dyDescent="0.2">
      <c r="A361" t="str">
        <f>HYPERLINK("http://exon.niaid.nih.gov/transcriptome/C_felis/S1/links/cf/cf-contig_654.txt","cf-contig_654")</f>
        <v>cf-contig_654</v>
      </c>
      <c r="B361">
        <v>1</v>
      </c>
      <c r="C361" s="10" t="s">
        <v>4837</v>
      </c>
      <c r="D361">
        <v>1</v>
      </c>
      <c r="E361" t="str">
        <f>HYPERLINK("http://exon.niaid.nih.gov/transcriptome/C_felis/S1/links/cf/cf-5-36-asb-654.txt","Contig-654")</f>
        <v>Contig-654</v>
      </c>
      <c r="F361" t="str">
        <f>HYPERLINK("http://exon.niaid.nih.gov/transcriptome/C_felis/S1/links/cf/cf-5-36-654-CLU.txt","Contig654")</f>
        <v>Contig654</v>
      </c>
      <c r="G361" t="str">
        <f>HYPERLINK("http://exon.niaid.nih.gov/transcriptome/C_felis/S1/links/cf/cf-5-36-654-qual.txt","53.")</f>
        <v>53.</v>
      </c>
      <c r="H361" t="s">
        <v>11</v>
      </c>
      <c r="I361">
        <v>68.599999999999994</v>
      </c>
      <c r="J361">
        <v>603</v>
      </c>
      <c r="K361" t="s">
        <v>12</v>
      </c>
      <c r="L361">
        <v>1</v>
      </c>
      <c r="M361" t="s">
        <v>667</v>
      </c>
      <c r="N361">
        <v>603</v>
      </c>
      <c r="O361">
        <v>622</v>
      </c>
      <c r="P361">
        <v>300</v>
      </c>
      <c r="Q361" t="s">
        <v>1473</v>
      </c>
      <c r="R361">
        <v>1</v>
      </c>
      <c r="S361" s="7" t="str">
        <f>HYPERLINK("http://exon.niaid.nih.gov/transcriptome/C_felis/S1/links/Sigp/CF-CONTIG_654-SigP.txt","Cyt")</f>
        <v>Cyt</v>
      </c>
      <c r="U361">
        <v>1</v>
      </c>
      <c r="V361" s="4">
        <v>535</v>
      </c>
      <c r="W361">
        <v>1</v>
      </c>
      <c r="X361" s="4">
        <v>547</v>
      </c>
      <c r="Y361">
        <v>1</v>
      </c>
      <c r="Z361" s="4">
        <v>559</v>
      </c>
      <c r="AA361">
        <v>1</v>
      </c>
      <c r="AB361" s="4" t="str">
        <f>HYPERLINK("http://exon.niaid.nih.gov/transcriptome/C_felis/S1/links/XC-ASB/cf-contig_654-XC-ASB.txt","XC-contig_92")</f>
        <v>XC-contig_92</v>
      </c>
      <c r="AC361">
        <v>0.14000000000000001</v>
      </c>
      <c r="AD361" s="10" t="s">
        <v>4837</v>
      </c>
      <c r="AE361" t="s">
        <v>4704</v>
      </c>
      <c r="AF361" t="str">
        <f>HYPERLINK("http://exon.niaid.nih.gov/transcriptome/C_felis/S1/links/KOG/cf-contig_654-KOG.txt","KOG")</f>
        <v>KOG</v>
      </c>
      <c r="AG361">
        <v>8.9999999999999995E-9</v>
      </c>
      <c r="AH361">
        <v>21.3</v>
      </c>
      <c r="AI361" s="4" t="str">
        <f>HYPERLINK("http://exon.niaid.nih.gov/transcriptome/C_felis/S1/links/NR/cf-contig_654-NR.txt","hypothetical protein DAPPUDRAFT_325070")</f>
        <v>hypothetical protein DAPPUDRAFT_325070</v>
      </c>
      <c r="AJ361" t="str">
        <f>HYPERLINK("http://www.ncbi.nlm.nih.gov/sutils/blink.cgi?pid=321462652","5E-010")</f>
        <v>5E-010</v>
      </c>
      <c r="AK361" t="str">
        <f>HYPERLINK("http://www.ncbi.nlm.nih.gov/protein/321462652","gi|321462652")</f>
        <v>gi|321462652</v>
      </c>
      <c r="AL361">
        <v>68.900000000000006</v>
      </c>
      <c r="AM361">
        <v>100</v>
      </c>
      <c r="AN361">
        <v>377</v>
      </c>
      <c r="AO361">
        <v>39</v>
      </c>
      <c r="AP361">
        <v>27</v>
      </c>
      <c r="AQ361">
        <v>61</v>
      </c>
      <c r="AR361">
        <v>6</v>
      </c>
      <c r="AS361">
        <v>277</v>
      </c>
      <c r="AT361">
        <v>10</v>
      </c>
      <c r="AU361">
        <v>1</v>
      </c>
      <c r="AV361">
        <v>1</v>
      </c>
      <c r="AW361" t="s">
        <v>12</v>
      </c>
      <c r="AY361" t="s">
        <v>1676</v>
      </c>
      <c r="AZ361" t="s">
        <v>4066</v>
      </c>
      <c r="BA361" s="4" t="str">
        <f>HYPERLINK("http://exon.niaid.nih.gov/transcriptome/C_felis/S1/links/SWISSP/cf-contig_654-SWISSP.txt","Protein PXR1")</f>
        <v>Protein PXR1</v>
      </c>
      <c r="BB361" t="str">
        <f>HYPERLINK("http://www.uniprot.org/uniprot/Q6FTR8","0.39")</f>
        <v>0.39</v>
      </c>
      <c r="BC361" t="s">
        <v>4067</v>
      </c>
      <c r="BD361">
        <v>35</v>
      </c>
      <c r="BE361">
        <v>46</v>
      </c>
      <c r="BF361">
        <v>288</v>
      </c>
      <c r="BG361">
        <v>36</v>
      </c>
      <c r="BH361">
        <v>16</v>
      </c>
      <c r="BI361">
        <v>30</v>
      </c>
      <c r="BJ361">
        <v>0</v>
      </c>
      <c r="BK361">
        <v>184</v>
      </c>
      <c r="BL361">
        <v>121</v>
      </c>
      <c r="BM361">
        <v>1</v>
      </c>
      <c r="BN361">
        <v>1</v>
      </c>
      <c r="BO361" t="s">
        <v>12</v>
      </c>
      <c r="BQ361" t="s">
        <v>1676</v>
      </c>
      <c r="BR361" t="s">
        <v>1911</v>
      </c>
      <c r="BS361" s="4" t="str">
        <f>HYPERLINK("http://exon.niaid.nih.gov/transcriptome/C_felis/S1/links/CDD/cf-contig_654-CDD.txt","ND4")</f>
        <v>ND4</v>
      </c>
      <c r="BT361" t="str">
        <f>HYPERLINK("http://www.ncbi.nlm.nih.gov/Structure/cdd/cddsrv.cgi?uid=MTH00204&amp;version=v4.0","0.023")</f>
        <v>0.023</v>
      </c>
      <c r="BU361" t="s">
        <v>4068</v>
      </c>
      <c r="BV361" s="4" t="s">
        <v>4069</v>
      </c>
      <c r="BW361">
        <f>HYPERLINK("http://exon.niaid.nih.gov/transcriptome/C_felis/S1/links/GO/cf-contig_654-GO.txt",0.00001)</f>
        <v>1.0000000000000001E-5</v>
      </c>
      <c r="BX361" t="s">
        <v>42</v>
      </c>
      <c r="BY361" t="s">
        <v>42</v>
      </c>
      <c r="BZ361" t="s">
        <v>42</v>
      </c>
      <c r="CA361" t="s">
        <v>42</v>
      </c>
      <c r="CC361" t="s">
        <v>42</v>
      </c>
      <c r="CD361" t="s">
        <v>42</v>
      </c>
      <c r="CE361" t="str">
        <f>HYPERLINK("http://amigo.geneontology.org/cgi-bin/amigo/term_details?term=GO:0005783","GO:0005783")</f>
        <v>GO:0005783</v>
      </c>
      <c r="CF361" t="s">
        <v>1959</v>
      </c>
      <c r="CG361" t="s">
        <v>1960</v>
      </c>
      <c r="CH361" t="s">
        <v>1961</v>
      </c>
      <c r="CI361" t="s">
        <v>42</v>
      </c>
      <c r="CK361">
        <v>1.0000000000000001E-5</v>
      </c>
      <c r="CL361" t="str">
        <f>HYPERLINK("http://amigo.geneontology.org/cgi-bin/amigo/term_details?term=GO:0006614","GO:0006614")</f>
        <v>GO:0006614</v>
      </c>
      <c r="CM361" t="s">
        <v>4070</v>
      </c>
      <c r="CN361" t="s">
        <v>4071</v>
      </c>
      <c r="CO361" t="s">
        <v>4072</v>
      </c>
      <c r="CP361" t="s">
        <v>42</v>
      </c>
      <c r="CR361">
        <v>1.0000000000000001E-5</v>
      </c>
      <c r="CS361" s="4" t="str">
        <f>HYPERLINK("http://exon.niaid.nih.gov/transcriptome/C_felis/S1/links/KOG/cf-contig_654-KOG.txt","Protein transporter of the TRAM (translocating chain-associating membrane) superfamily")</f>
        <v>Protein transporter of the TRAM (translocating chain-associating membrane) superfamily</v>
      </c>
      <c r="CT361" t="str">
        <f>HYPERLINK("http://www.ncbi.nlm.nih.gov/COG/grace/shokog.cgi?KOG1608","9E-009")</f>
        <v>9E-009</v>
      </c>
      <c r="CU361" t="s">
        <v>1686</v>
      </c>
      <c r="CV361" s="4" t="str">
        <f>HYPERLINK("http://exon.niaid.nih.gov/transcriptome/C_felis/S1/links/PFAM/cf-contig_654-PFAM.txt","DUF1754")</f>
        <v>DUF1754</v>
      </c>
      <c r="CW361" t="str">
        <f>HYPERLINK("http://pfam.sanger.ac.uk/family?acc=PF08555","0.018")</f>
        <v>0.018</v>
      </c>
      <c r="CX361" s="4" t="str">
        <f>HYPERLINK("http://exon.niaid.nih.gov/transcriptome/C_felis/S1/links/SMART/cf-contig_654-SMART.txt","PH")</f>
        <v>PH</v>
      </c>
      <c r="CY361" t="str">
        <f>HYPERLINK("http://smart.embl-heidelberg.de/smart/do_annotation.pl?DOMAIN=PH&amp;BLAST=DUMMY","0.030")</f>
        <v>0.030</v>
      </c>
      <c r="CZ361" s="4" t="s">
        <v>42</v>
      </c>
      <c r="DA361" t="s">
        <v>42</v>
      </c>
      <c r="DB361" t="s">
        <v>42</v>
      </c>
      <c r="DC361" t="s">
        <v>42</v>
      </c>
      <c r="DD361" t="s">
        <v>42</v>
      </c>
      <c r="DE361" t="s">
        <v>42</v>
      </c>
      <c r="DF361" t="s">
        <v>42</v>
      </c>
      <c r="DG361" t="s">
        <v>42</v>
      </c>
      <c r="DH361" s="4" t="s">
        <v>42</v>
      </c>
      <c r="DI361" t="s">
        <v>42</v>
      </c>
      <c r="DJ361" s="4" t="s">
        <v>42</v>
      </c>
      <c r="DK361" t="s">
        <v>42</v>
      </c>
      <c r="DL361" s="4">
        <v>535</v>
      </c>
      <c r="DM361">
        <v>1</v>
      </c>
      <c r="DN361" s="4">
        <v>547</v>
      </c>
      <c r="DO361">
        <v>1</v>
      </c>
      <c r="DP361" s="4">
        <v>559</v>
      </c>
      <c r="DQ361">
        <v>1</v>
      </c>
      <c r="DR361" s="4">
        <v>579</v>
      </c>
      <c r="DS361">
        <v>1</v>
      </c>
      <c r="DT361" s="4">
        <v>592</v>
      </c>
      <c r="DU361">
        <v>1</v>
      </c>
      <c r="DV361" s="4">
        <v>606</v>
      </c>
      <c r="DW361">
        <v>1</v>
      </c>
      <c r="DX361" s="4">
        <v>615</v>
      </c>
      <c r="DY361">
        <v>1</v>
      </c>
      <c r="DZ361" s="4">
        <v>624</v>
      </c>
      <c r="EA361">
        <v>1</v>
      </c>
      <c r="EB361" s="4">
        <v>629</v>
      </c>
      <c r="EC361">
        <v>1</v>
      </c>
      <c r="ED361" s="4">
        <v>633</v>
      </c>
      <c r="EE361">
        <v>1</v>
      </c>
      <c r="EF361" s="4">
        <v>639</v>
      </c>
      <c r="EG361">
        <v>1</v>
      </c>
      <c r="EH361" s="4">
        <v>647</v>
      </c>
      <c r="EI361">
        <v>1</v>
      </c>
      <c r="EJ361" s="4">
        <v>654</v>
      </c>
      <c r="EK361">
        <v>1</v>
      </c>
    </row>
    <row r="362" spans="1:141" s="6" customFormat="1" ht="12" customHeight="1" x14ac:dyDescent="0.2">
      <c r="A362" s="12" t="s">
        <v>4900</v>
      </c>
      <c r="AB362" s="6" t="s">
        <v>42</v>
      </c>
    </row>
    <row r="363" spans="1:141" x14ac:dyDescent="0.2">
      <c r="A363" t="str">
        <f>HYPERLINK("http://exon.niaid.nih.gov/transcriptome/C_felis/S1/links/cf/cf-contig_356.txt","cf-contig_356")</f>
        <v>cf-contig_356</v>
      </c>
      <c r="B363">
        <v>1</v>
      </c>
      <c r="C363" s="10" t="s">
        <v>4738</v>
      </c>
      <c r="D363">
        <v>1</v>
      </c>
      <c r="E363" t="str">
        <f>HYPERLINK("http://exon.niaid.nih.gov/transcriptome/C_felis/S1/links/cf/cf-5-36-asb-356.txt","Contig-356")</f>
        <v>Contig-356</v>
      </c>
      <c r="F363" t="str">
        <f>HYPERLINK("http://exon.niaid.nih.gov/transcriptome/C_felis/S1/links/cf/cf-5-36-356-CLU.txt","Contig356")</f>
        <v>Contig356</v>
      </c>
      <c r="G363" t="str">
        <f>HYPERLINK("http://exon.niaid.nih.gov/transcriptome/C_felis/S1/links/cf/cf-5-36-356-qual.txt","63.")</f>
        <v>63.</v>
      </c>
      <c r="H363" t="s">
        <v>11</v>
      </c>
      <c r="I363">
        <v>66.099999999999994</v>
      </c>
      <c r="J363">
        <v>731</v>
      </c>
      <c r="K363" t="s">
        <v>12</v>
      </c>
      <c r="L363">
        <v>1</v>
      </c>
      <c r="M363" t="s">
        <v>369</v>
      </c>
      <c r="N363">
        <v>731</v>
      </c>
      <c r="O363">
        <v>750</v>
      </c>
      <c r="P363">
        <v>660</v>
      </c>
      <c r="Q363" t="s">
        <v>1176</v>
      </c>
      <c r="R363">
        <v>2</v>
      </c>
      <c r="S363" s="7" t="str">
        <f>HYPERLINK("http://exon.niaid.nih.gov/transcriptome/C_felis/S1/links/Sigp/CF-CONTIG_356-SigP.txt","BL")</f>
        <v>BL</v>
      </c>
      <c r="T363" t="s">
        <v>4586</v>
      </c>
      <c r="U363">
        <v>1</v>
      </c>
      <c r="V363" s="4">
        <v>287</v>
      </c>
      <c r="W363">
        <v>1</v>
      </c>
      <c r="X363" s="4">
        <v>294</v>
      </c>
      <c r="Y363">
        <v>1</v>
      </c>
      <c r="Z363" s="4">
        <v>294</v>
      </c>
      <c r="AA363">
        <v>1</v>
      </c>
      <c r="AB363" s="4" t="str">
        <f>HYPERLINK("http://exon.niaid.nih.gov/transcriptome/C_felis/S1/links/XC-ASB/cf-contig_50-XC-ASB.txt","XC-contig_69")</f>
        <v>XC-contig_69</v>
      </c>
      <c r="AC363">
        <v>1.9999999999999998E-96</v>
      </c>
      <c r="AD363" s="10" t="s">
        <v>4738</v>
      </c>
      <c r="AE363" t="s">
        <v>4739</v>
      </c>
      <c r="AF363" t="str">
        <f>HYPERLINK("http://exon.niaid.nih.gov/transcriptome/C_felis/S1/links/KOG/cf-contig_356-KOG.txt","KOG")</f>
        <v>KOG</v>
      </c>
      <c r="AG363" s="5">
        <v>5E-51</v>
      </c>
      <c r="AH363">
        <v>23.2</v>
      </c>
      <c r="AI363" s="4" t="str">
        <f>HYPERLINK("http://exon.niaid.nih.gov/transcriptome/C_felis/S1/links/NR/cf-contig_356-NR.txt","AGAP007874-PA")</f>
        <v>AGAP007874-PA</v>
      </c>
      <c r="AJ363" t="str">
        <f>HYPERLINK("http://www.ncbi.nlm.nih.gov/sutils/blink.cgi?pid=158297380","5E-051")</f>
        <v>5E-051</v>
      </c>
      <c r="AK363" t="str">
        <f>HYPERLINK("http://www.ncbi.nlm.nih.gov/protein/158297380","gi|158297380")</f>
        <v>gi|158297380</v>
      </c>
      <c r="AL363">
        <v>205</v>
      </c>
      <c r="AM363">
        <v>822</v>
      </c>
      <c r="AN363">
        <v>971</v>
      </c>
      <c r="AO363">
        <v>52</v>
      </c>
      <c r="AP363">
        <v>85</v>
      </c>
      <c r="AQ363">
        <v>108</v>
      </c>
      <c r="AR363">
        <v>9</v>
      </c>
      <c r="AS363">
        <v>45</v>
      </c>
      <c r="AT363">
        <v>11</v>
      </c>
      <c r="AU363">
        <v>2</v>
      </c>
      <c r="AV363">
        <v>2</v>
      </c>
      <c r="AW363" t="s">
        <v>12</v>
      </c>
      <c r="AY363" t="s">
        <v>1676</v>
      </c>
      <c r="AZ363" t="s">
        <v>2374</v>
      </c>
      <c r="BA363" s="4" t="str">
        <f>HYPERLINK("http://exon.niaid.nih.gov/transcriptome/C_felis/S1/links/SWISSP/cf-contig_356-SWISSP.txt","Pre-mRNA-splicing factor CWC22 homolog")</f>
        <v>Pre-mRNA-splicing factor CWC22 homolog</v>
      </c>
      <c r="BB363" t="str">
        <f>HYPERLINK("http://www.uniprot.org/uniprot/Q5ZKA3","7E-049")</f>
        <v>7E-049</v>
      </c>
      <c r="BC363" t="s">
        <v>2925</v>
      </c>
      <c r="BD363">
        <v>194</v>
      </c>
      <c r="BE363">
        <v>902</v>
      </c>
      <c r="BF363">
        <v>926</v>
      </c>
      <c r="BG363">
        <v>49</v>
      </c>
      <c r="BH363">
        <v>98</v>
      </c>
      <c r="BI363">
        <v>109</v>
      </c>
      <c r="BJ363">
        <v>3</v>
      </c>
      <c r="BK363">
        <v>12</v>
      </c>
      <c r="BL363">
        <v>11</v>
      </c>
      <c r="BM363">
        <v>3</v>
      </c>
      <c r="BN363">
        <v>2</v>
      </c>
      <c r="BO363" t="s">
        <v>12</v>
      </c>
      <c r="BQ363" t="s">
        <v>1676</v>
      </c>
      <c r="BR363" t="s">
        <v>1809</v>
      </c>
      <c r="BS363" s="4" t="str">
        <f>HYPERLINK("http://exon.niaid.nih.gov/transcriptome/C_felis/S1/links/CDD/cf-contig_356-CDD.txt","RNA_polI_A34")</f>
        <v>RNA_polI_A34</v>
      </c>
      <c r="BT363" t="str">
        <f>HYPERLINK("http://www.ncbi.nlm.nih.gov/Structure/cdd/cddsrv.cgi?uid=pfam08208&amp;version=v4.0","3E-009")</f>
        <v>3E-009</v>
      </c>
      <c r="BU363" t="s">
        <v>2926</v>
      </c>
      <c r="BV363" s="4" t="s">
        <v>2927</v>
      </c>
      <c r="BW363">
        <f>HYPERLINK("http://exon.niaid.nih.gov/transcriptome/C_felis/S1/links/GO/cf-contig_356-GO.txt",6E-49)</f>
        <v>6E-49</v>
      </c>
      <c r="BX363" t="str">
        <f>HYPERLINK("http://amigo.geneontology.org/cgi-bin/amigo/term_details?term=GO:0003723","GO:0003723")</f>
        <v>GO:0003723</v>
      </c>
      <c r="BY363" t="s">
        <v>2062</v>
      </c>
      <c r="BZ363" t="s">
        <v>2063</v>
      </c>
      <c r="CA363" t="s">
        <v>42</v>
      </c>
      <c r="CB363" t="s">
        <v>42</v>
      </c>
      <c r="CD363" s="5">
        <v>6E-49</v>
      </c>
      <c r="CE363" t="str">
        <f>HYPERLINK("http://amigo.geneontology.org/cgi-bin/amigo/term_details?term=GO:0005634","GO:0005634")</f>
        <v>GO:0005634</v>
      </c>
      <c r="CF363" t="s">
        <v>2064</v>
      </c>
      <c r="CG363" t="s">
        <v>2065</v>
      </c>
      <c r="CH363" t="s">
        <v>2066</v>
      </c>
      <c r="CI363" t="s">
        <v>42</v>
      </c>
      <c r="CK363" s="5">
        <v>6E-49</v>
      </c>
      <c r="CL363" t="str">
        <f>HYPERLINK("http://amigo.geneontology.org/cgi-bin/amigo/term_details?term=GO:0006397","GO:0006397")</f>
        <v>GO:0006397</v>
      </c>
      <c r="CM363" t="s">
        <v>2928</v>
      </c>
      <c r="CN363" t="s">
        <v>2929</v>
      </c>
      <c r="CO363" t="s">
        <v>2930</v>
      </c>
      <c r="CP363" t="s">
        <v>42</v>
      </c>
      <c r="CR363" s="5">
        <v>6E-49</v>
      </c>
      <c r="CS363" s="4" t="str">
        <f>HYPERLINK("http://exon.niaid.nih.gov/transcriptome/C_felis/S1/links/KOG/cf-contig_356-KOG.txt","Uncharacterized conserved protein")</f>
        <v>Uncharacterized conserved protein</v>
      </c>
      <c r="CT363" t="str">
        <f>HYPERLINK("http://www.ncbi.nlm.nih.gov/COG/grace/shokog.cgi?KOG2140","5E-046")</f>
        <v>5E-046</v>
      </c>
      <c r="CU363" t="s">
        <v>1721</v>
      </c>
      <c r="CV363" s="4" t="str">
        <f>HYPERLINK("http://exon.niaid.nih.gov/transcriptome/C_felis/S1/links/PFAM/cf-contig_356-PFAM.txt","RNA_polI_A34")</f>
        <v>RNA_polI_A34</v>
      </c>
      <c r="CW363" t="str">
        <f>HYPERLINK("http://pfam.sanger.ac.uk/family?acc=PF08208","6E-010")</f>
        <v>6E-010</v>
      </c>
      <c r="CX363" s="4" t="str">
        <f>HYPERLINK("http://exon.niaid.nih.gov/transcriptome/C_felis/S1/links/SMART/cf-contig_356-SMART.txt","OSTEO")</f>
        <v>OSTEO</v>
      </c>
      <c r="CY363" t="str">
        <f>HYPERLINK("http://smart.embl-heidelberg.de/smart/do_annotation.pl?DOMAIN=OSTEO&amp;BLAST=DUMMY","0.001")</f>
        <v>0.001</v>
      </c>
      <c r="CZ363" s="4" t="s">
        <v>42</v>
      </c>
      <c r="DA363" t="s">
        <v>42</v>
      </c>
      <c r="DB363" t="s">
        <v>42</v>
      </c>
      <c r="DC363" t="s">
        <v>42</v>
      </c>
      <c r="DD363" t="s">
        <v>42</v>
      </c>
      <c r="DE363" t="s">
        <v>42</v>
      </c>
      <c r="DF363" t="s">
        <v>42</v>
      </c>
      <c r="DG363" t="s">
        <v>42</v>
      </c>
      <c r="DH363" s="4" t="s">
        <v>42</v>
      </c>
      <c r="DI363" t="s">
        <v>42</v>
      </c>
      <c r="DJ363" s="4" t="s">
        <v>42</v>
      </c>
      <c r="DK363" t="s">
        <v>42</v>
      </c>
      <c r="DL363" s="4">
        <v>287</v>
      </c>
      <c r="DM363">
        <v>1</v>
      </c>
      <c r="DN363" s="4">
        <v>294</v>
      </c>
      <c r="DO363">
        <v>1</v>
      </c>
      <c r="DP363" s="4">
        <v>294</v>
      </c>
      <c r="DQ363">
        <v>1</v>
      </c>
      <c r="DR363" s="4">
        <v>304</v>
      </c>
      <c r="DS363">
        <v>1</v>
      </c>
      <c r="DT363" s="4">
        <v>314</v>
      </c>
      <c r="DU363">
        <v>1</v>
      </c>
      <c r="DV363" s="4">
        <v>327</v>
      </c>
      <c r="DW363">
        <v>1</v>
      </c>
      <c r="DX363" s="4">
        <v>330</v>
      </c>
      <c r="DY363">
        <v>1</v>
      </c>
      <c r="DZ363" s="4">
        <v>335</v>
      </c>
      <c r="EA363">
        <v>1</v>
      </c>
      <c r="EB363" s="4">
        <v>340</v>
      </c>
      <c r="EC363">
        <v>1</v>
      </c>
      <c r="ED363" s="4">
        <v>344</v>
      </c>
      <c r="EE363">
        <v>1</v>
      </c>
      <c r="EF363" s="4">
        <v>349</v>
      </c>
      <c r="EG363">
        <v>1</v>
      </c>
      <c r="EH363" s="4">
        <v>351</v>
      </c>
      <c r="EI363">
        <v>1</v>
      </c>
      <c r="EJ363" s="4">
        <v>356</v>
      </c>
      <c r="EK363">
        <v>1</v>
      </c>
    </row>
    <row r="364" spans="1:141" x14ac:dyDescent="0.2">
      <c r="A364" t="str">
        <f>HYPERLINK("http://exon.niaid.nih.gov/transcriptome/C_felis/S1/links/cf/cf-contig_543.txt","cf-contig_543")</f>
        <v>cf-contig_543</v>
      </c>
      <c r="B364">
        <v>1</v>
      </c>
      <c r="C364" s="10" t="s">
        <v>4799</v>
      </c>
      <c r="D364">
        <v>1</v>
      </c>
      <c r="E364" t="str">
        <f>HYPERLINK("http://exon.niaid.nih.gov/transcriptome/C_felis/S1/links/cf/cf-5-36-asb-543.txt","Contig-543")</f>
        <v>Contig-543</v>
      </c>
      <c r="F364" t="str">
        <f>HYPERLINK("http://exon.niaid.nih.gov/transcriptome/C_felis/S1/links/cf/cf-5-36-543-CLU.txt","Contig543")</f>
        <v>Contig543</v>
      </c>
      <c r="G364" t="str">
        <f>HYPERLINK("http://exon.niaid.nih.gov/transcriptome/C_felis/S1/links/cf/cf-5-36-543-qual.txt","63.5")</f>
        <v>63.5</v>
      </c>
      <c r="H364" t="s">
        <v>11</v>
      </c>
      <c r="I364">
        <v>74.3</v>
      </c>
      <c r="J364">
        <v>630</v>
      </c>
      <c r="K364" t="s">
        <v>12</v>
      </c>
      <c r="L364">
        <v>1</v>
      </c>
      <c r="M364" t="s">
        <v>556</v>
      </c>
      <c r="N364">
        <v>630</v>
      </c>
      <c r="O364">
        <v>649</v>
      </c>
      <c r="P364">
        <v>150</v>
      </c>
      <c r="Q364" t="s">
        <v>1362</v>
      </c>
      <c r="R364">
        <v>3</v>
      </c>
      <c r="S364" s="7" t="s">
        <v>4585</v>
      </c>
      <c r="U364">
        <v>1</v>
      </c>
      <c r="V364" s="4">
        <v>445</v>
      </c>
      <c r="W364">
        <v>1</v>
      </c>
      <c r="X364" s="4">
        <v>455</v>
      </c>
      <c r="Y364">
        <v>1</v>
      </c>
      <c r="Z364" s="4">
        <v>461</v>
      </c>
      <c r="AA364">
        <v>1</v>
      </c>
      <c r="AB364" s="4" t="str">
        <f>HYPERLINK("http://exon.niaid.nih.gov/transcriptome/C_felis/S1/links/XC-ASB/cf-contig_543-XC-ASB.txt","XC-contig_196")</f>
        <v>XC-contig_196</v>
      </c>
      <c r="AC364">
        <v>0.52</v>
      </c>
      <c r="AD364" s="10" t="s">
        <v>4799</v>
      </c>
      <c r="AE364" t="s">
        <v>4610</v>
      </c>
      <c r="AF364" t="str">
        <f>HYPERLINK("http://exon.niaid.nih.gov/transcriptome/C_felis/S1/links/NR/cf-contig_543-NR.txt","NR")</f>
        <v>NR</v>
      </c>
      <c r="AG364">
        <v>1.9999999999999999E-7</v>
      </c>
      <c r="AH364">
        <v>30.3</v>
      </c>
      <c r="AI364" s="4" t="str">
        <f>HYPERLINK("http://exon.niaid.nih.gov/transcriptome/C_felis/S1/links/NR/cf-contig_543-NR.txt","AGAP009134-PA")</f>
        <v>AGAP009134-PA</v>
      </c>
      <c r="AJ364" t="str">
        <f>HYPERLINK("http://www.ncbi.nlm.nih.gov/sutils/blink.cgi?pid=158299879","2E-007")</f>
        <v>2E-007</v>
      </c>
      <c r="AK364" t="str">
        <f>HYPERLINK("http://www.ncbi.nlm.nih.gov/protein/158299879","gi|158299879")</f>
        <v>gi|158299879</v>
      </c>
      <c r="AL364">
        <v>60.1</v>
      </c>
      <c r="AM364">
        <v>36</v>
      </c>
      <c r="AN364">
        <v>122</v>
      </c>
      <c r="AO364">
        <v>72</v>
      </c>
      <c r="AP364">
        <v>30</v>
      </c>
      <c r="AQ364">
        <v>10</v>
      </c>
      <c r="AR364">
        <v>0</v>
      </c>
      <c r="AS364">
        <v>64</v>
      </c>
      <c r="AT364">
        <v>7</v>
      </c>
      <c r="AU364">
        <v>1</v>
      </c>
      <c r="AV364">
        <v>1</v>
      </c>
      <c r="AW364" t="s">
        <v>12</v>
      </c>
      <c r="AY364" t="s">
        <v>1676</v>
      </c>
      <c r="AZ364" t="s">
        <v>2374</v>
      </c>
      <c r="BA364" s="4" t="str">
        <f>HYPERLINK("http://exon.niaid.nih.gov/transcriptome/C_felis/S1/links/SWISSP/cf-contig_543-SWISSP.txt","Membrane magnesium transporter 1")</f>
        <v>Membrane magnesium transporter 1</v>
      </c>
      <c r="BB364" t="str">
        <f>HYPERLINK("http://www.uniprot.org/uniprot/B5DF51","0.006")</f>
        <v>0.006</v>
      </c>
      <c r="BC364" t="s">
        <v>3662</v>
      </c>
      <c r="BD364">
        <v>41.2</v>
      </c>
      <c r="BE364">
        <v>35</v>
      </c>
      <c r="BF364">
        <v>131</v>
      </c>
      <c r="BG364">
        <v>50</v>
      </c>
      <c r="BH364">
        <v>27</v>
      </c>
      <c r="BI364">
        <v>18</v>
      </c>
      <c r="BJ364">
        <v>0</v>
      </c>
      <c r="BK364">
        <v>65</v>
      </c>
      <c r="BL364">
        <v>7</v>
      </c>
      <c r="BM364">
        <v>1</v>
      </c>
      <c r="BN364">
        <v>1</v>
      </c>
      <c r="BO364" t="s">
        <v>12</v>
      </c>
      <c r="BQ364" t="s">
        <v>1676</v>
      </c>
      <c r="BR364" t="s">
        <v>1684</v>
      </c>
      <c r="BS364" s="4" t="str">
        <f>HYPERLINK("http://exon.niaid.nih.gov/transcriptome/C_felis/S1/links/CDD/cf-contig_543-CDD.txt","ND5")</f>
        <v>ND5</v>
      </c>
      <c r="BT364" t="str">
        <f>HYPERLINK("http://www.ncbi.nlm.nih.gov/Structure/cdd/cddsrv.cgi?uid=MTH00095&amp;version=v4.0","0.075")</f>
        <v>0.075</v>
      </c>
      <c r="BU364" t="s">
        <v>3663</v>
      </c>
      <c r="BV364" s="4" t="s">
        <v>42</v>
      </c>
      <c r="BW364" t="s">
        <v>42</v>
      </c>
      <c r="BX364" t="s">
        <v>42</v>
      </c>
      <c r="BY364" t="s">
        <v>42</v>
      </c>
      <c r="BZ364" t="s">
        <v>42</v>
      </c>
      <c r="CA364" t="s">
        <v>42</v>
      </c>
      <c r="CB364" t="s">
        <v>42</v>
      </c>
      <c r="CC364" t="s">
        <v>42</v>
      </c>
      <c r="CD364" t="s">
        <v>42</v>
      </c>
      <c r="CE364" t="s">
        <v>42</v>
      </c>
      <c r="CF364" t="s">
        <v>42</v>
      </c>
      <c r="CG364" t="s">
        <v>42</v>
      </c>
      <c r="CH364" t="s">
        <v>42</v>
      </c>
      <c r="CI364" t="s">
        <v>42</v>
      </c>
      <c r="CJ364" t="s">
        <v>42</v>
      </c>
      <c r="CK364" t="s">
        <v>42</v>
      </c>
      <c r="CL364" t="s">
        <v>42</v>
      </c>
      <c r="CM364" t="s">
        <v>42</v>
      </c>
      <c r="CN364" t="s">
        <v>42</v>
      </c>
      <c r="CO364" t="s">
        <v>42</v>
      </c>
      <c r="CP364" t="s">
        <v>42</v>
      </c>
      <c r="CQ364" t="s">
        <v>42</v>
      </c>
      <c r="CR364" t="s">
        <v>42</v>
      </c>
      <c r="CS364" s="4" t="str">
        <f>HYPERLINK("http://exon.niaid.nih.gov/transcriptome/C_felis/S1/links/KOG/cf-contig_543-KOG.txt","Predicted membrane protein")</f>
        <v>Predicted membrane protein</v>
      </c>
      <c r="CT364" t="str">
        <f>HYPERLINK("http://www.ncbi.nlm.nih.gov/COG/grace/shokog.cgi?KOG3918","4E-007")</f>
        <v>4E-007</v>
      </c>
      <c r="CU364" t="s">
        <v>1711</v>
      </c>
      <c r="CV364" s="4" t="str">
        <f>HYPERLINK("http://exon.niaid.nih.gov/transcriptome/C_felis/S1/links/PFAM/cf-contig_543-PFAM.txt","MMgT")</f>
        <v>MMgT</v>
      </c>
      <c r="CW364" t="str">
        <f>HYPERLINK("http://pfam.sanger.ac.uk/family?acc=PF10270","0.025")</f>
        <v>0.025</v>
      </c>
      <c r="CX364" s="4" t="str">
        <f>HYPERLINK("http://exon.niaid.nih.gov/transcriptome/C_felis/S1/links/SMART/cf-contig_543-SMART.txt","DENN")</f>
        <v>DENN</v>
      </c>
      <c r="CY364" t="str">
        <f>HYPERLINK("http://smart.embl-heidelberg.de/smart/do_annotation.pl?DOMAIN=DENN&amp;BLAST=DUMMY","1.4")</f>
        <v>1.4</v>
      </c>
      <c r="CZ364" s="4" t="s">
        <v>42</v>
      </c>
      <c r="DA364" t="s">
        <v>42</v>
      </c>
      <c r="DB364" t="s">
        <v>42</v>
      </c>
      <c r="DC364" t="s">
        <v>42</v>
      </c>
      <c r="DD364" t="s">
        <v>42</v>
      </c>
      <c r="DE364" t="s">
        <v>42</v>
      </c>
      <c r="DF364" t="s">
        <v>42</v>
      </c>
      <c r="DG364" t="s">
        <v>42</v>
      </c>
      <c r="DH364" s="4" t="s">
        <v>42</v>
      </c>
      <c r="DI364" t="s">
        <v>42</v>
      </c>
      <c r="DJ364" s="4" t="s">
        <v>42</v>
      </c>
      <c r="DK364" t="s">
        <v>42</v>
      </c>
      <c r="DL364" s="4">
        <v>445</v>
      </c>
      <c r="DM364">
        <v>1</v>
      </c>
      <c r="DN364" s="4">
        <v>455</v>
      </c>
      <c r="DO364">
        <v>1</v>
      </c>
      <c r="DP364" s="4">
        <v>461</v>
      </c>
      <c r="DQ364">
        <v>1</v>
      </c>
      <c r="DR364" s="4">
        <v>476</v>
      </c>
      <c r="DS364">
        <v>1</v>
      </c>
      <c r="DT364" s="4">
        <v>488</v>
      </c>
      <c r="DU364">
        <v>1</v>
      </c>
      <c r="DV364" s="4">
        <v>502</v>
      </c>
      <c r="DW364">
        <v>1</v>
      </c>
      <c r="DX364" s="4">
        <v>508</v>
      </c>
      <c r="DY364">
        <v>1</v>
      </c>
      <c r="DZ364" s="4">
        <v>516</v>
      </c>
      <c r="EA364">
        <v>1</v>
      </c>
      <c r="EB364" s="4">
        <v>521</v>
      </c>
      <c r="EC364">
        <v>1</v>
      </c>
      <c r="ED364" s="4">
        <v>525</v>
      </c>
      <c r="EE364">
        <v>1</v>
      </c>
      <c r="EF364" s="4">
        <v>530</v>
      </c>
      <c r="EG364">
        <v>1</v>
      </c>
      <c r="EH364" s="4">
        <v>536</v>
      </c>
      <c r="EI364">
        <v>1</v>
      </c>
      <c r="EJ364" s="4">
        <v>543</v>
      </c>
      <c r="EK364">
        <v>1</v>
      </c>
    </row>
    <row r="365" spans="1:141" x14ac:dyDescent="0.2">
      <c r="A365" t="str">
        <f>HYPERLINK("http://exon.niaid.nih.gov/transcriptome/C_felis/S1/links/cf/cf-contig_712.txt","cf-contig_712")</f>
        <v>cf-contig_712</v>
      </c>
      <c r="B365">
        <v>1</v>
      </c>
      <c r="C365" s="10" t="s">
        <v>4852</v>
      </c>
      <c r="D365">
        <v>1</v>
      </c>
      <c r="E365" t="str">
        <f>HYPERLINK("http://exon.niaid.nih.gov/transcriptome/C_felis/S1/links/cf/cf-5-36-asb-712.txt","Contig-712")</f>
        <v>Contig-712</v>
      </c>
      <c r="F365" t="str">
        <f>HYPERLINK("http://exon.niaid.nih.gov/transcriptome/C_felis/S1/links/cf/cf-5-36-712-CLU.txt","Contig712")</f>
        <v>Contig712</v>
      </c>
      <c r="G365" t="str">
        <f>HYPERLINK("http://exon.niaid.nih.gov/transcriptome/C_felis/S1/links/cf/cf-5-36-712-qual.txt","65.1")</f>
        <v>65.1</v>
      </c>
      <c r="H365" t="s">
        <v>11</v>
      </c>
      <c r="I365">
        <v>72.7</v>
      </c>
      <c r="J365">
        <v>483</v>
      </c>
      <c r="K365" t="s">
        <v>12</v>
      </c>
      <c r="L365">
        <v>1</v>
      </c>
      <c r="M365" t="s">
        <v>725</v>
      </c>
      <c r="N365">
        <v>483</v>
      </c>
      <c r="O365">
        <v>502</v>
      </c>
      <c r="P365">
        <v>219</v>
      </c>
      <c r="Q365" t="s">
        <v>1531</v>
      </c>
      <c r="R365">
        <v>1</v>
      </c>
      <c r="S365" s="7" t="str">
        <f>HYPERLINK("http://exon.niaid.nih.gov/transcriptome/C_felis/S1/links/Sigp/CF-CONTIG_712-SigP.txt","Cyt")</f>
        <v>Cyt</v>
      </c>
      <c r="U365">
        <v>1</v>
      </c>
      <c r="V365" s="4">
        <v>579</v>
      </c>
      <c r="W365">
        <v>1</v>
      </c>
      <c r="X365" s="4">
        <v>595</v>
      </c>
      <c r="Y365">
        <v>1</v>
      </c>
      <c r="Z365" s="4">
        <v>608</v>
      </c>
      <c r="AA365">
        <v>1</v>
      </c>
      <c r="AB365" s="4" t="str">
        <f>HYPERLINK("http://exon.niaid.nih.gov/transcriptome/C_felis/S1/links/XC-ASB/cf-contig_712-XC-ASB.txt","XC-contig_148")</f>
        <v>XC-contig_148</v>
      </c>
      <c r="AC365">
        <v>2.4E-2</v>
      </c>
      <c r="AD365" s="10" t="s">
        <v>4852</v>
      </c>
      <c r="AE365" t="s">
        <v>4610</v>
      </c>
      <c r="AF365" t="str">
        <f>HYPERLINK("http://exon.niaid.nih.gov/transcriptome/C_felis/S1/links/PFAM/cf-contig_712-PFAM.txt","PFAM")</f>
        <v>PFAM</v>
      </c>
      <c r="AG365">
        <v>8.9999999999999999E-10</v>
      </c>
      <c r="AH365">
        <v>59.3</v>
      </c>
      <c r="AI365" s="4" t="str">
        <f>HYPERLINK("http://exon.niaid.nih.gov/transcriptome/C_felis/S1/links/NR/cf-contig_712-NR.txt","Ankyrin repeat domain-containing protein 39")</f>
        <v>Ankyrin repeat domain-containing protein 39</v>
      </c>
      <c r="AJ365" t="str">
        <f>HYPERLINK("http://www.ncbi.nlm.nih.gov/sutils/blink.cgi?pid=225708032","2E-006")</f>
        <v>2E-006</v>
      </c>
      <c r="AK365" t="str">
        <f>HYPERLINK("http://www.ncbi.nlm.nih.gov/protein/225708032","gi|225708032")</f>
        <v>gi|225708032</v>
      </c>
      <c r="AL365">
        <v>56.2</v>
      </c>
      <c r="AM365">
        <v>55</v>
      </c>
      <c r="AN365">
        <v>182</v>
      </c>
      <c r="AO365">
        <v>41</v>
      </c>
      <c r="AP365">
        <v>31</v>
      </c>
      <c r="AQ365">
        <v>33</v>
      </c>
      <c r="AR365">
        <v>0</v>
      </c>
      <c r="AS365">
        <v>105</v>
      </c>
      <c r="AT365">
        <v>2</v>
      </c>
      <c r="AU365">
        <v>1</v>
      </c>
      <c r="AV365">
        <v>2</v>
      </c>
      <c r="AW365" t="s">
        <v>12</v>
      </c>
      <c r="AY365" t="s">
        <v>1676</v>
      </c>
      <c r="AZ365" t="s">
        <v>4243</v>
      </c>
      <c r="BA365" s="4" t="str">
        <f>HYPERLINK("http://exon.niaid.nih.gov/transcriptome/C_felis/S1/links/SWISSP/cf-contig_712-SWISSP.txt","Ankyrin repeat domain-containing protein 39")</f>
        <v>Ankyrin repeat domain-containing protein 39</v>
      </c>
      <c r="BB365" t="str">
        <f>HYPERLINK("http://www.uniprot.org/uniprot/Q0P5B9","1E-005")</f>
        <v>1E-005</v>
      </c>
      <c r="BC365" t="s">
        <v>4244</v>
      </c>
      <c r="BD365">
        <v>49.3</v>
      </c>
      <c r="BE365">
        <v>89</v>
      </c>
      <c r="BF365">
        <v>183</v>
      </c>
      <c r="BG365">
        <v>33</v>
      </c>
      <c r="BH365">
        <v>49</v>
      </c>
      <c r="BI365">
        <v>38</v>
      </c>
      <c r="BJ365">
        <v>0</v>
      </c>
      <c r="BK365">
        <v>75</v>
      </c>
      <c r="BL365">
        <v>2</v>
      </c>
      <c r="BM365">
        <v>2</v>
      </c>
      <c r="BN365">
        <v>2</v>
      </c>
      <c r="BO365" t="s">
        <v>12</v>
      </c>
      <c r="BQ365" t="s">
        <v>1676</v>
      </c>
      <c r="BR365" t="s">
        <v>1679</v>
      </c>
      <c r="BS365" s="4" t="str">
        <f>HYPERLINK("http://exon.niaid.nih.gov/transcriptome/C_felis/S1/links/CDD/cf-contig_712-CDD.txt","Ank_2")</f>
        <v>Ank_2</v>
      </c>
      <c r="BT365" t="str">
        <f>HYPERLINK("http://www.ncbi.nlm.nih.gov/Structure/cdd/cddsrv.cgi?uid=pfam12796&amp;version=v4.0","4E-009")</f>
        <v>4E-009</v>
      </c>
      <c r="BU365" t="s">
        <v>4245</v>
      </c>
      <c r="BV365" s="4" t="s">
        <v>4246</v>
      </c>
      <c r="BW365">
        <f>HYPERLINK("http://exon.niaid.nih.gov/transcriptome/C_felis/S1/links/GO/cf-contig_712-GO.txt",0.000008)</f>
        <v>7.9999999999999996E-6</v>
      </c>
      <c r="BX365" t="str">
        <f>HYPERLINK("http://amigo.geneontology.org/cgi-bin/amigo/term_details?term=GO:0046872","GO:0046872")</f>
        <v>GO:0046872</v>
      </c>
      <c r="BY365" t="s">
        <v>4247</v>
      </c>
      <c r="BZ365" t="s">
        <v>4248</v>
      </c>
      <c r="CA365" t="s">
        <v>4249</v>
      </c>
      <c r="CB365" t="s">
        <v>42</v>
      </c>
      <c r="CD365">
        <v>7.9999999999999996E-6</v>
      </c>
      <c r="CE365" t="str">
        <f>HYPERLINK("http://amigo.geneontology.org/cgi-bin/amigo/term_details?term=GO:0031410","GO:0031410")</f>
        <v>GO:0031410</v>
      </c>
      <c r="CF365" t="s">
        <v>4250</v>
      </c>
      <c r="CG365" t="s">
        <v>4251</v>
      </c>
      <c r="CH365" t="s">
        <v>42</v>
      </c>
      <c r="CI365" t="s">
        <v>42</v>
      </c>
      <c r="CK365">
        <v>7.9999999999999996E-6</v>
      </c>
      <c r="CL365" t="str">
        <f>HYPERLINK("http://amigo.geneontology.org/cgi-bin/amigo/term_details?term=GO:0016567","GO:0016567")</f>
        <v>GO:0016567</v>
      </c>
      <c r="CM365" t="s">
        <v>4252</v>
      </c>
      <c r="CN365" t="s">
        <v>4253</v>
      </c>
      <c r="CO365" t="s">
        <v>4254</v>
      </c>
      <c r="CP365" t="s">
        <v>42</v>
      </c>
      <c r="CR365">
        <v>7.9999999999999996E-6</v>
      </c>
      <c r="CS365" s="4" t="str">
        <f>HYPERLINK("http://exon.niaid.nih.gov/transcriptome/C_felis/S1/links/KOG/cf-contig_712-KOG.txt","Ankyrin repeat and DHHC-type Zn-finger domain containing proteins")</f>
        <v>Ankyrin repeat and DHHC-type Zn-finger domain containing proteins</v>
      </c>
      <c r="CT365" t="str">
        <f>HYPERLINK("http://www.ncbi.nlm.nih.gov/COG/grace/shokog.cgi?KOG0509","3E-007")</f>
        <v>3E-007</v>
      </c>
      <c r="CU365" t="s">
        <v>1721</v>
      </c>
      <c r="CV365" s="4" t="str">
        <f>HYPERLINK("http://exon.niaid.nih.gov/transcriptome/C_felis/S1/links/PFAM/cf-contig_712-PFAM.txt","Ank_2")</f>
        <v>Ank_2</v>
      </c>
      <c r="CW365" t="str">
        <f>HYPERLINK("http://pfam.sanger.ac.uk/family?acc=PF12796","9E-010")</f>
        <v>9E-010</v>
      </c>
      <c r="CX365" s="4" t="str">
        <f>HYPERLINK("http://exon.niaid.nih.gov/transcriptome/C_felis/S1/links/SMART/cf-contig_712-SMART.txt","ANK")</f>
        <v>ANK</v>
      </c>
      <c r="CY365" t="str">
        <f>HYPERLINK("http://smart.embl-heidelberg.de/smart/do_annotation.pl?DOMAIN=ANK&amp;BLAST=DUMMY","0.003")</f>
        <v>0.003</v>
      </c>
      <c r="CZ365" s="4" t="s">
        <v>42</v>
      </c>
      <c r="DA365" t="s">
        <v>42</v>
      </c>
      <c r="DB365" t="s">
        <v>42</v>
      </c>
      <c r="DC365" t="s">
        <v>42</v>
      </c>
      <c r="DD365" t="s">
        <v>42</v>
      </c>
      <c r="DE365" t="s">
        <v>42</v>
      </c>
      <c r="DF365" t="s">
        <v>42</v>
      </c>
      <c r="DG365" t="s">
        <v>42</v>
      </c>
      <c r="DH365" s="4" t="s">
        <v>42</v>
      </c>
      <c r="DI365" t="s">
        <v>42</v>
      </c>
      <c r="DJ365" s="4" t="s">
        <v>42</v>
      </c>
      <c r="DK365" t="s">
        <v>42</v>
      </c>
      <c r="DL365" s="4">
        <v>579</v>
      </c>
      <c r="DM365">
        <v>1</v>
      </c>
      <c r="DN365" s="4">
        <v>595</v>
      </c>
      <c r="DO365">
        <v>1</v>
      </c>
      <c r="DP365" s="4">
        <v>608</v>
      </c>
      <c r="DQ365">
        <v>1</v>
      </c>
      <c r="DR365" s="4">
        <v>629</v>
      </c>
      <c r="DS365">
        <v>1</v>
      </c>
      <c r="DT365" s="4">
        <v>643</v>
      </c>
      <c r="DU365">
        <v>1</v>
      </c>
      <c r="DV365" s="4">
        <v>658</v>
      </c>
      <c r="DW365">
        <v>1</v>
      </c>
      <c r="DX365" s="4">
        <v>669</v>
      </c>
      <c r="DY365">
        <v>1</v>
      </c>
      <c r="DZ365" s="4">
        <v>679</v>
      </c>
      <c r="EA365">
        <v>1</v>
      </c>
      <c r="EB365" s="4">
        <v>684</v>
      </c>
      <c r="EC365">
        <v>1</v>
      </c>
      <c r="ED365" s="4">
        <v>688</v>
      </c>
      <c r="EE365">
        <v>1</v>
      </c>
      <c r="EF365" s="4">
        <v>694</v>
      </c>
      <c r="EG365">
        <v>1</v>
      </c>
      <c r="EH365" s="4">
        <v>703</v>
      </c>
      <c r="EI365">
        <v>1</v>
      </c>
      <c r="EJ365" s="4">
        <v>712</v>
      </c>
      <c r="EK365">
        <v>1</v>
      </c>
    </row>
    <row r="366" spans="1:141" x14ac:dyDescent="0.2">
      <c r="A366" t="str">
        <f>HYPERLINK("http://exon.niaid.nih.gov/transcriptome/C_felis/S1/links/cf/cf-contig_593.txt","cf-contig_593")</f>
        <v>cf-contig_593</v>
      </c>
      <c r="B366">
        <v>1</v>
      </c>
      <c r="C366" s="10" t="s">
        <v>4816</v>
      </c>
      <c r="D366">
        <v>1</v>
      </c>
      <c r="E366" t="str">
        <f>HYPERLINK("http://exon.niaid.nih.gov/transcriptome/C_felis/S1/links/cf/cf-5-36-asb-593.txt","Contig-593")</f>
        <v>Contig-593</v>
      </c>
      <c r="F366" t="str">
        <f>HYPERLINK("http://exon.niaid.nih.gov/transcriptome/C_felis/S1/links/cf/cf-5-36-593-CLU.txt","Contig593")</f>
        <v>Contig593</v>
      </c>
      <c r="G366" t="str">
        <f>HYPERLINK("http://exon.niaid.nih.gov/transcriptome/C_felis/S1/links/cf/cf-5-36-593-qual.txt","64.9")</f>
        <v>64.9</v>
      </c>
      <c r="H366" t="s">
        <v>11</v>
      </c>
      <c r="I366">
        <v>68.400000000000006</v>
      </c>
      <c r="J366">
        <v>364</v>
      </c>
      <c r="K366" t="s">
        <v>12</v>
      </c>
      <c r="L366">
        <v>1</v>
      </c>
      <c r="M366" t="s">
        <v>606</v>
      </c>
      <c r="N366">
        <v>364</v>
      </c>
      <c r="O366">
        <v>383</v>
      </c>
      <c r="P366">
        <v>186</v>
      </c>
      <c r="Q366" t="s">
        <v>1412</v>
      </c>
      <c r="R366">
        <v>1</v>
      </c>
      <c r="S366" s="7" t="str">
        <f>HYPERLINK("http://exon.niaid.nih.gov/transcriptome/C_felis/S1/links/Sigp/CF-CONTIG_593-SigP.txt","Cyt")</f>
        <v>Cyt</v>
      </c>
      <c r="U366">
        <v>1</v>
      </c>
      <c r="V366" s="4">
        <v>483</v>
      </c>
      <c r="W366">
        <v>1</v>
      </c>
      <c r="X366" s="4">
        <v>494</v>
      </c>
      <c r="Y366">
        <v>1</v>
      </c>
      <c r="Z366" s="4">
        <v>503</v>
      </c>
      <c r="AA366">
        <v>1</v>
      </c>
      <c r="AB366" s="4" t="str">
        <f>HYPERLINK("http://exon.niaid.nih.gov/transcriptome/C_felis/S1/links/XC-ASB/cf-contig_593-XC-ASB.txt","XC-contig_206")</f>
        <v>XC-contig_206</v>
      </c>
      <c r="AC366">
        <v>1.0000000000000001E-5</v>
      </c>
      <c r="AD366" s="10" t="s">
        <v>4816</v>
      </c>
      <c r="AE366" t="s">
        <v>4610</v>
      </c>
      <c r="AF366" t="str">
        <f>HYPERLINK("http://exon.niaid.nih.gov/transcriptome/C_felis/S1/links/NR/cf-contig_593-NR.txt","NR")</f>
        <v>NR</v>
      </c>
      <c r="AG366" s="5">
        <v>2.0000000000000001E-18</v>
      </c>
      <c r="AH366">
        <v>38.6</v>
      </c>
      <c r="AI366" s="4" t="str">
        <f>HYPERLINK("http://exon.niaid.nih.gov/transcriptome/C_felis/S1/links/NR/cf-contig_593-NR.txt","similar to CG4593 CG4593-PA")</f>
        <v>similar to CG4593 CG4593-PA</v>
      </c>
      <c r="AJ366" t="str">
        <f>HYPERLINK("http://www.ncbi.nlm.nih.gov/sutils/blink.cgi?pid=91094847","2E-018")</f>
        <v>2E-018</v>
      </c>
      <c r="AK366" t="str">
        <f>HYPERLINK("http://www.ncbi.nlm.nih.gov/protein/91094847","gi|91094847")</f>
        <v>gi|91094847</v>
      </c>
      <c r="AL366">
        <v>95.9</v>
      </c>
      <c r="AM366">
        <v>91</v>
      </c>
      <c r="AN366">
        <v>207</v>
      </c>
      <c r="AO366">
        <v>62</v>
      </c>
      <c r="AP366">
        <v>44</v>
      </c>
      <c r="AQ366">
        <v>30</v>
      </c>
      <c r="AR366">
        <v>0</v>
      </c>
      <c r="AS366">
        <v>116</v>
      </c>
      <c r="AT366">
        <v>10</v>
      </c>
      <c r="AU366">
        <v>2</v>
      </c>
      <c r="AV366">
        <v>1</v>
      </c>
      <c r="AW366" t="s">
        <v>1689</v>
      </c>
      <c r="AX366">
        <v>2.198</v>
      </c>
      <c r="AY366" t="s">
        <v>1676</v>
      </c>
      <c r="AZ366" t="s">
        <v>1878</v>
      </c>
      <c r="BA366" s="4" t="str">
        <f>HYPERLINK("http://exon.niaid.nih.gov/transcriptome/C_felis/S1/links/SWISSP/cf-contig_593-SWISSP.txt","Coiled-coil domain-containing protein 25")</f>
        <v>Coiled-coil domain-containing protein 25</v>
      </c>
      <c r="BB366" t="str">
        <f>HYPERLINK("http://www.uniprot.org/uniprot/Q7T312","4E-011")</f>
        <v>4E-011</v>
      </c>
      <c r="BC366" t="s">
        <v>3838</v>
      </c>
      <c r="BD366">
        <v>67</v>
      </c>
      <c r="BE366">
        <v>91</v>
      </c>
      <c r="BF366">
        <v>207</v>
      </c>
      <c r="BG366">
        <v>42</v>
      </c>
      <c r="BH366">
        <v>44</v>
      </c>
      <c r="BI366">
        <v>46</v>
      </c>
      <c r="BJ366">
        <v>0</v>
      </c>
      <c r="BK366">
        <v>116</v>
      </c>
      <c r="BL366">
        <v>10</v>
      </c>
      <c r="BM366">
        <v>2</v>
      </c>
      <c r="BN366">
        <v>1</v>
      </c>
      <c r="BO366" t="s">
        <v>1689</v>
      </c>
      <c r="BP366">
        <v>2.198</v>
      </c>
      <c r="BQ366" t="s">
        <v>1676</v>
      </c>
      <c r="BR366" t="s">
        <v>2736</v>
      </c>
      <c r="BS366" s="4" t="str">
        <f>HYPERLINK("http://exon.niaid.nih.gov/transcriptome/C_felis/S1/links/CDD/cf-contig_593-CDD.txt","PTZ00266")</f>
        <v>PTZ00266</v>
      </c>
      <c r="BT366" t="str">
        <f>HYPERLINK("http://www.ncbi.nlm.nih.gov/Structure/cdd/cddsrv.cgi?uid=PTZ00266&amp;version=v4.0","4E-005")</f>
        <v>4E-005</v>
      </c>
      <c r="BU366" t="s">
        <v>3839</v>
      </c>
      <c r="BV366" s="4" t="s">
        <v>3840</v>
      </c>
      <c r="BW366">
        <f>HYPERLINK("http://exon.niaid.nih.gov/transcriptome/C_felis/S1/links/GO/cf-contig_593-GO.txt",0.00000000003)</f>
        <v>3E-11</v>
      </c>
      <c r="BX366" t="str">
        <f>HYPERLINK("http://amigo.geneontology.org/cgi-bin/amigo/term_details?term=GO:0003674","GO:0003674")</f>
        <v>GO:0003674</v>
      </c>
      <c r="BY366" t="s">
        <v>1851</v>
      </c>
      <c r="BZ366" t="s">
        <v>1852</v>
      </c>
      <c r="CA366" t="s">
        <v>1853</v>
      </c>
      <c r="CB366" t="s">
        <v>42</v>
      </c>
      <c r="CD366">
        <v>3E-11</v>
      </c>
      <c r="CE366" t="str">
        <f>HYPERLINK("http://amigo.geneontology.org/cgi-bin/amigo/term_details?term=GO:0005575","GO:0005575")</f>
        <v>GO:0005575</v>
      </c>
      <c r="CF366" t="s">
        <v>1838</v>
      </c>
      <c r="CG366" t="s">
        <v>1839</v>
      </c>
      <c r="CH366" t="s">
        <v>1840</v>
      </c>
      <c r="CI366" t="s">
        <v>42</v>
      </c>
      <c r="CK366">
        <v>3E-11</v>
      </c>
      <c r="CL366" t="str">
        <f>HYPERLINK("http://amigo.geneontology.org/cgi-bin/amigo/term_details?term=GO:0008150","GO:0008150")</f>
        <v>GO:0008150</v>
      </c>
      <c r="CM366" t="s">
        <v>1857</v>
      </c>
      <c r="CN366" t="s">
        <v>1858</v>
      </c>
      <c r="CO366" t="s">
        <v>1859</v>
      </c>
      <c r="CP366" t="s">
        <v>42</v>
      </c>
      <c r="CR366">
        <v>3E-11</v>
      </c>
      <c r="CS366" s="4" t="str">
        <f>HYPERLINK("http://exon.niaid.nih.gov/transcriptome/C_felis/S1/links/KOG/cf-contig_593-KOG.txt","Predicted coiled-coil protein")</f>
        <v>Predicted coiled-coil protein</v>
      </c>
      <c r="CT366" t="str">
        <f>HYPERLINK("http://www.ncbi.nlm.nih.gov/COG/grace/shokog.cgi?KOG3272","2E-013")</f>
        <v>2E-013</v>
      </c>
      <c r="CU366" t="s">
        <v>1721</v>
      </c>
      <c r="CV366" s="4" t="str">
        <f>HYPERLINK("http://exon.niaid.nih.gov/transcriptome/C_felis/S1/links/PFAM/cf-contig_593-PFAM.txt","Caldesmon")</f>
        <v>Caldesmon</v>
      </c>
      <c r="CW366" t="str">
        <f>HYPERLINK("http://pfam.sanger.ac.uk/family?acc=PF02029","4E-004")</f>
        <v>4E-004</v>
      </c>
      <c r="CX366" s="4" t="str">
        <f>HYPERLINK("http://exon.niaid.nih.gov/transcriptome/C_felis/S1/links/SMART/cf-contig_593-SMART.txt","AgrB")</f>
        <v>AgrB</v>
      </c>
      <c r="CY366" t="str">
        <f>HYPERLINK("http://smart.embl-heidelberg.de/smart/do_annotation.pl?DOMAIN=AgrB&amp;BLAST=DUMMY","5E-004")</f>
        <v>5E-004</v>
      </c>
      <c r="CZ366" s="4" t="s">
        <v>42</v>
      </c>
      <c r="DA366" t="s">
        <v>42</v>
      </c>
      <c r="DB366" t="s">
        <v>42</v>
      </c>
      <c r="DC366" t="s">
        <v>42</v>
      </c>
      <c r="DD366" t="s">
        <v>42</v>
      </c>
      <c r="DE366" t="s">
        <v>42</v>
      </c>
      <c r="DF366" t="s">
        <v>42</v>
      </c>
      <c r="DG366" t="s">
        <v>42</v>
      </c>
      <c r="DH366" s="4" t="s">
        <v>42</v>
      </c>
      <c r="DI366" t="s">
        <v>42</v>
      </c>
      <c r="DJ366" s="4" t="s">
        <v>42</v>
      </c>
      <c r="DK366" t="s">
        <v>42</v>
      </c>
      <c r="DL366" s="4">
        <v>483</v>
      </c>
      <c r="DM366">
        <v>1</v>
      </c>
      <c r="DN366" s="4">
        <v>494</v>
      </c>
      <c r="DO366">
        <v>1</v>
      </c>
      <c r="DP366" s="4">
        <v>503</v>
      </c>
      <c r="DQ366">
        <v>1</v>
      </c>
      <c r="DR366" s="4">
        <v>522</v>
      </c>
      <c r="DS366">
        <v>1</v>
      </c>
      <c r="DT366" s="4">
        <v>534</v>
      </c>
      <c r="DU366">
        <v>1</v>
      </c>
      <c r="DV366" s="4">
        <v>548</v>
      </c>
      <c r="DW366">
        <v>1</v>
      </c>
      <c r="DX366" s="4">
        <v>557</v>
      </c>
      <c r="DY366">
        <v>1</v>
      </c>
      <c r="DZ366" s="4">
        <v>565</v>
      </c>
      <c r="EA366">
        <v>1</v>
      </c>
      <c r="EB366" s="4">
        <v>570</v>
      </c>
      <c r="EC366">
        <v>1</v>
      </c>
      <c r="ED366" s="4">
        <v>574</v>
      </c>
      <c r="EE366">
        <v>1</v>
      </c>
      <c r="EF366" s="4">
        <v>579</v>
      </c>
      <c r="EG366">
        <v>1</v>
      </c>
      <c r="EH366" s="4">
        <v>586</v>
      </c>
      <c r="EI366">
        <v>1</v>
      </c>
      <c r="EJ366" s="4">
        <v>593</v>
      </c>
      <c r="EK366">
        <v>1</v>
      </c>
    </row>
    <row r="367" spans="1:141" x14ac:dyDescent="0.2">
      <c r="A367" t="str">
        <f>HYPERLINK("http://exon.niaid.nih.gov/transcriptome/C_felis/S1/links/cf/cf-contig_454.txt","cf-contig_454")</f>
        <v>cf-contig_454</v>
      </c>
      <c r="B367">
        <v>1</v>
      </c>
      <c r="C367" s="10" t="s">
        <v>4772</v>
      </c>
      <c r="D367">
        <v>1</v>
      </c>
      <c r="E367" t="str">
        <f>HYPERLINK("http://exon.niaid.nih.gov/transcriptome/C_felis/S1/links/cf/cf-5-36-asb-454.txt","Contig-454")</f>
        <v>Contig-454</v>
      </c>
      <c r="F367" t="str">
        <f>HYPERLINK("http://exon.niaid.nih.gov/transcriptome/C_felis/S1/links/cf/cf-5-36-454-CLU.txt","Contig454")</f>
        <v>Contig454</v>
      </c>
      <c r="G367" t="str">
        <f>HYPERLINK("http://exon.niaid.nih.gov/transcriptome/C_felis/S1/links/cf/cf-5-36-454-qual.txt","59.7")</f>
        <v>59.7</v>
      </c>
      <c r="H367" t="s">
        <v>11</v>
      </c>
      <c r="I367">
        <v>62.7</v>
      </c>
      <c r="J367">
        <v>474</v>
      </c>
      <c r="K367" t="s">
        <v>12</v>
      </c>
      <c r="L367">
        <v>1</v>
      </c>
      <c r="M367" t="s">
        <v>467</v>
      </c>
      <c r="N367">
        <v>474</v>
      </c>
      <c r="O367">
        <v>493</v>
      </c>
      <c r="P367">
        <v>309</v>
      </c>
      <c r="Q367" t="s">
        <v>1273</v>
      </c>
      <c r="R367">
        <v>2</v>
      </c>
      <c r="S367" s="7" t="str">
        <f>HYPERLINK("http://exon.niaid.nih.gov/transcriptome/C_felis/S1/links/Sigp/CF-CONTIG_454-SigP.txt","Cyt")</f>
        <v>Cyt</v>
      </c>
      <c r="U367">
        <v>1</v>
      </c>
      <c r="V367" s="4">
        <v>368</v>
      </c>
      <c r="W367">
        <v>1</v>
      </c>
      <c r="X367" s="4">
        <v>377</v>
      </c>
      <c r="Y367">
        <v>1</v>
      </c>
      <c r="Z367" s="4">
        <v>382</v>
      </c>
      <c r="AA367">
        <v>1</v>
      </c>
      <c r="AB367" s="4" t="str">
        <f>HYPERLINK("http://exon.niaid.nih.gov/transcriptome/C_felis/S1/links/XC-ASB/cf-contig_454-XC-ASB.txt","XC-contig_60")</f>
        <v>XC-contig_60</v>
      </c>
      <c r="AC367">
        <v>0.2</v>
      </c>
      <c r="AD367" s="10" t="s">
        <v>4772</v>
      </c>
      <c r="AE367" t="s">
        <v>4610</v>
      </c>
      <c r="AF367" t="str">
        <f>HYPERLINK("http://exon.niaid.nih.gov/transcriptome/C_felis/S1/links/GO/cf-contig_454-GO.txt","GO")</f>
        <v>GO</v>
      </c>
      <c r="AG367" s="5">
        <v>8.9999999999999995E-23</v>
      </c>
      <c r="AH367">
        <v>26.7</v>
      </c>
      <c r="AI367" s="4" t="str">
        <f>HYPERLINK("http://exon.niaid.nih.gov/transcriptome/C_felis/S1/links/NR/cf-contig_454-NR.txt","Der1-like domain family, member 2-like")</f>
        <v>Der1-like domain family, member 2-like</v>
      </c>
      <c r="AJ367" t="str">
        <f>HYPERLINK("http://www.ncbi.nlm.nih.gov/sutils/blink.cgi?pid=291232123","7E-022")</f>
        <v>7E-022</v>
      </c>
      <c r="AK367" t="str">
        <f>HYPERLINK("http://www.ncbi.nlm.nih.gov/protein/291232123","gi|291232123")</f>
        <v>gi|291232123</v>
      </c>
      <c r="AL367">
        <v>107</v>
      </c>
      <c r="AM367">
        <v>66</v>
      </c>
      <c r="AN367">
        <v>249</v>
      </c>
      <c r="AO367">
        <v>68</v>
      </c>
      <c r="AP367">
        <v>27</v>
      </c>
      <c r="AQ367">
        <v>21</v>
      </c>
      <c r="AR367">
        <v>0</v>
      </c>
      <c r="AS367">
        <v>171</v>
      </c>
      <c r="AT367">
        <v>35</v>
      </c>
      <c r="AU367">
        <v>1</v>
      </c>
      <c r="AV367">
        <v>2</v>
      </c>
      <c r="AW367" t="s">
        <v>12</v>
      </c>
      <c r="AY367" t="s">
        <v>1676</v>
      </c>
      <c r="AZ367" t="s">
        <v>1820</v>
      </c>
      <c r="BA367" s="4" t="str">
        <f>HYPERLINK("http://exon.niaid.nih.gov/transcriptome/C_felis/S1/links/SWISSP/cf-contig_454-SWISSP.txt","Derlin-2")</f>
        <v>Derlin-2</v>
      </c>
      <c r="BB367" t="str">
        <f>HYPERLINK("http://www.uniprot.org/uniprot/Q5RC74","1E-022")</f>
        <v>1E-022</v>
      </c>
      <c r="BC367" t="s">
        <v>3313</v>
      </c>
      <c r="BD367">
        <v>105</v>
      </c>
      <c r="BE367">
        <v>62</v>
      </c>
      <c r="BF367">
        <v>239</v>
      </c>
      <c r="BG367">
        <v>70</v>
      </c>
      <c r="BH367">
        <v>26</v>
      </c>
      <c r="BI367">
        <v>19</v>
      </c>
      <c r="BJ367">
        <v>0</v>
      </c>
      <c r="BK367">
        <v>171</v>
      </c>
      <c r="BL367">
        <v>35</v>
      </c>
      <c r="BM367">
        <v>1</v>
      </c>
      <c r="BN367">
        <v>2</v>
      </c>
      <c r="BO367" t="s">
        <v>12</v>
      </c>
      <c r="BQ367" t="s">
        <v>1676</v>
      </c>
      <c r="BR367" t="s">
        <v>2347</v>
      </c>
      <c r="BS367" s="4" t="str">
        <f>HYPERLINK("http://exon.niaid.nih.gov/transcriptome/C_felis/S1/links/CDD/cf-contig_454-CDD.txt","DER1")</f>
        <v>DER1</v>
      </c>
      <c r="BT367" t="str">
        <f>HYPERLINK("http://www.ncbi.nlm.nih.gov/Structure/cdd/cddsrv.cgi?uid=pfam04511&amp;version=v4.0","2E-009")</f>
        <v>2E-009</v>
      </c>
      <c r="BU367" t="s">
        <v>3314</v>
      </c>
      <c r="BV367" s="4" t="s">
        <v>3315</v>
      </c>
      <c r="BW367">
        <f>HYPERLINK("http://exon.niaid.nih.gov/transcriptome/C_felis/S1/links/GO/cf-contig_454-GO.txt",9E-23)</f>
        <v>8.9999999999999995E-23</v>
      </c>
      <c r="BX367" t="str">
        <f>HYPERLINK("http://amigo.geneontology.org/cgi-bin/amigo/term_details?term=GO:0005515","GO:0005515")</f>
        <v>GO:0005515</v>
      </c>
      <c r="BY367" t="s">
        <v>2423</v>
      </c>
      <c r="BZ367" t="s">
        <v>2424</v>
      </c>
      <c r="CA367" t="s">
        <v>2425</v>
      </c>
      <c r="CB367" t="s">
        <v>42</v>
      </c>
      <c r="CD367" s="5">
        <v>8.9999999999999995E-23</v>
      </c>
      <c r="CE367" t="str">
        <f>HYPERLINK("http://amigo.geneontology.org/cgi-bin/amigo/term_details?term=GO:0005783","GO:0005783")</f>
        <v>GO:0005783</v>
      </c>
      <c r="CF367" t="s">
        <v>1959</v>
      </c>
      <c r="CG367" t="s">
        <v>1960</v>
      </c>
      <c r="CH367" t="s">
        <v>1961</v>
      </c>
      <c r="CI367" t="s">
        <v>42</v>
      </c>
      <c r="CK367" s="5">
        <v>8.9999999999999995E-23</v>
      </c>
      <c r="CL367" t="str">
        <f>HYPERLINK("http://amigo.geneontology.org/cgi-bin/amigo/term_details?term=GO:0006986","GO:0006986")</f>
        <v>GO:0006986</v>
      </c>
      <c r="CM367" t="s">
        <v>3316</v>
      </c>
      <c r="CN367" t="s">
        <v>3317</v>
      </c>
      <c r="CO367" t="s">
        <v>3318</v>
      </c>
      <c r="CP367" t="s">
        <v>42</v>
      </c>
      <c r="CR367" s="5">
        <v>8.9999999999999995E-23</v>
      </c>
      <c r="CS367" s="4" t="str">
        <f>HYPERLINK("http://exon.niaid.nih.gov/transcriptome/C_felis/S1/links/KOG/cf-contig_454-KOG.txt","Predicted membrane protein")</f>
        <v>Predicted membrane protein</v>
      </c>
      <c r="CT367" t="str">
        <f>HYPERLINK("http://www.ncbi.nlm.nih.gov/COG/grace/shokog.cgi?KOG0858","6E-014")</f>
        <v>6E-014</v>
      </c>
      <c r="CU367" t="s">
        <v>1711</v>
      </c>
      <c r="CV367" s="4" t="str">
        <f>HYPERLINK("http://exon.niaid.nih.gov/transcriptome/C_felis/S1/links/PFAM/cf-contig_454-PFAM.txt","DER1")</f>
        <v>DER1</v>
      </c>
      <c r="CW367" t="str">
        <f>HYPERLINK("http://pfam.sanger.ac.uk/family?acc=PF04511","4E-010")</f>
        <v>4E-010</v>
      </c>
      <c r="CX367" s="4" t="str">
        <f>HYPERLINK("http://exon.niaid.nih.gov/transcriptome/C_felis/S1/links/SMART/cf-contig_454-SMART.txt","ZnF_U1")</f>
        <v>ZnF_U1</v>
      </c>
      <c r="CY367" t="str">
        <f>HYPERLINK("http://smart.embl-heidelberg.de/smart/do_annotation.pl?DOMAIN=ZnF_U1&amp;BLAST=DUMMY","0.090")</f>
        <v>0.090</v>
      </c>
      <c r="CZ367" s="4" t="s">
        <v>42</v>
      </c>
      <c r="DA367" t="s">
        <v>42</v>
      </c>
      <c r="DB367" t="s">
        <v>42</v>
      </c>
      <c r="DC367" t="s">
        <v>42</v>
      </c>
      <c r="DD367" t="s">
        <v>42</v>
      </c>
      <c r="DE367" t="s">
        <v>42</v>
      </c>
      <c r="DF367" t="s">
        <v>42</v>
      </c>
      <c r="DG367" t="s">
        <v>42</v>
      </c>
      <c r="DH367" s="4" t="s">
        <v>42</v>
      </c>
      <c r="DI367" t="s">
        <v>42</v>
      </c>
      <c r="DJ367" s="4" t="s">
        <v>42</v>
      </c>
      <c r="DK367" t="s">
        <v>42</v>
      </c>
      <c r="DL367" s="4">
        <v>368</v>
      </c>
      <c r="DM367">
        <v>1</v>
      </c>
      <c r="DN367" s="4">
        <v>377</v>
      </c>
      <c r="DO367">
        <v>1</v>
      </c>
      <c r="DP367" s="4">
        <v>382</v>
      </c>
      <c r="DQ367">
        <v>1</v>
      </c>
      <c r="DR367" s="4">
        <v>397</v>
      </c>
      <c r="DS367">
        <v>1</v>
      </c>
      <c r="DT367" s="4">
        <v>407</v>
      </c>
      <c r="DU367">
        <v>1</v>
      </c>
      <c r="DV367" s="4">
        <v>421</v>
      </c>
      <c r="DW367">
        <v>1</v>
      </c>
      <c r="DX367" s="4">
        <v>424</v>
      </c>
      <c r="DY367">
        <v>1</v>
      </c>
      <c r="DZ367" s="4">
        <v>429</v>
      </c>
      <c r="EA367">
        <v>1</v>
      </c>
      <c r="EB367" s="4">
        <v>434</v>
      </c>
      <c r="EC367">
        <v>1</v>
      </c>
      <c r="ED367" s="4">
        <v>438</v>
      </c>
      <c r="EE367">
        <v>1</v>
      </c>
      <c r="EF367" s="4">
        <v>443</v>
      </c>
      <c r="EG367">
        <v>1</v>
      </c>
      <c r="EH367" s="4">
        <v>448</v>
      </c>
      <c r="EI367">
        <v>1</v>
      </c>
      <c r="EJ367" s="4">
        <v>454</v>
      </c>
      <c r="EK367">
        <v>1</v>
      </c>
    </row>
    <row r="368" spans="1:141" x14ac:dyDescent="0.2">
      <c r="A368" t="str">
        <f>HYPERLINK("http://exon.niaid.nih.gov/transcriptome/C_felis/S1/links/cf/cf-contig_312.txt","cf-contig_312")</f>
        <v>cf-contig_312</v>
      </c>
      <c r="B368">
        <v>1</v>
      </c>
      <c r="C368" s="10" t="s">
        <v>4728</v>
      </c>
      <c r="D368">
        <v>1</v>
      </c>
      <c r="E368" t="str">
        <f>HYPERLINK("http://exon.niaid.nih.gov/transcriptome/C_felis/S1/links/cf/cf-5-36-asb-312.txt","Contig-312")</f>
        <v>Contig-312</v>
      </c>
      <c r="F368" t="str">
        <f>HYPERLINK("http://exon.niaid.nih.gov/transcriptome/C_felis/S1/links/cf/cf-5-36-312-CLU.txt","Contig312")</f>
        <v>Contig312</v>
      </c>
      <c r="G368" t="str">
        <f>HYPERLINK("http://exon.niaid.nih.gov/transcriptome/C_felis/S1/links/cf/cf-5-36-312-qual.txt","65.")</f>
        <v>65.</v>
      </c>
      <c r="H368">
        <v>0.2</v>
      </c>
      <c r="I368">
        <v>65.5</v>
      </c>
      <c r="J368">
        <v>430</v>
      </c>
      <c r="K368" t="s">
        <v>12</v>
      </c>
      <c r="L368">
        <v>1</v>
      </c>
      <c r="M368" t="s">
        <v>325</v>
      </c>
      <c r="N368">
        <v>430</v>
      </c>
      <c r="O368">
        <v>449</v>
      </c>
      <c r="P368">
        <v>228</v>
      </c>
      <c r="Q368" t="s">
        <v>1132</v>
      </c>
      <c r="R368">
        <v>1</v>
      </c>
      <c r="S368" s="7" t="s">
        <v>4585</v>
      </c>
      <c r="U368">
        <v>1</v>
      </c>
      <c r="V368" s="4">
        <v>252</v>
      </c>
      <c r="W368">
        <v>1</v>
      </c>
      <c r="X368" s="4">
        <v>257</v>
      </c>
      <c r="Y368">
        <v>1</v>
      </c>
      <c r="Z368" s="4">
        <v>256</v>
      </c>
      <c r="AA368">
        <v>1</v>
      </c>
      <c r="AB368" s="4" t="str">
        <f>HYPERLINK("http://exon.niaid.nih.gov/transcriptome/C_felis/S1/links/XC-ASB/cf-contig_312-XC-ASB.txt","XC-contig_139")</f>
        <v>XC-contig_139</v>
      </c>
      <c r="AC368">
        <v>2.2999999999999998</v>
      </c>
      <c r="AD368" s="10" t="s">
        <v>4728</v>
      </c>
      <c r="AE368" t="s">
        <v>4610</v>
      </c>
      <c r="AF368" t="str">
        <f>HYPERLINK("http://exon.niaid.nih.gov/transcriptome/C_felis/S1/links/NR/cf-contig_312-NR.txt","NR")</f>
        <v>NR</v>
      </c>
      <c r="AG368">
        <v>6E-11</v>
      </c>
      <c r="AH368">
        <v>20.399999999999999</v>
      </c>
      <c r="AI368" s="4" t="str">
        <f>HYPERLINK("http://exon.niaid.nih.gov/transcriptome/C_felis/S1/links/NR/cf-contig_312-NR.txt","GK18829")</f>
        <v>GK18829</v>
      </c>
      <c r="AJ368" t="str">
        <f>HYPERLINK("http://www.ncbi.nlm.nih.gov/sutils/blink.cgi?pid=195450373","6E-011")</f>
        <v>6E-011</v>
      </c>
      <c r="AK368" t="str">
        <f>HYPERLINK("http://www.ncbi.nlm.nih.gov/protein/195450373","gi|195450373")</f>
        <v>gi|195450373</v>
      </c>
      <c r="AL368">
        <v>51.6</v>
      </c>
      <c r="AM368">
        <v>123</v>
      </c>
      <c r="AN368">
        <v>220</v>
      </c>
      <c r="AO368">
        <v>48</v>
      </c>
      <c r="AP368">
        <v>56</v>
      </c>
      <c r="AQ368">
        <v>23</v>
      </c>
      <c r="AR368">
        <v>0</v>
      </c>
      <c r="AS368">
        <v>80</v>
      </c>
      <c r="AT368">
        <v>6</v>
      </c>
      <c r="AU368">
        <v>2</v>
      </c>
      <c r="AV368">
        <v>3</v>
      </c>
      <c r="AW368" t="s">
        <v>1689</v>
      </c>
      <c r="AX368">
        <v>0.81299999999999994</v>
      </c>
      <c r="AY368" t="s">
        <v>1676</v>
      </c>
      <c r="AZ368" t="s">
        <v>2026</v>
      </c>
      <c r="BA368" s="4" t="str">
        <f>HYPERLINK("http://exon.niaid.nih.gov/transcriptome/C_felis/S1/links/SWISSP/cf-contig_312-SWISSP.txt","Probable RNA-directed DNA polymerase from transposon X-element")</f>
        <v>Probable RNA-directed DNA polymerase from transposon X-element</v>
      </c>
      <c r="BB368" t="str">
        <f>HYPERLINK("http://www.uniprot.org/uniprot/Q9NBX4","2E-004")</f>
        <v>2E-004</v>
      </c>
      <c r="BC368" t="s">
        <v>2591</v>
      </c>
      <c r="BD368">
        <v>34.700000000000003</v>
      </c>
      <c r="BE368">
        <v>89</v>
      </c>
      <c r="BF368">
        <v>908</v>
      </c>
      <c r="BG368">
        <v>43</v>
      </c>
      <c r="BH368">
        <v>10</v>
      </c>
      <c r="BI368">
        <v>18</v>
      </c>
      <c r="BJ368">
        <v>0</v>
      </c>
      <c r="BK368">
        <v>778</v>
      </c>
      <c r="BL368">
        <v>45</v>
      </c>
      <c r="BM368">
        <v>2</v>
      </c>
      <c r="BN368">
        <v>3</v>
      </c>
      <c r="BO368" t="s">
        <v>1689</v>
      </c>
      <c r="BP368">
        <v>1.1240000000000001</v>
      </c>
      <c r="BQ368" t="s">
        <v>1676</v>
      </c>
      <c r="BR368" t="s">
        <v>1804</v>
      </c>
      <c r="BS368" s="4" t="str">
        <f>HYPERLINK("http://exon.niaid.nih.gov/transcriptome/C_felis/S1/links/CDD/cf-contig_312-CDD.txt","GST_C_Zeta")</f>
        <v>GST_C_Zeta</v>
      </c>
      <c r="BT368" t="str">
        <f>HYPERLINK("http://www.ncbi.nlm.nih.gov/Structure/cdd/cddsrv.cgi?uid=cd03191&amp;version=v4.0","1.5")</f>
        <v>1.5</v>
      </c>
      <c r="BU368" t="s">
        <v>2788</v>
      </c>
      <c r="BV368" s="4" t="s">
        <v>2593</v>
      </c>
      <c r="BW368">
        <f>HYPERLINK("http://exon.niaid.nih.gov/transcriptome/C_felis/S1/links/GO/cf-contig_312-GO.txt",0.000002)</f>
        <v>1.9999999999999999E-6</v>
      </c>
      <c r="BX368" t="str">
        <f>HYPERLINK("http://amigo.geneontology.org/cgi-bin/amigo/term_details?term=GO:0003723","GO:0003723")</f>
        <v>GO:0003723</v>
      </c>
      <c r="BY368" t="s">
        <v>2062</v>
      </c>
      <c r="BZ368" t="s">
        <v>2063</v>
      </c>
      <c r="CA368" t="s">
        <v>42</v>
      </c>
      <c r="CB368" t="s">
        <v>42</v>
      </c>
      <c r="CD368">
        <v>1.9999999999999999E-6</v>
      </c>
      <c r="CE368" t="s">
        <v>42</v>
      </c>
      <c r="CF368" t="s">
        <v>42</v>
      </c>
      <c r="CG368" t="s">
        <v>42</v>
      </c>
      <c r="CH368" t="s">
        <v>42</v>
      </c>
      <c r="CJ368" t="s">
        <v>42</v>
      </c>
      <c r="CK368" t="s">
        <v>42</v>
      </c>
      <c r="CL368" t="str">
        <f>HYPERLINK("http://amigo.geneontology.org/cgi-bin/amigo/term_details?term=GO:0006278","GO:0006278")</f>
        <v>GO:0006278</v>
      </c>
      <c r="CM368" t="s">
        <v>2594</v>
      </c>
      <c r="CN368" t="s">
        <v>2595</v>
      </c>
      <c r="CO368" t="s">
        <v>42</v>
      </c>
      <c r="CP368" t="s">
        <v>42</v>
      </c>
      <c r="CR368">
        <v>1.9999999999999999E-6</v>
      </c>
      <c r="CS368" s="4" t="str">
        <f>HYPERLINK("http://exon.niaid.nih.gov/transcriptome/C_felis/S1/links/KOG/cf-contig_312-KOG.txt","Predicted nuclear membrane protein involved in mRNA transport and sex determination via splicing modulation")</f>
        <v>Predicted nuclear membrane protein involved in mRNA transport and sex determination via splicing modulation</v>
      </c>
      <c r="CT368" t="str">
        <f>HYPERLINK("http://www.ncbi.nlm.nih.gov/COG/grace/shokog.cgi?KOG4822","0.14")</f>
        <v>0.14</v>
      </c>
      <c r="CU368" t="s">
        <v>2789</v>
      </c>
      <c r="CV368" s="4" t="str">
        <f>HYPERLINK("http://exon.niaid.nih.gov/transcriptome/C_felis/S1/links/PFAM/cf-contig_312-PFAM.txt","7tm_7")</f>
        <v>7tm_7</v>
      </c>
      <c r="CW368" t="str">
        <f>HYPERLINK("http://pfam.sanger.ac.uk/family?acc=PF08395","0.51")</f>
        <v>0.51</v>
      </c>
      <c r="CX368" s="4" t="str">
        <f>HYPERLINK("http://exon.niaid.nih.gov/transcriptome/C_felis/S1/links/SMART/cf-contig_312-SMART.txt","SET")</f>
        <v>SET</v>
      </c>
      <c r="CY368" t="str">
        <f>HYPERLINK("http://smart.embl-heidelberg.de/smart/do_annotation.pl?DOMAIN=SET&amp;BLAST=DUMMY","0.10")</f>
        <v>0.10</v>
      </c>
      <c r="CZ368" s="4" t="s">
        <v>42</v>
      </c>
      <c r="DA368" t="s">
        <v>42</v>
      </c>
      <c r="DB368" t="s">
        <v>42</v>
      </c>
      <c r="DC368" t="s">
        <v>42</v>
      </c>
      <c r="DD368" t="s">
        <v>42</v>
      </c>
      <c r="DE368" t="s">
        <v>42</v>
      </c>
      <c r="DF368" t="s">
        <v>42</v>
      </c>
      <c r="DG368" t="s">
        <v>42</v>
      </c>
      <c r="DH368" s="4" t="s">
        <v>42</v>
      </c>
      <c r="DI368" t="s">
        <v>42</v>
      </c>
      <c r="DJ368" s="4" t="s">
        <v>42</v>
      </c>
      <c r="DK368" t="s">
        <v>42</v>
      </c>
      <c r="DL368" s="4">
        <v>252</v>
      </c>
      <c r="DM368">
        <v>1</v>
      </c>
      <c r="DN368" s="4">
        <v>257</v>
      </c>
      <c r="DO368">
        <v>1</v>
      </c>
      <c r="DP368" s="4">
        <v>256</v>
      </c>
      <c r="DQ368">
        <v>1</v>
      </c>
      <c r="DR368" s="4">
        <v>265</v>
      </c>
      <c r="DS368">
        <v>1</v>
      </c>
      <c r="DT368" s="4">
        <v>274</v>
      </c>
      <c r="DU368">
        <v>1</v>
      </c>
      <c r="DV368" s="4">
        <v>286</v>
      </c>
      <c r="DW368">
        <v>1</v>
      </c>
      <c r="DX368" s="4">
        <v>288</v>
      </c>
      <c r="DY368">
        <v>1</v>
      </c>
      <c r="DZ368" s="4">
        <v>293</v>
      </c>
      <c r="EA368">
        <v>1</v>
      </c>
      <c r="EB368" s="4">
        <v>298</v>
      </c>
      <c r="EC368">
        <v>1</v>
      </c>
      <c r="ED368" s="4">
        <v>301</v>
      </c>
      <c r="EE368">
        <v>1</v>
      </c>
      <c r="EF368" s="4">
        <v>305</v>
      </c>
      <c r="EG368">
        <v>1</v>
      </c>
      <c r="EH368" s="4">
        <v>307</v>
      </c>
      <c r="EI368">
        <v>1</v>
      </c>
      <c r="EJ368" s="4">
        <v>312</v>
      </c>
      <c r="EK368">
        <v>1</v>
      </c>
    </row>
    <row r="369" spans="1:141" x14ac:dyDescent="0.2">
      <c r="A369" t="str">
        <f>HYPERLINK("http://exon.niaid.nih.gov/transcriptome/C_felis/S1/links/cf/cf-contig_147.txt","cf-contig_147")</f>
        <v>cf-contig_147</v>
      </c>
      <c r="B369">
        <v>2</v>
      </c>
      <c r="C369" s="10" t="s">
        <v>4654</v>
      </c>
      <c r="D369">
        <v>2</v>
      </c>
      <c r="E369" t="str">
        <f>HYPERLINK("http://exon.niaid.nih.gov/transcriptome/C_felis/S1/links/cf/cf-5-36-asb-147.txt","Contig-147")</f>
        <v>Contig-147</v>
      </c>
      <c r="F369" t="str">
        <f>HYPERLINK("http://exon.niaid.nih.gov/transcriptome/C_felis/S1/links/cf/cf-5-36-147-CLU.txt","Contig147")</f>
        <v>Contig147</v>
      </c>
      <c r="G369" t="str">
        <f>HYPERLINK("http://exon.niaid.nih.gov/transcriptome/C_felis/S1/links/cf/cf-5-36-147-qual.txt","69.6")</f>
        <v>69.6</v>
      </c>
      <c r="H369" t="s">
        <v>11</v>
      </c>
      <c r="I369">
        <v>72.5</v>
      </c>
      <c r="J369">
        <v>660</v>
      </c>
      <c r="K369" t="s">
        <v>12</v>
      </c>
      <c r="L369">
        <v>2</v>
      </c>
      <c r="M369" t="s">
        <v>160</v>
      </c>
      <c r="N369">
        <v>664</v>
      </c>
      <c r="O369">
        <v>679</v>
      </c>
      <c r="P369">
        <v>489</v>
      </c>
      <c r="Q369" t="s">
        <v>967</v>
      </c>
      <c r="R369">
        <v>2</v>
      </c>
      <c r="S369" s="7" t="str">
        <f>HYPERLINK("http://exon.niaid.nih.gov/transcriptome/C_felis/S1/links/Sigp/CF-CONTIG_147-SigP.txt","Cyt")</f>
        <v>Cyt</v>
      </c>
      <c r="U369">
        <v>2</v>
      </c>
      <c r="V369" s="4">
        <f>HYPERLINK("http://exon.niaid.nih.gov/transcriptome/C_felis/S1/links/cluster/cf-5-36-asb30-50-Id-CLU18.txt", 18)</f>
        <v>18</v>
      </c>
      <c r="W369">
        <f>HYPERLINK("http://exon.niaid.nih.gov/transcriptome/C_felis/S1/links/cluster/cf-5-36-asb30-50-Id-CLTL18.txt", 3)</f>
        <v>3</v>
      </c>
      <c r="X369" s="4">
        <f>HYPERLINK("http://exon.niaid.nih.gov/transcriptome/C_felis/S1/links/cluster/cf-5-36-asb35-50-Id-CLU17.txt", 17)</f>
        <v>17</v>
      </c>
      <c r="Y369">
        <f>HYPERLINK("http://exon.niaid.nih.gov/transcriptome/C_felis/S1/links/cluster/cf-5-36-asb35-50-Id-CLTL17.txt", 3)</f>
        <v>3</v>
      </c>
      <c r="Z369" s="4">
        <f>HYPERLINK("http://exon.niaid.nih.gov/transcriptome/C_felis/S1/links/cluster/cf-5-36-asb40-50-Id-CLU16.txt", 16)</f>
        <v>16</v>
      </c>
      <c r="AA369">
        <f>HYPERLINK("http://exon.niaid.nih.gov/transcriptome/C_felis/S1/links/cluster/cf-5-36-asb40-50-Id-CLTL16.txt", 3)</f>
        <v>3</v>
      </c>
      <c r="AB369" s="4" t="str">
        <f>HYPERLINK("http://exon.niaid.nih.gov/transcriptome/C_felis/S1/links/XC-ASB/cf-contig_147-XC-ASB.txt","XC-contig_52")</f>
        <v>XC-contig_52</v>
      </c>
      <c r="AC369">
        <v>2.0000000000000001E-4</v>
      </c>
      <c r="AD369" s="10" t="s">
        <v>4654</v>
      </c>
      <c r="AE369" t="s">
        <v>4610</v>
      </c>
      <c r="AF369" t="str">
        <f>HYPERLINK("http://exon.niaid.nih.gov/transcriptome/C_felis/S1/links/PFAM/cf-contig_147-PFAM.txt","PFAM")</f>
        <v>PFAM</v>
      </c>
      <c r="AG369">
        <v>2.0000000000000002E-15</v>
      </c>
      <c r="AH369">
        <v>34.299999999999997</v>
      </c>
      <c r="AI369" s="4" t="str">
        <f>HYPERLINK("http://exon.niaid.nih.gov/transcriptome/C_felis/S1/links/NR/cf-contig_147-NR.txt","venom acid phosphatase Acph-1-like")</f>
        <v>venom acid phosphatase Acph-1-like</v>
      </c>
      <c r="AJ369" t="str">
        <f>HYPERLINK("http://www.ncbi.nlm.nih.gov/sutils/blink.cgi?pid=350416661","9E-009")</f>
        <v>9E-009</v>
      </c>
      <c r="AK369" t="str">
        <f>HYPERLINK("http://www.ncbi.nlm.nih.gov/protein/350416661","gi|350416661")</f>
        <v>gi|350416661</v>
      </c>
      <c r="AL369">
        <v>65.099999999999994</v>
      </c>
      <c r="AM369">
        <v>118</v>
      </c>
      <c r="AN369">
        <v>415</v>
      </c>
      <c r="AO369">
        <v>27</v>
      </c>
      <c r="AP369">
        <v>29</v>
      </c>
      <c r="AQ369">
        <v>93</v>
      </c>
      <c r="AR369">
        <v>0</v>
      </c>
      <c r="AS369">
        <v>243</v>
      </c>
      <c r="AT369">
        <v>68</v>
      </c>
      <c r="AU369">
        <v>1</v>
      </c>
      <c r="AV369">
        <v>2</v>
      </c>
      <c r="AW369" t="s">
        <v>12</v>
      </c>
      <c r="AY369" t="s">
        <v>1676</v>
      </c>
      <c r="AZ369" t="s">
        <v>2234</v>
      </c>
      <c r="BA369" s="4" t="str">
        <f>HYPERLINK("http://exon.niaid.nih.gov/transcriptome/C_felis/S1/links/SWISSP/cf-contig_147-SWISSP.txt","Testicular acid phosphatase homolog")</f>
        <v>Testicular acid phosphatase homolog</v>
      </c>
      <c r="BB369" t="str">
        <f>HYPERLINK("http://www.uniprot.org/uniprot/Q3KQG9","7E-007")</f>
        <v>7E-007</v>
      </c>
      <c r="BC369" t="s">
        <v>1951</v>
      </c>
      <c r="BD369">
        <v>54.3</v>
      </c>
      <c r="BE369">
        <v>121</v>
      </c>
      <c r="BF369">
        <v>420</v>
      </c>
      <c r="BG369">
        <v>27</v>
      </c>
      <c r="BH369">
        <v>29</v>
      </c>
      <c r="BI369">
        <v>99</v>
      </c>
      <c r="BJ369">
        <v>0</v>
      </c>
      <c r="BK369">
        <v>249</v>
      </c>
      <c r="BL369">
        <v>62</v>
      </c>
      <c r="BM369">
        <v>1</v>
      </c>
      <c r="BN369">
        <v>2</v>
      </c>
      <c r="BO369" t="s">
        <v>12</v>
      </c>
      <c r="BQ369" t="s">
        <v>1676</v>
      </c>
      <c r="BR369" t="s">
        <v>1832</v>
      </c>
      <c r="BS369" s="4" t="str">
        <f>HYPERLINK("http://exon.niaid.nih.gov/transcriptome/C_felis/S1/links/CDD/cf-contig_147-CDD.txt","His_Phos_2")</f>
        <v>His_Phos_2</v>
      </c>
      <c r="BT369" t="str">
        <f>HYPERLINK("http://www.ncbi.nlm.nih.gov/Structure/cdd/cddsrv.cgi?uid=pfam00328&amp;version=v4.0","1E-014")</f>
        <v>1E-014</v>
      </c>
      <c r="BU369" t="s">
        <v>2235</v>
      </c>
      <c r="BV369" s="4" t="s">
        <v>2137</v>
      </c>
      <c r="BW369">
        <f>HYPERLINK("http://exon.niaid.nih.gov/transcriptome/C_felis/S1/links/GO/cf-contig_147-GO.txt",0.0000000007)</f>
        <v>6.9999999999999996E-10</v>
      </c>
      <c r="BX369" t="str">
        <f>HYPERLINK("http://amigo.geneontology.org/cgi-bin/amigo/term_details?term=GO:0003993","GO:0003993")</f>
        <v>GO:0003993</v>
      </c>
      <c r="BY369" t="s">
        <v>1835</v>
      </c>
      <c r="BZ369" t="s">
        <v>1836</v>
      </c>
      <c r="CA369" t="s">
        <v>1837</v>
      </c>
      <c r="CB369" t="str">
        <f>HYPERLINK("http://www.genome.jp/dbget-bin/www_bfind_sub?mode=bfind&amp;max_hit=1000&amp;dbkey=kegg&amp;keywords=EC:3.1.3.2","EC:3.1.3.2")</f>
        <v>EC:3.1.3.2</v>
      </c>
      <c r="CD369">
        <v>9.0000000000000006E-5</v>
      </c>
      <c r="CE369" t="s">
        <v>42</v>
      </c>
      <c r="CF369" t="s">
        <v>42</v>
      </c>
      <c r="CG369" t="s">
        <v>42</v>
      </c>
      <c r="CH369" t="s">
        <v>42</v>
      </c>
      <c r="CJ369" t="s">
        <v>42</v>
      </c>
      <c r="CK369" t="s">
        <v>42</v>
      </c>
      <c r="CL369" t="s">
        <v>42</v>
      </c>
      <c r="CM369" t="s">
        <v>42</v>
      </c>
      <c r="CN369" t="s">
        <v>42</v>
      </c>
      <c r="CO369" t="s">
        <v>42</v>
      </c>
      <c r="CQ369" t="s">
        <v>42</v>
      </c>
      <c r="CR369" t="s">
        <v>42</v>
      </c>
      <c r="CS369" s="4" t="str">
        <f>HYPERLINK("http://exon.niaid.nih.gov/transcriptome/C_felis/S1/links/KOG/cf-contig_147-KOG.txt","Lysosomal &amp; prostatic acid phosphatases")</f>
        <v>Lysosomal &amp; prostatic acid phosphatases</v>
      </c>
      <c r="CT369" t="str">
        <f>HYPERLINK("http://www.ncbi.nlm.nih.gov/COG/grace/shokog.cgi?KOG3720","4E-015")</f>
        <v>4E-015</v>
      </c>
      <c r="CU369" t="s">
        <v>1761</v>
      </c>
      <c r="CV369" s="4" t="str">
        <f>HYPERLINK("http://exon.niaid.nih.gov/transcriptome/C_felis/S1/links/PFAM/cf-contig_147-PFAM.txt","His_Phos_2")</f>
        <v>His_Phos_2</v>
      </c>
      <c r="CW369" t="str">
        <f>HYPERLINK("http://pfam.sanger.ac.uk/family?acc=PF00328","2E-015")</f>
        <v>2E-015</v>
      </c>
      <c r="CX369" s="4" t="str">
        <f>HYPERLINK("http://exon.niaid.nih.gov/transcriptome/C_felis/S1/links/SMART/cf-contig_147-SMART.txt","PSN")</f>
        <v>PSN</v>
      </c>
      <c r="CY369" t="str">
        <f>HYPERLINK("http://smart.embl-heidelberg.de/smart/do_annotation.pl?DOMAIN=PSN&amp;BLAST=DUMMY","0.006")</f>
        <v>0.006</v>
      </c>
      <c r="CZ369" s="4" t="s">
        <v>42</v>
      </c>
      <c r="DA369" t="s">
        <v>42</v>
      </c>
      <c r="DB369" t="s">
        <v>42</v>
      </c>
      <c r="DC369" t="s">
        <v>42</v>
      </c>
      <c r="DD369" t="s">
        <v>42</v>
      </c>
      <c r="DE369" t="s">
        <v>42</v>
      </c>
      <c r="DF369" t="s">
        <v>42</v>
      </c>
      <c r="DG369" t="s">
        <v>42</v>
      </c>
      <c r="DH369" s="4" t="s">
        <v>42</v>
      </c>
      <c r="DI369" t="s">
        <v>42</v>
      </c>
      <c r="DJ369" s="4" t="s">
        <v>42</v>
      </c>
      <c r="DK369" t="s">
        <v>42</v>
      </c>
      <c r="DL369" s="4">
        <f>HYPERLINK("http://exon.niaid.nih.gov/transcriptome/C_felis/S1/links/cluster/cf-5-36-asb30-50-Id-CLU18.txt", 18)</f>
        <v>18</v>
      </c>
      <c r="DM369">
        <f>HYPERLINK("http://exon.niaid.nih.gov/transcriptome/C_felis/S1/links/cluster/cf-5-36-asb30-50-Id-CLTL18.txt", 3)</f>
        <v>3</v>
      </c>
      <c r="DN369" s="4">
        <f>HYPERLINK("http://exon.niaid.nih.gov/transcriptome/C_felis/S1/links/cluster/cf-5-36-asb35-50-Id-CLU17.txt", 17)</f>
        <v>17</v>
      </c>
      <c r="DO369">
        <f>HYPERLINK("http://exon.niaid.nih.gov/transcriptome/C_felis/S1/links/cluster/cf-5-36-asb35-50-Id-CLTL17.txt", 3)</f>
        <v>3</v>
      </c>
      <c r="DP369" s="4">
        <f>HYPERLINK("http://exon.niaid.nih.gov/transcriptome/C_felis/S1/links/cluster/cf-5-36-asb40-50-Id-CLU16.txt", 16)</f>
        <v>16</v>
      </c>
      <c r="DQ369">
        <f>HYPERLINK("http://exon.niaid.nih.gov/transcriptome/C_felis/S1/links/cluster/cf-5-36-asb40-50-Id-CLTL16.txt", 3)</f>
        <v>3</v>
      </c>
      <c r="DR369" s="4">
        <v>129</v>
      </c>
      <c r="DS369">
        <v>1</v>
      </c>
      <c r="DT369" s="4">
        <v>128</v>
      </c>
      <c r="DU369">
        <v>1</v>
      </c>
      <c r="DV369" s="4">
        <v>138</v>
      </c>
      <c r="DW369">
        <v>1</v>
      </c>
      <c r="DX369" s="4">
        <v>140</v>
      </c>
      <c r="DY369">
        <v>1</v>
      </c>
      <c r="DZ369" s="4">
        <v>140</v>
      </c>
      <c r="EA369">
        <v>1</v>
      </c>
      <c r="EB369" s="4">
        <v>145</v>
      </c>
      <c r="EC369">
        <v>1</v>
      </c>
      <c r="ED369" s="4">
        <v>146</v>
      </c>
      <c r="EE369">
        <v>1</v>
      </c>
      <c r="EF369" s="4">
        <v>145</v>
      </c>
      <c r="EG369">
        <v>1</v>
      </c>
      <c r="EH369" s="4">
        <v>144</v>
      </c>
      <c r="EI369">
        <v>1</v>
      </c>
      <c r="EJ369" s="4">
        <v>147</v>
      </c>
      <c r="EK369">
        <v>1</v>
      </c>
    </row>
    <row r="370" spans="1:141" x14ac:dyDescent="0.2">
      <c r="A370" t="str">
        <f>HYPERLINK("http://exon.niaid.nih.gov/transcriptome/C_felis/S1/links/cf/cf-contig_643.txt","cf-contig_643")</f>
        <v>cf-contig_643</v>
      </c>
      <c r="B370">
        <v>1</v>
      </c>
      <c r="C370" s="10" t="s">
        <v>4833</v>
      </c>
      <c r="D370">
        <v>1</v>
      </c>
      <c r="E370" t="str">
        <f>HYPERLINK("http://exon.niaid.nih.gov/transcriptome/C_felis/S1/links/cf/cf-5-36-asb-643.txt","Contig-643")</f>
        <v>Contig-643</v>
      </c>
      <c r="F370" t="str">
        <f>HYPERLINK("http://exon.niaid.nih.gov/transcriptome/C_felis/S1/links/cf/cf-5-36-643-CLU.txt","Contig643")</f>
        <v>Contig643</v>
      </c>
      <c r="G370" t="str">
        <f>HYPERLINK("http://exon.niaid.nih.gov/transcriptome/C_felis/S1/links/cf/cf-5-36-643-qual.txt","64.5")</f>
        <v>64.5</v>
      </c>
      <c r="H370" t="s">
        <v>11</v>
      </c>
      <c r="I370">
        <v>72</v>
      </c>
      <c r="J370">
        <v>360</v>
      </c>
      <c r="K370" t="s">
        <v>12</v>
      </c>
      <c r="L370">
        <v>1</v>
      </c>
      <c r="M370" t="s">
        <v>656</v>
      </c>
      <c r="N370">
        <v>360</v>
      </c>
      <c r="O370">
        <v>379</v>
      </c>
      <c r="P370">
        <v>261</v>
      </c>
      <c r="Q370" t="s">
        <v>1462</v>
      </c>
      <c r="R370">
        <v>2</v>
      </c>
      <c r="S370" s="7" t="s">
        <v>4585</v>
      </c>
      <c r="U370">
        <v>1</v>
      </c>
      <c r="V370" s="4">
        <v>526</v>
      </c>
      <c r="W370">
        <v>1</v>
      </c>
      <c r="X370" s="4">
        <v>538</v>
      </c>
      <c r="Y370">
        <v>1</v>
      </c>
      <c r="Z370" s="4">
        <v>548</v>
      </c>
      <c r="AA370">
        <v>1</v>
      </c>
      <c r="AB370" s="4" t="str">
        <f>HYPERLINK("http://exon.niaid.nih.gov/transcriptome/C_felis/S1/links/XC-ASB/cf-contig_643-XC-ASB.txt","XC-contig_4")</f>
        <v>XC-contig_4</v>
      </c>
      <c r="AC370">
        <v>6.0000000000000001E-3</v>
      </c>
      <c r="AD370" s="10" t="s">
        <v>4833</v>
      </c>
      <c r="AE370" t="s">
        <v>4610</v>
      </c>
      <c r="AF370" t="str">
        <f>HYPERLINK("http://exon.niaid.nih.gov/transcriptome/C_felis/S1/links/NR/cf-contig_643-NR.txt","NR")</f>
        <v>NR</v>
      </c>
      <c r="AG370" s="5">
        <v>1E-25</v>
      </c>
      <c r="AH370">
        <v>50.8</v>
      </c>
      <c r="AI370" s="4" t="str">
        <f>HYPERLINK("http://exon.niaid.nih.gov/transcriptome/C_felis/S1/links/NR/cf-contig_643-NR.txt","hypothetical protein")</f>
        <v>hypothetical protein</v>
      </c>
      <c r="AJ370" t="str">
        <f>HYPERLINK("http://www.ncbi.nlm.nih.gov/sutils/blink.cgi?pid=291241551","1E-025")</f>
        <v>1E-025</v>
      </c>
      <c r="AK370" t="str">
        <f>HYPERLINK("http://www.ncbi.nlm.nih.gov/protein/291241551","gi|291241551")</f>
        <v>gi|291241551</v>
      </c>
      <c r="AL370">
        <v>120</v>
      </c>
      <c r="AM370">
        <v>84</v>
      </c>
      <c r="AN370">
        <v>169</v>
      </c>
      <c r="AO370">
        <v>66</v>
      </c>
      <c r="AP370">
        <v>50</v>
      </c>
      <c r="AQ370">
        <v>29</v>
      </c>
      <c r="AR370">
        <v>0</v>
      </c>
      <c r="AS370">
        <v>85</v>
      </c>
      <c r="AT370">
        <v>5</v>
      </c>
      <c r="AU370">
        <v>1</v>
      </c>
      <c r="AV370">
        <v>2</v>
      </c>
      <c r="AW370" t="s">
        <v>12</v>
      </c>
      <c r="AY370" t="s">
        <v>1676</v>
      </c>
      <c r="AZ370" t="s">
        <v>1820</v>
      </c>
      <c r="BA370" s="4" t="str">
        <f>HYPERLINK("http://exon.niaid.nih.gov/transcriptome/C_felis/S1/links/SWISSP/cf-contig_643-SWISSP.txt","Coiled-coil domain-containing protein 12")</f>
        <v>Coiled-coil domain-containing protein 12</v>
      </c>
      <c r="BB370" t="str">
        <f>HYPERLINK("http://www.uniprot.org/uniprot/Q8R344","1E-021")</f>
        <v>1E-021</v>
      </c>
      <c r="BC370" t="s">
        <v>4039</v>
      </c>
      <c r="BD370">
        <v>101</v>
      </c>
      <c r="BE370">
        <v>80</v>
      </c>
      <c r="BF370">
        <v>166</v>
      </c>
      <c r="BG370">
        <v>63</v>
      </c>
      <c r="BH370">
        <v>49</v>
      </c>
      <c r="BI370">
        <v>31</v>
      </c>
      <c r="BJ370">
        <v>0</v>
      </c>
      <c r="BK370">
        <v>86</v>
      </c>
      <c r="BL370">
        <v>5</v>
      </c>
      <c r="BM370">
        <v>1</v>
      </c>
      <c r="BN370">
        <v>2</v>
      </c>
      <c r="BO370" t="s">
        <v>12</v>
      </c>
      <c r="BQ370" t="s">
        <v>1676</v>
      </c>
      <c r="BR370" t="s">
        <v>1705</v>
      </c>
      <c r="BS370" s="4" t="str">
        <f>HYPERLINK("http://exon.niaid.nih.gov/transcriptome/C_felis/S1/links/CDD/cf-contig_643-CDD.txt","cwf18")</f>
        <v>cwf18</v>
      </c>
      <c r="BT370" t="str">
        <f>HYPERLINK("http://www.ncbi.nlm.nih.gov/Structure/cdd/cddsrv.cgi?uid=pfam08315&amp;version=v4.0","4E-024")</f>
        <v>4E-024</v>
      </c>
      <c r="BU370" t="s">
        <v>4040</v>
      </c>
      <c r="BV370" s="4" t="s">
        <v>4041</v>
      </c>
      <c r="BW370">
        <f>HYPERLINK("http://exon.niaid.nih.gov/transcriptome/C_felis/S1/links/GO/cf-contig_643-GO.txt",2E-20)</f>
        <v>1.9999999999999999E-20</v>
      </c>
      <c r="BX370" t="str">
        <f>HYPERLINK("http://amigo.geneontology.org/cgi-bin/amigo/term_details?term=GO:0003674","GO:0003674")</f>
        <v>GO:0003674</v>
      </c>
      <c r="BY370" t="s">
        <v>1851</v>
      </c>
      <c r="BZ370" t="s">
        <v>1852</v>
      </c>
      <c r="CA370" t="s">
        <v>1853</v>
      </c>
      <c r="CB370" t="s">
        <v>42</v>
      </c>
      <c r="CD370" s="5">
        <v>1.9999999999999999E-20</v>
      </c>
      <c r="CE370" t="str">
        <f>HYPERLINK("http://amigo.geneontology.org/cgi-bin/amigo/term_details?term=GO:0005575","GO:0005575")</f>
        <v>GO:0005575</v>
      </c>
      <c r="CF370" t="s">
        <v>1838</v>
      </c>
      <c r="CG370" t="s">
        <v>1839</v>
      </c>
      <c r="CH370" t="s">
        <v>1840</v>
      </c>
      <c r="CI370" t="s">
        <v>42</v>
      </c>
      <c r="CK370" s="5">
        <v>1.9999999999999999E-20</v>
      </c>
      <c r="CL370" t="str">
        <f>HYPERLINK("http://amigo.geneontology.org/cgi-bin/amigo/term_details?term=GO:0008150","GO:0008150")</f>
        <v>GO:0008150</v>
      </c>
      <c r="CM370" t="s">
        <v>1857</v>
      </c>
      <c r="CN370" t="s">
        <v>1858</v>
      </c>
      <c r="CO370" t="s">
        <v>1859</v>
      </c>
      <c r="CP370" t="s">
        <v>42</v>
      </c>
      <c r="CR370" s="5">
        <v>1.9999999999999999E-20</v>
      </c>
      <c r="CS370" s="4" t="str">
        <f>HYPERLINK("http://exon.niaid.nih.gov/transcriptome/C_felis/S1/links/KOG/cf-contig_643-KOG.txt","Uncharacterized conserved protein")</f>
        <v>Uncharacterized conserved protein</v>
      </c>
      <c r="CT370" t="str">
        <f>HYPERLINK("http://www.ncbi.nlm.nih.gov/COG/grace/shokog.cgi?KOG3407","2E-024")</f>
        <v>2E-024</v>
      </c>
      <c r="CU370" t="s">
        <v>1711</v>
      </c>
      <c r="CV370" s="4" t="str">
        <f>HYPERLINK("http://exon.niaid.nih.gov/transcriptome/C_felis/S1/links/PFAM/cf-contig_643-PFAM.txt","cwf18")</f>
        <v>cwf18</v>
      </c>
      <c r="CW370" t="str">
        <f>HYPERLINK("http://pfam.sanger.ac.uk/family?acc=PF08315","1E-024")</f>
        <v>1E-024</v>
      </c>
      <c r="CX370" s="4" t="str">
        <f>HYPERLINK("http://exon.niaid.nih.gov/transcriptome/C_felis/S1/links/SMART/cf-contig_643-SMART.txt","AgrB")</f>
        <v>AgrB</v>
      </c>
      <c r="CY370" t="str">
        <f>HYPERLINK("http://smart.embl-heidelberg.de/smart/do_annotation.pl?DOMAIN=AgrB&amp;BLAST=DUMMY","0.14")</f>
        <v>0.14</v>
      </c>
      <c r="CZ370" s="4" t="s">
        <v>42</v>
      </c>
      <c r="DA370" t="s">
        <v>42</v>
      </c>
      <c r="DB370" t="s">
        <v>42</v>
      </c>
      <c r="DC370" t="s">
        <v>42</v>
      </c>
      <c r="DD370" t="s">
        <v>42</v>
      </c>
      <c r="DE370" t="s">
        <v>42</v>
      </c>
      <c r="DF370" t="s">
        <v>42</v>
      </c>
      <c r="DG370" t="s">
        <v>42</v>
      </c>
      <c r="DH370" s="4" t="s">
        <v>42</v>
      </c>
      <c r="DI370" t="s">
        <v>42</v>
      </c>
      <c r="DJ370" s="4" t="s">
        <v>42</v>
      </c>
      <c r="DK370" t="s">
        <v>42</v>
      </c>
      <c r="DL370" s="4">
        <v>526</v>
      </c>
      <c r="DM370">
        <v>1</v>
      </c>
      <c r="DN370" s="4">
        <v>538</v>
      </c>
      <c r="DO370">
        <v>1</v>
      </c>
      <c r="DP370" s="4">
        <v>548</v>
      </c>
      <c r="DQ370">
        <v>1</v>
      </c>
      <c r="DR370" s="4">
        <v>568</v>
      </c>
      <c r="DS370">
        <v>1</v>
      </c>
      <c r="DT370" s="4">
        <v>581</v>
      </c>
      <c r="DU370">
        <v>1</v>
      </c>
      <c r="DV370" s="4">
        <v>595</v>
      </c>
      <c r="DW370">
        <v>1</v>
      </c>
      <c r="DX370" s="4">
        <v>604</v>
      </c>
      <c r="DY370">
        <v>1</v>
      </c>
      <c r="DZ370" s="4">
        <v>613</v>
      </c>
      <c r="EA370">
        <v>1</v>
      </c>
      <c r="EB370" s="4">
        <v>618</v>
      </c>
      <c r="EC370">
        <v>1</v>
      </c>
      <c r="ED370" s="4">
        <v>622</v>
      </c>
      <c r="EE370">
        <v>1</v>
      </c>
      <c r="EF370" s="4">
        <v>628</v>
      </c>
      <c r="EG370">
        <v>1</v>
      </c>
      <c r="EH370" s="4">
        <v>636</v>
      </c>
      <c r="EI370">
        <v>1</v>
      </c>
      <c r="EJ370" s="4">
        <v>643</v>
      </c>
      <c r="EK370">
        <v>1</v>
      </c>
    </row>
    <row r="371" spans="1:141" x14ac:dyDescent="0.2">
      <c r="A371" t="str">
        <f>HYPERLINK("http://exon.niaid.nih.gov/transcriptome/C_felis/S1/links/cf/cf-contig_366.txt","cf-contig_366")</f>
        <v>cf-contig_366</v>
      </c>
      <c r="B371">
        <v>1</v>
      </c>
      <c r="C371" s="10" t="s">
        <v>4744</v>
      </c>
      <c r="D371">
        <v>1</v>
      </c>
      <c r="E371" t="str">
        <f>HYPERLINK("http://exon.niaid.nih.gov/transcriptome/C_felis/S1/links/cf/cf-5-36-asb-366.txt","Contig-366")</f>
        <v>Contig-366</v>
      </c>
      <c r="F371" t="str">
        <f>HYPERLINK("http://exon.niaid.nih.gov/transcriptome/C_felis/S1/links/cf/cf-5-36-366-CLU.txt","Contig366")</f>
        <v>Contig366</v>
      </c>
      <c r="G371" t="str">
        <f>HYPERLINK("http://exon.niaid.nih.gov/transcriptome/C_felis/S1/links/cf/cf-5-36-366-qual.txt","66.")</f>
        <v>66.</v>
      </c>
      <c r="H371" t="s">
        <v>11</v>
      </c>
      <c r="I371">
        <v>64.099999999999994</v>
      </c>
      <c r="J371">
        <v>440</v>
      </c>
      <c r="K371" t="s">
        <v>12</v>
      </c>
      <c r="L371">
        <v>1</v>
      </c>
      <c r="M371" t="s">
        <v>379</v>
      </c>
      <c r="N371">
        <v>440</v>
      </c>
      <c r="O371">
        <v>459</v>
      </c>
      <c r="P371">
        <v>333</v>
      </c>
      <c r="Q371" t="s">
        <v>1186</v>
      </c>
      <c r="R371">
        <v>3</v>
      </c>
      <c r="S371" s="7" t="str">
        <f>HYPERLINK("http://exon.niaid.nih.gov/transcriptome/C_felis/S1/links/Sigp/CF-CONTIG_366-SigP.txt","Cyt")</f>
        <v>Cyt</v>
      </c>
      <c r="U371">
        <v>1</v>
      </c>
      <c r="V371" s="4">
        <v>295</v>
      </c>
      <c r="W371">
        <v>1</v>
      </c>
      <c r="X371" s="4">
        <v>302</v>
      </c>
      <c r="Y371">
        <v>1</v>
      </c>
      <c r="Z371" s="4">
        <v>303</v>
      </c>
      <c r="AA371">
        <v>1</v>
      </c>
      <c r="AB371" s="4" t="str">
        <f>HYPERLINK("http://exon.niaid.nih.gov/transcriptome/C_felis/S1/links/XC-ASB/cf-contig_366-XC-ASB.txt","XC-contig_218")</f>
        <v>XC-contig_218</v>
      </c>
      <c r="AC371">
        <v>0.13</v>
      </c>
      <c r="AD371" s="10" t="s">
        <v>4744</v>
      </c>
      <c r="AE371" t="s">
        <v>4610</v>
      </c>
      <c r="AF371" t="str">
        <f>HYPERLINK("http://exon.niaid.nih.gov/transcriptome/C_felis/S1/links/NR/cf-contig_366-NR.txt","NR")</f>
        <v>NR</v>
      </c>
      <c r="AG371">
        <v>2E-14</v>
      </c>
      <c r="AH371">
        <v>97</v>
      </c>
      <c r="AI371" s="4" t="str">
        <f>HYPERLINK("http://exon.niaid.nih.gov/transcriptome/C_felis/S1/links/NR/cf-contig_366-NR.txt","hypothetical protein AaeL_AAEL002797")</f>
        <v>hypothetical protein AaeL_AAEL002797</v>
      </c>
      <c r="AJ371" t="str">
        <f>HYPERLINK("http://www.ncbi.nlm.nih.gov/sutils/blink.cgi?pid=157132071","2E-014")</f>
        <v>2E-014</v>
      </c>
      <c r="AK371" t="str">
        <f>HYPERLINK("http://www.ncbi.nlm.nih.gov/protein/157132071","gi|157132071")</f>
        <v>gi|157132071</v>
      </c>
      <c r="AL371">
        <v>82.8</v>
      </c>
      <c r="AM371">
        <v>99</v>
      </c>
      <c r="AN371">
        <v>103</v>
      </c>
      <c r="AO371">
        <v>46</v>
      </c>
      <c r="AP371">
        <v>97</v>
      </c>
      <c r="AQ371">
        <v>54</v>
      </c>
      <c r="AR371">
        <v>4</v>
      </c>
      <c r="AS371">
        <v>2</v>
      </c>
      <c r="AT371">
        <v>57</v>
      </c>
      <c r="AU371">
        <v>1</v>
      </c>
      <c r="AV371">
        <v>3</v>
      </c>
      <c r="AW371" t="s">
        <v>12</v>
      </c>
      <c r="AY371" t="s">
        <v>1676</v>
      </c>
      <c r="AZ371" t="s">
        <v>2267</v>
      </c>
      <c r="BA371" s="4" t="str">
        <f>HYPERLINK("http://exon.niaid.nih.gov/transcriptome/C_felis/S1/links/SWISSP/cf-contig_366-SWISSP.txt","Putative membrane protein ycf1")</f>
        <v>Putative membrane protein ycf1</v>
      </c>
      <c r="BB371" t="str">
        <f>HYPERLINK("http://www.uniprot.org/uniprot/A7M9B2","0.19")</f>
        <v>0.19</v>
      </c>
      <c r="BC371" t="s">
        <v>2958</v>
      </c>
      <c r="BD371">
        <v>35</v>
      </c>
      <c r="BE371">
        <v>71</v>
      </c>
      <c r="BF371">
        <v>1750</v>
      </c>
      <c r="BG371">
        <v>30</v>
      </c>
      <c r="BH371">
        <v>4</v>
      </c>
      <c r="BI371">
        <v>53</v>
      </c>
      <c r="BJ371">
        <v>2</v>
      </c>
      <c r="BK371">
        <v>510</v>
      </c>
      <c r="BL371">
        <v>20</v>
      </c>
      <c r="BM371">
        <v>1</v>
      </c>
      <c r="BN371">
        <v>2</v>
      </c>
      <c r="BO371" t="s">
        <v>12</v>
      </c>
      <c r="BP371">
        <v>1.4079999999999999</v>
      </c>
      <c r="BQ371" t="s">
        <v>1676</v>
      </c>
      <c r="BR371" t="s">
        <v>2959</v>
      </c>
      <c r="BS371" s="4" t="str">
        <f>HYPERLINK("http://exon.niaid.nih.gov/transcriptome/C_felis/S1/links/CDD/cf-contig_366-CDD.txt","ALK1")</f>
        <v>ALK1</v>
      </c>
      <c r="BT371" t="str">
        <f>HYPERLINK("http://www.ncbi.nlm.nih.gov/Structure/cdd/cddsrv.cgi?uid=COG5072&amp;version=v4.0","0.077")</f>
        <v>0.077</v>
      </c>
      <c r="BU371" t="s">
        <v>2960</v>
      </c>
      <c r="BV371" s="4" t="s">
        <v>42</v>
      </c>
      <c r="BW371" t="s">
        <v>42</v>
      </c>
      <c r="BX371" t="s">
        <v>42</v>
      </c>
      <c r="BY371" t="s">
        <v>42</v>
      </c>
      <c r="BZ371" t="s">
        <v>42</v>
      </c>
      <c r="CA371" t="s">
        <v>42</v>
      </c>
      <c r="CB371" t="s">
        <v>42</v>
      </c>
      <c r="CC371" t="s">
        <v>42</v>
      </c>
      <c r="CD371" t="s">
        <v>42</v>
      </c>
      <c r="CE371" t="s">
        <v>42</v>
      </c>
      <c r="CF371" t="s">
        <v>42</v>
      </c>
      <c r="CG371" t="s">
        <v>42</v>
      </c>
      <c r="CH371" t="s">
        <v>42</v>
      </c>
      <c r="CI371" t="s">
        <v>42</v>
      </c>
      <c r="CJ371" t="s">
        <v>42</v>
      </c>
      <c r="CK371" t="s">
        <v>42</v>
      </c>
      <c r="CL371" t="s">
        <v>42</v>
      </c>
      <c r="CM371" t="s">
        <v>42</v>
      </c>
      <c r="CN371" t="s">
        <v>42</v>
      </c>
      <c r="CO371" t="s">
        <v>42</v>
      </c>
      <c r="CP371" t="s">
        <v>42</v>
      </c>
      <c r="CQ371" t="s">
        <v>42</v>
      </c>
      <c r="CR371" t="s">
        <v>42</v>
      </c>
      <c r="CS371" s="4" t="str">
        <f>HYPERLINK("http://exon.niaid.nih.gov/transcriptome/C_felis/S1/links/KOG/cf-contig_366-KOG.txt","cAMP-regulated guanine nucleotide exchange factor")</f>
        <v>cAMP-regulated guanine nucleotide exchange factor</v>
      </c>
      <c r="CT371" t="str">
        <f>HYPERLINK("http://www.ncbi.nlm.nih.gov/COG/grace/shokog.cgi?KOG3542","0.73")</f>
        <v>0.73</v>
      </c>
      <c r="CU371" t="s">
        <v>1780</v>
      </c>
      <c r="CV371" s="4" t="str">
        <f>HYPERLINK("http://exon.niaid.nih.gov/transcriptome/C_felis/S1/links/PFAM/cf-contig_366-PFAM.txt","Telomerase_RBD")</f>
        <v>Telomerase_RBD</v>
      </c>
      <c r="CW371" t="str">
        <f>HYPERLINK("http://pfam.sanger.ac.uk/family?acc=PF12009","0.044")</f>
        <v>0.044</v>
      </c>
      <c r="CX371" s="4" t="str">
        <f>HYPERLINK("http://exon.niaid.nih.gov/transcriptome/C_felis/S1/links/SMART/cf-contig_366-SMART.txt","Telomerase_RBD")</f>
        <v>Telomerase_RBD</v>
      </c>
      <c r="CY371" t="str">
        <f>HYPERLINK("http://smart.embl-heidelberg.de/smart/do_annotation.pl?DOMAIN=Telomerase_RBD&amp;BLAST=DUMMY","0.022")</f>
        <v>0.022</v>
      </c>
      <c r="CZ371" s="4" t="s">
        <v>42</v>
      </c>
      <c r="DA371" t="s">
        <v>42</v>
      </c>
      <c r="DB371" t="s">
        <v>42</v>
      </c>
      <c r="DC371" t="s">
        <v>42</v>
      </c>
      <c r="DD371" t="s">
        <v>42</v>
      </c>
      <c r="DE371" t="s">
        <v>42</v>
      </c>
      <c r="DF371" t="s">
        <v>42</v>
      </c>
      <c r="DG371" t="s">
        <v>42</v>
      </c>
      <c r="DH371" s="4" t="s">
        <v>42</v>
      </c>
      <c r="DI371" t="s">
        <v>42</v>
      </c>
      <c r="DJ371" s="4" t="s">
        <v>42</v>
      </c>
      <c r="DK371" t="s">
        <v>42</v>
      </c>
      <c r="DL371" s="4">
        <v>295</v>
      </c>
      <c r="DM371">
        <v>1</v>
      </c>
      <c r="DN371" s="4">
        <v>302</v>
      </c>
      <c r="DO371">
        <v>1</v>
      </c>
      <c r="DP371" s="4">
        <v>303</v>
      </c>
      <c r="DQ371">
        <v>1</v>
      </c>
      <c r="DR371" s="4">
        <v>314</v>
      </c>
      <c r="DS371">
        <v>1</v>
      </c>
      <c r="DT371" s="4">
        <v>324</v>
      </c>
      <c r="DU371">
        <v>1</v>
      </c>
      <c r="DV371" s="4">
        <v>337</v>
      </c>
      <c r="DW371">
        <v>1</v>
      </c>
      <c r="DX371" s="4">
        <v>340</v>
      </c>
      <c r="DY371">
        <v>1</v>
      </c>
      <c r="DZ371" s="4">
        <v>345</v>
      </c>
      <c r="EA371">
        <v>1</v>
      </c>
      <c r="EB371" s="4">
        <v>350</v>
      </c>
      <c r="EC371">
        <v>1</v>
      </c>
      <c r="ED371" s="4">
        <v>354</v>
      </c>
      <c r="EE371">
        <v>1</v>
      </c>
      <c r="EF371" s="4">
        <v>359</v>
      </c>
      <c r="EG371">
        <v>1</v>
      </c>
      <c r="EH371" s="4">
        <v>361</v>
      </c>
      <c r="EI371">
        <v>1</v>
      </c>
      <c r="EJ371" s="4">
        <v>366</v>
      </c>
      <c r="EK371">
        <v>1</v>
      </c>
    </row>
    <row r="372" spans="1:141" x14ac:dyDescent="0.2">
      <c r="A372" t="str">
        <f>HYPERLINK("http://exon.niaid.nih.gov/transcriptome/C_felis/S1/links/cf/cf-contig_429.txt","cf-contig_429")</f>
        <v>cf-contig_429</v>
      </c>
      <c r="B372">
        <v>1</v>
      </c>
      <c r="C372" s="10" t="s">
        <v>4764</v>
      </c>
      <c r="D372">
        <v>1</v>
      </c>
      <c r="E372" t="str">
        <f>HYPERLINK("http://exon.niaid.nih.gov/transcriptome/C_felis/S1/links/cf/cf-5-36-asb-429.txt","Contig-429")</f>
        <v>Contig-429</v>
      </c>
      <c r="F372" t="str">
        <f>HYPERLINK("http://exon.niaid.nih.gov/transcriptome/C_felis/S1/links/cf/cf-5-36-429-CLU.txt","Contig429")</f>
        <v>Contig429</v>
      </c>
      <c r="G372" t="str">
        <f>HYPERLINK("http://exon.niaid.nih.gov/transcriptome/C_felis/S1/links/cf/cf-5-36-429-qual.txt","66.2")</f>
        <v>66.2</v>
      </c>
      <c r="H372" t="s">
        <v>11</v>
      </c>
      <c r="I372">
        <v>68.8</v>
      </c>
      <c r="J372">
        <v>541</v>
      </c>
      <c r="K372" t="s">
        <v>12</v>
      </c>
      <c r="L372">
        <v>1</v>
      </c>
      <c r="M372" t="s">
        <v>442</v>
      </c>
      <c r="N372">
        <v>541</v>
      </c>
      <c r="O372">
        <v>560</v>
      </c>
      <c r="P372">
        <v>267</v>
      </c>
      <c r="Q372" t="s">
        <v>1249</v>
      </c>
      <c r="R372">
        <v>1</v>
      </c>
      <c r="S372" s="7" t="str">
        <f>HYPERLINK("http://exon.niaid.nih.gov/transcriptome/C_felis/S1/links/Sigp/CF-CONTIG_429-SigP.txt","Cyt")</f>
        <v>Cyt</v>
      </c>
      <c r="U372">
        <v>1</v>
      </c>
      <c r="V372" s="4">
        <v>348</v>
      </c>
      <c r="W372">
        <v>1</v>
      </c>
      <c r="X372" s="4">
        <v>357</v>
      </c>
      <c r="Y372">
        <v>1</v>
      </c>
      <c r="Z372" s="4">
        <v>361</v>
      </c>
      <c r="AA372">
        <v>1</v>
      </c>
      <c r="AB372" s="4" t="str">
        <f>HYPERLINK("http://exon.niaid.nih.gov/transcriptome/C_felis/S1/links/XC-ASB/cf-contig_429-XC-ASB.txt","XC-contig_135")</f>
        <v>XC-contig_135</v>
      </c>
      <c r="AC372">
        <v>0.23</v>
      </c>
      <c r="AD372" s="10" t="s">
        <v>4764</v>
      </c>
      <c r="AE372" t="s">
        <v>4610</v>
      </c>
      <c r="AF372" t="str">
        <f>HYPERLINK("http://exon.niaid.nih.gov/transcriptome/C_felis/S1/links/NR/cf-contig_429-NR.txt","NR")</f>
        <v>NR</v>
      </c>
      <c r="AG372" s="5">
        <v>6.0000000000000006E-39</v>
      </c>
      <c r="AH372">
        <v>31.3</v>
      </c>
      <c r="AI372" s="4" t="str">
        <f>HYPERLINK("http://exon.niaid.nih.gov/transcriptome/C_felis/S1/links/NR/cf-contig_429-NR.txt","hypothetical protein AND_01233")</f>
        <v>hypothetical protein AND_01233</v>
      </c>
      <c r="AJ372" t="str">
        <f>HYPERLINK("http://www.ncbi.nlm.nih.gov/sutils/blink.cgi?pid=312385049","6E-039")</f>
        <v>6E-039</v>
      </c>
      <c r="AK372" t="str">
        <f>HYPERLINK("http://www.ncbi.nlm.nih.gov/protein/312385049","gi|312385049")</f>
        <v>gi|312385049</v>
      </c>
      <c r="AL372">
        <v>164</v>
      </c>
      <c r="AM372">
        <v>84</v>
      </c>
      <c r="AN372">
        <v>271</v>
      </c>
      <c r="AO372">
        <v>88</v>
      </c>
      <c r="AP372">
        <v>31</v>
      </c>
      <c r="AQ372">
        <v>10</v>
      </c>
      <c r="AR372">
        <v>0</v>
      </c>
      <c r="AS372">
        <v>183</v>
      </c>
      <c r="AT372">
        <v>10</v>
      </c>
      <c r="AU372">
        <v>1</v>
      </c>
      <c r="AV372">
        <v>1</v>
      </c>
      <c r="AW372" t="s">
        <v>12</v>
      </c>
      <c r="AY372" t="s">
        <v>1676</v>
      </c>
      <c r="AZ372" t="s">
        <v>2506</v>
      </c>
      <c r="BA372" s="4" t="str">
        <f>HYPERLINK("http://exon.niaid.nih.gov/transcriptome/C_felis/S1/links/SWISSP/cf-contig_429-SWISSP.txt","Ubiquitin thioesterase otubain-like")</f>
        <v>Ubiquitin thioesterase otubain-like</v>
      </c>
      <c r="BB372" t="str">
        <f>HYPERLINK("http://www.uniprot.org/uniprot/Q9VL00","4E-034")</f>
        <v>4E-034</v>
      </c>
      <c r="BC372" t="s">
        <v>3199</v>
      </c>
      <c r="BD372">
        <v>144</v>
      </c>
      <c r="BE372">
        <v>84</v>
      </c>
      <c r="BF372">
        <v>262</v>
      </c>
      <c r="BG372">
        <v>75</v>
      </c>
      <c r="BH372">
        <v>32</v>
      </c>
      <c r="BI372">
        <v>21</v>
      </c>
      <c r="BJ372">
        <v>0</v>
      </c>
      <c r="BK372">
        <v>177</v>
      </c>
      <c r="BL372">
        <v>10</v>
      </c>
      <c r="BM372">
        <v>1</v>
      </c>
      <c r="BN372">
        <v>1</v>
      </c>
      <c r="BO372" t="s">
        <v>12</v>
      </c>
      <c r="BQ372" t="s">
        <v>1676</v>
      </c>
      <c r="BR372" t="s">
        <v>1804</v>
      </c>
      <c r="BS372" s="4" t="str">
        <f>HYPERLINK("http://exon.niaid.nih.gov/transcriptome/C_felis/S1/links/CDD/cf-contig_429-CDD.txt","Peptidase_C65")</f>
        <v>Peptidase_C65</v>
      </c>
      <c r="BT372" t="str">
        <f>HYPERLINK("http://www.ncbi.nlm.nih.gov/Structure/cdd/cddsrv.cgi?uid=pfam10275&amp;version=v4.0","4E-035")</f>
        <v>4E-035</v>
      </c>
      <c r="BU372" t="s">
        <v>3200</v>
      </c>
      <c r="BV372" s="4" t="s">
        <v>3201</v>
      </c>
      <c r="BW372">
        <f>HYPERLINK("http://exon.niaid.nih.gov/transcriptome/C_felis/S1/links/GO/cf-contig_429-GO.txt",3E-34)</f>
        <v>3E-34</v>
      </c>
      <c r="BX372" t="str">
        <f>HYPERLINK("http://amigo.geneontology.org/cgi-bin/amigo/term_details?term=GO:0008242","GO:0008242")</f>
        <v>GO:0008242</v>
      </c>
      <c r="BY372" t="s">
        <v>3202</v>
      </c>
      <c r="BZ372" t="s">
        <v>3203</v>
      </c>
      <c r="CA372" t="s">
        <v>3204</v>
      </c>
      <c r="CB372" t="str">
        <f>HYPERLINK("http://www.genome.jp/dbget-bin/www_bfind_sub?mode=bfind&amp;max_hit=1000&amp;dbkey=kegg&amp;keywords=EC:3.4.19","EC:3.4.19")</f>
        <v>EC:3.4.19</v>
      </c>
      <c r="CD372" s="5">
        <v>3E-34</v>
      </c>
      <c r="CE372" t="str">
        <f>HYPERLINK("http://amigo.geneontology.org/cgi-bin/amigo/term_details?term=GO:0005575","GO:0005575")</f>
        <v>GO:0005575</v>
      </c>
      <c r="CF372" t="s">
        <v>1838</v>
      </c>
      <c r="CG372" t="s">
        <v>1839</v>
      </c>
      <c r="CH372" t="s">
        <v>1840</v>
      </c>
      <c r="CI372" t="s">
        <v>42</v>
      </c>
      <c r="CK372" s="5">
        <v>3E-34</v>
      </c>
      <c r="CL372" t="str">
        <f>HYPERLINK("http://amigo.geneontology.org/cgi-bin/amigo/term_details?term=GO:0019538","GO:0019538")</f>
        <v>GO:0019538</v>
      </c>
      <c r="CM372" t="s">
        <v>3205</v>
      </c>
      <c r="CN372" t="s">
        <v>3206</v>
      </c>
      <c r="CO372" t="s">
        <v>3207</v>
      </c>
      <c r="CP372" t="s">
        <v>42</v>
      </c>
      <c r="CR372" s="5">
        <v>3E-34</v>
      </c>
      <c r="CS372" s="4" t="str">
        <f>HYPERLINK("http://exon.niaid.nih.gov/transcriptome/C_felis/S1/links/KOG/cf-contig_429-KOG.txt","Uncharacterized conserved protein")</f>
        <v>Uncharacterized conserved protein</v>
      </c>
      <c r="CT372" t="str">
        <f>HYPERLINK("http://www.ncbi.nlm.nih.gov/COG/grace/shokog.cgi?KOG3991","2E-036")</f>
        <v>2E-036</v>
      </c>
      <c r="CU372" t="s">
        <v>1711</v>
      </c>
      <c r="CV372" s="4" t="str">
        <f>HYPERLINK("http://exon.niaid.nih.gov/transcriptome/C_felis/S1/links/PFAM/cf-contig_429-PFAM.txt","Peptidase_C65")</f>
        <v>Peptidase_C65</v>
      </c>
      <c r="CW372" t="str">
        <f>HYPERLINK("http://pfam.sanger.ac.uk/family?acc=PF10275","8E-036")</f>
        <v>8E-036</v>
      </c>
      <c r="CX372" s="4" t="str">
        <f>HYPERLINK("http://exon.niaid.nih.gov/transcriptome/C_felis/S1/links/SMART/cf-contig_429-SMART.txt","STYKc")</f>
        <v>STYKc</v>
      </c>
      <c r="CY372" t="str">
        <f>HYPERLINK("http://smart.embl-heidelberg.de/smart/do_annotation.pl?DOMAIN=STYKc&amp;BLAST=DUMMY","0.10")</f>
        <v>0.10</v>
      </c>
      <c r="CZ372" s="4" t="s">
        <v>42</v>
      </c>
      <c r="DA372" t="s">
        <v>42</v>
      </c>
      <c r="DB372" t="s">
        <v>42</v>
      </c>
      <c r="DC372" t="s">
        <v>42</v>
      </c>
      <c r="DD372" t="s">
        <v>42</v>
      </c>
      <c r="DE372" t="s">
        <v>42</v>
      </c>
      <c r="DF372" t="s">
        <v>42</v>
      </c>
      <c r="DG372" t="s">
        <v>42</v>
      </c>
      <c r="DH372" s="4" t="s">
        <v>42</v>
      </c>
      <c r="DI372" t="s">
        <v>42</v>
      </c>
      <c r="DJ372" s="4" t="s">
        <v>42</v>
      </c>
      <c r="DK372" t="s">
        <v>42</v>
      </c>
      <c r="DL372" s="4">
        <v>348</v>
      </c>
      <c r="DM372">
        <v>1</v>
      </c>
      <c r="DN372" s="4">
        <v>357</v>
      </c>
      <c r="DO372">
        <v>1</v>
      </c>
      <c r="DP372" s="4">
        <v>361</v>
      </c>
      <c r="DQ372">
        <v>1</v>
      </c>
      <c r="DR372" s="4">
        <v>373</v>
      </c>
      <c r="DS372">
        <v>1</v>
      </c>
      <c r="DT372" s="4">
        <v>383</v>
      </c>
      <c r="DU372">
        <v>1</v>
      </c>
      <c r="DV372" s="4">
        <v>397</v>
      </c>
      <c r="DW372">
        <v>1</v>
      </c>
      <c r="DX372" s="4">
        <v>400</v>
      </c>
      <c r="DY372">
        <v>1</v>
      </c>
      <c r="DZ372" s="4">
        <v>405</v>
      </c>
      <c r="EA372">
        <v>1</v>
      </c>
      <c r="EB372" s="4">
        <v>410</v>
      </c>
      <c r="EC372">
        <v>1</v>
      </c>
      <c r="ED372" s="4">
        <v>414</v>
      </c>
      <c r="EE372">
        <v>1</v>
      </c>
      <c r="EF372" s="4">
        <v>419</v>
      </c>
      <c r="EG372">
        <v>1</v>
      </c>
      <c r="EH372" s="4">
        <v>423</v>
      </c>
      <c r="EI372">
        <v>1</v>
      </c>
      <c r="EJ372" s="4">
        <v>429</v>
      </c>
      <c r="EK372">
        <v>1</v>
      </c>
    </row>
    <row r="373" spans="1:141" x14ac:dyDescent="0.2">
      <c r="A373" t="str">
        <f>HYPERLINK("http://exon.niaid.nih.gov/transcriptome/C_felis/S1/links/cf/cf-contig_603.txt","cf-contig_603")</f>
        <v>cf-contig_603</v>
      </c>
      <c r="B373">
        <v>1</v>
      </c>
      <c r="C373" s="10" t="s">
        <v>4822</v>
      </c>
      <c r="D373">
        <v>1</v>
      </c>
      <c r="E373" t="str">
        <f>HYPERLINK("http://exon.niaid.nih.gov/transcriptome/C_felis/S1/links/cf/cf-5-36-asb-603.txt","Contig-603")</f>
        <v>Contig-603</v>
      </c>
      <c r="F373" t="str">
        <f>HYPERLINK("http://exon.niaid.nih.gov/transcriptome/C_felis/S1/links/cf/cf-5-36-603-CLU.txt","Contig603")</f>
        <v>Contig603</v>
      </c>
      <c r="G373" t="str">
        <f>HYPERLINK("http://exon.niaid.nih.gov/transcriptome/C_felis/S1/links/cf/cf-5-36-603-qual.txt","64.2")</f>
        <v>64.2</v>
      </c>
      <c r="H373" t="s">
        <v>11</v>
      </c>
      <c r="I373">
        <v>70.3</v>
      </c>
      <c r="J373">
        <v>351</v>
      </c>
      <c r="K373" t="s">
        <v>12</v>
      </c>
      <c r="L373">
        <v>1</v>
      </c>
      <c r="M373" t="s">
        <v>616</v>
      </c>
      <c r="N373">
        <v>351</v>
      </c>
      <c r="O373">
        <v>370</v>
      </c>
      <c r="P373">
        <v>246</v>
      </c>
      <c r="Q373" t="s">
        <v>1422</v>
      </c>
      <c r="R373">
        <v>3</v>
      </c>
      <c r="S373" s="7" t="s">
        <v>4585</v>
      </c>
      <c r="U373">
        <v>1</v>
      </c>
      <c r="V373" s="4">
        <v>490</v>
      </c>
      <c r="W373">
        <v>1</v>
      </c>
      <c r="X373" s="4">
        <v>502</v>
      </c>
      <c r="Y373">
        <v>1</v>
      </c>
      <c r="Z373" s="4">
        <v>512</v>
      </c>
      <c r="AA373">
        <v>1</v>
      </c>
      <c r="AB373" s="4" t="str">
        <f>HYPERLINK("http://exon.niaid.nih.gov/transcriptome/C_felis/S1/links/XC-ASB/cf-contig_603-XC-ASB.txt","XC-contig_198")</f>
        <v>XC-contig_198</v>
      </c>
      <c r="AC373">
        <v>0.26</v>
      </c>
      <c r="AD373" s="10" t="s">
        <v>4822</v>
      </c>
      <c r="AE373" t="s">
        <v>4610</v>
      </c>
      <c r="AF373" t="str">
        <f>HYPERLINK("http://exon.niaid.nih.gov/transcriptome/C_felis/S1/links/NR/cf-contig_603-NR.txt","NR")</f>
        <v>NR</v>
      </c>
      <c r="AG373" s="5">
        <v>5.9999999999999998E-21</v>
      </c>
      <c r="AH373">
        <v>25.1</v>
      </c>
      <c r="AI373" s="4" t="str">
        <f>HYPERLINK("http://exon.niaid.nih.gov/transcriptome/C_felis/S1/links/NR/cf-contig_603-NR.txt","hypothetical protein AND_13780")</f>
        <v>hypothetical protein AND_13780</v>
      </c>
      <c r="AJ373" t="str">
        <f>HYPERLINK("http://www.ncbi.nlm.nih.gov/sutils/blink.cgi?pid=312375734","6E-021")</f>
        <v>6E-021</v>
      </c>
      <c r="AK373" t="str">
        <f>HYPERLINK("http://www.ncbi.nlm.nih.gov/protein/312375734","gi|312375734")</f>
        <v>gi|312375734</v>
      </c>
      <c r="AL373">
        <v>104</v>
      </c>
      <c r="AM373">
        <v>79</v>
      </c>
      <c r="AN373">
        <v>318</v>
      </c>
      <c r="AO373">
        <v>60</v>
      </c>
      <c r="AP373">
        <v>25</v>
      </c>
      <c r="AQ373">
        <v>32</v>
      </c>
      <c r="AR373">
        <v>0</v>
      </c>
      <c r="AS373">
        <v>239</v>
      </c>
      <c r="AT373">
        <v>9</v>
      </c>
      <c r="AU373">
        <v>1</v>
      </c>
      <c r="AV373">
        <v>3</v>
      </c>
      <c r="AW373" t="s">
        <v>12</v>
      </c>
      <c r="AY373" t="s">
        <v>1676</v>
      </c>
      <c r="AZ373" t="s">
        <v>2506</v>
      </c>
      <c r="BA373" s="4" t="str">
        <f>HYPERLINK("http://exon.niaid.nih.gov/transcriptome/C_felis/S1/links/SWISSP/cf-contig_603-SWISSP.txt","1,5-anhydro-D-fructose reductase")</f>
        <v>1,5-anhydro-D-fructose reductase</v>
      </c>
      <c r="BB373" t="str">
        <f>HYPERLINK("http://www.uniprot.org/uniprot/Q5U1Y4","4E-014")</f>
        <v>4E-014</v>
      </c>
      <c r="BC373" t="s">
        <v>3890</v>
      </c>
      <c r="BD373">
        <v>76.599999999999994</v>
      </c>
      <c r="BE373">
        <v>77</v>
      </c>
      <c r="BF373">
        <v>301</v>
      </c>
      <c r="BG373">
        <v>50</v>
      </c>
      <c r="BH373">
        <v>26</v>
      </c>
      <c r="BI373">
        <v>39</v>
      </c>
      <c r="BJ373">
        <v>0</v>
      </c>
      <c r="BK373">
        <v>223</v>
      </c>
      <c r="BL373">
        <v>9</v>
      </c>
      <c r="BM373">
        <v>1</v>
      </c>
      <c r="BN373">
        <v>3</v>
      </c>
      <c r="BO373" t="s">
        <v>12</v>
      </c>
      <c r="BQ373" t="s">
        <v>1676</v>
      </c>
      <c r="BR373" t="s">
        <v>1684</v>
      </c>
      <c r="BS373" s="4" t="str">
        <f>HYPERLINK("http://exon.niaid.nih.gov/transcriptome/C_felis/S1/links/CDD/cf-contig_603-CDD.txt","ARA1")</f>
        <v>ARA1</v>
      </c>
      <c r="BT373" t="str">
        <f>HYPERLINK("http://www.ncbi.nlm.nih.gov/Structure/cdd/cddsrv.cgi?uid=COG0656&amp;version=v4.0","2E-019")</f>
        <v>2E-019</v>
      </c>
      <c r="BU373" t="s">
        <v>3891</v>
      </c>
      <c r="BV373" s="4" t="s">
        <v>3892</v>
      </c>
      <c r="BW373">
        <f>HYPERLINK("http://exon.niaid.nih.gov/transcriptome/C_felis/S1/links/GO/cf-contig_603-GO.txt",0.0000000000000003)</f>
        <v>2.9999999999999999E-16</v>
      </c>
      <c r="BX373" t="str">
        <f>HYPERLINK("http://amigo.geneontology.org/cgi-bin/amigo/term_details?term=GO:0016491","GO:0016491")</f>
        <v>GO:0016491</v>
      </c>
      <c r="BY373" t="s">
        <v>3893</v>
      </c>
      <c r="BZ373" t="s">
        <v>3894</v>
      </c>
      <c r="CA373" t="s">
        <v>3895</v>
      </c>
      <c r="CB373" t="str">
        <f>HYPERLINK("http://www.genome.jp/dbget-bin/www_bfind_sub?mode=bfind&amp;max_hit=1000&amp;dbkey=kegg&amp;keywords=EC:1","EC:1")</f>
        <v>EC:1</v>
      </c>
      <c r="CD373">
        <v>4.0000000000000001E-13</v>
      </c>
      <c r="CE373" t="str">
        <f>HYPERLINK("http://amigo.geneontology.org/cgi-bin/amigo/term_details?term=GO:0005737","GO:0005737")</f>
        <v>GO:0005737</v>
      </c>
      <c r="CF373" t="s">
        <v>1966</v>
      </c>
      <c r="CG373" t="s">
        <v>1967</v>
      </c>
      <c r="CH373" t="s">
        <v>42</v>
      </c>
      <c r="CI373" t="s">
        <v>42</v>
      </c>
      <c r="CK373">
        <v>4.0000000000000001E-13</v>
      </c>
      <c r="CL373" t="str">
        <f>HYPERLINK("http://amigo.geneontology.org/cgi-bin/amigo/term_details?term=GO:0019853","GO:0019853")</f>
        <v>GO:0019853</v>
      </c>
      <c r="CM373" t="s">
        <v>3896</v>
      </c>
      <c r="CN373" t="s">
        <v>3897</v>
      </c>
      <c r="CO373" t="s">
        <v>3898</v>
      </c>
      <c r="CP373" t="s">
        <v>42</v>
      </c>
      <c r="CR373">
        <v>4.0000000000000001E-13</v>
      </c>
      <c r="CS373" s="4" t="str">
        <f>HYPERLINK("http://exon.niaid.nih.gov/transcriptome/C_felis/S1/links/KOG/cf-contig_603-KOG.txt","Aldo/keto reductase family proteins")</f>
        <v>Aldo/keto reductase family proteins</v>
      </c>
      <c r="CT373" t="str">
        <f>HYPERLINK("http://www.ncbi.nlm.nih.gov/COG/grace/shokog.cgi?KOG1577","4E-020")</f>
        <v>4E-020</v>
      </c>
      <c r="CU373" t="s">
        <v>1721</v>
      </c>
      <c r="CV373" s="4" t="str">
        <f>HYPERLINK("http://exon.niaid.nih.gov/transcriptome/C_felis/S1/links/PFAM/cf-contig_603-PFAM.txt","Aldo_ket_red")</f>
        <v>Aldo_ket_red</v>
      </c>
      <c r="CW373" t="str">
        <f>HYPERLINK("http://pfam.sanger.ac.uk/family?acc=PF00248","2E-009")</f>
        <v>2E-009</v>
      </c>
      <c r="CX373" s="4" t="str">
        <f>HYPERLINK("http://exon.niaid.nih.gov/transcriptome/C_felis/S1/links/SMART/cf-contig_603-SMART.txt","POLBc")</f>
        <v>POLBc</v>
      </c>
      <c r="CY373" t="str">
        <f>HYPERLINK("http://smart.embl-heidelberg.de/smart/do_annotation.pl?DOMAIN=POLBc&amp;BLAST=DUMMY","0.12")</f>
        <v>0.12</v>
      </c>
      <c r="CZ373" s="4" t="s">
        <v>42</v>
      </c>
      <c r="DA373" t="s">
        <v>42</v>
      </c>
      <c r="DB373" t="s">
        <v>42</v>
      </c>
      <c r="DC373" t="s">
        <v>42</v>
      </c>
      <c r="DD373" t="s">
        <v>42</v>
      </c>
      <c r="DE373" t="s">
        <v>42</v>
      </c>
      <c r="DF373" t="s">
        <v>42</v>
      </c>
      <c r="DG373" t="s">
        <v>42</v>
      </c>
      <c r="DH373" s="4" t="s">
        <v>42</v>
      </c>
      <c r="DI373" t="s">
        <v>42</v>
      </c>
      <c r="DJ373" s="4" t="s">
        <v>42</v>
      </c>
      <c r="DK373" t="s">
        <v>42</v>
      </c>
      <c r="DL373" s="4">
        <v>490</v>
      </c>
      <c r="DM373">
        <v>1</v>
      </c>
      <c r="DN373" s="4">
        <v>502</v>
      </c>
      <c r="DO373">
        <v>1</v>
      </c>
      <c r="DP373" s="4">
        <v>512</v>
      </c>
      <c r="DQ373">
        <v>1</v>
      </c>
      <c r="DR373" s="4">
        <v>531</v>
      </c>
      <c r="DS373">
        <v>1</v>
      </c>
      <c r="DT373" s="4">
        <v>543</v>
      </c>
      <c r="DU373">
        <v>1</v>
      </c>
      <c r="DV373" s="4">
        <v>557</v>
      </c>
      <c r="DW373">
        <v>1</v>
      </c>
      <c r="DX373" s="4">
        <v>566</v>
      </c>
      <c r="DY373">
        <v>1</v>
      </c>
      <c r="DZ373" s="4">
        <v>574</v>
      </c>
      <c r="EA373">
        <v>1</v>
      </c>
      <c r="EB373" s="4">
        <v>579</v>
      </c>
      <c r="EC373">
        <v>1</v>
      </c>
      <c r="ED373" s="4">
        <v>583</v>
      </c>
      <c r="EE373">
        <v>1</v>
      </c>
      <c r="EF373" s="4">
        <v>589</v>
      </c>
      <c r="EG373">
        <v>1</v>
      </c>
      <c r="EH373" s="4">
        <v>596</v>
      </c>
      <c r="EI373">
        <v>1</v>
      </c>
      <c r="EJ373" s="4">
        <v>603</v>
      </c>
      <c r="EK373">
        <v>1</v>
      </c>
    </row>
    <row r="374" spans="1:141" x14ac:dyDescent="0.2">
      <c r="A374" t="str">
        <f>HYPERLINK("http://exon.niaid.nih.gov/transcriptome/C_felis/S1/links/cf/cf-contig_369.txt","cf-contig_369")</f>
        <v>cf-contig_369</v>
      </c>
      <c r="B374">
        <v>1</v>
      </c>
      <c r="C374" s="10" t="s">
        <v>4746</v>
      </c>
      <c r="D374">
        <v>1</v>
      </c>
      <c r="E374" t="str">
        <f>HYPERLINK("http://exon.niaid.nih.gov/transcriptome/C_felis/S1/links/cf/cf-5-36-asb-369.txt","Contig-369")</f>
        <v>Contig-369</v>
      </c>
      <c r="F374" t="str">
        <f>HYPERLINK("http://exon.niaid.nih.gov/transcriptome/C_felis/S1/links/cf/cf-5-36-369-CLU.txt","Contig369")</f>
        <v>Contig369</v>
      </c>
      <c r="G374" t="str">
        <f>HYPERLINK("http://exon.niaid.nih.gov/transcriptome/C_felis/S1/links/cf/cf-5-36-369-qual.txt","64.6")</f>
        <v>64.6</v>
      </c>
      <c r="H374" t="s">
        <v>11</v>
      </c>
      <c r="I374">
        <v>72.7</v>
      </c>
      <c r="J374">
        <v>376</v>
      </c>
      <c r="K374" t="s">
        <v>12</v>
      </c>
      <c r="L374">
        <v>1</v>
      </c>
      <c r="M374" t="s">
        <v>382</v>
      </c>
      <c r="N374">
        <v>376</v>
      </c>
      <c r="O374">
        <v>395</v>
      </c>
      <c r="P374">
        <v>219</v>
      </c>
      <c r="Q374" t="s">
        <v>1189</v>
      </c>
      <c r="R374">
        <v>1</v>
      </c>
      <c r="S374" s="7" t="str">
        <f>HYPERLINK("http://exon.niaid.nih.gov/transcriptome/C_felis/S1/links/Sigp/CF-CONTIG_369-SigP.txt","Cyt")</f>
        <v>Cyt</v>
      </c>
      <c r="U374">
        <v>1</v>
      </c>
      <c r="V374" s="4">
        <v>298</v>
      </c>
      <c r="W374">
        <v>1</v>
      </c>
      <c r="X374" s="4">
        <v>305</v>
      </c>
      <c r="Y374">
        <v>1</v>
      </c>
      <c r="Z374" s="4">
        <v>306</v>
      </c>
      <c r="AA374">
        <v>1</v>
      </c>
      <c r="AB374" s="4" t="str">
        <f>HYPERLINK("http://exon.niaid.nih.gov/transcriptome/C_felis/S1/links/XC-ASB/cf-contig_369-XC-ASB.txt","XC-contig_156")</f>
        <v>XC-contig_156</v>
      </c>
      <c r="AC374">
        <v>2E-3</v>
      </c>
      <c r="AD374" s="10" t="s">
        <v>4746</v>
      </c>
      <c r="AE374" t="s">
        <v>4610</v>
      </c>
      <c r="AF374" t="str">
        <f>HYPERLINK("http://exon.niaid.nih.gov/transcriptome/C_felis/S1/links/NR/cf-contig_369-NR.txt","NR")</f>
        <v>NR</v>
      </c>
      <c r="AG374">
        <v>2.0000000000000002E-15</v>
      </c>
      <c r="AH374">
        <v>7.2</v>
      </c>
      <c r="AI374" s="4" t="str">
        <f>HYPERLINK("http://exon.niaid.nih.gov/transcriptome/C_felis/S1/links/NR/cf-contig_369-NR.txt","hypothetical protein SINV_00679")</f>
        <v>hypothetical protein SINV_00679</v>
      </c>
      <c r="AJ374" t="str">
        <f>HYPERLINK("http://www.ncbi.nlm.nih.gov/sutils/blink.cgi?pid=322783932","2E-015")</f>
        <v>2E-015</v>
      </c>
      <c r="AK374" t="str">
        <f>HYPERLINK("http://www.ncbi.nlm.nih.gov/protein/322783932","gi|322783932")</f>
        <v>gi|322783932</v>
      </c>
      <c r="AL374">
        <v>86.3</v>
      </c>
      <c r="AM374">
        <v>43</v>
      </c>
      <c r="AN374">
        <v>604</v>
      </c>
      <c r="AO374">
        <v>79</v>
      </c>
      <c r="AP374">
        <v>7</v>
      </c>
      <c r="AQ374">
        <v>9</v>
      </c>
      <c r="AR374">
        <v>0</v>
      </c>
      <c r="AS374">
        <v>537</v>
      </c>
      <c r="AT374">
        <v>10</v>
      </c>
      <c r="AU374">
        <v>1</v>
      </c>
      <c r="AV374">
        <v>1</v>
      </c>
      <c r="AW374" t="s">
        <v>12</v>
      </c>
      <c r="AY374" t="s">
        <v>1676</v>
      </c>
      <c r="AZ374" t="s">
        <v>1773</v>
      </c>
      <c r="BA374" s="4" t="str">
        <f>HYPERLINK("http://exon.niaid.nih.gov/transcriptome/C_felis/S1/links/SWISSP/cf-contig_369-SWISSP.txt","Rho GTPase-activating protein 19")</f>
        <v>Rho GTPase-activating protein 19</v>
      </c>
      <c r="BB374" t="str">
        <f>HYPERLINK("http://www.uniprot.org/uniprot/Q8BRH3","11")</f>
        <v>11</v>
      </c>
      <c r="BC374" t="s">
        <v>2971</v>
      </c>
      <c r="BD374">
        <v>28.9</v>
      </c>
      <c r="BE374">
        <v>44</v>
      </c>
      <c r="BF374">
        <v>494</v>
      </c>
      <c r="BG374">
        <v>40</v>
      </c>
      <c r="BH374">
        <v>9</v>
      </c>
      <c r="BI374">
        <v>27</v>
      </c>
      <c r="BJ374">
        <v>1</v>
      </c>
      <c r="BK374">
        <v>380</v>
      </c>
      <c r="BL374">
        <v>42</v>
      </c>
      <c r="BM374">
        <v>1</v>
      </c>
      <c r="BN374">
        <v>-1</v>
      </c>
      <c r="BO374" t="s">
        <v>12</v>
      </c>
      <c r="BP374">
        <v>2.2730000000000001</v>
      </c>
      <c r="BQ374" t="s">
        <v>1666</v>
      </c>
      <c r="BR374" t="s">
        <v>1705</v>
      </c>
      <c r="BS374" s="4" t="str">
        <f>HYPERLINK("http://exon.niaid.nih.gov/transcriptome/C_felis/S1/links/CDD/cf-contig_369-CDD.txt","7TM_GPCR_Srb")</f>
        <v>7TM_GPCR_Srb</v>
      </c>
      <c r="BT374" t="str">
        <f>HYPERLINK("http://www.ncbi.nlm.nih.gov/Structure/cdd/cddsrv.cgi?uid=pfam02175&amp;version=v4.0","0.16")</f>
        <v>0.16</v>
      </c>
      <c r="BU374" t="s">
        <v>2972</v>
      </c>
      <c r="BV374" s="4" t="s">
        <v>42</v>
      </c>
      <c r="BW374" t="s">
        <v>42</v>
      </c>
      <c r="BX374" t="s">
        <v>42</v>
      </c>
      <c r="BY374" t="s">
        <v>42</v>
      </c>
      <c r="BZ374" t="s">
        <v>42</v>
      </c>
      <c r="CA374" t="s">
        <v>42</v>
      </c>
      <c r="CB374" t="s">
        <v>42</v>
      </c>
      <c r="CC374" t="s">
        <v>42</v>
      </c>
      <c r="CD374" t="s">
        <v>42</v>
      </c>
      <c r="CE374" t="s">
        <v>42</v>
      </c>
      <c r="CF374" t="s">
        <v>42</v>
      </c>
      <c r="CG374" t="s">
        <v>42</v>
      </c>
      <c r="CH374" t="s">
        <v>42</v>
      </c>
      <c r="CI374" t="s">
        <v>42</v>
      </c>
      <c r="CJ374" t="s">
        <v>42</v>
      </c>
      <c r="CK374" t="s">
        <v>42</v>
      </c>
      <c r="CL374" t="s">
        <v>42</v>
      </c>
      <c r="CM374" t="s">
        <v>42</v>
      </c>
      <c r="CN374" t="s">
        <v>42</v>
      </c>
      <c r="CO374" t="s">
        <v>42</v>
      </c>
      <c r="CP374" t="s">
        <v>42</v>
      </c>
      <c r="CQ374" t="s">
        <v>42</v>
      </c>
      <c r="CR374" t="s">
        <v>42</v>
      </c>
      <c r="CS374" s="4" t="str">
        <f>HYPERLINK("http://exon.niaid.nih.gov/transcriptome/C_felis/S1/links/KOG/cf-contig_369-KOG.txt","Uncharacterized conserved protein")</f>
        <v>Uncharacterized conserved protein</v>
      </c>
      <c r="CT374" t="str">
        <f>HYPERLINK("http://www.ncbi.nlm.nih.gov/COG/grace/shokog.cgi?KOG4740","1.3")</f>
        <v>1.3</v>
      </c>
      <c r="CU374" t="s">
        <v>1711</v>
      </c>
      <c r="CV374" s="4" t="str">
        <f>HYPERLINK("http://exon.niaid.nih.gov/transcriptome/C_felis/S1/links/PFAM/cf-contig_369-PFAM.txt","7TM_GPCR_Srb")</f>
        <v>7TM_GPCR_Srb</v>
      </c>
      <c r="CW374" t="str">
        <f>HYPERLINK("http://pfam.sanger.ac.uk/family?acc=PF02175","0.038")</f>
        <v>0.038</v>
      </c>
      <c r="CX374" s="4" t="str">
        <f>HYPERLINK("http://exon.niaid.nih.gov/transcriptome/C_felis/S1/links/SMART/cf-contig_369-SMART.txt","POLBc")</f>
        <v>POLBc</v>
      </c>
      <c r="CY374" t="str">
        <f>HYPERLINK("http://smart.embl-heidelberg.de/smart/do_annotation.pl?DOMAIN=POLBc&amp;BLAST=DUMMY","0.082")</f>
        <v>0.082</v>
      </c>
      <c r="CZ374" s="4" t="s">
        <v>42</v>
      </c>
      <c r="DA374" t="s">
        <v>42</v>
      </c>
      <c r="DB374" t="s">
        <v>42</v>
      </c>
      <c r="DC374" t="s">
        <v>42</v>
      </c>
      <c r="DD374" t="s">
        <v>42</v>
      </c>
      <c r="DE374" t="s">
        <v>42</v>
      </c>
      <c r="DF374" t="s">
        <v>42</v>
      </c>
      <c r="DG374" t="s">
        <v>42</v>
      </c>
      <c r="DH374" s="4" t="s">
        <v>42</v>
      </c>
      <c r="DI374" t="s">
        <v>42</v>
      </c>
      <c r="DJ374" s="4" t="s">
        <v>42</v>
      </c>
      <c r="DK374" t="s">
        <v>42</v>
      </c>
      <c r="DL374" s="4">
        <v>298</v>
      </c>
      <c r="DM374">
        <v>1</v>
      </c>
      <c r="DN374" s="4">
        <v>305</v>
      </c>
      <c r="DO374">
        <v>1</v>
      </c>
      <c r="DP374" s="4">
        <v>306</v>
      </c>
      <c r="DQ374">
        <v>1</v>
      </c>
      <c r="DR374" s="4">
        <v>317</v>
      </c>
      <c r="DS374">
        <v>1</v>
      </c>
      <c r="DT374" s="4">
        <v>327</v>
      </c>
      <c r="DU374">
        <v>1</v>
      </c>
      <c r="DV374" s="4">
        <v>340</v>
      </c>
      <c r="DW374">
        <v>1</v>
      </c>
      <c r="DX374" s="4">
        <v>343</v>
      </c>
      <c r="DY374">
        <v>1</v>
      </c>
      <c r="DZ374" s="4">
        <v>348</v>
      </c>
      <c r="EA374">
        <v>1</v>
      </c>
      <c r="EB374" s="4">
        <v>353</v>
      </c>
      <c r="EC374">
        <v>1</v>
      </c>
      <c r="ED374" s="4">
        <v>357</v>
      </c>
      <c r="EE374">
        <v>1</v>
      </c>
      <c r="EF374" s="4">
        <v>362</v>
      </c>
      <c r="EG374">
        <v>1</v>
      </c>
      <c r="EH374" s="4">
        <v>364</v>
      </c>
      <c r="EI374">
        <v>1</v>
      </c>
      <c r="EJ374" s="4">
        <v>369</v>
      </c>
      <c r="EK374">
        <v>1</v>
      </c>
    </row>
    <row r="375" spans="1:141" x14ac:dyDescent="0.2">
      <c r="A375" t="str">
        <f>HYPERLINK("http://exon.niaid.nih.gov/transcriptome/C_felis/S1/links/cf/cf-contig_489.txt","cf-contig_489")</f>
        <v>cf-contig_489</v>
      </c>
      <c r="B375">
        <v>1</v>
      </c>
      <c r="C375" s="10" t="s">
        <v>4782</v>
      </c>
      <c r="D375">
        <v>1</v>
      </c>
      <c r="E375" t="str">
        <f>HYPERLINK("http://exon.niaid.nih.gov/transcriptome/C_felis/S1/links/cf/cf-5-36-asb-489.txt","Contig-489")</f>
        <v>Contig-489</v>
      </c>
      <c r="F375" t="str">
        <f>HYPERLINK("http://exon.niaid.nih.gov/transcriptome/C_felis/S1/links/cf/cf-5-36-489-CLU.txt","Contig489")</f>
        <v>Contig489</v>
      </c>
      <c r="G375" t="str">
        <f>HYPERLINK("http://exon.niaid.nih.gov/transcriptome/C_felis/S1/links/cf/cf-5-36-489-qual.txt","61.4")</f>
        <v>61.4</v>
      </c>
      <c r="H375" t="s">
        <v>11</v>
      </c>
      <c r="I375">
        <v>65.7</v>
      </c>
      <c r="J375">
        <v>770</v>
      </c>
      <c r="K375" t="s">
        <v>12</v>
      </c>
      <c r="L375">
        <v>1</v>
      </c>
      <c r="M375" t="s">
        <v>502</v>
      </c>
      <c r="N375">
        <v>770</v>
      </c>
      <c r="O375">
        <v>789</v>
      </c>
      <c r="P375">
        <v>450</v>
      </c>
      <c r="Q375" t="s">
        <v>1308</v>
      </c>
      <c r="R375">
        <v>2</v>
      </c>
      <c r="S375" s="7" t="str">
        <f>HYPERLINK("http://exon.niaid.nih.gov/transcriptome/C_felis/S1/links/Sigp/CF-CONTIG_489-SigP.txt","Cyt")</f>
        <v>Cyt</v>
      </c>
      <c r="U375">
        <v>1</v>
      </c>
      <c r="V375" s="4">
        <f>HYPERLINK("http://exon.niaid.nih.gov/transcriptome/C_felis/S1/links/cluster/cf-5-36-asb30-50-Id-CLU81.txt", 81)</f>
        <v>81</v>
      </c>
      <c r="W375">
        <f>HYPERLINK("http://exon.niaid.nih.gov/transcriptome/C_felis/S1/links/cluster/cf-5-36-asb30-50-Id-CLTL81.txt", 2)</f>
        <v>2</v>
      </c>
      <c r="X375" s="4">
        <f>HYPERLINK("http://exon.niaid.nih.gov/transcriptome/C_felis/S1/links/cluster/cf-5-36-asb35-50-Id-CLU73.txt", 73)</f>
        <v>73</v>
      </c>
      <c r="Y375">
        <f>HYPERLINK("http://exon.niaid.nih.gov/transcriptome/C_felis/S1/links/cluster/cf-5-36-asb35-50-Id-CLTL73.txt", 2)</f>
        <v>2</v>
      </c>
      <c r="Z375" s="4">
        <f>HYPERLINK("http://exon.niaid.nih.gov/transcriptome/C_felis/S1/links/cluster/cf-5-36-asb40-50-Id-CLU67.txt", 67)</f>
        <v>67</v>
      </c>
      <c r="AA375">
        <f>HYPERLINK("http://exon.niaid.nih.gov/transcriptome/C_felis/S1/links/cluster/cf-5-36-asb40-50-Id-CLTL67.txt", 2)</f>
        <v>2</v>
      </c>
      <c r="AB375" s="4" t="str">
        <f>HYPERLINK("http://exon.niaid.nih.gov/transcriptome/C_felis/S1/links/XC-ASB/cf-contig_489-XC-ASB.txt","XC-contig_252")</f>
        <v>XC-contig_252</v>
      </c>
      <c r="AC375">
        <v>0.34</v>
      </c>
      <c r="AD375" s="10" t="s">
        <v>4782</v>
      </c>
      <c r="AE375" t="s">
        <v>4610</v>
      </c>
      <c r="AF375" t="str">
        <f>HYPERLINK("http://exon.niaid.nih.gov/transcriptome/C_felis/S1/links/NR/cf-contig_489-NR.txt","NR")</f>
        <v>NR</v>
      </c>
      <c r="AG375" s="5">
        <v>2.0000000000000001E-26</v>
      </c>
      <c r="AH375">
        <v>40.299999999999997</v>
      </c>
      <c r="AI375" s="4" t="str">
        <f>HYPERLINK("http://exon.niaid.nih.gov/transcriptome/C_felis/S1/links/NR/cf-contig_489-NR.txt","hypothetical protein TcasGA2_TC001324")</f>
        <v>hypothetical protein TcasGA2_TC001324</v>
      </c>
      <c r="AJ375" t="str">
        <f>HYPERLINK("http://www.ncbi.nlm.nih.gov/sutils/blink.cgi?pid=270002313","2E-026")</f>
        <v>2E-026</v>
      </c>
      <c r="AK375" t="str">
        <f>HYPERLINK("http://www.ncbi.nlm.nih.gov/protein/270002313","gi|270002313")</f>
        <v>gi|270002313</v>
      </c>
      <c r="AL375">
        <v>124</v>
      </c>
      <c r="AM375">
        <v>150</v>
      </c>
      <c r="AN375">
        <v>379</v>
      </c>
      <c r="AO375">
        <v>45</v>
      </c>
      <c r="AP375">
        <v>40</v>
      </c>
      <c r="AQ375">
        <v>83</v>
      </c>
      <c r="AR375">
        <v>10</v>
      </c>
      <c r="AS375">
        <v>227</v>
      </c>
      <c r="AT375">
        <v>8</v>
      </c>
      <c r="AU375">
        <v>1</v>
      </c>
      <c r="AV375">
        <v>2</v>
      </c>
      <c r="AW375" t="s">
        <v>12</v>
      </c>
      <c r="AY375" t="s">
        <v>1676</v>
      </c>
      <c r="AZ375" t="s">
        <v>1878</v>
      </c>
      <c r="BA375" s="4" t="str">
        <f>HYPERLINK("http://exon.niaid.nih.gov/transcriptome/C_felis/S1/links/SWISSP/cf-contig_489-SWISSP.txt","Lipid storage droplets surface-binding protein 1")</f>
        <v>Lipid storage droplets surface-binding protein 1</v>
      </c>
      <c r="BB375" t="str">
        <f>HYPERLINK("http://www.uniprot.org/uniprot/Q9VCI3","3E-025")</f>
        <v>3E-025</v>
      </c>
      <c r="BC375" t="s">
        <v>3446</v>
      </c>
      <c r="BD375">
        <v>115</v>
      </c>
      <c r="BE375">
        <v>193</v>
      </c>
      <c r="BF375">
        <v>431</v>
      </c>
      <c r="BG375">
        <v>41</v>
      </c>
      <c r="BH375">
        <v>45</v>
      </c>
      <c r="BI375">
        <v>114</v>
      </c>
      <c r="BJ375">
        <v>54</v>
      </c>
      <c r="BK375">
        <v>237</v>
      </c>
      <c r="BL375">
        <v>8</v>
      </c>
      <c r="BM375">
        <v>1</v>
      </c>
      <c r="BN375">
        <v>2</v>
      </c>
      <c r="BO375" t="s">
        <v>12</v>
      </c>
      <c r="BQ375" t="s">
        <v>1676</v>
      </c>
      <c r="BR375" t="s">
        <v>1804</v>
      </c>
      <c r="BS375" s="4" t="str">
        <f>HYPERLINK("http://exon.niaid.nih.gov/transcriptome/C_felis/S1/links/CDD/cf-contig_489-CDD.txt","Perilipin")</f>
        <v>Perilipin</v>
      </c>
      <c r="BT375" t="str">
        <f>HYPERLINK("http://www.ncbi.nlm.nih.gov/Structure/cdd/cddsrv.cgi?uid=pfam03036&amp;version=v4.0","8E-012")</f>
        <v>8E-012</v>
      </c>
      <c r="BU375" t="s">
        <v>3447</v>
      </c>
      <c r="BV375" s="4" t="s">
        <v>3448</v>
      </c>
      <c r="BW375">
        <f>HYPERLINK("http://exon.niaid.nih.gov/transcriptome/C_felis/S1/links/GO/cf-contig_489-GO.txt",3E-25)</f>
        <v>2.9999999999999998E-25</v>
      </c>
      <c r="BX375" t="s">
        <v>42</v>
      </c>
      <c r="BY375" t="s">
        <v>42</v>
      </c>
      <c r="BZ375" t="s">
        <v>42</v>
      </c>
      <c r="CA375" t="s">
        <v>42</v>
      </c>
      <c r="CC375" t="s">
        <v>42</v>
      </c>
      <c r="CD375" t="s">
        <v>42</v>
      </c>
      <c r="CE375" t="str">
        <f>HYPERLINK("http://amigo.geneontology.org/cgi-bin/amigo/term_details?term=GO:0005811","GO:0005811")</f>
        <v>GO:0005811</v>
      </c>
      <c r="CF375" t="s">
        <v>3449</v>
      </c>
      <c r="CG375" t="s">
        <v>3450</v>
      </c>
      <c r="CH375" t="s">
        <v>3451</v>
      </c>
      <c r="CI375" t="s">
        <v>42</v>
      </c>
      <c r="CK375" s="5">
        <v>2.9999999999999998E-25</v>
      </c>
      <c r="CL375" t="str">
        <f>HYPERLINK("http://amigo.geneontology.org/cgi-bin/amigo/term_details?term=GO:0019915","GO:0019915")</f>
        <v>GO:0019915</v>
      </c>
      <c r="CM375" t="s">
        <v>3452</v>
      </c>
      <c r="CN375" t="s">
        <v>3453</v>
      </c>
      <c r="CO375" t="s">
        <v>3454</v>
      </c>
      <c r="CP375" t="s">
        <v>42</v>
      </c>
      <c r="CR375" s="5">
        <v>2.9999999999999998E-25</v>
      </c>
      <c r="CS375" s="4" t="str">
        <f>HYPERLINK("http://exon.niaid.nih.gov/transcriptome/C_felis/S1/links/KOG/cf-contig_489-KOG.txt","K+-dependent Na+:Ca2+ antiporter")</f>
        <v>K+-dependent Na+:Ca2+ antiporter</v>
      </c>
      <c r="CT375" t="str">
        <f>HYPERLINK("http://www.ncbi.nlm.nih.gov/COG/grace/shokog.cgi?KOG2399","0.67")</f>
        <v>0.67</v>
      </c>
      <c r="CU375" t="s">
        <v>1681</v>
      </c>
      <c r="CV375" s="4" t="str">
        <f>HYPERLINK("http://exon.niaid.nih.gov/transcriptome/C_felis/S1/links/PFAM/cf-contig_489-PFAM.txt","Perilipin")</f>
        <v>Perilipin</v>
      </c>
      <c r="CW375" t="str">
        <f>HYPERLINK("http://pfam.sanger.ac.uk/family?acc=PF03036","1E-012")</f>
        <v>1E-012</v>
      </c>
      <c r="CX375" s="4" t="str">
        <f>HYPERLINK("http://exon.niaid.nih.gov/transcriptome/C_felis/S1/links/SMART/cf-contig_489-SMART.txt","AgrB")</f>
        <v>AgrB</v>
      </c>
      <c r="CY375" t="str">
        <f>HYPERLINK("http://smart.embl-heidelberg.de/smart/do_annotation.pl?DOMAIN=AgrB&amp;BLAST=DUMMY","0.60")</f>
        <v>0.60</v>
      </c>
      <c r="CZ375" s="4" t="s">
        <v>42</v>
      </c>
      <c r="DA375" t="s">
        <v>42</v>
      </c>
      <c r="DB375" t="s">
        <v>42</v>
      </c>
      <c r="DC375" t="s">
        <v>42</v>
      </c>
      <c r="DD375" t="s">
        <v>42</v>
      </c>
      <c r="DE375" t="s">
        <v>42</v>
      </c>
      <c r="DF375" t="s">
        <v>42</v>
      </c>
      <c r="DG375" t="s">
        <v>42</v>
      </c>
      <c r="DH375" s="4" t="s">
        <v>42</v>
      </c>
      <c r="DI375" t="s">
        <v>42</v>
      </c>
      <c r="DJ375" s="4" t="s">
        <v>42</v>
      </c>
      <c r="DK375" t="s">
        <v>42</v>
      </c>
      <c r="DL375" s="4">
        <f>HYPERLINK("http://exon.niaid.nih.gov/transcriptome/C_felis/S1/links/cluster/cf-5-36-asb30-50-Id-CLU81.txt", 81)</f>
        <v>81</v>
      </c>
      <c r="DM375">
        <f>HYPERLINK("http://exon.niaid.nih.gov/transcriptome/C_felis/S1/links/cluster/cf-5-36-asb30-50-Id-CLTL81.txt", 2)</f>
        <v>2</v>
      </c>
      <c r="DN375" s="4">
        <f>HYPERLINK("http://exon.niaid.nih.gov/transcriptome/C_felis/S1/links/cluster/cf-5-36-asb35-50-Id-CLU73.txt", 73)</f>
        <v>73</v>
      </c>
      <c r="DO375">
        <f>HYPERLINK("http://exon.niaid.nih.gov/transcriptome/C_felis/S1/links/cluster/cf-5-36-asb35-50-Id-CLTL73.txt", 2)</f>
        <v>2</v>
      </c>
      <c r="DP375" s="4">
        <f>HYPERLINK("http://exon.niaid.nih.gov/transcriptome/C_felis/S1/links/cluster/cf-5-36-asb40-50-Id-CLU67.txt", 67)</f>
        <v>67</v>
      </c>
      <c r="DQ375">
        <f>HYPERLINK("http://exon.niaid.nih.gov/transcriptome/C_felis/S1/links/cluster/cf-5-36-asb40-50-Id-CLTL67.txt", 2)</f>
        <v>2</v>
      </c>
      <c r="DR375" s="4">
        <f>HYPERLINK("http://exon.niaid.nih.gov/transcriptome/C_felis/S1/links/cluster/cf-5-36-asb45-50-Id-CLU54.txt", 54)</f>
        <v>54</v>
      </c>
      <c r="DS375">
        <f>HYPERLINK("http://exon.niaid.nih.gov/transcriptome/C_felis/S1/links/cluster/cf-5-36-asb45-50-Id-CLTL54.txt", 2)</f>
        <v>2</v>
      </c>
      <c r="DT375" s="4">
        <f>HYPERLINK("http://exon.niaid.nih.gov/transcriptome/C_felis/S1/links/cluster/cf-5-36-asb50-50-Id-CLU47.txt", 47)</f>
        <v>47</v>
      </c>
      <c r="DU375">
        <f>HYPERLINK("http://exon.niaid.nih.gov/transcriptome/C_felis/S1/links/cluster/cf-5-36-asb50-50-Id-CLTL47.txt", 2)</f>
        <v>2</v>
      </c>
      <c r="DV375" s="4">
        <f>HYPERLINK("http://exon.niaid.nih.gov/transcriptome/C_felis/S1/links/cluster/cf-5-36-asb55-50-Id-CLU43.txt", 43)</f>
        <v>43</v>
      </c>
      <c r="DW375">
        <f>HYPERLINK("http://exon.niaid.nih.gov/transcriptome/C_felis/S1/links/cluster/cf-5-36-asb55-50-Id-CLTL43.txt", 2)</f>
        <v>2</v>
      </c>
      <c r="DX375" s="4">
        <v>456</v>
      </c>
      <c r="DY375">
        <v>1</v>
      </c>
      <c r="DZ375" s="4">
        <v>463</v>
      </c>
      <c r="EA375">
        <v>1</v>
      </c>
      <c r="EB375" s="4">
        <v>468</v>
      </c>
      <c r="EC375">
        <v>1</v>
      </c>
      <c r="ED375" s="4">
        <v>472</v>
      </c>
      <c r="EE375">
        <v>1</v>
      </c>
      <c r="EF375" s="4">
        <v>477</v>
      </c>
      <c r="EG375">
        <v>1</v>
      </c>
      <c r="EH375" s="4">
        <v>483</v>
      </c>
      <c r="EI375">
        <v>1</v>
      </c>
      <c r="EJ375" s="4">
        <v>489</v>
      </c>
      <c r="EK375">
        <v>1</v>
      </c>
    </row>
    <row r="376" spans="1:141" x14ac:dyDescent="0.2">
      <c r="A376" t="str">
        <f>HYPERLINK("http://exon.niaid.nih.gov/transcriptome/C_felis/S1/links/cf/cf-contig_758.txt","cf-contig_758")</f>
        <v>cf-contig_758</v>
      </c>
      <c r="B376">
        <v>1</v>
      </c>
      <c r="C376" s="10" t="s">
        <v>4869</v>
      </c>
      <c r="D376">
        <v>1</v>
      </c>
      <c r="E376" t="str">
        <f>HYPERLINK("http://exon.niaid.nih.gov/transcriptome/C_felis/S1/links/cf/cf-5-36-asb-758.txt","Contig-758")</f>
        <v>Contig-758</v>
      </c>
      <c r="F376" t="str">
        <f>HYPERLINK("http://exon.niaid.nih.gov/transcriptome/C_felis/S1/links/cf/cf-5-36-758-CLU.txt","Contig758")</f>
        <v>Contig758</v>
      </c>
      <c r="G376" t="str">
        <f>HYPERLINK("http://exon.niaid.nih.gov/transcriptome/C_felis/S1/links/cf/cf-5-36-758-qual.txt","52.6")</f>
        <v>52.6</v>
      </c>
      <c r="H376" t="s">
        <v>11</v>
      </c>
      <c r="I376">
        <v>64.099999999999994</v>
      </c>
      <c r="J376">
        <v>589</v>
      </c>
      <c r="K376" t="s">
        <v>12</v>
      </c>
      <c r="L376">
        <v>1</v>
      </c>
      <c r="M376" t="s">
        <v>771</v>
      </c>
      <c r="N376">
        <v>589</v>
      </c>
      <c r="O376">
        <v>608</v>
      </c>
      <c r="P376">
        <v>522</v>
      </c>
      <c r="Q376" t="s">
        <v>1577</v>
      </c>
      <c r="R376">
        <v>1</v>
      </c>
      <c r="S376" s="7" t="str">
        <f>HYPERLINK("http://exon.niaid.nih.gov/transcriptome/C_felis/S1/links/Sigp/CF-CONTIG_758-SigP.txt","Cyt")</f>
        <v>Cyt</v>
      </c>
      <c r="U376">
        <v>1</v>
      </c>
      <c r="V376" s="4">
        <v>610</v>
      </c>
      <c r="W376">
        <v>1</v>
      </c>
      <c r="X376" s="4">
        <v>630</v>
      </c>
      <c r="Y376">
        <v>1</v>
      </c>
      <c r="Z376" s="4">
        <v>644</v>
      </c>
      <c r="AA376">
        <v>1</v>
      </c>
      <c r="AB376" s="4" t="str">
        <f>HYPERLINK("http://exon.niaid.nih.gov/transcriptome/C_felis/S1/links/XC-ASB/cf-contig_758-XC-ASB.txt","XC-contig_102")</f>
        <v>XC-contig_102</v>
      </c>
      <c r="AC376">
        <v>0.23</v>
      </c>
      <c r="AD376" s="10" t="s">
        <v>4869</v>
      </c>
      <c r="AE376" t="s">
        <v>4610</v>
      </c>
      <c r="AF376" t="str">
        <f>HYPERLINK("http://exon.niaid.nih.gov/transcriptome/C_felis/S1/links/NR/cf-contig_758-NR.txt","NR")</f>
        <v>NR</v>
      </c>
      <c r="AG376" s="5">
        <v>1.9999999999999999E-49</v>
      </c>
      <c r="AH376">
        <v>27.2</v>
      </c>
      <c r="AI376" s="4" t="str">
        <f>HYPERLINK("http://exon.niaid.nih.gov/transcriptome/C_felis/S1/links/NR/cf-contig_758-NR.txt","large subunit GTPase 1 homolog")</f>
        <v>large subunit GTPase 1 homolog</v>
      </c>
      <c r="AJ376" t="str">
        <f>HYPERLINK("http://www.ncbi.nlm.nih.gov/sutils/blink.cgi?pid=340717356","2E-049")</f>
        <v>2E-049</v>
      </c>
      <c r="AK376" t="str">
        <f>HYPERLINK("http://www.ncbi.nlm.nih.gov/protein/340717356","gi|340717356")</f>
        <v>gi|340717356</v>
      </c>
      <c r="AL376">
        <v>199</v>
      </c>
      <c r="AM376">
        <v>169</v>
      </c>
      <c r="AN376">
        <v>627</v>
      </c>
      <c r="AO376">
        <v>57</v>
      </c>
      <c r="AP376">
        <v>27</v>
      </c>
      <c r="AQ376">
        <v>73</v>
      </c>
      <c r="AR376">
        <v>0</v>
      </c>
      <c r="AS376">
        <v>458</v>
      </c>
      <c r="AT376">
        <v>10</v>
      </c>
      <c r="AU376">
        <v>1</v>
      </c>
      <c r="AV376">
        <v>1</v>
      </c>
      <c r="AW376" t="s">
        <v>12</v>
      </c>
      <c r="AY376" t="s">
        <v>1676</v>
      </c>
      <c r="AZ376" t="s">
        <v>2212</v>
      </c>
      <c r="BA376" s="4" t="str">
        <f>HYPERLINK("http://exon.niaid.nih.gov/transcriptome/C_felis/S1/links/SWISSP/cf-contig_758-SWISSP.txt","Large subunit GTPase 1 homolog")</f>
        <v>Large subunit GTPase 1 homolog</v>
      </c>
      <c r="BB376" t="str">
        <f>HYPERLINK("http://www.uniprot.org/uniprot/Q9W590","4E-041")</f>
        <v>4E-041</v>
      </c>
      <c r="BC376" t="s">
        <v>4421</v>
      </c>
      <c r="BD376">
        <v>167</v>
      </c>
      <c r="BE376">
        <v>158</v>
      </c>
      <c r="BF376">
        <v>606</v>
      </c>
      <c r="BG376">
        <v>50</v>
      </c>
      <c r="BH376">
        <v>26</v>
      </c>
      <c r="BI376">
        <v>84</v>
      </c>
      <c r="BJ376">
        <v>0</v>
      </c>
      <c r="BK376">
        <v>448</v>
      </c>
      <c r="BL376">
        <v>10</v>
      </c>
      <c r="BM376">
        <v>1</v>
      </c>
      <c r="BN376">
        <v>1</v>
      </c>
      <c r="BO376" t="s">
        <v>12</v>
      </c>
      <c r="BQ376" t="s">
        <v>1676</v>
      </c>
      <c r="BR376" t="s">
        <v>1804</v>
      </c>
      <c r="BS376" s="4" t="str">
        <f>HYPERLINK("http://exon.niaid.nih.gov/transcriptome/C_felis/S1/links/CDD/cf-contig_758-CDD.txt","COG1161")</f>
        <v>COG1161</v>
      </c>
      <c r="BT376" t="str">
        <f>HYPERLINK("http://www.ncbi.nlm.nih.gov/Structure/cdd/cddsrv.cgi?uid=COG1161&amp;version=v4.0","5E-004")</f>
        <v>5E-004</v>
      </c>
      <c r="BU376" t="s">
        <v>4422</v>
      </c>
      <c r="BV376" s="4" t="s">
        <v>4423</v>
      </c>
      <c r="BW376">
        <f>HYPERLINK("http://exon.niaid.nih.gov/transcriptome/C_felis/S1/links/GO/cf-contig_758-GO.txt",3E-41)</f>
        <v>2.9999999999999999E-41</v>
      </c>
      <c r="BX376" t="str">
        <f>HYPERLINK("http://amigo.geneontology.org/cgi-bin/amigo/term_details?term=GO:0005525","GO:0005525")</f>
        <v>GO:0005525</v>
      </c>
      <c r="BY376" t="s">
        <v>4363</v>
      </c>
      <c r="BZ376" t="s">
        <v>4364</v>
      </c>
      <c r="CA376" t="s">
        <v>42</v>
      </c>
      <c r="CB376" t="s">
        <v>42</v>
      </c>
      <c r="CD376" s="5">
        <v>1.9999999999999999E-29</v>
      </c>
      <c r="CE376" t="str">
        <f>HYPERLINK("http://amigo.geneontology.org/cgi-bin/amigo/term_details?term=GO:0005622","GO:0005622")</f>
        <v>GO:0005622</v>
      </c>
      <c r="CF376" t="s">
        <v>2085</v>
      </c>
      <c r="CG376" t="s">
        <v>2086</v>
      </c>
      <c r="CH376" t="s">
        <v>2087</v>
      </c>
      <c r="CI376" t="s">
        <v>42</v>
      </c>
      <c r="CK376" s="5">
        <v>1.9999999999999999E-29</v>
      </c>
      <c r="CL376" t="str">
        <f>HYPERLINK("http://amigo.geneontology.org/cgi-bin/amigo/term_details?term=GO:0051168","GO:0051168")</f>
        <v>GO:0051168</v>
      </c>
      <c r="CM376" t="s">
        <v>4424</v>
      </c>
      <c r="CN376" t="s">
        <v>4425</v>
      </c>
      <c r="CO376" t="s">
        <v>4426</v>
      </c>
      <c r="CP376" t="s">
        <v>42</v>
      </c>
      <c r="CR376" s="5">
        <v>1.9999999999999999E-29</v>
      </c>
      <c r="CS376" s="4" t="str">
        <f>HYPERLINK("http://exon.niaid.nih.gov/transcriptome/C_felis/S1/links/KOG/cf-contig_758-KOG.txt","Predicted GTP-binding protein MMR1")</f>
        <v>Predicted GTP-binding protein MMR1</v>
      </c>
      <c r="CT376" t="str">
        <f>HYPERLINK("http://www.ncbi.nlm.nih.gov/COG/grace/shokog.cgi?KOG1424","6E-027")</f>
        <v>6E-027</v>
      </c>
      <c r="CU376" t="s">
        <v>1721</v>
      </c>
      <c r="CV376" s="4" t="str">
        <f>HYPERLINK("http://exon.niaid.nih.gov/transcriptome/C_felis/S1/links/PFAM/cf-contig_758-PFAM.txt","AF-4")</f>
        <v>AF-4</v>
      </c>
      <c r="CW376" t="str">
        <f>HYPERLINK("http://pfam.sanger.ac.uk/family?acc=PF05110","0.019")</f>
        <v>0.019</v>
      </c>
      <c r="CX376" s="4" t="str">
        <f>HYPERLINK("http://exon.niaid.nih.gov/transcriptome/C_felis/S1/links/SMART/cf-contig_758-SMART.txt","MACPF")</f>
        <v>MACPF</v>
      </c>
      <c r="CY376" t="str">
        <f>HYPERLINK("http://smart.embl-heidelberg.de/smart/do_annotation.pl?DOMAIN=MACPF&amp;BLAST=DUMMY","0.11")</f>
        <v>0.11</v>
      </c>
      <c r="CZ376" s="4" t="s">
        <v>42</v>
      </c>
      <c r="DA376" t="s">
        <v>42</v>
      </c>
      <c r="DB376" t="s">
        <v>42</v>
      </c>
      <c r="DC376" t="s">
        <v>42</v>
      </c>
      <c r="DD376" t="s">
        <v>42</v>
      </c>
      <c r="DE376" t="s">
        <v>42</v>
      </c>
      <c r="DF376" t="s">
        <v>42</v>
      </c>
      <c r="DG376" t="s">
        <v>42</v>
      </c>
      <c r="DH376" s="4" t="s">
        <v>42</v>
      </c>
      <c r="DI376" t="s">
        <v>42</v>
      </c>
      <c r="DJ376" s="4" t="s">
        <v>42</v>
      </c>
      <c r="DK376" t="s">
        <v>42</v>
      </c>
      <c r="DL376" s="4">
        <v>610</v>
      </c>
      <c r="DM376">
        <v>1</v>
      </c>
      <c r="DN376" s="4">
        <v>630</v>
      </c>
      <c r="DO376">
        <v>1</v>
      </c>
      <c r="DP376" s="4">
        <v>644</v>
      </c>
      <c r="DQ376">
        <v>1</v>
      </c>
      <c r="DR376" s="4">
        <v>666</v>
      </c>
      <c r="DS376">
        <v>1</v>
      </c>
      <c r="DT376" s="4">
        <v>681</v>
      </c>
      <c r="DU376">
        <v>1</v>
      </c>
      <c r="DV376" s="4">
        <v>696</v>
      </c>
      <c r="DW376">
        <v>1</v>
      </c>
      <c r="DX376" s="4">
        <v>709</v>
      </c>
      <c r="DY376">
        <v>1</v>
      </c>
      <c r="DZ376" s="4">
        <v>720</v>
      </c>
      <c r="EA376">
        <v>1</v>
      </c>
      <c r="EB376" s="4">
        <v>726</v>
      </c>
      <c r="EC376">
        <v>1</v>
      </c>
      <c r="ED376" s="4">
        <v>731</v>
      </c>
      <c r="EE376">
        <v>1</v>
      </c>
      <c r="EF376" s="4">
        <v>737</v>
      </c>
      <c r="EG376">
        <v>1</v>
      </c>
      <c r="EH376" s="4">
        <v>749</v>
      </c>
      <c r="EI376">
        <v>1</v>
      </c>
      <c r="EJ376" s="4">
        <v>758</v>
      </c>
      <c r="EK376">
        <v>1</v>
      </c>
    </row>
    <row r="377" spans="1:141" x14ac:dyDescent="0.2">
      <c r="A377" t="str">
        <f>HYPERLINK("http://exon.niaid.nih.gov/transcriptome/C_felis/S1/links/cf/cf-contig_331.txt","cf-contig_331")</f>
        <v>cf-contig_331</v>
      </c>
      <c r="B377">
        <v>1</v>
      </c>
      <c r="C377" s="10" t="s">
        <v>4734</v>
      </c>
      <c r="D377">
        <v>1</v>
      </c>
      <c r="E377" t="str">
        <f>HYPERLINK("http://exon.niaid.nih.gov/transcriptome/C_felis/S1/links/cf/cf-5-36-asb-331.txt","Contig-331")</f>
        <v>Contig-331</v>
      </c>
      <c r="F377" t="str">
        <f>HYPERLINK("http://exon.niaid.nih.gov/transcriptome/C_felis/S1/links/cf/cf-5-36-331-CLU.txt","Contig331")</f>
        <v>Contig331</v>
      </c>
      <c r="G377" t="str">
        <f>HYPERLINK("http://exon.niaid.nih.gov/transcriptome/C_felis/S1/links/cf/cf-5-36-331-qual.txt","45.")</f>
        <v>45.</v>
      </c>
      <c r="H377" t="s">
        <v>11</v>
      </c>
      <c r="I377">
        <v>72.2</v>
      </c>
      <c r="J377">
        <v>107</v>
      </c>
      <c r="K377" t="s">
        <v>12</v>
      </c>
      <c r="L377">
        <v>1</v>
      </c>
      <c r="M377" t="s">
        <v>344</v>
      </c>
      <c r="N377">
        <v>107</v>
      </c>
      <c r="O377">
        <v>126</v>
      </c>
      <c r="P377">
        <v>90</v>
      </c>
      <c r="Q377" t="s">
        <v>1151</v>
      </c>
      <c r="R377">
        <v>1</v>
      </c>
      <c r="S377" s="7" t="s">
        <v>4585</v>
      </c>
      <c r="U377">
        <v>1</v>
      </c>
      <c r="V377" s="4">
        <v>267</v>
      </c>
      <c r="W377">
        <v>1</v>
      </c>
      <c r="X377" s="4">
        <v>273</v>
      </c>
      <c r="Y377">
        <v>1</v>
      </c>
      <c r="Z377" s="4">
        <v>272</v>
      </c>
      <c r="AA377">
        <v>1</v>
      </c>
      <c r="AB377" s="4" t="str">
        <f>HYPERLINK("http://exon.niaid.nih.gov/transcriptome/C_felis/S1/links/XC-ASB/cf-contig_331-XC-ASB.txt","XC-contig_123")</f>
        <v>XC-contig_123</v>
      </c>
      <c r="AC377">
        <v>6E-9</v>
      </c>
      <c r="AD377" s="10" t="s">
        <v>4734</v>
      </c>
      <c r="AE377" t="s">
        <v>4610</v>
      </c>
      <c r="AF377" t="str">
        <f>HYPERLINK("http://exon.niaid.nih.gov/transcriptome/C_felis/S1/links/MIT-PLA/cf-contig_331-MIT-PLA.txt","MIT-PLA")</f>
        <v>MIT-PLA</v>
      </c>
      <c r="AG377" s="5">
        <v>5.0000000000000004E-16</v>
      </c>
      <c r="AH377">
        <v>0.4</v>
      </c>
      <c r="AI377" s="4" t="str">
        <f>HYPERLINK("http://exon.niaid.nih.gov/transcriptome/C_felis/S1/links/NR/cf-contig_331-NR.txt","cytochrome oxidase subunit II")</f>
        <v>cytochrome oxidase subunit II</v>
      </c>
      <c r="AJ377" t="str">
        <f>HYPERLINK("http://www.ncbi.nlm.nih.gov/sutils/blink.cgi?pid=343409604","0.077")</f>
        <v>0.077</v>
      </c>
      <c r="AK377" t="str">
        <f>HYPERLINK("http://www.ncbi.nlm.nih.gov/protein/343409604","gi|343409604")</f>
        <v>gi|343409604</v>
      </c>
      <c r="AL377">
        <v>40.799999999999997</v>
      </c>
      <c r="AM377">
        <v>23</v>
      </c>
      <c r="AN377">
        <v>227</v>
      </c>
      <c r="AO377">
        <v>83</v>
      </c>
      <c r="AP377">
        <v>11</v>
      </c>
      <c r="AQ377">
        <v>4</v>
      </c>
      <c r="AR377">
        <v>0</v>
      </c>
      <c r="AS377">
        <v>203</v>
      </c>
      <c r="AT377">
        <v>34</v>
      </c>
      <c r="AU377">
        <v>1</v>
      </c>
      <c r="AV377">
        <v>1</v>
      </c>
      <c r="AW377" t="s">
        <v>12</v>
      </c>
      <c r="AX377">
        <v>4.3479999999999999</v>
      </c>
      <c r="AY377" t="s">
        <v>1676</v>
      </c>
      <c r="AZ377" t="s">
        <v>1728</v>
      </c>
      <c r="BA377" s="4" t="str">
        <f>HYPERLINK("http://exon.niaid.nih.gov/transcriptome/C_felis/S1/links/SWISSP/cf-contig_331-SWISSP.txt","Cytochrome c oxidase subunit 2")</f>
        <v>Cytochrome c oxidase subunit 2</v>
      </c>
      <c r="BB377" t="str">
        <f>HYPERLINK("http://www.uniprot.org/uniprot/P29872","0.003")</f>
        <v>0.003</v>
      </c>
      <c r="BC377" t="s">
        <v>2862</v>
      </c>
      <c r="BD377">
        <v>40.799999999999997</v>
      </c>
      <c r="BE377">
        <v>23</v>
      </c>
      <c r="BF377">
        <v>227</v>
      </c>
      <c r="BG377">
        <v>83</v>
      </c>
      <c r="BH377">
        <v>11</v>
      </c>
      <c r="BI377">
        <v>4</v>
      </c>
      <c r="BJ377">
        <v>0</v>
      </c>
      <c r="BK377">
        <v>203</v>
      </c>
      <c r="BL377">
        <v>34</v>
      </c>
      <c r="BM377">
        <v>1</v>
      </c>
      <c r="BN377">
        <v>1</v>
      </c>
      <c r="BO377" t="s">
        <v>12</v>
      </c>
      <c r="BP377">
        <v>4.3479999999999999</v>
      </c>
      <c r="BQ377" t="s">
        <v>1676</v>
      </c>
      <c r="BR377" t="s">
        <v>1728</v>
      </c>
      <c r="BS377" s="4" t="str">
        <f>HYPERLINK("http://exon.niaid.nih.gov/transcriptome/C_felis/S1/links/CDD/cf-contig_331-CDD.txt","COX2")</f>
        <v>COX2</v>
      </c>
      <c r="BT377" t="str">
        <f>HYPERLINK("http://www.ncbi.nlm.nih.gov/Structure/cdd/cddsrv.cgi?uid=MTH00154&amp;version=v4.0","8E-005")</f>
        <v>8E-005</v>
      </c>
      <c r="BU377" t="s">
        <v>2863</v>
      </c>
      <c r="BV377" s="4" t="s">
        <v>42</v>
      </c>
      <c r="BW377" t="s">
        <v>42</v>
      </c>
      <c r="BX377" t="s">
        <v>42</v>
      </c>
      <c r="BY377" t="s">
        <v>42</v>
      </c>
      <c r="BZ377" t="s">
        <v>42</v>
      </c>
      <c r="CA377" t="s">
        <v>42</v>
      </c>
      <c r="CB377" t="s">
        <v>42</v>
      </c>
      <c r="CC377" t="s">
        <v>42</v>
      </c>
      <c r="CD377" t="s">
        <v>42</v>
      </c>
      <c r="CE377" t="s">
        <v>42</v>
      </c>
      <c r="CF377" t="s">
        <v>42</v>
      </c>
      <c r="CG377" t="s">
        <v>42</v>
      </c>
      <c r="CH377" t="s">
        <v>42</v>
      </c>
      <c r="CI377" t="s">
        <v>42</v>
      </c>
      <c r="CJ377" t="s">
        <v>42</v>
      </c>
      <c r="CK377" t="s">
        <v>42</v>
      </c>
      <c r="CL377" t="s">
        <v>42</v>
      </c>
      <c r="CM377" t="s">
        <v>42</v>
      </c>
      <c r="CN377" t="s">
        <v>42</v>
      </c>
      <c r="CO377" t="s">
        <v>42</v>
      </c>
      <c r="CP377" t="s">
        <v>42</v>
      </c>
      <c r="CQ377" t="s">
        <v>42</v>
      </c>
      <c r="CR377" t="s">
        <v>42</v>
      </c>
      <c r="CS377" s="4" t="str">
        <f>HYPERLINK("http://exon.niaid.nih.gov/transcriptome/C_felis/S1/links/KOG/cf-contig_331-KOG.txt","Cytochrome c oxidase, subunit II, and related proteins")</f>
        <v>Cytochrome c oxidase, subunit II, and related proteins</v>
      </c>
      <c r="CT377" t="str">
        <f>HYPERLINK("http://www.ncbi.nlm.nih.gov/COG/grace/shokog.cgi?KOG4767","0.035")</f>
        <v>0.035</v>
      </c>
      <c r="CU377" t="s">
        <v>1793</v>
      </c>
      <c r="CV377" s="4" t="str">
        <f>HYPERLINK("http://exon.niaid.nih.gov/transcriptome/C_felis/S1/links/PFAM/cf-contig_331-PFAM.txt","DUF3675")</f>
        <v>DUF3675</v>
      </c>
      <c r="CW377" t="str">
        <f>HYPERLINK("http://pfam.sanger.ac.uk/family?acc=PF12428","2.7")</f>
        <v>2.7</v>
      </c>
      <c r="CX377" s="4" t="str">
        <f>HYPERLINK("http://exon.niaid.nih.gov/transcriptome/C_felis/S1/links/SMART/cf-contig_331-SMART.txt","Malic_M")</f>
        <v>Malic_M</v>
      </c>
      <c r="CY377" t="str">
        <f>HYPERLINK("http://smart.embl-heidelberg.de/smart/do_annotation.pl?DOMAIN=Malic_M&amp;BLAST=DUMMY","0.83")</f>
        <v>0.83</v>
      </c>
      <c r="CZ377" s="4" t="s">
        <v>42</v>
      </c>
      <c r="DA377" t="s">
        <v>42</v>
      </c>
      <c r="DB377" t="s">
        <v>42</v>
      </c>
      <c r="DC377" t="s">
        <v>42</v>
      </c>
      <c r="DD377" t="s">
        <v>42</v>
      </c>
      <c r="DE377" t="s">
        <v>42</v>
      </c>
      <c r="DF377" t="s">
        <v>42</v>
      </c>
      <c r="DG377" t="s">
        <v>42</v>
      </c>
      <c r="DH377" s="4" t="str">
        <f>HYPERLINK("http://exon.niaid.nih.gov/transcriptome/C_felis/S1/links/MIT-PLA/cf-contig_331-MIT-PLA.txt","Luehdorfia chinensis mitochondrion, partial genome")</f>
        <v>Luehdorfia chinensis mitochondrion, partial genome</v>
      </c>
      <c r="DI377" t="str">
        <f>HYPERLINK("http://www.ncbi.nlm.nih.gov/entrez/viewer.fcgi?db=nucleotide&amp;val=205277633","5E-016")</f>
        <v>5E-016</v>
      </c>
      <c r="DJ377" s="4" t="s">
        <v>42</v>
      </c>
      <c r="DK377" t="s">
        <v>42</v>
      </c>
      <c r="DL377" s="4">
        <v>267</v>
      </c>
      <c r="DM377">
        <v>1</v>
      </c>
      <c r="DN377" s="4">
        <v>273</v>
      </c>
      <c r="DO377">
        <v>1</v>
      </c>
      <c r="DP377" s="4">
        <v>272</v>
      </c>
      <c r="DQ377">
        <v>1</v>
      </c>
      <c r="DR377" s="4">
        <v>281</v>
      </c>
      <c r="DS377">
        <v>1</v>
      </c>
      <c r="DT377" s="4">
        <v>291</v>
      </c>
      <c r="DU377">
        <v>1</v>
      </c>
      <c r="DV377" s="4">
        <v>303</v>
      </c>
      <c r="DW377">
        <v>1</v>
      </c>
      <c r="DX377" s="4">
        <v>305</v>
      </c>
      <c r="DY377">
        <v>1</v>
      </c>
      <c r="DZ377" s="4">
        <v>310</v>
      </c>
      <c r="EA377">
        <v>1</v>
      </c>
      <c r="EB377" s="4">
        <v>315</v>
      </c>
      <c r="EC377">
        <v>1</v>
      </c>
      <c r="ED377" s="4">
        <v>319</v>
      </c>
      <c r="EE377">
        <v>1</v>
      </c>
      <c r="EF377" s="4">
        <v>324</v>
      </c>
      <c r="EG377">
        <v>1</v>
      </c>
      <c r="EH377" s="4">
        <v>326</v>
      </c>
      <c r="EI377">
        <v>1</v>
      </c>
      <c r="EJ377" s="4">
        <v>331</v>
      </c>
      <c r="EK377">
        <v>1</v>
      </c>
    </row>
    <row r="378" spans="1:141" x14ac:dyDescent="0.2">
      <c r="A378" t="str">
        <f>HYPERLINK("http://exon.niaid.nih.gov/transcriptome/C_felis/S1/links/cf/cf-contig_202.txt","cf-contig_202")</f>
        <v>cf-contig_202</v>
      </c>
      <c r="B378">
        <v>1</v>
      </c>
      <c r="C378" s="10" t="s">
        <v>4686</v>
      </c>
      <c r="D378">
        <v>1</v>
      </c>
      <c r="E378" t="str">
        <f>HYPERLINK("http://exon.niaid.nih.gov/transcriptome/C_felis/S1/links/cf/cf-5-36-asb-202.txt","Contig-202")</f>
        <v>Contig-202</v>
      </c>
      <c r="F378" t="str">
        <f>HYPERLINK("http://exon.niaid.nih.gov/transcriptome/C_felis/S1/links/cf/cf-5-36-202-CLU.txt","Contig202")</f>
        <v>Contig202</v>
      </c>
      <c r="G378" t="str">
        <f>HYPERLINK("http://exon.niaid.nih.gov/transcriptome/C_felis/S1/links/cf/cf-5-36-202-qual.txt","65.7")</f>
        <v>65.7</v>
      </c>
      <c r="H378" t="s">
        <v>11</v>
      </c>
      <c r="I378">
        <v>57.6</v>
      </c>
      <c r="J378">
        <v>325</v>
      </c>
      <c r="K378" t="s">
        <v>12</v>
      </c>
      <c r="L378">
        <v>1</v>
      </c>
      <c r="M378" t="s">
        <v>215</v>
      </c>
      <c r="N378">
        <v>325</v>
      </c>
      <c r="O378">
        <v>344</v>
      </c>
      <c r="P378">
        <v>237</v>
      </c>
      <c r="Q378" t="s">
        <v>1022</v>
      </c>
      <c r="R378">
        <v>3</v>
      </c>
      <c r="S378" s="7" t="str">
        <f>HYPERLINK("http://exon.niaid.nih.gov/transcriptome/C_felis/S1/links/Sigp/CF-CONTIG_202-SigP.txt","Cyt")</f>
        <v>Cyt</v>
      </c>
      <c r="U378">
        <v>1</v>
      </c>
      <c r="V378" s="4">
        <f>HYPERLINK("http://exon.niaid.nih.gov/transcriptome/C_felis/S1/links/cluster/cf-5-36-asb30-50-Id-CLU49.txt", 49)</f>
        <v>49</v>
      </c>
      <c r="W378">
        <f>HYPERLINK("http://exon.niaid.nih.gov/transcriptome/C_felis/S1/links/cluster/cf-5-36-asb30-50-Id-CLTL49.txt", 2)</f>
        <v>2</v>
      </c>
      <c r="X378" s="4">
        <f>HYPERLINK("http://exon.niaid.nih.gov/transcriptome/C_felis/S1/links/cluster/cf-5-36-asb35-50-Id-CLU42.txt", 42)</f>
        <v>42</v>
      </c>
      <c r="Y378">
        <f>HYPERLINK("http://exon.niaid.nih.gov/transcriptome/C_felis/S1/links/cluster/cf-5-36-asb35-50-Id-CLTL42.txt", 2)</f>
        <v>2</v>
      </c>
      <c r="Z378" s="4">
        <f>HYPERLINK("http://exon.niaid.nih.gov/transcriptome/C_felis/S1/links/cluster/cf-5-36-asb40-50-Id-CLU39.txt", 39)</f>
        <v>39</v>
      </c>
      <c r="AA378">
        <f>HYPERLINK("http://exon.niaid.nih.gov/transcriptome/C_felis/S1/links/cluster/cf-5-36-asb40-50-Id-CLTL39.txt", 2)</f>
        <v>2</v>
      </c>
      <c r="AB378" s="4" t="str">
        <f>HYPERLINK("http://exon.niaid.nih.gov/transcriptome/C_felis/S1/links/XC-ASB/cf-contig_202-XC-ASB.txt","XC-contig_89")</f>
        <v>XC-contig_89</v>
      </c>
      <c r="AC378">
        <v>0.86</v>
      </c>
      <c r="AD378" s="10" t="s">
        <v>4686</v>
      </c>
      <c r="AE378" t="s">
        <v>4610</v>
      </c>
      <c r="AF378" t="str">
        <f>HYPERLINK("http://exon.niaid.nih.gov/transcriptome/C_felis/S1/links/NR/cf-contig_202-NR.txt","NR")</f>
        <v>NR</v>
      </c>
      <c r="AG378">
        <v>1.0000000000000001E-15</v>
      </c>
      <c r="AH378">
        <v>8.3000000000000007</v>
      </c>
      <c r="AI378" s="4" t="str">
        <f>HYPERLINK("http://exon.niaid.nih.gov/transcriptome/C_felis/S1/links/NR/cf-contig_202-NR.txt","Polyadenylate-binding protein, putative")</f>
        <v>Polyadenylate-binding protein, putative</v>
      </c>
      <c r="AJ378" t="str">
        <f>HYPERLINK("http://www.ncbi.nlm.nih.gov/sutils/blink.cgi?pid=242025596","1E-015")</f>
        <v>1E-015</v>
      </c>
      <c r="AK378" t="str">
        <f>HYPERLINK("http://www.ncbi.nlm.nih.gov/protein/242025596","gi|242025596")</f>
        <v>gi|242025596</v>
      </c>
      <c r="AL378">
        <v>87</v>
      </c>
      <c r="AM378">
        <v>52</v>
      </c>
      <c r="AN378">
        <v>637</v>
      </c>
      <c r="AO378">
        <v>81</v>
      </c>
      <c r="AP378">
        <v>8</v>
      </c>
      <c r="AQ378">
        <v>10</v>
      </c>
      <c r="AR378">
        <v>0</v>
      </c>
      <c r="AS378">
        <v>580</v>
      </c>
      <c r="AT378">
        <v>2</v>
      </c>
      <c r="AU378">
        <v>1</v>
      </c>
      <c r="AV378">
        <v>2</v>
      </c>
      <c r="AW378" t="s">
        <v>12</v>
      </c>
      <c r="AY378" t="s">
        <v>1676</v>
      </c>
      <c r="AZ378" t="s">
        <v>1751</v>
      </c>
      <c r="BA378" s="4" t="str">
        <f>HYPERLINK("http://exon.niaid.nih.gov/transcriptome/C_felis/S1/links/SWISSP/cf-contig_202-SWISSP.txt","Embryonic polyadenylate-binding protein A")</f>
        <v>Embryonic polyadenylate-binding protein A</v>
      </c>
      <c r="BB378" t="str">
        <f>HYPERLINK("http://www.uniprot.org/uniprot/Q98SP8","6E-014")</f>
        <v>6E-014</v>
      </c>
      <c r="BC378" t="s">
        <v>2420</v>
      </c>
      <c r="BD378">
        <v>76.3</v>
      </c>
      <c r="BE378">
        <v>49</v>
      </c>
      <c r="BF378">
        <v>629</v>
      </c>
      <c r="BG378">
        <v>78</v>
      </c>
      <c r="BH378">
        <v>8</v>
      </c>
      <c r="BI378">
        <v>11</v>
      </c>
      <c r="BJ378">
        <v>0</v>
      </c>
      <c r="BK378">
        <v>576</v>
      </c>
      <c r="BL378">
        <v>2</v>
      </c>
      <c r="BM378">
        <v>1</v>
      </c>
      <c r="BN378">
        <v>2</v>
      </c>
      <c r="BO378" t="s">
        <v>12</v>
      </c>
      <c r="BQ378" t="s">
        <v>1676</v>
      </c>
      <c r="BR378" t="s">
        <v>1832</v>
      </c>
      <c r="BS378" s="4" t="str">
        <f>HYPERLINK("http://exon.niaid.nih.gov/transcriptome/C_felis/S1/links/CDD/cf-contig_202-CDD.txt","PABP")</f>
        <v>PABP</v>
      </c>
      <c r="BT378" t="str">
        <f>HYPERLINK("http://www.ncbi.nlm.nih.gov/Structure/cdd/cddsrv.cgi?uid=pfam00658&amp;version=v4.0","7E-015")</f>
        <v>7E-015</v>
      </c>
      <c r="BU378" t="s">
        <v>2421</v>
      </c>
      <c r="BV378" s="4" t="s">
        <v>2422</v>
      </c>
      <c r="BW378">
        <f>HYPERLINK("http://exon.niaid.nih.gov/transcriptome/C_felis/S1/links/GO/cf-contig_202-GO.txt",0.000000000000005)</f>
        <v>5E-15</v>
      </c>
      <c r="BX378" t="str">
        <f>HYPERLINK("http://amigo.geneontology.org/cgi-bin/amigo/term_details?term=GO:0005515","GO:0005515")</f>
        <v>GO:0005515</v>
      </c>
      <c r="BY378" t="s">
        <v>2423</v>
      </c>
      <c r="BZ378" t="s">
        <v>2424</v>
      </c>
      <c r="CA378" t="s">
        <v>2425</v>
      </c>
      <c r="CB378" t="s">
        <v>42</v>
      </c>
      <c r="CD378">
        <v>4E-14</v>
      </c>
      <c r="CE378" t="str">
        <f>HYPERLINK("http://amigo.geneontology.org/cgi-bin/amigo/term_details?term=GO:0005737","GO:0005737")</f>
        <v>GO:0005737</v>
      </c>
      <c r="CF378" t="s">
        <v>1966</v>
      </c>
      <c r="CG378" t="s">
        <v>1967</v>
      </c>
      <c r="CH378" t="s">
        <v>42</v>
      </c>
      <c r="CI378" t="s">
        <v>42</v>
      </c>
      <c r="CK378">
        <v>4E-14</v>
      </c>
      <c r="CL378" t="str">
        <f>HYPERLINK("http://amigo.geneontology.org/cgi-bin/amigo/term_details?term=GO:0043009","GO:0043009")</f>
        <v>GO:0043009</v>
      </c>
      <c r="CM378" t="s">
        <v>2426</v>
      </c>
      <c r="CN378" t="s">
        <v>2427</v>
      </c>
      <c r="CO378" t="s">
        <v>42</v>
      </c>
      <c r="CP378" t="s">
        <v>42</v>
      </c>
      <c r="CR378">
        <v>4E-14</v>
      </c>
      <c r="CS378" s="4" t="str">
        <f>HYPERLINK("http://exon.niaid.nih.gov/transcriptome/C_felis/S1/links/KOG/cf-contig_202-KOG.txt","Polyadenylate-binding protein (RRM superfamily)")</f>
        <v>Polyadenylate-binding protein (RRM superfamily)</v>
      </c>
      <c r="CT378" t="str">
        <f>HYPERLINK("http://www.ncbi.nlm.nih.gov/COG/grace/shokog.cgi?KOG0123","0.002")</f>
        <v>0.002</v>
      </c>
      <c r="CU378" t="s">
        <v>2419</v>
      </c>
      <c r="CV378" s="4" t="str">
        <f>HYPERLINK("http://exon.niaid.nih.gov/transcriptome/C_felis/S1/links/PFAM/cf-contig_202-PFAM.txt","PABP")</f>
        <v>PABP</v>
      </c>
      <c r="CW378" t="str">
        <f>HYPERLINK("http://pfam.sanger.ac.uk/family?acc=PF00658","2E-015")</f>
        <v>2E-015</v>
      </c>
      <c r="CX378" s="4" t="str">
        <f>HYPERLINK("http://exon.niaid.nih.gov/transcriptome/C_felis/S1/links/SMART/cf-contig_202-SMART.txt","PolyA")</f>
        <v>PolyA</v>
      </c>
      <c r="CY378" t="str">
        <f>HYPERLINK("http://smart.embl-heidelberg.de/smart/do_annotation.pl?DOMAIN=PolyA&amp;BLAST=DUMMY","5E-015")</f>
        <v>5E-015</v>
      </c>
      <c r="CZ378" s="4" t="s">
        <v>42</v>
      </c>
      <c r="DA378" t="s">
        <v>42</v>
      </c>
      <c r="DB378" t="s">
        <v>42</v>
      </c>
      <c r="DC378" t="s">
        <v>42</v>
      </c>
      <c r="DD378" t="s">
        <v>42</v>
      </c>
      <c r="DE378" t="s">
        <v>42</v>
      </c>
      <c r="DF378" t="s">
        <v>42</v>
      </c>
      <c r="DG378" t="s">
        <v>42</v>
      </c>
      <c r="DH378" s="4" t="s">
        <v>42</v>
      </c>
      <c r="DI378" t="s">
        <v>42</v>
      </c>
      <c r="DJ378" s="4" t="s">
        <v>42</v>
      </c>
      <c r="DK378" t="s">
        <v>42</v>
      </c>
      <c r="DL378" s="4">
        <f>HYPERLINK("http://exon.niaid.nih.gov/transcriptome/C_felis/S1/links/cluster/cf-5-36-asb30-50-Id-CLU49.txt", 49)</f>
        <v>49</v>
      </c>
      <c r="DM378">
        <f>HYPERLINK("http://exon.niaid.nih.gov/transcriptome/C_felis/S1/links/cluster/cf-5-36-asb30-50-Id-CLTL49.txt", 2)</f>
        <v>2</v>
      </c>
      <c r="DN378" s="4">
        <f>HYPERLINK("http://exon.niaid.nih.gov/transcriptome/C_felis/S1/links/cluster/cf-5-36-asb35-50-Id-CLU42.txt", 42)</f>
        <v>42</v>
      </c>
      <c r="DO378">
        <f>HYPERLINK("http://exon.niaid.nih.gov/transcriptome/C_felis/S1/links/cluster/cf-5-36-asb35-50-Id-CLTL42.txt", 2)</f>
        <v>2</v>
      </c>
      <c r="DP378" s="4">
        <f>HYPERLINK("http://exon.niaid.nih.gov/transcriptome/C_felis/S1/links/cluster/cf-5-36-asb40-50-Id-CLU39.txt", 39)</f>
        <v>39</v>
      </c>
      <c r="DQ378">
        <f>HYPERLINK("http://exon.niaid.nih.gov/transcriptome/C_felis/S1/links/cluster/cf-5-36-asb40-50-Id-CLTL39.txt", 2)</f>
        <v>2</v>
      </c>
      <c r="DR378" s="4">
        <f>HYPERLINK("http://exon.niaid.nih.gov/transcriptome/C_felis/S1/links/cluster/cf-5-36-asb45-50-Id-CLU36.txt", 36)</f>
        <v>36</v>
      </c>
      <c r="DS378">
        <f>HYPERLINK("http://exon.niaid.nih.gov/transcriptome/C_felis/S1/links/cluster/cf-5-36-asb45-50-Id-CLTL36.txt", 2)</f>
        <v>2</v>
      </c>
      <c r="DT378" s="4">
        <f>HYPERLINK("http://exon.niaid.nih.gov/transcriptome/C_felis/S1/links/cluster/cf-5-36-asb50-50-Id-CLU32.txt", 32)</f>
        <v>32</v>
      </c>
      <c r="DU378">
        <f>HYPERLINK("http://exon.niaid.nih.gov/transcriptome/C_felis/S1/links/cluster/cf-5-36-asb50-50-Id-CLTL32.txt", 2)</f>
        <v>2</v>
      </c>
      <c r="DV378" s="4">
        <v>184</v>
      </c>
      <c r="DW378">
        <v>1</v>
      </c>
      <c r="DX378" s="4">
        <v>186</v>
      </c>
      <c r="DY378">
        <v>1</v>
      </c>
      <c r="DZ378" s="4">
        <v>188</v>
      </c>
      <c r="EA378">
        <v>1</v>
      </c>
      <c r="EB378" s="4">
        <v>193</v>
      </c>
      <c r="EC378">
        <v>1</v>
      </c>
      <c r="ED378" s="4">
        <v>196</v>
      </c>
      <c r="EE378">
        <v>1</v>
      </c>
      <c r="EF378" s="4">
        <v>197</v>
      </c>
      <c r="EG378">
        <v>1</v>
      </c>
      <c r="EH378" s="4">
        <v>197</v>
      </c>
      <c r="EI378">
        <v>1</v>
      </c>
      <c r="EJ378" s="4">
        <v>202</v>
      </c>
      <c r="EK378">
        <v>1</v>
      </c>
    </row>
    <row r="379" spans="1:141" x14ac:dyDescent="0.2">
      <c r="A379" t="str">
        <f>HYPERLINK("http://exon.niaid.nih.gov/transcriptome/C_felis/S1/links/cf/cf-contig_688.txt","cf-contig_688")</f>
        <v>cf-contig_688</v>
      </c>
      <c r="B379">
        <v>1</v>
      </c>
      <c r="C379" s="10" t="s">
        <v>4846</v>
      </c>
      <c r="D379">
        <v>1</v>
      </c>
      <c r="E379" t="str">
        <f>HYPERLINK("http://exon.niaid.nih.gov/transcriptome/C_felis/S1/links/cf/cf-5-36-asb-688.txt","Contig-688")</f>
        <v>Contig-688</v>
      </c>
      <c r="F379" t="str">
        <f>HYPERLINK("http://exon.niaid.nih.gov/transcriptome/C_felis/S1/links/cf/cf-5-36-688-CLU.txt","Contig688")</f>
        <v>Contig688</v>
      </c>
      <c r="G379" t="str">
        <f>HYPERLINK("http://exon.niaid.nih.gov/transcriptome/C_felis/S1/links/cf/cf-5-36-688-qual.txt","65.8")</f>
        <v>65.8</v>
      </c>
      <c r="H379" t="s">
        <v>11</v>
      </c>
      <c r="I379">
        <v>60</v>
      </c>
      <c r="J379">
        <v>516</v>
      </c>
      <c r="K379" t="s">
        <v>12</v>
      </c>
      <c r="L379">
        <v>1</v>
      </c>
      <c r="M379" t="s">
        <v>701</v>
      </c>
      <c r="N379">
        <v>516</v>
      </c>
      <c r="O379">
        <v>535</v>
      </c>
      <c r="P379">
        <v>381</v>
      </c>
      <c r="Q379" t="s">
        <v>1507</v>
      </c>
      <c r="R379">
        <v>3</v>
      </c>
      <c r="S379" s="7" t="str">
        <f>HYPERLINK("http://exon.niaid.nih.gov/transcriptome/C_felis/S1/links/Sigp/CF-CONTIG_688-SigP.txt","Cyt")</f>
        <v>Cyt</v>
      </c>
      <c r="U379">
        <v>1</v>
      </c>
      <c r="V379" s="4">
        <v>561</v>
      </c>
      <c r="W379">
        <v>1</v>
      </c>
      <c r="X379" s="4">
        <v>576</v>
      </c>
      <c r="Y379">
        <v>1</v>
      </c>
      <c r="Z379" s="4">
        <v>588</v>
      </c>
      <c r="AA379">
        <v>1</v>
      </c>
      <c r="AB379" s="4" t="str">
        <f>HYPERLINK("http://exon.niaid.nih.gov/transcriptome/C_felis/S1/links/XC-ASB/cf-contig_688-XC-ASB.txt","XC-contig_58")</f>
        <v>XC-contig_58</v>
      </c>
      <c r="AC379">
        <v>6.2E-2</v>
      </c>
      <c r="AD379" s="10" t="s">
        <v>4846</v>
      </c>
      <c r="AE379" t="s">
        <v>4610</v>
      </c>
      <c r="AF379" t="str">
        <f>HYPERLINK("http://exon.niaid.nih.gov/transcriptome/C_felis/S1/links/NR/cf-contig_688-NR.txt","NR")</f>
        <v>NR</v>
      </c>
      <c r="AG379" s="5">
        <v>1.9999999999999999E-40</v>
      </c>
      <c r="AH379">
        <v>19.899999999999999</v>
      </c>
      <c r="AI379" s="4" t="str">
        <f>HYPERLINK("http://exon.niaid.nih.gov/transcriptome/C_felis/S1/links/NR/cf-contig_688-NR.txt","probable nucleolar GTP-binding protein 1-like")</f>
        <v>probable nucleolar GTP-binding protein 1-like</v>
      </c>
      <c r="AJ379" t="str">
        <f>HYPERLINK("http://www.ncbi.nlm.nih.gov/sutils/blink.cgi?pid=350413635","2E-040")</f>
        <v>2E-040</v>
      </c>
      <c r="AK379" t="str">
        <f>HYPERLINK("http://www.ncbi.nlm.nih.gov/protein/350413635","gi|350413635")</f>
        <v>gi|350413635</v>
      </c>
      <c r="AL379">
        <v>169</v>
      </c>
      <c r="AM379">
        <v>125</v>
      </c>
      <c r="AN379">
        <v>637</v>
      </c>
      <c r="AO379">
        <v>66</v>
      </c>
      <c r="AP379">
        <v>20</v>
      </c>
      <c r="AQ379">
        <v>42</v>
      </c>
      <c r="AR379">
        <v>1</v>
      </c>
      <c r="AS379">
        <v>512</v>
      </c>
      <c r="AT379">
        <v>6</v>
      </c>
      <c r="AU379">
        <v>1</v>
      </c>
      <c r="AV379">
        <v>3</v>
      </c>
      <c r="AW379" t="s">
        <v>12</v>
      </c>
      <c r="AY379" t="s">
        <v>1676</v>
      </c>
      <c r="AZ379" t="s">
        <v>2234</v>
      </c>
      <c r="BA379" s="4" t="str">
        <f>HYPERLINK("http://exon.niaid.nih.gov/transcriptome/C_felis/S1/links/SWISSP/cf-contig_688-SWISSP.txt","Probable nucleolar GTP-binding protein 1")</f>
        <v>Probable nucleolar GTP-binding protein 1</v>
      </c>
      <c r="BB379" t="str">
        <f>HYPERLINK("http://www.uniprot.org/uniprot/Q9V411","1E-027")</f>
        <v>1E-027</v>
      </c>
      <c r="BC379" t="s">
        <v>4169</v>
      </c>
      <c r="BD379">
        <v>122</v>
      </c>
      <c r="BE379">
        <v>134</v>
      </c>
      <c r="BF379">
        <v>652</v>
      </c>
      <c r="BG379">
        <v>52</v>
      </c>
      <c r="BH379">
        <v>21</v>
      </c>
      <c r="BI379">
        <v>64</v>
      </c>
      <c r="BJ379">
        <v>10</v>
      </c>
      <c r="BK379">
        <v>518</v>
      </c>
      <c r="BL379">
        <v>9</v>
      </c>
      <c r="BM379">
        <v>1</v>
      </c>
      <c r="BN379">
        <v>3</v>
      </c>
      <c r="BO379" t="s">
        <v>12</v>
      </c>
      <c r="BQ379" t="s">
        <v>1676</v>
      </c>
      <c r="BR379" t="s">
        <v>1804</v>
      </c>
      <c r="BS379" s="4" t="str">
        <f>HYPERLINK("http://exon.niaid.nih.gov/transcriptome/C_felis/S1/links/CDD/cf-contig_688-CDD.txt","3MGA_Dioxygenas")</f>
        <v>3MGA_Dioxygenas</v>
      </c>
      <c r="BT379" t="str">
        <f>HYPERLINK("http://www.ncbi.nlm.nih.gov/Structure/cdd/cddsrv.cgi?uid=cd07366&amp;version=v4.0","0.044")</f>
        <v>0.044</v>
      </c>
      <c r="BU379" t="s">
        <v>4170</v>
      </c>
      <c r="BV379" s="4" t="s">
        <v>4171</v>
      </c>
      <c r="BW379">
        <f>HYPERLINK("http://exon.niaid.nih.gov/transcriptome/C_felis/S1/links/GO/cf-contig_688-GO.txt",1E-27)</f>
        <v>1E-27</v>
      </c>
      <c r="BX379" t="str">
        <f>HYPERLINK("http://amigo.geneontology.org/cgi-bin/amigo/term_details?term=GO:0000166","GO:0000166")</f>
        <v>GO:0000166</v>
      </c>
      <c r="BY379" t="s">
        <v>2415</v>
      </c>
      <c r="BZ379" t="s">
        <v>2416</v>
      </c>
      <c r="CA379" t="s">
        <v>42</v>
      </c>
      <c r="CB379" t="s">
        <v>42</v>
      </c>
      <c r="CD379" s="5">
        <v>7.0000000000000003E-19</v>
      </c>
      <c r="CE379" t="str">
        <f>HYPERLINK("http://amigo.geneontology.org/cgi-bin/amigo/term_details?term=GO:0005634","GO:0005634")</f>
        <v>GO:0005634</v>
      </c>
      <c r="CF379" t="s">
        <v>2064</v>
      </c>
      <c r="CG379" t="s">
        <v>2065</v>
      </c>
      <c r="CH379" t="s">
        <v>2066</v>
      </c>
      <c r="CI379" t="s">
        <v>42</v>
      </c>
      <c r="CK379" s="5">
        <v>7.0000000000000003E-19</v>
      </c>
      <c r="CL379" t="str">
        <f>HYPERLINK("http://amigo.geneontology.org/cgi-bin/amigo/term_details?term=GO:0022408","GO:0022408")</f>
        <v>GO:0022408</v>
      </c>
      <c r="CM379" t="s">
        <v>4172</v>
      </c>
      <c r="CN379" t="s">
        <v>4173</v>
      </c>
      <c r="CO379" t="s">
        <v>4174</v>
      </c>
      <c r="CP379" t="s">
        <v>42</v>
      </c>
      <c r="CR379" s="5">
        <v>7.0000000000000003E-19</v>
      </c>
      <c r="CS379" s="4" t="str">
        <f>HYPERLINK("http://exon.niaid.nih.gov/transcriptome/C_felis/S1/links/KOG/cf-contig_688-KOG.txt","GTP-binding protein CRFG/NOG1 (ODN superfamily)")</f>
        <v>GTP-binding protein CRFG/NOG1 (ODN superfamily)</v>
      </c>
      <c r="CT379" t="str">
        <f>HYPERLINK("http://www.ncbi.nlm.nih.gov/COG/grace/shokog.cgi?KOG1490","1E-024")</f>
        <v>1E-024</v>
      </c>
      <c r="CU379" t="s">
        <v>1721</v>
      </c>
      <c r="CV379" s="4" t="str">
        <f>HYPERLINK("http://exon.niaid.nih.gov/transcriptome/C_felis/S1/links/PFAM/cf-contig_688-PFAM.txt","DUF1191")</f>
        <v>DUF1191</v>
      </c>
      <c r="CW379" t="str">
        <f>HYPERLINK("http://pfam.sanger.ac.uk/family?acc=PF06697","0.021")</f>
        <v>0.021</v>
      </c>
      <c r="CX379" s="4" t="str">
        <f>HYPERLINK("http://exon.niaid.nih.gov/transcriptome/C_felis/S1/links/SMART/cf-contig_688-SMART.txt","AdoHcyase")</f>
        <v>AdoHcyase</v>
      </c>
      <c r="CY379" t="str">
        <f>HYPERLINK("http://smart.embl-heidelberg.de/smart/do_annotation.pl?DOMAIN=AdoHcyase&amp;BLAST=DUMMY","0.098")</f>
        <v>0.098</v>
      </c>
      <c r="CZ379" s="4" t="s">
        <v>42</v>
      </c>
      <c r="DA379" t="s">
        <v>42</v>
      </c>
      <c r="DB379" t="s">
        <v>42</v>
      </c>
      <c r="DC379" t="s">
        <v>42</v>
      </c>
      <c r="DD379" t="s">
        <v>42</v>
      </c>
      <c r="DE379" t="s">
        <v>42</v>
      </c>
      <c r="DF379" t="s">
        <v>42</v>
      </c>
      <c r="DG379" t="s">
        <v>42</v>
      </c>
      <c r="DH379" s="4" t="s">
        <v>42</v>
      </c>
      <c r="DI379" t="s">
        <v>42</v>
      </c>
      <c r="DJ379" s="4" t="s">
        <v>42</v>
      </c>
      <c r="DK379" t="s">
        <v>42</v>
      </c>
      <c r="DL379" s="4">
        <v>561</v>
      </c>
      <c r="DM379">
        <v>1</v>
      </c>
      <c r="DN379" s="4">
        <v>576</v>
      </c>
      <c r="DO379">
        <v>1</v>
      </c>
      <c r="DP379" s="4">
        <v>588</v>
      </c>
      <c r="DQ379">
        <v>1</v>
      </c>
      <c r="DR379" s="4">
        <v>609</v>
      </c>
      <c r="DS379">
        <v>1</v>
      </c>
      <c r="DT379" s="4">
        <v>623</v>
      </c>
      <c r="DU379">
        <v>1</v>
      </c>
      <c r="DV379" s="4">
        <v>637</v>
      </c>
      <c r="DW379">
        <v>1</v>
      </c>
      <c r="DX379" s="4">
        <v>646</v>
      </c>
      <c r="DY379">
        <v>1</v>
      </c>
      <c r="DZ379" s="4">
        <v>656</v>
      </c>
      <c r="EA379">
        <v>1</v>
      </c>
      <c r="EB379" s="4">
        <v>661</v>
      </c>
      <c r="EC379">
        <v>1</v>
      </c>
      <c r="ED379" s="4">
        <v>665</v>
      </c>
      <c r="EE379">
        <v>1</v>
      </c>
      <c r="EF379" s="4">
        <v>671</v>
      </c>
      <c r="EG379">
        <v>1</v>
      </c>
      <c r="EH379" s="4">
        <v>679</v>
      </c>
      <c r="EI379">
        <v>1</v>
      </c>
      <c r="EJ379" s="4">
        <v>688</v>
      </c>
      <c r="EK379">
        <v>1</v>
      </c>
    </row>
    <row r="380" spans="1:141" x14ac:dyDescent="0.2">
      <c r="A380" t="str">
        <f>HYPERLINK("http://exon.niaid.nih.gov/transcriptome/C_felis/S1/links/cf/cf-contig_206.txt","cf-contig_206")</f>
        <v>cf-contig_206</v>
      </c>
      <c r="B380">
        <v>2</v>
      </c>
      <c r="C380" s="10" t="s">
        <v>4689</v>
      </c>
      <c r="D380">
        <v>2</v>
      </c>
      <c r="E380" t="str">
        <f>HYPERLINK("http://exon.niaid.nih.gov/transcriptome/C_felis/S1/links/cf/cf-5-36-asb-206.txt","Contig-206")</f>
        <v>Contig-206</v>
      </c>
      <c r="F380" t="str">
        <f>HYPERLINK("http://exon.niaid.nih.gov/transcriptome/C_felis/S1/links/cf/cf-5-36-206-CLU.txt","Contig206")</f>
        <v>Contig206</v>
      </c>
      <c r="G380" t="str">
        <f>HYPERLINK("http://exon.niaid.nih.gov/transcriptome/C_felis/S1/links/cf/cf-5-36-206-qual.txt","74.9")</f>
        <v>74.9</v>
      </c>
      <c r="H380" t="s">
        <v>11</v>
      </c>
      <c r="I380">
        <v>69.7</v>
      </c>
      <c r="J380">
        <v>843</v>
      </c>
      <c r="K380" t="s">
        <v>12</v>
      </c>
      <c r="L380">
        <v>2</v>
      </c>
      <c r="M380" t="s">
        <v>219</v>
      </c>
      <c r="N380">
        <v>843</v>
      </c>
      <c r="O380">
        <v>862</v>
      </c>
      <c r="P380">
        <v>234</v>
      </c>
      <c r="Q380" t="s">
        <v>1026</v>
      </c>
      <c r="R380">
        <v>3</v>
      </c>
      <c r="S380" s="7" t="str">
        <f>HYPERLINK("http://exon.niaid.nih.gov/transcriptome/C_felis/S1/links/Sigp/CF-CONTIG_206-SigP.txt","Cyt")</f>
        <v>Cyt</v>
      </c>
      <c r="U380">
        <v>2</v>
      </c>
      <c r="V380" s="4">
        <f>HYPERLINK("http://exon.niaid.nih.gov/transcriptome/C_felis/S1/links/cluster/cf-5-36-asb30-50-Id-CLU51.txt", 51)</f>
        <v>51</v>
      </c>
      <c r="W380">
        <f>HYPERLINK("http://exon.niaid.nih.gov/transcriptome/C_felis/S1/links/cluster/cf-5-36-asb30-50-Id-CLTL51.txt", 2)</f>
        <v>2</v>
      </c>
      <c r="X380" s="4">
        <f>HYPERLINK("http://exon.niaid.nih.gov/transcriptome/C_felis/S1/links/cluster/cf-5-36-asb35-50-Id-CLU44.txt", 44)</f>
        <v>44</v>
      </c>
      <c r="Y380">
        <f>HYPERLINK("http://exon.niaid.nih.gov/transcriptome/C_felis/S1/links/cluster/cf-5-36-asb35-50-Id-CLTL44.txt", 2)</f>
        <v>2</v>
      </c>
      <c r="Z380" s="4">
        <f>HYPERLINK("http://exon.niaid.nih.gov/transcriptome/C_felis/S1/links/cluster/cf-5-36-asb40-50-Id-CLU41.txt", 41)</f>
        <v>41</v>
      </c>
      <c r="AA380">
        <f>HYPERLINK("http://exon.niaid.nih.gov/transcriptome/C_felis/S1/links/cluster/cf-5-36-asb40-50-Id-CLTL41.txt", 2)</f>
        <v>2</v>
      </c>
      <c r="AB380" s="4" t="str">
        <f>HYPERLINK("http://exon.niaid.nih.gov/transcriptome/C_felis/S1/links/XC-ASB/cf-contig_206-XC-ASB.txt","XC-contig_227")</f>
        <v>XC-contig_227</v>
      </c>
      <c r="AC380">
        <v>9.9999999999999998E-46</v>
      </c>
      <c r="AD380" s="10" t="s">
        <v>4689</v>
      </c>
      <c r="AE380" t="s">
        <v>4610</v>
      </c>
      <c r="AF380" t="str">
        <f>HYPERLINK("http://exon.niaid.nih.gov/transcriptome/C_felis/S1/links/PFAM/cf-contig_206-PFAM.txt","PFAM")</f>
        <v>PFAM</v>
      </c>
      <c r="AG380">
        <v>4.0000000000000003E-15</v>
      </c>
      <c r="AH380">
        <v>78.599999999999994</v>
      </c>
      <c r="AI380" s="4" t="str">
        <f>HYPERLINK("http://exon.niaid.nih.gov/transcriptome/C_felis/S1/links/NR/cf-contig_206-NR.txt","conserved hypothetical protein")</f>
        <v>conserved hypothetical protein</v>
      </c>
      <c r="AJ380" t="str">
        <f>HYPERLINK("http://www.ncbi.nlm.nih.gov/sutils/blink.cgi?pid=242008684","1E-006")</f>
        <v>1E-006</v>
      </c>
      <c r="AK380" t="str">
        <f>HYPERLINK("http://www.ncbi.nlm.nih.gov/protein/242008684","gi|242008684")</f>
        <v>gi|242008684</v>
      </c>
      <c r="AL380">
        <v>58.9</v>
      </c>
      <c r="AM380">
        <v>75</v>
      </c>
      <c r="AN380">
        <v>105</v>
      </c>
      <c r="AO380">
        <v>39</v>
      </c>
      <c r="AP380">
        <v>72</v>
      </c>
      <c r="AQ380">
        <v>46</v>
      </c>
      <c r="AR380">
        <v>3</v>
      </c>
      <c r="AS380">
        <v>28</v>
      </c>
      <c r="AT380">
        <v>9</v>
      </c>
      <c r="AU380">
        <v>1</v>
      </c>
      <c r="AV380">
        <v>3</v>
      </c>
      <c r="AW380" t="s">
        <v>12</v>
      </c>
      <c r="AY380" t="s">
        <v>1676</v>
      </c>
      <c r="AZ380" t="s">
        <v>1751</v>
      </c>
      <c r="BA380" s="4" t="str">
        <f>HYPERLINK("http://exon.niaid.nih.gov/transcriptome/C_felis/S1/links/SWISSP/cf-contig_206-SWISSP.txt","Uncharacterized protein C4orf34 homolog")</f>
        <v>Uncharacterized protein C4orf34 homolog</v>
      </c>
      <c r="BB380" t="str">
        <f>HYPERLINK("http://www.uniprot.org/uniprot/Q2KIK3","5E-005")</f>
        <v>5E-005</v>
      </c>
      <c r="BC380" t="s">
        <v>2441</v>
      </c>
      <c r="BD380">
        <v>48.9</v>
      </c>
      <c r="BE380">
        <v>69</v>
      </c>
      <c r="BF380">
        <v>99</v>
      </c>
      <c r="BG380">
        <v>35</v>
      </c>
      <c r="BH380">
        <v>71</v>
      </c>
      <c r="BI380">
        <v>47</v>
      </c>
      <c r="BJ380">
        <v>1</v>
      </c>
      <c r="BK380">
        <v>28</v>
      </c>
      <c r="BL380">
        <v>9</v>
      </c>
      <c r="BM380">
        <v>1</v>
      </c>
      <c r="BN380">
        <v>3</v>
      </c>
      <c r="BO380" t="s">
        <v>12</v>
      </c>
      <c r="BQ380" t="s">
        <v>1676</v>
      </c>
      <c r="BR380" t="s">
        <v>1679</v>
      </c>
      <c r="BS380" s="4" t="str">
        <f>HYPERLINK("http://exon.niaid.nih.gov/transcriptome/C_felis/S1/links/CDD/cf-contig_206-CDD.txt","DUF2615")</f>
        <v>DUF2615</v>
      </c>
      <c r="BT380" t="str">
        <f>HYPERLINK("http://www.ncbi.nlm.nih.gov/Structure/cdd/cddsrv.cgi?uid=pfam11027&amp;version=v4.0","2E-014")</f>
        <v>2E-014</v>
      </c>
      <c r="BU380" t="s">
        <v>2442</v>
      </c>
      <c r="BV380" s="4" t="s">
        <v>2443</v>
      </c>
      <c r="BW380">
        <f>HYPERLINK("http://exon.niaid.nih.gov/transcriptome/C_felis/S1/links/GO/cf-contig_206-GO.txt",0.00004)</f>
        <v>4.0000000000000003E-5</v>
      </c>
      <c r="BX380" t="s">
        <v>42</v>
      </c>
      <c r="BY380" t="s">
        <v>42</v>
      </c>
      <c r="BZ380" t="s">
        <v>42</v>
      </c>
      <c r="CA380" t="s">
        <v>42</v>
      </c>
      <c r="CC380" t="s">
        <v>42</v>
      </c>
      <c r="CD380" t="s">
        <v>42</v>
      </c>
      <c r="CE380" t="str">
        <f>HYPERLINK("http://amigo.geneontology.org/cgi-bin/amigo/term_details?term=GO:0016020","GO:0016020")</f>
        <v>GO:0016020</v>
      </c>
      <c r="CF380" t="s">
        <v>2444</v>
      </c>
      <c r="CG380" t="s">
        <v>2445</v>
      </c>
      <c r="CH380" t="s">
        <v>42</v>
      </c>
      <c r="CI380" t="s">
        <v>42</v>
      </c>
      <c r="CK380">
        <v>4.0000000000000003E-5</v>
      </c>
      <c r="CL380" t="s">
        <v>42</v>
      </c>
      <c r="CM380" t="s">
        <v>42</v>
      </c>
      <c r="CN380" t="s">
        <v>42</v>
      </c>
      <c r="CO380" t="s">
        <v>42</v>
      </c>
      <c r="CQ380" t="s">
        <v>42</v>
      </c>
      <c r="CR380" t="s">
        <v>42</v>
      </c>
      <c r="CS380" s="4" t="str">
        <f>HYPERLINK("http://exon.niaid.nih.gov/transcriptome/C_felis/S1/links/KOG/cf-contig_206-KOG.txt","O-acetyltransferase")</f>
        <v>O-acetyltransferase</v>
      </c>
      <c r="CT380" t="str">
        <f>HYPERLINK("http://www.ncbi.nlm.nih.gov/COG/grace/shokog.cgi?KOG1699","0.90")</f>
        <v>0.90</v>
      </c>
      <c r="CU380" t="s">
        <v>1721</v>
      </c>
      <c r="CV380" s="4" t="str">
        <f>HYPERLINK("http://exon.niaid.nih.gov/transcriptome/C_felis/S1/links/PFAM/cf-contig_206-PFAM.txt","DUF2615")</f>
        <v>DUF2615</v>
      </c>
      <c r="CW380" t="str">
        <f>HYPERLINK("http://pfam.sanger.ac.uk/family?acc=PF11027","4E-015")</f>
        <v>4E-015</v>
      </c>
      <c r="CX380" s="4" t="str">
        <f>HYPERLINK("http://exon.niaid.nih.gov/transcriptome/C_felis/S1/links/SMART/cf-contig_206-SMART.txt","Fungal_trans")</f>
        <v>Fungal_trans</v>
      </c>
      <c r="CY380" t="str">
        <f>HYPERLINK("http://smart.embl-heidelberg.de/smart/do_annotation.pl?DOMAIN=Fungal_trans&amp;BLAST=DUMMY","0.072")</f>
        <v>0.072</v>
      </c>
      <c r="CZ380" s="4" t="s">
        <v>42</v>
      </c>
      <c r="DA380" t="s">
        <v>42</v>
      </c>
      <c r="DB380" t="s">
        <v>42</v>
      </c>
      <c r="DC380" t="s">
        <v>42</v>
      </c>
      <c r="DD380" t="s">
        <v>42</v>
      </c>
      <c r="DE380" t="s">
        <v>42</v>
      </c>
      <c r="DF380" t="s">
        <v>42</v>
      </c>
      <c r="DG380" t="s">
        <v>42</v>
      </c>
      <c r="DH380" s="4" t="s">
        <v>42</v>
      </c>
      <c r="DI380" t="s">
        <v>42</v>
      </c>
      <c r="DJ380" s="4" t="s">
        <v>42</v>
      </c>
      <c r="DK380" t="s">
        <v>42</v>
      </c>
      <c r="DL380" s="4">
        <f>HYPERLINK("http://exon.niaid.nih.gov/transcriptome/C_felis/S1/links/cluster/cf-5-36-asb30-50-Id-CLU51.txt", 51)</f>
        <v>51</v>
      </c>
      <c r="DM380">
        <f>HYPERLINK("http://exon.niaid.nih.gov/transcriptome/C_felis/S1/links/cluster/cf-5-36-asb30-50-Id-CLTL51.txt", 2)</f>
        <v>2</v>
      </c>
      <c r="DN380" s="4">
        <f>HYPERLINK("http://exon.niaid.nih.gov/transcriptome/C_felis/S1/links/cluster/cf-5-36-asb35-50-Id-CLU44.txt", 44)</f>
        <v>44</v>
      </c>
      <c r="DO380">
        <f>HYPERLINK("http://exon.niaid.nih.gov/transcriptome/C_felis/S1/links/cluster/cf-5-36-asb35-50-Id-CLTL44.txt", 2)</f>
        <v>2</v>
      </c>
      <c r="DP380" s="4">
        <f>HYPERLINK("http://exon.niaid.nih.gov/transcriptome/C_felis/S1/links/cluster/cf-5-36-asb40-50-Id-CLU41.txt", 41)</f>
        <v>41</v>
      </c>
      <c r="DQ380">
        <f>HYPERLINK("http://exon.niaid.nih.gov/transcriptome/C_felis/S1/links/cluster/cf-5-36-asb40-50-Id-CLTL41.txt", 2)</f>
        <v>2</v>
      </c>
      <c r="DR380" s="4">
        <v>172</v>
      </c>
      <c r="DS380">
        <v>1</v>
      </c>
      <c r="DT380" s="4">
        <v>176</v>
      </c>
      <c r="DU380">
        <v>1</v>
      </c>
      <c r="DV380" s="4">
        <v>188</v>
      </c>
      <c r="DW380">
        <v>1</v>
      </c>
      <c r="DX380" s="4">
        <v>190</v>
      </c>
      <c r="DY380">
        <v>1</v>
      </c>
      <c r="DZ380" s="4">
        <v>192</v>
      </c>
      <c r="EA380">
        <v>1</v>
      </c>
      <c r="EB380" s="4">
        <v>197</v>
      </c>
      <c r="EC380">
        <v>1</v>
      </c>
      <c r="ED380" s="4">
        <v>200</v>
      </c>
      <c r="EE380">
        <v>1</v>
      </c>
      <c r="EF380" s="4">
        <v>201</v>
      </c>
      <c r="EG380">
        <v>1</v>
      </c>
      <c r="EH380" s="4">
        <v>201</v>
      </c>
      <c r="EI380">
        <v>1</v>
      </c>
      <c r="EJ380" s="4">
        <v>206</v>
      </c>
      <c r="EK380">
        <v>1</v>
      </c>
    </row>
    <row r="381" spans="1:141" x14ac:dyDescent="0.2">
      <c r="A381" t="str">
        <f>HYPERLINK("http://exon.niaid.nih.gov/transcriptome/C_felis/S1/links/cf/cf-contig_756.txt","cf-contig_756")</f>
        <v>cf-contig_756</v>
      </c>
      <c r="B381">
        <v>1</v>
      </c>
      <c r="C381" s="10" t="s">
        <v>4689</v>
      </c>
      <c r="D381">
        <v>1</v>
      </c>
      <c r="E381" t="str">
        <f>HYPERLINK("http://exon.niaid.nih.gov/transcriptome/C_felis/S1/links/cf/cf-5-36-asb-756.txt","Contig-756")</f>
        <v>Contig-756</v>
      </c>
      <c r="F381" t="str">
        <f>HYPERLINK("http://exon.niaid.nih.gov/transcriptome/C_felis/S1/links/cf/cf-5-36-756-CLU.txt","Contig756")</f>
        <v>Contig756</v>
      </c>
      <c r="G381" t="str">
        <f>HYPERLINK("http://exon.niaid.nih.gov/transcriptome/C_felis/S1/links/cf/cf-5-36-756-qual.txt","61.9")</f>
        <v>61.9</v>
      </c>
      <c r="H381">
        <v>0.2</v>
      </c>
      <c r="I381">
        <v>65.2</v>
      </c>
      <c r="J381">
        <v>490</v>
      </c>
      <c r="K381" t="s">
        <v>12</v>
      </c>
      <c r="L381">
        <v>1</v>
      </c>
      <c r="M381" t="s">
        <v>769</v>
      </c>
      <c r="N381">
        <v>490</v>
      </c>
      <c r="O381">
        <v>509</v>
      </c>
      <c r="P381">
        <v>348</v>
      </c>
      <c r="Q381" t="s">
        <v>1575</v>
      </c>
      <c r="R381">
        <v>1</v>
      </c>
      <c r="S381" s="7" t="str">
        <f>HYPERLINK("http://exon.niaid.nih.gov/transcriptome/C_felis/S1/links/Sigp/CF-CONTIG_756-SigP.txt","Cyt")</f>
        <v>Cyt</v>
      </c>
      <c r="U381">
        <v>1</v>
      </c>
      <c r="V381" s="4">
        <v>608</v>
      </c>
      <c r="W381">
        <v>1</v>
      </c>
      <c r="X381" s="4">
        <v>628</v>
      </c>
      <c r="Y381">
        <v>1</v>
      </c>
      <c r="Z381" s="4">
        <v>642</v>
      </c>
      <c r="AA381">
        <v>1</v>
      </c>
      <c r="AB381" s="4" t="str">
        <f>HYPERLINK("http://exon.niaid.nih.gov/transcriptome/C_felis/S1/links/XC-ASB/cf-contig_756-XC-ASB.txt","XC-contig_50")</f>
        <v>XC-contig_50</v>
      </c>
      <c r="AC381">
        <v>0.08</v>
      </c>
      <c r="AD381" s="10" t="s">
        <v>4689</v>
      </c>
      <c r="AE381" t="s">
        <v>4610</v>
      </c>
      <c r="AF381" t="str">
        <f>HYPERLINK("http://exon.niaid.nih.gov/transcriptome/C_felis/S1/links/PFAM/cf-contig_756-PFAM.txt","PFAM")</f>
        <v>PFAM</v>
      </c>
      <c r="AG381" s="5">
        <v>1.9999999999999998E-21</v>
      </c>
      <c r="AH381">
        <v>48.4</v>
      </c>
      <c r="AI381" s="4" t="str">
        <f>HYPERLINK("http://exon.niaid.nih.gov/transcriptome/C_felis/S1/links/NR/cf-contig_756-NR.txt","similar to 2-aminoethanethiol (cysteamine) dioxygenase")</f>
        <v>similar to 2-aminoethanethiol (cysteamine) dioxygenase</v>
      </c>
      <c r="AJ381" t="str">
        <f>HYPERLINK("http://www.ncbi.nlm.nih.gov/sutils/blink.cgi?pid=91090992","8E-018")</f>
        <v>8E-018</v>
      </c>
      <c r="AK381" t="str">
        <f>HYPERLINK("http://www.ncbi.nlm.nih.gov/protein/91090992","gi|91090992")</f>
        <v>gi|91090992</v>
      </c>
      <c r="AL381">
        <v>94</v>
      </c>
      <c r="AM381">
        <v>87</v>
      </c>
      <c r="AN381">
        <v>227</v>
      </c>
      <c r="AO381">
        <v>45</v>
      </c>
      <c r="AP381">
        <v>39</v>
      </c>
      <c r="AQ381">
        <v>48</v>
      </c>
      <c r="AR381">
        <v>0</v>
      </c>
      <c r="AS381">
        <v>140</v>
      </c>
      <c r="AT381">
        <v>58</v>
      </c>
      <c r="AU381">
        <v>1</v>
      </c>
      <c r="AV381">
        <v>1</v>
      </c>
      <c r="AW381" t="s">
        <v>12</v>
      </c>
      <c r="AY381" t="s">
        <v>1676</v>
      </c>
      <c r="AZ381" t="s">
        <v>1878</v>
      </c>
      <c r="BA381" s="4" t="str">
        <f>HYPERLINK("http://exon.niaid.nih.gov/transcriptome/C_felis/S1/links/SWISSP/cf-contig_756-SWISSP.txt","2-aminoethanethiol dioxygenase")</f>
        <v>2-aminoethanethiol dioxygenase</v>
      </c>
      <c r="BB381" t="str">
        <f>HYPERLINK("http://www.uniprot.org/uniprot/Q6PDY2","2E-010")</f>
        <v>2E-010</v>
      </c>
      <c r="BC381" t="s">
        <v>4414</v>
      </c>
      <c r="BD381">
        <v>65.5</v>
      </c>
      <c r="BE381">
        <v>88</v>
      </c>
      <c r="BF381">
        <v>256</v>
      </c>
      <c r="BG381">
        <v>43</v>
      </c>
      <c r="BH381">
        <v>35</v>
      </c>
      <c r="BI381">
        <v>53</v>
      </c>
      <c r="BJ381">
        <v>11</v>
      </c>
      <c r="BK381">
        <v>164</v>
      </c>
      <c r="BL381">
        <v>67</v>
      </c>
      <c r="BM381">
        <v>1</v>
      </c>
      <c r="BN381">
        <v>1</v>
      </c>
      <c r="BO381" t="s">
        <v>12</v>
      </c>
      <c r="BQ381" t="s">
        <v>1676</v>
      </c>
      <c r="BR381" t="s">
        <v>1705</v>
      </c>
      <c r="BS381" s="4" t="str">
        <f>HYPERLINK("http://exon.niaid.nih.gov/transcriptome/C_felis/S1/links/CDD/cf-contig_756-CDD.txt","DUF1637")</f>
        <v>DUF1637</v>
      </c>
      <c r="BT381" t="str">
        <f>HYPERLINK("http://www.ncbi.nlm.nih.gov/Structure/cdd/cddsrv.cgi?uid=pfam07847&amp;version=v4.0","9E-021")</f>
        <v>9E-021</v>
      </c>
      <c r="BU381" t="s">
        <v>4415</v>
      </c>
      <c r="BV381" s="4" t="s">
        <v>4416</v>
      </c>
      <c r="BW381">
        <f>HYPERLINK("http://exon.niaid.nih.gov/transcriptome/C_felis/S1/links/GO/cf-contig_756-GO.txt",0.000000000006)</f>
        <v>6.0000000000000003E-12</v>
      </c>
      <c r="BX381" t="str">
        <f>HYPERLINK("http://amigo.geneontology.org/cgi-bin/amigo/term_details?term=GO:0047800","GO:0047800")</f>
        <v>GO:0047800</v>
      </c>
      <c r="BY381" t="s">
        <v>4417</v>
      </c>
      <c r="BZ381" t="s">
        <v>4418</v>
      </c>
      <c r="CA381" t="s">
        <v>4419</v>
      </c>
      <c r="CB381" t="str">
        <f>HYPERLINK("http://www.genome.jp/dbget-bin/www_bfind_sub?mode=bfind&amp;max_hit=1000&amp;dbkey=kegg&amp;keywords=EC:1.13.11.19","EC:1.13.11.19")</f>
        <v>EC:1.13.11.19</v>
      </c>
      <c r="CC381" t="str">
        <f>HYPERLINK("http://www.genome.jp/dbget-bin/www_bget?rn:R02467","KEGG:R02467")</f>
        <v>KEGG:R02467</v>
      </c>
      <c r="CD381">
        <v>6.0000000000000003E-12</v>
      </c>
      <c r="CE381" t="str">
        <f>HYPERLINK("http://amigo.geneontology.org/cgi-bin/amigo/term_details?term=GO:0005575","GO:0005575")</f>
        <v>GO:0005575</v>
      </c>
      <c r="CF381" t="s">
        <v>1838</v>
      </c>
      <c r="CG381" t="s">
        <v>1839</v>
      </c>
      <c r="CH381" t="s">
        <v>1840</v>
      </c>
      <c r="CI381" t="s">
        <v>42</v>
      </c>
      <c r="CK381">
        <v>6.0000000000000003E-12</v>
      </c>
      <c r="CL381" t="str">
        <f>HYPERLINK("http://amigo.geneontology.org/cgi-bin/amigo/term_details?term=GO:0055114","GO:0055114")</f>
        <v>GO:0055114</v>
      </c>
      <c r="CM381" t="s">
        <v>3270</v>
      </c>
      <c r="CN381" t="s">
        <v>3271</v>
      </c>
      <c r="CO381" t="s">
        <v>3272</v>
      </c>
      <c r="CP381" t="s">
        <v>42</v>
      </c>
      <c r="CR381">
        <v>6.0000000000000003E-12</v>
      </c>
      <c r="CS381" s="4" t="str">
        <f>HYPERLINK("http://exon.niaid.nih.gov/transcriptome/C_felis/S1/links/KOG/cf-contig_756-KOG.txt","Uncharacterized conserved protein")</f>
        <v>Uncharacterized conserved protein</v>
      </c>
      <c r="CT381" t="str">
        <f>HYPERLINK("http://www.ncbi.nlm.nih.gov/COG/grace/shokog.cgi?KOG4281","1E-014")</f>
        <v>1E-014</v>
      </c>
      <c r="CU381" t="s">
        <v>1711</v>
      </c>
      <c r="CV381" s="4" t="str">
        <f>HYPERLINK("http://exon.niaid.nih.gov/transcriptome/C_felis/S1/links/PFAM/cf-contig_756-PFAM.txt","DUF1637")</f>
        <v>DUF1637</v>
      </c>
      <c r="CW381" t="str">
        <f>HYPERLINK("http://pfam.sanger.ac.uk/family?acc=PF07847","2E-021")</f>
        <v>2E-021</v>
      </c>
      <c r="CX381" s="4" t="str">
        <f>HYPERLINK("http://exon.niaid.nih.gov/transcriptome/C_felis/S1/links/SMART/cf-contig_756-SMART.txt","Trans_reg_C")</f>
        <v>Trans_reg_C</v>
      </c>
      <c r="CY381" t="str">
        <f>HYPERLINK("http://smart.embl-heidelberg.de/smart/do_annotation.pl?DOMAIN=Trans_reg_C&amp;BLAST=DUMMY","0.098")</f>
        <v>0.098</v>
      </c>
      <c r="CZ381" s="4" t="s">
        <v>42</v>
      </c>
      <c r="DA381" t="s">
        <v>42</v>
      </c>
      <c r="DB381" t="s">
        <v>42</v>
      </c>
      <c r="DC381" t="s">
        <v>42</v>
      </c>
      <c r="DD381" t="s">
        <v>42</v>
      </c>
      <c r="DE381" t="s">
        <v>42</v>
      </c>
      <c r="DF381" t="s">
        <v>42</v>
      </c>
      <c r="DG381" t="s">
        <v>42</v>
      </c>
      <c r="DH381" s="4" t="s">
        <v>42</v>
      </c>
      <c r="DI381" t="s">
        <v>42</v>
      </c>
      <c r="DJ381" s="4" t="s">
        <v>42</v>
      </c>
      <c r="DK381" t="s">
        <v>42</v>
      </c>
      <c r="DL381" s="4">
        <v>608</v>
      </c>
      <c r="DM381">
        <v>1</v>
      </c>
      <c r="DN381" s="4">
        <v>628</v>
      </c>
      <c r="DO381">
        <v>1</v>
      </c>
      <c r="DP381" s="4">
        <v>642</v>
      </c>
      <c r="DQ381">
        <v>1</v>
      </c>
      <c r="DR381" s="4">
        <v>664</v>
      </c>
      <c r="DS381">
        <v>1</v>
      </c>
      <c r="DT381" s="4">
        <v>679</v>
      </c>
      <c r="DU381">
        <v>1</v>
      </c>
      <c r="DV381" s="4">
        <v>694</v>
      </c>
      <c r="DW381">
        <v>1</v>
      </c>
      <c r="DX381" s="4">
        <v>707</v>
      </c>
      <c r="DY381">
        <v>1</v>
      </c>
      <c r="DZ381" s="4">
        <v>718</v>
      </c>
      <c r="EA381">
        <v>1</v>
      </c>
      <c r="EB381" s="4">
        <v>724</v>
      </c>
      <c r="EC381">
        <v>1</v>
      </c>
      <c r="ED381" s="4">
        <v>729</v>
      </c>
      <c r="EE381">
        <v>1</v>
      </c>
      <c r="EF381" s="4">
        <v>735</v>
      </c>
      <c r="EG381">
        <v>1</v>
      </c>
      <c r="EH381" s="4">
        <v>747</v>
      </c>
      <c r="EI381">
        <v>1</v>
      </c>
      <c r="EJ381" s="4">
        <v>756</v>
      </c>
      <c r="EK381">
        <v>1</v>
      </c>
    </row>
    <row r="382" spans="1:141" x14ac:dyDescent="0.2">
      <c r="A382" t="str">
        <f>HYPERLINK("http://exon.niaid.nih.gov/transcriptome/C_felis/S1/links/cf/cf-contig_430.txt","cf-contig_430")</f>
        <v>cf-contig_430</v>
      </c>
      <c r="B382">
        <v>1</v>
      </c>
      <c r="C382" s="10" t="s">
        <v>4765</v>
      </c>
      <c r="D382">
        <v>1</v>
      </c>
      <c r="E382" t="str">
        <f>HYPERLINK("http://exon.niaid.nih.gov/transcriptome/C_felis/S1/links/cf/cf-5-36-asb-430.txt","Contig-430")</f>
        <v>Contig-430</v>
      </c>
      <c r="F382" t="str">
        <f>HYPERLINK("http://exon.niaid.nih.gov/transcriptome/C_felis/S1/links/cf/cf-5-36-430-CLU.txt","Contig430")</f>
        <v>Contig430</v>
      </c>
      <c r="G382" t="str">
        <f>HYPERLINK("http://exon.niaid.nih.gov/transcriptome/C_felis/S1/links/cf/cf-5-36-430-qual.txt","60.3")</f>
        <v>60.3</v>
      </c>
      <c r="H382" t="s">
        <v>11</v>
      </c>
      <c r="I382">
        <v>70.8</v>
      </c>
      <c r="J382">
        <v>324</v>
      </c>
      <c r="K382" t="s">
        <v>12</v>
      </c>
      <c r="L382">
        <v>1</v>
      </c>
      <c r="M382" t="s">
        <v>443</v>
      </c>
      <c r="N382">
        <v>324</v>
      </c>
      <c r="O382">
        <v>343</v>
      </c>
      <c r="P382">
        <v>156</v>
      </c>
      <c r="Q382" t="s">
        <v>1250</v>
      </c>
      <c r="R382">
        <v>2</v>
      </c>
      <c r="S382" s="7" t="s">
        <v>4585</v>
      </c>
      <c r="U382">
        <v>1</v>
      </c>
      <c r="V382" s="4">
        <v>349</v>
      </c>
      <c r="W382">
        <v>1</v>
      </c>
      <c r="X382" s="4">
        <v>358</v>
      </c>
      <c r="Y382">
        <v>1</v>
      </c>
      <c r="Z382" s="4">
        <v>362</v>
      </c>
      <c r="AA382">
        <v>1</v>
      </c>
      <c r="AB382" s="4" t="str">
        <f>HYPERLINK("http://exon.niaid.nih.gov/transcriptome/C_felis/S1/links/XC-ASB/cf-contig_430-XC-ASB.txt","XC-contig_155")</f>
        <v>XC-contig_155</v>
      </c>
      <c r="AC382">
        <v>0.24</v>
      </c>
      <c r="AD382" s="10" t="s">
        <v>4765</v>
      </c>
      <c r="AE382" t="s">
        <v>4610</v>
      </c>
      <c r="AF382" t="str">
        <f>HYPERLINK("http://exon.niaid.nih.gov/transcriptome/C_felis/S1/links/KOG/cf-contig_430-KOG.txt","KOG")</f>
        <v>KOG</v>
      </c>
      <c r="AG382">
        <v>2.0000000000000001E-10</v>
      </c>
      <c r="AH382">
        <v>16.100000000000001</v>
      </c>
      <c r="AI382" s="4" t="str">
        <f>HYPERLINK("http://exon.niaid.nih.gov/transcriptome/C_felis/S1/links/NR/cf-contig_430-NR.txt","MIT domain-containing protein 1")</f>
        <v>MIT domain-containing protein 1</v>
      </c>
      <c r="AJ382" t="str">
        <f>HYPERLINK("http://www.ncbi.nlm.nih.gov/sutils/blink.cgi?pid=318085127","4E-007")</f>
        <v>4E-007</v>
      </c>
      <c r="AK382" t="str">
        <f>HYPERLINK("http://www.ncbi.nlm.nih.gov/protein/318085127","gi|318085127")</f>
        <v>gi|318085127</v>
      </c>
      <c r="AL382">
        <v>58.5</v>
      </c>
      <c r="AM382">
        <v>39</v>
      </c>
      <c r="AN382">
        <v>246</v>
      </c>
      <c r="AO382">
        <v>60</v>
      </c>
      <c r="AP382">
        <v>16</v>
      </c>
      <c r="AQ382">
        <v>16</v>
      </c>
      <c r="AR382">
        <v>0</v>
      </c>
      <c r="AS382">
        <v>203</v>
      </c>
      <c r="AT382">
        <v>38</v>
      </c>
      <c r="AU382">
        <v>1</v>
      </c>
      <c r="AV382">
        <v>2</v>
      </c>
      <c r="AW382" t="s">
        <v>12</v>
      </c>
      <c r="AY382" t="s">
        <v>1676</v>
      </c>
      <c r="AZ382" t="s">
        <v>2485</v>
      </c>
      <c r="BA382" s="4" t="str">
        <f>HYPERLINK("http://exon.niaid.nih.gov/transcriptome/C_felis/S1/links/SWISSP/cf-contig_430-SWISSP.txt","MIT domain-containing protein 1")</f>
        <v>MIT domain-containing protein 1</v>
      </c>
      <c r="BB382" t="str">
        <f>HYPERLINK("http://www.uniprot.org/uniprot/Q8VDV8","1E-007")</f>
        <v>1E-007</v>
      </c>
      <c r="BC382" t="s">
        <v>3208</v>
      </c>
      <c r="BD382">
        <v>55.1</v>
      </c>
      <c r="BE382">
        <v>39</v>
      </c>
      <c r="BF382">
        <v>249</v>
      </c>
      <c r="BG382">
        <v>60</v>
      </c>
      <c r="BH382">
        <v>16</v>
      </c>
      <c r="BI382">
        <v>16</v>
      </c>
      <c r="BJ382">
        <v>0</v>
      </c>
      <c r="BK382">
        <v>206</v>
      </c>
      <c r="BL382">
        <v>38</v>
      </c>
      <c r="BM382">
        <v>1</v>
      </c>
      <c r="BN382">
        <v>2</v>
      </c>
      <c r="BO382" t="s">
        <v>12</v>
      </c>
      <c r="BQ382" t="s">
        <v>1676</v>
      </c>
      <c r="BR382" t="s">
        <v>1705</v>
      </c>
      <c r="BS382" s="4" t="str">
        <f>HYPERLINK("http://exon.niaid.nih.gov/transcriptome/C_felis/S1/links/CDD/cf-contig_430-CDD.txt","MIT_C")</f>
        <v>MIT_C</v>
      </c>
      <c r="BT382" t="str">
        <f>HYPERLINK("http://www.ncbi.nlm.nih.gov/Structure/cdd/cddsrv.cgi?uid=cd02685&amp;version=v4.0","2E-011")</f>
        <v>2E-011</v>
      </c>
      <c r="BU382" t="s">
        <v>3209</v>
      </c>
      <c r="BV382" s="4" t="s">
        <v>3210</v>
      </c>
      <c r="BW382">
        <f>HYPERLINK("http://exon.niaid.nih.gov/transcriptome/C_felis/S1/links/GO/cf-contig_430-GO.txt",0.000000009)</f>
        <v>8.9999999999999995E-9</v>
      </c>
      <c r="BX382" t="str">
        <f>HYPERLINK("http://amigo.geneontology.org/cgi-bin/amigo/term_details?term=GO:0003674","GO:0003674")</f>
        <v>GO:0003674</v>
      </c>
      <c r="BY382" t="s">
        <v>1851</v>
      </c>
      <c r="BZ382" t="s">
        <v>1852</v>
      </c>
      <c r="CA382" t="s">
        <v>1853</v>
      </c>
      <c r="CB382" t="s">
        <v>42</v>
      </c>
      <c r="CD382">
        <v>8.9999999999999995E-9</v>
      </c>
      <c r="CE382" t="str">
        <f>HYPERLINK("http://amigo.geneontology.org/cgi-bin/amigo/term_details?term=GO:0005575","GO:0005575")</f>
        <v>GO:0005575</v>
      </c>
      <c r="CF382" t="s">
        <v>1838</v>
      </c>
      <c r="CG382" t="s">
        <v>1839</v>
      </c>
      <c r="CH382" t="s">
        <v>1840</v>
      </c>
      <c r="CI382" t="s">
        <v>42</v>
      </c>
      <c r="CK382">
        <v>8.9999999999999995E-9</v>
      </c>
      <c r="CL382" t="str">
        <f>HYPERLINK("http://amigo.geneontology.org/cgi-bin/amigo/term_details?term=GO:0008150","GO:0008150")</f>
        <v>GO:0008150</v>
      </c>
      <c r="CM382" t="s">
        <v>1857</v>
      </c>
      <c r="CN382" t="s">
        <v>1858</v>
      </c>
      <c r="CO382" t="s">
        <v>1859</v>
      </c>
      <c r="CP382" t="s">
        <v>42</v>
      </c>
      <c r="CR382">
        <v>8.9999999999999995E-9</v>
      </c>
      <c r="CS382" s="4" t="str">
        <f>HYPERLINK("http://exon.niaid.nih.gov/transcriptome/C_felis/S1/links/KOG/cf-contig_430-KOG.txt","Uncharacterized conserved protein")</f>
        <v>Uncharacterized conserved protein</v>
      </c>
      <c r="CT382" t="str">
        <f>HYPERLINK("http://www.ncbi.nlm.nih.gov/COG/grace/shokog.cgi?KOG4509","2E-010")</f>
        <v>2E-010</v>
      </c>
      <c r="CU382" t="s">
        <v>1711</v>
      </c>
      <c r="CV382" s="4" t="str">
        <f>HYPERLINK("http://exon.niaid.nih.gov/transcriptome/C_felis/S1/links/PFAM/cf-contig_430-PFAM.txt","7TM_GPCR_Srx")</f>
        <v>7TM_GPCR_Srx</v>
      </c>
      <c r="CW382" t="str">
        <f>HYPERLINK("http://pfam.sanger.ac.uk/family?acc=PF10328","0.15")</f>
        <v>0.15</v>
      </c>
      <c r="CX382" s="4" t="str">
        <f>HYPERLINK("http://exon.niaid.nih.gov/transcriptome/C_felis/S1/links/SMART/cf-contig_430-SMART.txt","AgrB")</f>
        <v>AgrB</v>
      </c>
      <c r="CY382" t="str">
        <f>HYPERLINK("http://smart.embl-heidelberg.de/smart/do_annotation.pl?DOMAIN=AgrB&amp;BLAST=DUMMY","0.18")</f>
        <v>0.18</v>
      </c>
      <c r="CZ382" s="4" t="s">
        <v>42</v>
      </c>
      <c r="DA382" t="s">
        <v>42</v>
      </c>
      <c r="DB382" t="s">
        <v>42</v>
      </c>
      <c r="DC382" t="s">
        <v>42</v>
      </c>
      <c r="DD382" t="s">
        <v>42</v>
      </c>
      <c r="DE382" t="s">
        <v>42</v>
      </c>
      <c r="DF382" t="s">
        <v>42</v>
      </c>
      <c r="DG382" t="s">
        <v>42</v>
      </c>
      <c r="DH382" s="4" t="s">
        <v>42</v>
      </c>
      <c r="DI382" t="s">
        <v>42</v>
      </c>
      <c r="DJ382" s="4" t="s">
        <v>42</v>
      </c>
      <c r="DK382" t="s">
        <v>42</v>
      </c>
      <c r="DL382" s="4">
        <v>349</v>
      </c>
      <c r="DM382">
        <v>1</v>
      </c>
      <c r="DN382" s="4">
        <v>358</v>
      </c>
      <c r="DO382">
        <v>1</v>
      </c>
      <c r="DP382" s="4">
        <v>362</v>
      </c>
      <c r="DQ382">
        <v>1</v>
      </c>
      <c r="DR382" s="4">
        <v>374</v>
      </c>
      <c r="DS382">
        <v>1</v>
      </c>
      <c r="DT382" s="4">
        <v>384</v>
      </c>
      <c r="DU382">
        <v>1</v>
      </c>
      <c r="DV382" s="4">
        <v>398</v>
      </c>
      <c r="DW382">
        <v>1</v>
      </c>
      <c r="DX382" s="4">
        <v>401</v>
      </c>
      <c r="DY382">
        <v>1</v>
      </c>
      <c r="DZ382" s="4">
        <v>406</v>
      </c>
      <c r="EA382">
        <v>1</v>
      </c>
      <c r="EB382" s="4">
        <v>411</v>
      </c>
      <c r="EC382">
        <v>1</v>
      </c>
      <c r="ED382" s="4">
        <v>415</v>
      </c>
      <c r="EE382">
        <v>1</v>
      </c>
      <c r="EF382" s="4">
        <v>420</v>
      </c>
      <c r="EG382">
        <v>1</v>
      </c>
      <c r="EH382" s="4">
        <v>424</v>
      </c>
      <c r="EI382">
        <v>1</v>
      </c>
      <c r="EJ382" s="4">
        <v>430</v>
      </c>
      <c r="EK382">
        <v>1</v>
      </c>
    </row>
    <row r="383" spans="1:141" x14ac:dyDescent="0.2">
      <c r="A383" t="str">
        <f>HYPERLINK("http://exon.niaid.nih.gov/transcriptome/C_felis/S1/links/cf/cf-contig_377.txt","cf-contig_377")</f>
        <v>cf-contig_377</v>
      </c>
      <c r="B383">
        <v>1</v>
      </c>
      <c r="C383" s="10" t="s">
        <v>4750</v>
      </c>
      <c r="D383">
        <v>1</v>
      </c>
      <c r="E383" t="str">
        <f>HYPERLINK("http://exon.niaid.nih.gov/transcriptome/C_felis/S1/links/cf/cf-5-36-asb-377.txt","Contig-377")</f>
        <v>Contig-377</v>
      </c>
      <c r="F383" t="str">
        <f>HYPERLINK("http://exon.niaid.nih.gov/transcriptome/C_felis/S1/links/cf/cf-5-36-377-CLU.txt","Contig377")</f>
        <v>Contig377</v>
      </c>
      <c r="G383" t="str">
        <f>HYPERLINK("http://exon.niaid.nih.gov/transcriptome/C_felis/S1/links/cf/cf-5-36-377-qual.txt","65.")</f>
        <v>65.</v>
      </c>
      <c r="H383" t="s">
        <v>11</v>
      </c>
      <c r="I383">
        <v>68.3</v>
      </c>
      <c r="J383">
        <v>463</v>
      </c>
      <c r="K383" t="s">
        <v>12</v>
      </c>
      <c r="L383">
        <v>1</v>
      </c>
      <c r="M383" t="s">
        <v>390</v>
      </c>
      <c r="N383">
        <v>463</v>
      </c>
      <c r="O383">
        <v>482</v>
      </c>
      <c r="P383">
        <v>321</v>
      </c>
      <c r="Q383" t="s">
        <v>1197</v>
      </c>
      <c r="R383">
        <v>3</v>
      </c>
      <c r="S383" s="7" t="str">
        <f>HYPERLINK("http://exon.niaid.nih.gov/transcriptome/C_felis/S1/links/Sigp/CF-CONTIG_377-SigP.txt","Anch")</f>
        <v>Anch</v>
      </c>
      <c r="U383">
        <v>1</v>
      </c>
      <c r="V383" s="4">
        <v>306</v>
      </c>
      <c r="W383">
        <v>1</v>
      </c>
      <c r="X383" s="4">
        <v>313</v>
      </c>
      <c r="Y383">
        <v>1</v>
      </c>
      <c r="Z383" s="4">
        <v>314</v>
      </c>
      <c r="AA383">
        <v>1</v>
      </c>
      <c r="AB383" s="4" t="str">
        <f>HYPERLINK("http://exon.niaid.nih.gov/transcriptome/C_felis/S1/links/XC-ASB/cf-contig_377-XC-ASB.txt","XC-contig_202")</f>
        <v>XC-contig_202</v>
      </c>
      <c r="AC383">
        <v>0.1</v>
      </c>
      <c r="AD383" s="10" t="s">
        <v>4750</v>
      </c>
      <c r="AE383" t="s">
        <v>4751</v>
      </c>
      <c r="AF383" t="str">
        <f>HYPERLINK("http://exon.niaid.nih.gov/transcriptome/C_felis/S1/links/KOG/cf-contig_377-KOG.txt","KOG")</f>
        <v>KOG</v>
      </c>
      <c r="AG383" s="5">
        <v>6.0000000000000005E-44</v>
      </c>
      <c r="AH383">
        <v>91</v>
      </c>
      <c r="AI383" s="4" t="str">
        <f>HYPERLINK("http://exon.niaid.nih.gov/transcriptome/C_felis/S1/links/NR/cf-contig_377-NR.txt","hypothetical protein AaeL_AAEL005414")</f>
        <v>hypothetical protein AaeL_AAEL005414</v>
      </c>
      <c r="AJ383" t="str">
        <f>HYPERLINK("http://www.ncbi.nlm.nih.gov/sutils/blink.cgi?pid=157109866","6E-044")</f>
        <v>6E-044</v>
      </c>
      <c r="AK383" t="str">
        <f>HYPERLINK("http://www.ncbi.nlm.nih.gov/protein/157109866","gi|157109866")</f>
        <v>gi|157109866</v>
      </c>
      <c r="AL383">
        <v>180</v>
      </c>
      <c r="AM383">
        <v>104</v>
      </c>
      <c r="AN383">
        <v>115</v>
      </c>
      <c r="AO383">
        <v>79</v>
      </c>
      <c r="AP383">
        <v>91</v>
      </c>
      <c r="AQ383">
        <v>22</v>
      </c>
      <c r="AR383">
        <v>0</v>
      </c>
      <c r="AS383">
        <v>11</v>
      </c>
      <c r="AT383">
        <v>9</v>
      </c>
      <c r="AU383">
        <v>1</v>
      </c>
      <c r="AV383">
        <v>3</v>
      </c>
      <c r="AW383" t="s">
        <v>12</v>
      </c>
      <c r="AY383" t="s">
        <v>1676</v>
      </c>
      <c r="AZ383" t="s">
        <v>2267</v>
      </c>
      <c r="BA383" s="4" t="str">
        <f>HYPERLINK("http://exon.niaid.nih.gov/transcriptome/C_felis/S1/links/SWISSP/cf-contig_377-SWISSP.txt","Transmembrane protein 93")</f>
        <v>Transmembrane protein 93</v>
      </c>
      <c r="BB383" t="str">
        <f>HYPERLINK("http://www.uniprot.org/uniprot/Q9CQW0","2E-031")</f>
        <v>2E-031</v>
      </c>
      <c r="BC383" t="s">
        <v>3001</v>
      </c>
      <c r="BD383">
        <v>135</v>
      </c>
      <c r="BE383">
        <v>95</v>
      </c>
      <c r="BF383">
        <v>110</v>
      </c>
      <c r="BG383">
        <v>65</v>
      </c>
      <c r="BH383">
        <v>87</v>
      </c>
      <c r="BI383">
        <v>33</v>
      </c>
      <c r="BJ383">
        <v>0</v>
      </c>
      <c r="BK383">
        <v>15</v>
      </c>
      <c r="BL383">
        <v>36</v>
      </c>
      <c r="BM383">
        <v>1</v>
      </c>
      <c r="BN383">
        <v>3</v>
      </c>
      <c r="BO383" t="s">
        <v>12</v>
      </c>
      <c r="BQ383" t="s">
        <v>1676</v>
      </c>
      <c r="BR383" t="s">
        <v>1705</v>
      </c>
      <c r="BS383" s="4" t="str">
        <f>HYPERLINK("http://exon.niaid.nih.gov/transcriptome/C_felis/S1/links/CDD/cf-contig_377-CDD.txt","Rab5ip")</f>
        <v>Rab5ip</v>
      </c>
      <c r="BT383" t="str">
        <f>HYPERLINK("http://www.ncbi.nlm.nih.gov/Structure/cdd/cddsrv.cgi?uid=pfam07019&amp;version=v4.0","3E-023")</f>
        <v>3E-023</v>
      </c>
      <c r="BU383" t="s">
        <v>3002</v>
      </c>
      <c r="BV383" s="4" t="s">
        <v>3003</v>
      </c>
      <c r="BW383">
        <f>HYPERLINK("http://exon.niaid.nih.gov/transcriptome/C_felis/S1/links/GO/cf-contig_377-GO.txt",1E-31)</f>
        <v>1.0000000000000001E-31</v>
      </c>
      <c r="BX383" t="str">
        <f>HYPERLINK("http://amigo.geneontology.org/cgi-bin/amigo/term_details?term=GO:0003674","GO:0003674")</f>
        <v>GO:0003674</v>
      </c>
      <c r="BY383" t="s">
        <v>1851</v>
      </c>
      <c r="BZ383" t="s">
        <v>1852</v>
      </c>
      <c r="CA383" t="s">
        <v>1853</v>
      </c>
      <c r="CB383" t="s">
        <v>42</v>
      </c>
      <c r="CD383" s="5">
        <v>9.9999999999999997E-29</v>
      </c>
      <c r="CE383" t="str">
        <f>HYPERLINK("http://amigo.geneontology.org/cgi-bin/amigo/term_details?term=GO:0016020","GO:0016020")</f>
        <v>GO:0016020</v>
      </c>
      <c r="CF383" t="s">
        <v>2444</v>
      </c>
      <c r="CG383" t="s">
        <v>2445</v>
      </c>
      <c r="CH383" t="s">
        <v>42</v>
      </c>
      <c r="CI383" t="s">
        <v>42</v>
      </c>
      <c r="CK383" s="5">
        <v>9.9999999999999997E-29</v>
      </c>
      <c r="CL383" t="str">
        <f>HYPERLINK("http://amigo.geneontology.org/cgi-bin/amigo/term_details?term=GO:0008150","GO:0008150")</f>
        <v>GO:0008150</v>
      </c>
      <c r="CM383" t="s">
        <v>1857</v>
      </c>
      <c r="CN383" t="s">
        <v>1858</v>
      </c>
      <c r="CO383" t="s">
        <v>1859</v>
      </c>
      <c r="CP383" t="s">
        <v>42</v>
      </c>
      <c r="CR383" s="5">
        <v>9.9999999999999997E-29</v>
      </c>
      <c r="CS383" s="4" t="str">
        <f>HYPERLINK("http://exon.niaid.nih.gov/transcriptome/C_felis/S1/links/KOG/cf-contig_377-KOG.txt","Uncharacterized conserved protein")</f>
        <v>Uncharacterized conserved protein</v>
      </c>
      <c r="CT383" t="str">
        <f>HYPERLINK("http://www.ncbi.nlm.nih.gov/COG/grace/shokog.cgi?KOG4455","4E-037")</f>
        <v>4E-037</v>
      </c>
      <c r="CU383" t="s">
        <v>1711</v>
      </c>
      <c r="CV383" s="4" t="str">
        <f>HYPERLINK("http://exon.niaid.nih.gov/transcriptome/C_felis/S1/links/PFAM/cf-contig_377-PFAM.txt","Rab5ip")</f>
        <v>Rab5ip</v>
      </c>
      <c r="CW383" t="str">
        <f>HYPERLINK("http://pfam.sanger.ac.uk/family?acc=PF07019","6E-024")</f>
        <v>6E-024</v>
      </c>
      <c r="CX383" s="4" t="str">
        <f>HYPERLINK("http://exon.niaid.nih.gov/transcriptome/C_felis/S1/links/SMART/cf-contig_377-SMART.txt","HTTM")</f>
        <v>HTTM</v>
      </c>
      <c r="CY383" t="str">
        <f>HYPERLINK("http://smart.embl-heidelberg.de/smart/do_annotation.pl?DOMAIN=HTTM&amp;BLAST=DUMMY","0.16")</f>
        <v>0.16</v>
      </c>
      <c r="CZ383" s="4" t="s">
        <v>42</v>
      </c>
      <c r="DA383" t="s">
        <v>42</v>
      </c>
      <c r="DB383" t="s">
        <v>42</v>
      </c>
      <c r="DC383" t="s">
        <v>42</v>
      </c>
      <c r="DD383" t="s">
        <v>42</v>
      </c>
      <c r="DE383" t="s">
        <v>42</v>
      </c>
      <c r="DF383" t="s">
        <v>42</v>
      </c>
      <c r="DG383" t="s">
        <v>42</v>
      </c>
      <c r="DH383" s="4" t="s">
        <v>42</v>
      </c>
      <c r="DI383" t="s">
        <v>42</v>
      </c>
      <c r="DJ383" s="4" t="s">
        <v>42</v>
      </c>
      <c r="DK383" t="s">
        <v>42</v>
      </c>
      <c r="DL383" s="4">
        <v>306</v>
      </c>
      <c r="DM383">
        <v>1</v>
      </c>
      <c r="DN383" s="4">
        <v>313</v>
      </c>
      <c r="DO383">
        <v>1</v>
      </c>
      <c r="DP383" s="4">
        <v>314</v>
      </c>
      <c r="DQ383">
        <v>1</v>
      </c>
      <c r="DR383" s="4">
        <v>325</v>
      </c>
      <c r="DS383">
        <v>1</v>
      </c>
      <c r="DT383" s="4">
        <v>335</v>
      </c>
      <c r="DU383">
        <v>1</v>
      </c>
      <c r="DV383" s="4">
        <v>348</v>
      </c>
      <c r="DW383">
        <v>1</v>
      </c>
      <c r="DX383" s="4">
        <v>351</v>
      </c>
      <c r="DY383">
        <v>1</v>
      </c>
      <c r="DZ383" s="4">
        <v>356</v>
      </c>
      <c r="EA383">
        <v>1</v>
      </c>
      <c r="EB383" s="4">
        <v>361</v>
      </c>
      <c r="EC383">
        <v>1</v>
      </c>
      <c r="ED383" s="4">
        <v>365</v>
      </c>
      <c r="EE383">
        <v>1</v>
      </c>
      <c r="EF383" s="4">
        <v>370</v>
      </c>
      <c r="EG383">
        <v>1</v>
      </c>
      <c r="EH383" s="4">
        <v>372</v>
      </c>
      <c r="EI383">
        <v>1</v>
      </c>
      <c r="EJ383" s="4">
        <v>377</v>
      </c>
      <c r="EK383">
        <v>1</v>
      </c>
    </row>
    <row r="384" spans="1:141" s="6" customFormat="1" ht="12" customHeight="1" x14ac:dyDescent="0.2">
      <c r="A384" s="12" t="s">
        <v>4896</v>
      </c>
      <c r="AB384" s="6" t="s">
        <v>42</v>
      </c>
    </row>
    <row r="385" spans="1:141" x14ac:dyDescent="0.2">
      <c r="A385" t="str">
        <f>HYPERLINK("http://exon.niaid.nih.gov/transcriptome/C_felis/S1/links/cf/cf-contig_682.txt","cf-contig_682")</f>
        <v>cf-contig_682</v>
      </c>
      <c r="B385">
        <v>1</v>
      </c>
      <c r="C385" s="10" t="s">
        <v>4843</v>
      </c>
      <c r="D385">
        <v>1</v>
      </c>
      <c r="E385" t="str">
        <f>HYPERLINK("http://exon.niaid.nih.gov/transcriptome/C_felis/S1/links/cf/cf-5-36-asb-682.txt","Contig-682")</f>
        <v>Contig-682</v>
      </c>
      <c r="F385" t="str">
        <f>HYPERLINK("http://exon.niaid.nih.gov/transcriptome/C_felis/S1/links/cf/cf-5-36-682-CLU.txt","Contig682")</f>
        <v>Contig682</v>
      </c>
      <c r="G385" t="str">
        <f>HYPERLINK("http://exon.niaid.nih.gov/transcriptome/C_felis/S1/links/cf/cf-5-36-682-qual.txt","51.8")</f>
        <v>51.8</v>
      </c>
      <c r="H385" t="s">
        <v>11</v>
      </c>
      <c r="I385">
        <v>64.8</v>
      </c>
      <c r="J385" t="s">
        <v>42</v>
      </c>
      <c r="K385" t="s">
        <v>12</v>
      </c>
      <c r="L385">
        <v>1</v>
      </c>
      <c r="M385" t="s">
        <v>695</v>
      </c>
      <c r="N385" t="s">
        <v>42</v>
      </c>
      <c r="O385">
        <v>1008</v>
      </c>
      <c r="P385">
        <v>741</v>
      </c>
      <c r="Q385" t="s">
        <v>1501</v>
      </c>
      <c r="R385">
        <v>2</v>
      </c>
      <c r="S385" s="7" t="str">
        <f>HYPERLINK("http://exon.niaid.nih.gov/transcriptome/C_felis/S1/links/Sigp/CF-CONTIG_682-SigP.txt","Cyt")</f>
        <v>Cyt</v>
      </c>
      <c r="U385">
        <v>1</v>
      </c>
      <c r="V385" s="4">
        <f>HYPERLINK("http://exon.niaid.nih.gov/transcriptome/C_felis/S1/links/cluster/cf-5-36-asb30-50-Id-CLU93.txt", 93)</f>
        <v>93</v>
      </c>
      <c r="W385">
        <f>HYPERLINK("http://exon.niaid.nih.gov/transcriptome/C_felis/S1/links/cluster/cf-5-36-asb30-50-Id-CLTL93.txt", 2)</f>
        <v>2</v>
      </c>
      <c r="X385" s="4">
        <v>570</v>
      </c>
      <c r="Y385">
        <v>1</v>
      </c>
      <c r="Z385" s="4">
        <v>582</v>
      </c>
      <c r="AA385">
        <v>1</v>
      </c>
      <c r="AB385" s="4" t="str">
        <f>HYPERLINK("http://exon.niaid.nih.gov/transcriptome/C_felis/S1/links/XC-ASB/cf-contig_682-XC-ASB.txt","XC-contig_27")</f>
        <v>XC-contig_27</v>
      </c>
      <c r="AC385">
        <v>0.24</v>
      </c>
      <c r="AD385" s="10" t="s">
        <v>4843</v>
      </c>
      <c r="AE385" t="s">
        <v>4713</v>
      </c>
      <c r="AF385" t="str">
        <f>HYPERLINK("http://exon.niaid.nih.gov/transcriptome/C_felis/S1/links/TE-CLASS/cf-contig_682-TE-CLASS.txt","TE-CLASS")</f>
        <v>TE-CLASS</v>
      </c>
      <c r="AG385" s="5">
        <v>1.0000000000000001E-31</v>
      </c>
      <c r="AH385">
        <v>20</v>
      </c>
      <c r="AI385" s="4" t="str">
        <f>HYPERLINK("http://exon.niaid.nih.gov/transcriptome/C_felis/S1/links/NR/cf-contig_682-NR.txt","reverse transcriptase (put.); putative")</f>
        <v>reverse transcriptase (put.); putative</v>
      </c>
      <c r="AJ385" t="str">
        <f>HYPERLINK("http://www.ncbi.nlm.nih.gov/sutils/blink.cgi?pid=157344","2E-087")</f>
        <v>2E-087</v>
      </c>
      <c r="AK385" t="str">
        <f>HYPERLINK("http://www.ncbi.nlm.nih.gov/protein/157344","gi|157344")</f>
        <v>gi|157344</v>
      </c>
      <c r="AL385">
        <v>228</v>
      </c>
      <c r="AM385">
        <v>324</v>
      </c>
      <c r="AN385">
        <v>858</v>
      </c>
      <c r="AO385">
        <v>52</v>
      </c>
      <c r="AP385">
        <v>38</v>
      </c>
      <c r="AQ385">
        <v>105</v>
      </c>
      <c r="AR385">
        <v>1</v>
      </c>
      <c r="AS385">
        <v>494</v>
      </c>
      <c r="AT385">
        <v>26</v>
      </c>
      <c r="AU385">
        <v>2</v>
      </c>
      <c r="AV385">
        <v>2</v>
      </c>
      <c r="AW385" t="s">
        <v>1689</v>
      </c>
      <c r="AY385" t="s">
        <v>1676</v>
      </c>
      <c r="AZ385" t="s">
        <v>1804</v>
      </c>
      <c r="BA385" s="4" t="str">
        <f>HYPERLINK("http://exon.niaid.nih.gov/transcriptome/C_felis/S1/links/SWISSP/cf-contig_682-SWISSP.txt","RNA-directed DNA polymerase from mobile element jockey")</f>
        <v>RNA-directed DNA polymerase from mobile element jockey</v>
      </c>
      <c r="BB385" t="str">
        <f>HYPERLINK("http://www.uniprot.org/uniprot/P21329","6E-064")</f>
        <v>6E-064</v>
      </c>
      <c r="BC385" t="s">
        <v>4143</v>
      </c>
      <c r="BD385">
        <v>196</v>
      </c>
      <c r="BE385">
        <v>334</v>
      </c>
      <c r="BF385">
        <v>916</v>
      </c>
      <c r="BG385">
        <v>45</v>
      </c>
      <c r="BH385">
        <v>37</v>
      </c>
      <c r="BI385">
        <v>125</v>
      </c>
      <c r="BJ385">
        <v>9</v>
      </c>
      <c r="BK385">
        <v>496</v>
      </c>
      <c r="BL385">
        <v>20</v>
      </c>
      <c r="BM385">
        <v>2</v>
      </c>
      <c r="BN385">
        <v>2</v>
      </c>
      <c r="BO385" t="s">
        <v>1689</v>
      </c>
      <c r="BQ385" t="s">
        <v>1676</v>
      </c>
      <c r="BR385" t="s">
        <v>4144</v>
      </c>
      <c r="BS385" s="4" t="str">
        <f>HYPERLINK("http://exon.niaid.nih.gov/transcriptome/C_felis/S1/links/CDD/cf-contig_682-CDD.txt","RT_nLTR_like")</f>
        <v>RT_nLTR_like</v>
      </c>
      <c r="BT385" t="str">
        <f>HYPERLINK("http://www.ncbi.nlm.nih.gov/Structure/cdd/cddsrv.cgi?uid=cd01650&amp;version=v4.0","2E-036")</f>
        <v>2E-036</v>
      </c>
      <c r="BU385" t="s">
        <v>4145</v>
      </c>
      <c r="BV385" s="4" t="s">
        <v>2593</v>
      </c>
      <c r="BW385">
        <f>HYPERLINK("http://exon.niaid.nih.gov/transcriptome/C_felis/S1/links/GO/cf-contig_682-GO.txt",7E-81)</f>
        <v>6.9999999999999997E-81</v>
      </c>
      <c r="BX385" t="str">
        <f>HYPERLINK("http://amigo.geneontology.org/cgi-bin/amigo/term_details?term=GO:0003723","GO:0003723")</f>
        <v>GO:0003723</v>
      </c>
      <c r="BY385" t="s">
        <v>2062</v>
      </c>
      <c r="BZ385" t="s">
        <v>2063</v>
      </c>
      <c r="CA385" t="s">
        <v>42</v>
      </c>
      <c r="CB385" t="s">
        <v>42</v>
      </c>
      <c r="CD385">
        <v>1E-8</v>
      </c>
      <c r="CE385" t="s">
        <v>42</v>
      </c>
      <c r="CF385" t="s">
        <v>42</v>
      </c>
      <c r="CG385" t="s">
        <v>42</v>
      </c>
      <c r="CH385" t="s">
        <v>42</v>
      </c>
      <c r="CJ385" t="s">
        <v>42</v>
      </c>
      <c r="CK385" t="s">
        <v>42</v>
      </c>
      <c r="CL385" t="str">
        <f>HYPERLINK("http://amigo.geneontology.org/cgi-bin/amigo/term_details?term=GO:0006278","GO:0006278")</f>
        <v>GO:0006278</v>
      </c>
      <c r="CM385" t="s">
        <v>2594</v>
      </c>
      <c r="CN385" t="s">
        <v>2595</v>
      </c>
      <c r="CO385" t="s">
        <v>42</v>
      </c>
      <c r="CP385" t="s">
        <v>42</v>
      </c>
      <c r="CR385">
        <v>1E-8</v>
      </c>
      <c r="CS385" s="4" t="str">
        <f>HYPERLINK("http://exon.niaid.nih.gov/transcriptome/C_felis/S1/links/KOG/cf-contig_682-KOG.txt","Telomerase catalytic subunit/reverse transcriptase TERT")</f>
        <v>Telomerase catalytic subunit/reverse transcriptase TERT</v>
      </c>
      <c r="CT385" t="str">
        <f>HYPERLINK("http://www.ncbi.nlm.nih.gov/COG/grace/shokog.cgi?KOG1005","0.004")</f>
        <v>0.004</v>
      </c>
      <c r="CU385" t="s">
        <v>4146</v>
      </c>
      <c r="CV385" s="4" t="str">
        <f>HYPERLINK("http://exon.niaid.nih.gov/transcriptome/C_felis/S1/links/PFAM/cf-contig_682-PFAM.txt","RVT_1")</f>
        <v>RVT_1</v>
      </c>
      <c r="CW385" t="str">
        <f>HYPERLINK("http://pfam.sanger.ac.uk/family?acc=PF00078","1E-030")</f>
        <v>1E-030</v>
      </c>
      <c r="CX385" s="4" t="str">
        <f>HYPERLINK("http://exon.niaid.nih.gov/transcriptome/C_felis/S1/links/SMART/cf-contig_682-SMART.txt","Telomerase_RBD")</f>
        <v>Telomerase_RBD</v>
      </c>
      <c r="CY385" t="str">
        <f>HYPERLINK("http://smart.embl-heidelberg.de/smart/do_annotation.pl?DOMAIN=Telomerase_RBD&amp;BLAST=DUMMY","0.11")</f>
        <v>0.11</v>
      </c>
      <c r="CZ385" s="4" t="str">
        <f>HYPERLINK("http://exon.niaid.nih.gov/transcriptome/C_felis/S1/links/TE-CLASS/cf-contig_682-TE-CLASS.txt","Jockey_Ele1_ORF2")</f>
        <v>Jockey_Ele1_ORF2</v>
      </c>
      <c r="DA385" s="5">
        <v>6.9999999999999997E-81</v>
      </c>
      <c r="DB385" t="s">
        <v>2596</v>
      </c>
      <c r="DC385">
        <v>289</v>
      </c>
      <c r="DD385">
        <v>335</v>
      </c>
      <c r="DE385">
        <v>882</v>
      </c>
      <c r="DF385">
        <v>36</v>
      </c>
      <c r="DG385">
        <v>38</v>
      </c>
      <c r="DH385" s="4" t="s">
        <v>42</v>
      </c>
      <c r="DI385" t="s">
        <v>42</v>
      </c>
      <c r="DJ385" s="4" t="s">
        <v>42</v>
      </c>
      <c r="DK385" t="s">
        <v>42</v>
      </c>
      <c r="DL385" s="4">
        <f>HYPERLINK("http://exon.niaid.nih.gov/transcriptome/C_felis/S1/links/cluster/cf-5-36-asb30-50-Id-CLU93.txt", 93)</f>
        <v>93</v>
      </c>
      <c r="DM385">
        <f>HYPERLINK("http://exon.niaid.nih.gov/transcriptome/C_felis/S1/links/cluster/cf-5-36-asb30-50-Id-CLTL93.txt", 2)</f>
        <v>2</v>
      </c>
      <c r="DN385" s="4">
        <v>570</v>
      </c>
      <c r="DO385">
        <v>1</v>
      </c>
      <c r="DP385" s="4">
        <v>582</v>
      </c>
      <c r="DQ385">
        <v>1</v>
      </c>
      <c r="DR385" s="4">
        <v>603</v>
      </c>
      <c r="DS385">
        <v>1</v>
      </c>
      <c r="DT385" s="4">
        <v>617</v>
      </c>
      <c r="DU385">
        <v>1</v>
      </c>
      <c r="DV385" s="4">
        <v>631</v>
      </c>
      <c r="DW385">
        <v>1</v>
      </c>
      <c r="DX385" s="4">
        <v>640</v>
      </c>
      <c r="DY385">
        <v>1</v>
      </c>
      <c r="DZ385" s="4">
        <v>650</v>
      </c>
      <c r="EA385">
        <v>1</v>
      </c>
      <c r="EB385" s="4">
        <v>655</v>
      </c>
      <c r="EC385">
        <v>1</v>
      </c>
      <c r="ED385" s="4">
        <v>659</v>
      </c>
      <c r="EE385">
        <v>1</v>
      </c>
      <c r="EF385" s="4">
        <v>665</v>
      </c>
      <c r="EG385">
        <v>1</v>
      </c>
      <c r="EH385" s="4">
        <v>673</v>
      </c>
      <c r="EI385">
        <v>1</v>
      </c>
      <c r="EJ385" s="4">
        <v>682</v>
      </c>
      <c r="EK385">
        <v>1</v>
      </c>
    </row>
    <row r="386" spans="1:141" x14ac:dyDescent="0.2">
      <c r="A386" t="str">
        <f>HYPERLINK("http://exon.niaid.nih.gov/transcriptome/C_felis/S1/links/cf/cf-contig_244.txt","cf-contig_244")</f>
        <v>cf-contig_244</v>
      </c>
      <c r="B386">
        <v>2</v>
      </c>
      <c r="C386" s="10" t="s">
        <v>4712</v>
      </c>
      <c r="D386">
        <v>2</v>
      </c>
      <c r="E386" t="str">
        <f>HYPERLINK("http://exon.niaid.nih.gov/transcriptome/C_felis/S1/links/cf/cf-5-36-asb-244.txt","Contig-244")</f>
        <v>Contig-244</v>
      </c>
      <c r="F386" t="str">
        <f>HYPERLINK("http://exon.niaid.nih.gov/transcriptome/C_felis/S1/links/cf/cf-5-36-244-CLU.txt","Contig244")</f>
        <v>Contig244</v>
      </c>
      <c r="G386" t="str">
        <f>HYPERLINK("http://exon.niaid.nih.gov/transcriptome/C_felis/S1/links/cf/cf-5-36-244-qual.txt","60.2")</f>
        <v>60.2</v>
      </c>
      <c r="H386" t="s">
        <v>11</v>
      </c>
      <c r="I386">
        <v>67.5</v>
      </c>
      <c r="J386">
        <v>855</v>
      </c>
      <c r="K386" t="s">
        <v>12</v>
      </c>
      <c r="L386">
        <v>2</v>
      </c>
      <c r="M386" t="s">
        <v>257</v>
      </c>
      <c r="N386">
        <v>861</v>
      </c>
      <c r="O386">
        <v>874</v>
      </c>
      <c r="P386">
        <v>411</v>
      </c>
      <c r="Q386" t="s">
        <v>1064</v>
      </c>
      <c r="R386">
        <v>2</v>
      </c>
      <c r="S386" s="7" t="str">
        <f>HYPERLINK("http://exon.niaid.nih.gov/transcriptome/C_felis/S1/links/Sigp/CF-CONTIG_244-SigP.txt","Cyt")</f>
        <v>Cyt</v>
      </c>
      <c r="U386">
        <v>2</v>
      </c>
      <c r="V386" s="4">
        <v>193</v>
      </c>
      <c r="W386">
        <v>1</v>
      </c>
      <c r="X386" s="4">
        <v>196</v>
      </c>
      <c r="Y386">
        <v>1</v>
      </c>
      <c r="Z386" s="4">
        <v>194</v>
      </c>
      <c r="AA386">
        <v>1</v>
      </c>
      <c r="AB386" s="4" t="str">
        <f>HYPERLINK("http://exon.niaid.nih.gov/transcriptome/C_felis/S1/links/XC-ASB/cf-contig_244-XC-ASB.txt","XC-contig_79")</f>
        <v>XC-contig_79</v>
      </c>
      <c r="AC386">
        <v>4.1000000000000002E-2</v>
      </c>
      <c r="AD386" s="10" t="s">
        <v>4712</v>
      </c>
      <c r="AE386" t="s">
        <v>4713</v>
      </c>
      <c r="AF386" t="str">
        <f>HYPERLINK("http://exon.niaid.nih.gov/transcriptome/C_felis/S1/links/TE-CLASS/cf-contig_244-TE-CLASS.txt","TE-CLASS")</f>
        <v>TE-CLASS</v>
      </c>
      <c r="AG386" s="5">
        <v>5.9999999999999998E-22</v>
      </c>
      <c r="AH386">
        <v>15.8</v>
      </c>
      <c r="AI386" s="4" t="str">
        <f>HYPERLINK("http://exon.niaid.nih.gov/transcriptome/C_felis/S1/links/NR/cf-contig_244-NR.txt","GK24003")</f>
        <v>GK24003</v>
      </c>
      <c r="AJ386" t="str">
        <f>HYPERLINK("http://www.ncbi.nlm.nih.gov/sutils/blink.cgi?pid=195463775","4E-035")</f>
        <v>4E-035</v>
      </c>
      <c r="AK386" t="str">
        <f>HYPERLINK("http://www.ncbi.nlm.nih.gov/protein/195463775","gi|195463775")</f>
        <v>gi|195463775</v>
      </c>
      <c r="AL386">
        <v>153</v>
      </c>
      <c r="AM386">
        <v>156</v>
      </c>
      <c r="AN386">
        <v>179</v>
      </c>
      <c r="AO386">
        <v>47</v>
      </c>
      <c r="AP386">
        <v>88</v>
      </c>
      <c r="AQ386">
        <v>83</v>
      </c>
      <c r="AR386">
        <v>2</v>
      </c>
      <c r="AS386">
        <v>14</v>
      </c>
      <c r="AT386">
        <v>179</v>
      </c>
      <c r="AU386">
        <v>1</v>
      </c>
      <c r="AV386">
        <v>2</v>
      </c>
      <c r="AW386" t="s">
        <v>12</v>
      </c>
      <c r="AX386">
        <v>0.64100000000000001</v>
      </c>
      <c r="AY386" t="s">
        <v>1676</v>
      </c>
      <c r="AZ386" t="s">
        <v>2026</v>
      </c>
      <c r="BA386" s="4" t="str">
        <f>HYPERLINK("http://exon.niaid.nih.gov/transcriptome/C_felis/S1/links/SWISSP/cf-contig_244-SWISSP.txt","Probable RNA-directed DNA polymerase from transposon X-element")</f>
        <v>Probable RNA-directed DNA polymerase from transposon X-element</v>
      </c>
      <c r="BB386" t="str">
        <f>HYPERLINK("http://www.uniprot.org/uniprot/Q9NBX4","9E-025")</f>
        <v>9E-025</v>
      </c>
      <c r="BC386" t="s">
        <v>2591</v>
      </c>
      <c r="BD386">
        <v>114</v>
      </c>
      <c r="BE386">
        <v>149</v>
      </c>
      <c r="BF386">
        <v>908</v>
      </c>
      <c r="BG386">
        <v>39</v>
      </c>
      <c r="BH386">
        <v>17</v>
      </c>
      <c r="BI386">
        <v>91</v>
      </c>
      <c r="BJ386">
        <v>2</v>
      </c>
      <c r="BK386">
        <v>746</v>
      </c>
      <c r="BL386">
        <v>200</v>
      </c>
      <c r="BM386">
        <v>1</v>
      </c>
      <c r="BN386">
        <v>2</v>
      </c>
      <c r="BO386" t="s">
        <v>12</v>
      </c>
      <c r="BP386">
        <v>0.67100000000000004</v>
      </c>
      <c r="BQ386" t="s">
        <v>1676</v>
      </c>
      <c r="BR386" t="s">
        <v>1804</v>
      </c>
      <c r="BS386" s="4" t="str">
        <f>HYPERLINK("http://exon.niaid.nih.gov/transcriptome/C_felis/S1/links/CDD/cf-contig_244-CDD.txt","ND4")</f>
        <v>ND4</v>
      </c>
      <c r="BT386" t="str">
        <f>HYPERLINK("http://www.ncbi.nlm.nih.gov/Structure/cdd/cddsrv.cgi?uid=MTH00204&amp;version=v4.0","0.020")</f>
        <v>0.020</v>
      </c>
      <c r="BU386" t="s">
        <v>2592</v>
      </c>
      <c r="BV386" s="4" t="s">
        <v>2593</v>
      </c>
      <c r="BW386">
        <f>HYPERLINK("http://exon.niaid.nih.gov/transcriptome/C_felis/S1/links/GO/cf-contig_244-GO.txt",7E-34)</f>
        <v>6.9999999999999997E-34</v>
      </c>
      <c r="BX386" t="str">
        <f>HYPERLINK("http://amigo.geneontology.org/cgi-bin/amigo/term_details?term=GO:0003723","GO:0003723")</f>
        <v>GO:0003723</v>
      </c>
      <c r="BY386" t="s">
        <v>2062</v>
      </c>
      <c r="BZ386" t="s">
        <v>2063</v>
      </c>
      <c r="CA386" t="s">
        <v>42</v>
      </c>
      <c r="CB386" t="s">
        <v>42</v>
      </c>
      <c r="CD386" s="5">
        <v>6.9999999999999997E-34</v>
      </c>
      <c r="CE386" t="s">
        <v>42</v>
      </c>
      <c r="CF386" t="s">
        <v>42</v>
      </c>
      <c r="CG386" t="s">
        <v>42</v>
      </c>
      <c r="CH386" t="s">
        <v>42</v>
      </c>
      <c r="CJ386" t="s">
        <v>42</v>
      </c>
      <c r="CK386" t="s">
        <v>42</v>
      </c>
      <c r="CL386" t="str">
        <f>HYPERLINK("http://amigo.geneontology.org/cgi-bin/amigo/term_details?term=GO:0006278","GO:0006278")</f>
        <v>GO:0006278</v>
      </c>
      <c r="CM386" t="s">
        <v>2594</v>
      </c>
      <c r="CN386" t="s">
        <v>2595</v>
      </c>
      <c r="CO386" t="s">
        <v>42</v>
      </c>
      <c r="CP386" t="s">
        <v>42</v>
      </c>
      <c r="CR386" s="5">
        <v>6.9999999999999997E-34</v>
      </c>
      <c r="CS386" s="4" t="str">
        <f>HYPERLINK("http://exon.niaid.nih.gov/transcriptome/C_felis/S1/links/KOG/cf-contig_244-KOG.txt","Tandem pore domain K+ channel TASK3/THIK-1")</f>
        <v>Tandem pore domain K+ channel TASK3/THIK-1</v>
      </c>
      <c r="CT386" t="str">
        <f>HYPERLINK("http://www.ncbi.nlm.nih.gov/COG/grace/shokog.cgi?KOG4404","1.6")</f>
        <v>1.6</v>
      </c>
      <c r="CU386" t="s">
        <v>1681</v>
      </c>
      <c r="CV386" s="4" t="str">
        <f>HYPERLINK("http://exon.niaid.nih.gov/transcriptome/C_felis/S1/links/PFAM/cf-contig_244-PFAM.txt","UPF0118")</f>
        <v>UPF0118</v>
      </c>
      <c r="CW386" t="str">
        <f>HYPERLINK("http://pfam.sanger.ac.uk/family?acc=PF01594","0.045")</f>
        <v>0.045</v>
      </c>
      <c r="CX386" s="4" t="str">
        <f>HYPERLINK("http://exon.niaid.nih.gov/transcriptome/C_felis/S1/links/SMART/cf-contig_244-SMART.txt","BTB")</f>
        <v>BTB</v>
      </c>
      <c r="CY386" t="str">
        <f>HYPERLINK("http://smart.embl-heidelberg.de/smart/do_annotation.pl?DOMAIN=BTB&amp;BLAST=DUMMY","0.088")</f>
        <v>0.088</v>
      </c>
      <c r="CZ386" s="4" t="str">
        <f>HYPERLINK("http://exon.niaid.nih.gov/transcriptome/C_felis/S1/links/TE-CLASS/cf-contig_244-TE-CLASS.txt","Jockey_Ele1_ORF2")</f>
        <v>Jockey_Ele1_ORF2</v>
      </c>
      <c r="DA386" s="5">
        <v>1.9999999999999999E-39</v>
      </c>
      <c r="DB386" t="s">
        <v>2596</v>
      </c>
      <c r="DC386">
        <v>151</v>
      </c>
      <c r="DD386">
        <v>125</v>
      </c>
      <c r="DE386">
        <v>882</v>
      </c>
      <c r="DF386">
        <v>31</v>
      </c>
      <c r="DG386">
        <v>14</v>
      </c>
      <c r="DH386" s="4" t="s">
        <v>42</v>
      </c>
      <c r="DI386" t="s">
        <v>42</v>
      </c>
      <c r="DJ386" s="4" t="s">
        <v>42</v>
      </c>
      <c r="DK386" t="s">
        <v>42</v>
      </c>
      <c r="DL386" s="4">
        <v>193</v>
      </c>
      <c r="DM386">
        <v>1</v>
      </c>
      <c r="DN386" s="4">
        <v>196</v>
      </c>
      <c r="DO386">
        <v>1</v>
      </c>
      <c r="DP386" s="4">
        <v>194</v>
      </c>
      <c r="DQ386">
        <v>1</v>
      </c>
      <c r="DR386" s="4">
        <v>202</v>
      </c>
      <c r="DS386">
        <v>1</v>
      </c>
      <c r="DT386" s="4">
        <v>208</v>
      </c>
      <c r="DU386">
        <v>1</v>
      </c>
      <c r="DV386" s="4">
        <v>220</v>
      </c>
      <c r="DW386">
        <v>1</v>
      </c>
      <c r="DX386" s="4">
        <v>222</v>
      </c>
      <c r="DY386">
        <v>1</v>
      </c>
      <c r="DZ386" s="4">
        <v>226</v>
      </c>
      <c r="EA386">
        <v>1</v>
      </c>
      <c r="EB386" s="4">
        <v>231</v>
      </c>
      <c r="EC386">
        <v>1</v>
      </c>
      <c r="ED386" s="4">
        <v>234</v>
      </c>
      <c r="EE386">
        <v>1</v>
      </c>
      <c r="EF386" s="4">
        <v>237</v>
      </c>
      <c r="EG386">
        <v>1</v>
      </c>
      <c r="EH386" s="4">
        <v>239</v>
      </c>
      <c r="EI386">
        <v>1</v>
      </c>
      <c r="EJ386" s="4">
        <v>244</v>
      </c>
      <c r="EK386">
        <v>1</v>
      </c>
    </row>
    <row r="387" spans="1:141" x14ac:dyDescent="0.2">
      <c r="A387" t="str">
        <f>HYPERLINK("http://exon.niaid.nih.gov/transcriptome/C_felis/S1/links/cf/cf-contig_739.txt","cf-contig_739")</f>
        <v>cf-contig_739</v>
      </c>
      <c r="B387">
        <v>1</v>
      </c>
      <c r="C387" s="10" t="s">
        <v>4712</v>
      </c>
      <c r="D387">
        <v>1</v>
      </c>
      <c r="E387" t="str">
        <f>HYPERLINK("http://exon.niaid.nih.gov/transcriptome/C_felis/S1/links/cf/cf-5-36-asb-739.txt","Contig-739")</f>
        <v>Contig-739</v>
      </c>
      <c r="F387" t="str">
        <f>HYPERLINK("http://exon.niaid.nih.gov/transcriptome/C_felis/S1/links/cf/cf-5-36-739-CLU.txt","Contig739")</f>
        <v>Contig739</v>
      </c>
      <c r="G387" t="str">
        <f>HYPERLINK("http://exon.niaid.nih.gov/transcriptome/C_felis/S1/links/cf/cf-5-36-739-qual.txt","59.2")</f>
        <v>59.2</v>
      </c>
      <c r="H387" t="s">
        <v>11</v>
      </c>
      <c r="I387">
        <v>69</v>
      </c>
      <c r="J387">
        <v>898</v>
      </c>
      <c r="K387" t="s">
        <v>12</v>
      </c>
      <c r="L387">
        <v>1</v>
      </c>
      <c r="M387" t="s">
        <v>752</v>
      </c>
      <c r="N387">
        <v>898</v>
      </c>
      <c r="O387">
        <v>917</v>
      </c>
      <c r="P387">
        <v>672</v>
      </c>
      <c r="Q387" t="s">
        <v>1558</v>
      </c>
      <c r="R387">
        <v>1</v>
      </c>
      <c r="S387" s="7" t="str">
        <f>HYPERLINK("http://exon.niaid.nih.gov/transcriptome/C_felis/S1/links/Sigp/CF-CONTIG_739-SigP.txt","Cyt")</f>
        <v>Cyt</v>
      </c>
      <c r="U387">
        <v>1</v>
      </c>
      <c r="V387" s="4">
        <f>HYPERLINK("http://exon.niaid.nih.gov/transcriptome/C_felis/S1/links/cluster/cf-5-36-asb30-50-Id-CLU93.txt", 93)</f>
        <v>93</v>
      </c>
      <c r="W387">
        <f>HYPERLINK("http://exon.niaid.nih.gov/transcriptome/C_felis/S1/links/cluster/cf-5-36-asb30-50-Id-CLTL93.txt", 2)</f>
        <v>2</v>
      </c>
      <c r="X387" s="4">
        <v>615</v>
      </c>
      <c r="Y387">
        <v>1</v>
      </c>
      <c r="Z387" s="4">
        <v>629</v>
      </c>
      <c r="AA387">
        <v>1</v>
      </c>
      <c r="AB387" s="4" t="str">
        <f>HYPERLINK("http://exon.niaid.nih.gov/transcriptome/C_felis/S1/links/XC-ASB/cf-contig_739-XC-ASB.txt","XC-contig_246")</f>
        <v>XC-contig_246</v>
      </c>
      <c r="AC387">
        <v>2E-3</v>
      </c>
      <c r="AD387" s="10" t="s">
        <v>4712</v>
      </c>
      <c r="AE387" t="s">
        <v>4713</v>
      </c>
      <c r="AF387" t="str">
        <f>HYPERLINK("http://exon.niaid.nih.gov/transcriptome/C_felis/S1/links/TE-CLASS/cf-contig_739-TE-CLASS.txt","TE-CLASS")</f>
        <v>TE-CLASS</v>
      </c>
      <c r="AG387" s="5">
        <v>6E-34</v>
      </c>
      <c r="AH387">
        <v>23.8</v>
      </c>
      <c r="AI387" s="4" t="str">
        <f>HYPERLINK("http://exon.niaid.nih.gov/transcriptome/C_felis/S1/links/NR/cf-contig_739-NR.txt","putative reverse transcriptase")</f>
        <v>putative reverse transcriptase</v>
      </c>
      <c r="AJ387" t="str">
        <f>HYPERLINK("http://www.ncbi.nlm.nih.gov/sutils/blink.cgi?pid=42397986","3E-052")</f>
        <v>3E-052</v>
      </c>
      <c r="AK387" t="str">
        <f>HYPERLINK("http://www.ncbi.nlm.nih.gov/protein/42397986","gi|42397986")</f>
        <v>gi|42397986</v>
      </c>
      <c r="AL387">
        <v>210</v>
      </c>
      <c r="AM387">
        <v>218</v>
      </c>
      <c r="AN387">
        <v>888</v>
      </c>
      <c r="AO387">
        <v>44</v>
      </c>
      <c r="AP387">
        <v>25</v>
      </c>
      <c r="AQ387">
        <v>122</v>
      </c>
      <c r="AR387">
        <v>0</v>
      </c>
      <c r="AS387">
        <v>667</v>
      </c>
      <c r="AT387">
        <v>7</v>
      </c>
      <c r="AU387">
        <v>1</v>
      </c>
      <c r="AV387">
        <v>1</v>
      </c>
      <c r="AW387" t="s">
        <v>12</v>
      </c>
      <c r="AY387" t="s">
        <v>1676</v>
      </c>
      <c r="AZ387" t="s">
        <v>4350</v>
      </c>
      <c r="BA387" s="4" t="str">
        <f>HYPERLINK("http://exon.niaid.nih.gov/transcriptome/C_felis/S1/links/SWISSP/cf-contig_739-SWISSP.txt","Probable RNA-directed DNA polymerase from transposon X-element")</f>
        <v>Probable RNA-directed DNA polymerase from transposon X-element</v>
      </c>
      <c r="BB387" t="str">
        <f>HYPERLINK("http://www.uniprot.org/uniprot/Q9NBX4","1E-040")</f>
        <v>1E-040</v>
      </c>
      <c r="BC387" t="s">
        <v>2591</v>
      </c>
      <c r="BD387">
        <v>167</v>
      </c>
      <c r="BE387">
        <v>220</v>
      </c>
      <c r="BF387">
        <v>908</v>
      </c>
      <c r="BG387">
        <v>35</v>
      </c>
      <c r="BH387">
        <v>24</v>
      </c>
      <c r="BI387">
        <v>143</v>
      </c>
      <c r="BJ387">
        <v>2</v>
      </c>
      <c r="BK387">
        <v>676</v>
      </c>
      <c r="BL387">
        <v>7</v>
      </c>
      <c r="BM387">
        <v>1</v>
      </c>
      <c r="BN387">
        <v>1</v>
      </c>
      <c r="BO387" t="s">
        <v>12</v>
      </c>
      <c r="BQ387" t="s">
        <v>1676</v>
      </c>
      <c r="BR387" t="s">
        <v>1804</v>
      </c>
      <c r="BS387" s="4" t="str">
        <f>HYPERLINK("http://exon.niaid.nih.gov/transcriptome/C_felis/S1/links/CDD/cf-contig_739-CDD.txt","RT_nLTR_like")</f>
        <v>RT_nLTR_like</v>
      </c>
      <c r="BT387" t="str">
        <f>HYPERLINK("http://www.ncbi.nlm.nih.gov/Structure/cdd/cddsrv.cgi?uid=cd01650&amp;version=v4.0","6E-009")</f>
        <v>6E-009</v>
      </c>
      <c r="BU387" t="s">
        <v>4351</v>
      </c>
      <c r="BV387" s="4" t="s">
        <v>2593</v>
      </c>
      <c r="BW387">
        <f>HYPERLINK("http://exon.niaid.nih.gov/transcriptome/C_felis/S1/links/GO/cf-contig_739-GO.txt",1E-53)</f>
        <v>1E-53</v>
      </c>
      <c r="BX387" t="str">
        <f>HYPERLINK("http://amigo.geneontology.org/cgi-bin/amigo/term_details?term=GO:0003723","GO:0003723")</f>
        <v>GO:0003723</v>
      </c>
      <c r="BY387" t="s">
        <v>2062</v>
      </c>
      <c r="BZ387" t="s">
        <v>2063</v>
      </c>
      <c r="CA387" t="s">
        <v>42</v>
      </c>
      <c r="CB387" t="s">
        <v>42</v>
      </c>
      <c r="CD387" s="5">
        <v>1E-53</v>
      </c>
      <c r="CE387" t="s">
        <v>42</v>
      </c>
      <c r="CF387" t="s">
        <v>42</v>
      </c>
      <c r="CG387" t="s">
        <v>42</v>
      </c>
      <c r="CH387" t="s">
        <v>42</v>
      </c>
      <c r="CJ387" t="s">
        <v>42</v>
      </c>
      <c r="CK387" t="s">
        <v>42</v>
      </c>
      <c r="CL387" t="str">
        <f>HYPERLINK("http://amigo.geneontology.org/cgi-bin/amigo/term_details?term=GO:0006278","GO:0006278")</f>
        <v>GO:0006278</v>
      </c>
      <c r="CM387" t="s">
        <v>2594</v>
      </c>
      <c r="CN387" t="s">
        <v>2595</v>
      </c>
      <c r="CO387" t="s">
        <v>42</v>
      </c>
      <c r="CP387" t="s">
        <v>42</v>
      </c>
      <c r="CR387" s="5">
        <v>1E-53</v>
      </c>
      <c r="CS387" s="4" t="str">
        <f>HYPERLINK("http://exon.niaid.nih.gov/transcriptome/C_felis/S1/links/KOG/cf-contig_739-KOG.txt","Defender against cell death protein/oligosaccharyltransferase, epsilon subunit")</f>
        <v>Defender against cell death protein/oligosaccharyltransferase, epsilon subunit</v>
      </c>
      <c r="CT387" t="str">
        <f>HYPERLINK("http://www.ncbi.nlm.nih.gov/COG/grace/shokog.cgi?KOG1746","0.077")</f>
        <v>0.077</v>
      </c>
      <c r="CU387" t="s">
        <v>2787</v>
      </c>
      <c r="CV387" s="4" t="str">
        <f>HYPERLINK("http://exon.niaid.nih.gov/transcriptome/C_felis/S1/links/PFAM/cf-contig_739-PFAM.txt","RVT_1")</f>
        <v>RVT_1</v>
      </c>
      <c r="CW387" t="str">
        <f>HYPERLINK("http://pfam.sanger.ac.uk/family?acc=PF00078","4E-005")</f>
        <v>4E-005</v>
      </c>
      <c r="CX387" s="4" t="str">
        <f>HYPERLINK("http://exon.niaid.nih.gov/transcriptome/C_felis/S1/links/SMART/cf-contig_739-SMART.txt","RasGAP")</f>
        <v>RasGAP</v>
      </c>
      <c r="CY387" t="str">
        <f>HYPERLINK("http://smart.embl-heidelberg.de/smart/do_annotation.pl?DOMAIN=RasGAP&amp;BLAST=DUMMY","7E-004")</f>
        <v>7E-004</v>
      </c>
      <c r="CZ387" s="4" t="str">
        <f>HYPERLINK("http://exon.niaid.nih.gov/transcriptome/C_felis/S1/links/TE-CLASS/cf-contig_739-TE-CLASS.txt","Jockey_Ele1_ORF2")</f>
        <v>Jockey_Ele1_ORF2</v>
      </c>
      <c r="DA387" s="5">
        <v>3.0000000000000002E-60</v>
      </c>
      <c r="DB387" t="s">
        <v>2596</v>
      </c>
      <c r="DC387">
        <v>220</v>
      </c>
      <c r="DD387">
        <v>215</v>
      </c>
      <c r="DE387">
        <v>882</v>
      </c>
      <c r="DF387">
        <v>27</v>
      </c>
      <c r="DG387">
        <v>24</v>
      </c>
      <c r="DH387" s="4" t="s">
        <v>42</v>
      </c>
      <c r="DI387" t="s">
        <v>42</v>
      </c>
      <c r="DJ387" s="4" t="s">
        <v>42</v>
      </c>
      <c r="DK387" t="s">
        <v>42</v>
      </c>
      <c r="DL387" s="4">
        <f>HYPERLINK("http://exon.niaid.nih.gov/transcriptome/C_felis/S1/links/cluster/cf-5-36-asb30-50-Id-CLU93.txt", 93)</f>
        <v>93</v>
      </c>
      <c r="DM387">
        <f>HYPERLINK("http://exon.niaid.nih.gov/transcriptome/C_felis/S1/links/cluster/cf-5-36-asb30-50-Id-CLTL93.txt", 2)</f>
        <v>2</v>
      </c>
      <c r="DN387" s="4">
        <v>615</v>
      </c>
      <c r="DO387">
        <v>1</v>
      </c>
      <c r="DP387" s="4">
        <v>629</v>
      </c>
      <c r="DQ387">
        <v>1</v>
      </c>
      <c r="DR387" s="4">
        <v>651</v>
      </c>
      <c r="DS387">
        <v>1</v>
      </c>
      <c r="DT387" s="4">
        <v>666</v>
      </c>
      <c r="DU387">
        <v>1</v>
      </c>
      <c r="DV387" s="4">
        <v>681</v>
      </c>
      <c r="DW387">
        <v>1</v>
      </c>
      <c r="DX387" s="4">
        <v>692</v>
      </c>
      <c r="DY387">
        <v>1</v>
      </c>
      <c r="DZ387" s="4">
        <v>702</v>
      </c>
      <c r="EA387">
        <v>1</v>
      </c>
      <c r="EB387" s="4">
        <v>708</v>
      </c>
      <c r="EC387">
        <v>1</v>
      </c>
      <c r="ED387" s="4">
        <v>713</v>
      </c>
      <c r="EE387">
        <v>1</v>
      </c>
      <c r="EF387" s="4">
        <v>719</v>
      </c>
      <c r="EG387">
        <v>1</v>
      </c>
      <c r="EH387" s="4">
        <v>730</v>
      </c>
      <c r="EI387">
        <v>1</v>
      </c>
      <c r="EJ387" s="4">
        <v>739</v>
      </c>
      <c r="EK387">
        <v>1</v>
      </c>
    </row>
    <row r="388" spans="1:141" s="6" customFormat="1" ht="12" customHeight="1" x14ac:dyDescent="0.2">
      <c r="A388" s="12" t="s">
        <v>4897</v>
      </c>
      <c r="AB388" s="6" t="s">
        <v>42</v>
      </c>
    </row>
    <row r="389" spans="1:141" x14ac:dyDescent="0.2">
      <c r="A389" t="str">
        <f>HYPERLINK("http://exon.niaid.nih.gov/transcriptome/C_felis/S1/links/cf/cf-contig_143.txt","cf-contig_143")</f>
        <v>cf-contig_143</v>
      </c>
      <c r="B389">
        <v>3</v>
      </c>
      <c r="C389" s="10" t="s">
        <v>4598</v>
      </c>
      <c r="D389">
        <v>3</v>
      </c>
      <c r="E389" t="str">
        <f>HYPERLINK("http://exon.niaid.nih.gov/transcriptome/C_felis/S1/links/cf/cf-5-36-asb-143.txt","Contig-143")</f>
        <v>Contig-143</v>
      </c>
      <c r="F389" t="str">
        <f>HYPERLINK("http://exon.niaid.nih.gov/transcriptome/C_felis/S1/links/cf/cf-5-36-143-CLU.txt","Contig143")</f>
        <v>Contig143</v>
      </c>
      <c r="G389" t="str">
        <f>HYPERLINK("http://exon.niaid.nih.gov/transcriptome/C_felis/S1/links/cf/cf-5-36-143-qual.txt","70.1")</f>
        <v>70.1</v>
      </c>
      <c r="H389" t="s">
        <v>11</v>
      </c>
      <c r="I389">
        <v>69.400000000000006</v>
      </c>
      <c r="J389">
        <v>471</v>
      </c>
      <c r="K389" t="s">
        <v>12</v>
      </c>
      <c r="L389">
        <v>3</v>
      </c>
      <c r="M389" t="s">
        <v>156</v>
      </c>
      <c r="N389">
        <v>479</v>
      </c>
      <c r="O389">
        <v>494</v>
      </c>
      <c r="P389">
        <v>339</v>
      </c>
      <c r="Q389" t="s">
        <v>963</v>
      </c>
      <c r="R389">
        <v>3</v>
      </c>
      <c r="S389" s="7" t="str">
        <f>HYPERLINK("http://exon.niaid.nih.gov/transcriptome/C_felis/S1/links/Sigp/CF-CONTIG_143-SigP.txt","BL")</f>
        <v>BL</v>
      </c>
      <c r="T389" t="s">
        <v>4584</v>
      </c>
      <c r="U389">
        <v>3</v>
      </c>
      <c r="V389" s="4">
        <v>138</v>
      </c>
      <c r="W389">
        <v>1</v>
      </c>
      <c r="X389" s="4">
        <v>135</v>
      </c>
      <c r="Y389">
        <v>1</v>
      </c>
      <c r="Z389" s="4">
        <v>132</v>
      </c>
      <c r="AA389">
        <v>1</v>
      </c>
      <c r="AB389" s="4" t="str">
        <f>HYPERLINK("http://exon.niaid.nih.gov/transcriptome/C_felis/S1/links/XC-ASB/cf-contig_724-XC-ASB.txt","XC-contig_169")</f>
        <v>XC-contig_169</v>
      </c>
      <c r="AC389">
        <v>1E-14</v>
      </c>
      <c r="AD389" s="10" t="s">
        <v>4598</v>
      </c>
      <c r="AE389" t="s">
        <v>4599</v>
      </c>
      <c r="AF389" t="str">
        <f>HYPERLINK("http://exon.niaid.nih.gov/transcriptome/C_felis/S1/links/Sigp/cf-contig_143-Sigp.txt","Sigp")</f>
        <v>Sigp</v>
      </c>
      <c r="AI389" s="4" t="str">
        <f>HYPERLINK("http://exon.niaid.nih.gov/transcriptome/C_felis/S1/links/NR/cf-contig_143-NR.txt","predicted protein")</f>
        <v>predicted protein</v>
      </c>
      <c r="AJ389" t="str">
        <f>HYPERLINK("http://www.ncbi.nlm.nih.gov/sutils/blink.cgi?pid=156353450","2E-009")</f>
        <v>2E-009</v>
      </c>
      <c r="AK389" t="str">
        <f>HYPERLINK("http://www.ncbi.nlm.nih.gov/protein/156353450","gi|156353450")</f>
        <v>gi|156353450</v>
      </c>
      <c r="AL389">
        <v>66.2</v>
      </c>
      <c r="AM389">
        <v>152</v>
      </c>
      <c r="AN389">
        <v>153</v>
      </c>
      <c r="AO389">
        <v>40</v>
      </c>
      <c r="AP389">
        <v>100</v>
      </c>
      <c r="AQ389">
        <v>51</v>
      </c>
      <c r="AR389">
        <v>0</v>
      </c>
      <c r="AS389">
        <v>1</v>
      </c>
      <c r="AT389">
        <v>40</v>
      </c>
      <c r="AU389">
        <v>7</v>
      </c>
      <c r="AV389">
        <v>-3</v>
      </c>
      <c r="AW389" t="s">
        <v>1689</v>
      </c>
      <c r="AY389" t="s">
        <v>1666</v>
      </c>
      <c r="AZ389" t="s">
        <v>2224</v>
      </c>
      <c r="BA389" s="4" t="str">
        <f>HYPERLINK("http://exon.niaid.nih.gov/transcriptome/C_felis/S1/links/SWISSP/cf-contig_143-SWISSP.txt","Putative uncharacterized transmembrane protein DDB_G0290641")</f>
        <v>Putative uncharacterized transmembrane protein DDB_G0290641</v>
      </c>
      <c r="BB389" t="str">
        <f>HYPERLINK("http://www.uniprot.org/uniprot/Q54FZ8","4E-007")</f>
        <v>4E-007</v>
      </c>
      <c r="BC389" t="s">
        <v>2213</v>
      </c>
      <c r="BD389">
        <v>54.3</v>
      </c>
      <c r="BE389">
        <v>177</v>
      </c>
      <c r="BF389">
        <v>5801</v>
      </c>
      <c r="BG389">
        <v>30</v>
      </c>
      <c r="BH389">
        <v>3</v>
      </c>
      <c r="BI389">
        <v>72</v>
      </c>
      <c r="BJ389">
        <v>0</v>
      </c>
      <c r="BK389">
        <v>5468</v>
      </c>
      <c r="BL389">
        <v>30</v>
      </c>
      <c r="BM389">
        <v>4</v>
      </c>
      <c r="BN389">
        <v>3</v>
      </c>
      <c r="BO389" t="s">
        <v>12</v>
      </c>
      <c r="BP389">
        <v>0.56499999999999995</v>
      </c>
      <c r="BQ389" t="s">
        <v>1676</v>
      </c>
      <c r="BR389" t="s">
        <v>1976</v>
      </c>
      <c r="BS389" s="4" t="str">
        <f>HYPERLINK("http://exon.niaid.nih.gov/transcriptome/C_felis/S1/links/CDD/cf-contig_143-CDD.txt","ND2")</f>
        <v>ND2</v>
      </c>
      <c r="BT389" t="str">
        <f>HYPERLINK("http://www.ncbi.nlm.nih.gov/Structure/cdd/cddsrv.cgi?uid=MTH00160&amp;version=v4.0","1E-007")</f>
        <v>1E-007</v>
      </c>
      <c r="BU389" t="s">
        <v>2225</v>
      </c>
      <c r="BV389" s="4" t="s">
        <v>2226</v>
      </c>
      <c r="BW389">
        <f>HYPERLINK("http://exon.niaid.nih.gov/transcriptome/C_felis/S1/links/GO/cf-contig_143-GO.txt",0.000000009)</f>
        <v>8.9999999999999995E-9</v>
      </c>
      <c r="BX389" t="str">
        <f>HYPERLINK("http://amigo.geneontology.org/cgi-bin/amigo/term_details?term=GO:0003674","GO:0003674")</f>
        <v>GO:0003674</v>
      </c>
      <c r="BY389" t="s">
        <v>1851</v>
      </c>
      <c r="BZ389" t="s">
        <v>1852</v>
      </c>
      <c r="CA389" t="s">
        <v>1853</v>
      </c>
      <c r="CB389" t="s">
        <v>42</v>
      </c>
      <c r="CD389">
        <v>8.9999999999999995E-9</v>
      </c>
      <c r="CE389" t="str">
        <f>HYPERLINK("http://amigo.geneontology.org/cgi-bin/amigo/term_details?term=GO:0005575","GO:0005575")</f>
        <v>GO:0005575</v>
      </c>
      <c r="CF389" t="s">
        <v>1838</v>
      </c>
      <c r="CG389" t="s">
        <v>1839</v>
      </c>
      <c r="CH389" t="s">
        <v>1840</v>
      </c>
      <c r="CI389" t="s">
        <v>42</v>
      </c>
      <c r="CK389">
        <v>8.9999999999999995E-9</v>
      </c>
      <c r="CL389" t="str">
        <f>HYPERLINK("http://amigo.geneontology.org/cgi-bin/amigo/term_details?term=GO:0008150","GO:0008150")</f>
        <v>GO:0008150</v>
      </c>
      <c r="CM389" t="s">
        <v>1857</v>
      </c>
      <c r="CN389" t="s">
        <v>1858</v>
      </c>
      <c r="CO389" t="s">
        <v>1859</v>
      </c>
      <c r="CP389" t="s">
        <v>42</v>
      </c>
      <c r="CR389">
        <v>8.9999999999999995E-9</v>
      </c>
      <c r="CS389" s="4" t="str">
        <f>HYPERLINK("http://exon.niaid.nih.gov/transcriptome/C_felis/S1/links/KOG/cf-contig_143-KOG.txt","HIV-1 Vpr-binding protein")</f>
        <v>HIV-1 Vpr-binding protein</v>
      </c>
      <c r="CT389" t="str">
        <f>HYPERLINK("http://www.ncbi.nlm.nih.gov/COG/grace/shokog.cgi?KOG1832","4E-004")</f>
        <v>4E-004</v>
      </c>
      <c r="CU389" t="s">
        <v>1750</v>
      </c>
      <c r="CV389" s="4" t="str">
        <f>HYPERLINK("http://exon.niaid.nih.gov/transcriptome/C_felis/S1/links/PFAM/cf-contig_143-PFAM.txt","ABC2_membrane_4")</f>
        <v>ABC2_membrane_4</v>
      </c>
      <c r="CW389" t="str">
        <f>HYPERLINK("http://pfam.sanger.ac.uk/family?acc=PF12730","1E-007")</f>
        <v>1E-007</v>
      </c>
      <c r="CX389" s="4" t="str">
        <f>HYPERLINK("http://exon.niaid.nih.gov/transcriptome/C_felis/S1/links/SMART/cf-contig_143-SMART.txt","PSN")</f>
        <v>PSN</v>
      </c>
      <c r="CY389" t="str">
        <f>HYPERLINK("http://smart.embl-heidelberg.de/smart/do_annotation.pl?DOMAIN=PSN&amp;BLAST=DUMMY","5E-005")</f>
        <v>5E-005</v>
      </c>
      <c r="CZ389" s="4" t="s">
        <v>42</v>
      </c>
      <c r="DA389" t="s">
        <v>42</v>
      </c>
      <c r="DB389" t="s">
        <v>42</v>
      </c>
      <c r="DC389" t="s">
        <v>42</v>
      </c>
      <c r="DD389" t="s">
        <v>42</v>
      </c>
      <c r="DE389" t="s">
        <v>42</v>
      </c>
      <c r="DF389" t="s">
        <v>42</v>
      </c>
      <c r="DG389" t="s">
        <v>42</v>
      </c>
      <c r="DH389" s="4" t="s">
        <v>42</v>
      </c>
      <c r="DI389" t="s">
        <v>42</v>
      </c>
      <c r="DJ389" s="4" t="s">
        <v>42</v>
      </c>
      <c r="DK389" t="s">
        <v>42</v>
      </c>
      <c r="DL389" s="4">
        <v>138</v>
      </c>
      <c r="DM389">
        <v>1</v>
      </c>
      <c r="DN389" s="4">
        <v>135</v>
      </c>
      <c r="DO389">
        <v>1</v>
      </c>
      <c r="DP389" s="4">
        <v>132</v>
      </c>
      <c r="DQ389">
        <v>1</v>
      </c>
      <c r="DR389" s="4">
        <v>127</v>
      </c>
      <c r="DS389">
        <v>1</v>
      </c>
      <c r="DT389" s="4">
        <v>126</v>
      </c>
      <c r="DU389">
        <v>1</v>
      </c>
      <c r="DV389" s="4">
        <v>136</v>
      </c>
      <c r="DW389">
        <v>1</v>
      </c>
      <c r="DX389" s="4">
        <v>138</v>
      </c>
      <c r="DY389">
        <v>1</v>
      </c>
      <c r="DZ389" s="4">
        <v>138</v>
      </c>
      <c r="EA389">
        <v>1</v>
      </c>
      <c r="EB389" s="4">
        <v>143</v>
      </c>
      <c r="EC389">
        <v>1</v>
      </c>
      <c r="ED389" s="4">
        <v>144</v>
      </c>
      <c r="EE389">
        <v>1</v>
      </c>
      <c r="EF389" s="4">
        <v>143</v>
      </c>
      <c r="EG389">
        <v>1</v>
      </c>
      <c r="EH389" s="4">
        <v>142</v>
      </c>
      <c r="EI389">
        <v>1</v>
      </c>
      <c r="EJ389" s="4">
        <v>143</v>
      </c>
      <c r="EK389">
        <v>1</v>
      </c>
    </row>
    <row r="390" spans="1:141" x14ac:dyDescent="0.2">
      <c r="A390" t="str">
        <f>HYPERLINK("http://exon.niaid.nih.gov/transcriptome/C_felis/S1/links/cf/cf-contig_9.txt","cf-contig_9")</f>
        <v>cf-contig_9</v>
      </c>
      <c r="B390">
        <v>1</v>
      </c>
      <c r="C390" s="10" t="s">
        <v>4600</v>
      </c>
      <c r="D390">
        <v>1</v>
      </c>
      <c r="E390" t="str">
        <f>HYPERLINK("http://exon.niaid.nih.gov/transcriptome/C_felis/S1/links/cf/cf-5-36-asb-9.txt","Contig-9")</f>
        <v>Contig-9</v>
      </c>
      <c r="F390" t="str">
        <f>HYPERLINK("http://exon.niaid.nih.gov/transcriptome/C_felis/S1/links/cf/cf-5-36-9-CLU.txt","Contig9")</f>
        <v>Contig9</v>
      </c>
      <c r="G390" t="str">
        <f>HYPERLINK("http://exon.niaid.nih.gov/transcriptome/C_felis/S1/links/cf/cf-5-36-9-qual.txt","62.9")</f>
        <v>62.9</v>
      </c>
      <c r="H390" t="s">
        <v>11</v>
      </c>
      <c r="I390">
        <v>78.099999999999994</v>
      </c>
      <c r="J390">
        <v>136</v>
      </c>
      <c r="K390" t="s">
        <v>12</v>
      </c>
      <c r="L390">
        <v>1</v>
      </c>
      <c r="M390" t="s">
        <v>21</v>
      </c>
      <c r="N390">
        <v>136</v>
      </c>
      <c r="O390">
        <v>155</v>
      </c>
      <c r="P390">
        <v>63</v>
      </c>
      <c r="Q390" t="s">
        <v>832</v>
      </c>
      <c r="R390">
        <v>1</v>
      </c>
      <c r="S390" s="7" t="s">
        <v>4585</v>
      </c>
      <c r="U390">
        <v>1</v>
      </c>
      <c r="V390" s="4">
        <f>HYPERLINK("http://exon.niaid.nih.gov/transcriptome/C_felis/S1/links/cluster/cf-5-36-asb30-50-Id-CLU2.txt", 2)</f>
        <v>2</v>
      </c>
      <c r="W390">
        <f>HYPERLINK("http://exon.niaid.nih.gov/transcriptome/C_felis/S1/links/cluster/cf-5-36-asb30-50-Id-CLTL2.txt", 11)</f>
        <v>11</v>
      </c>
      <c r="X390" s="4">
        <f>HYPERLINK("http://exon.niaid.nih.gov/transcriptome/C_felis/S1/links/cluster/cf-5-36-asb35-50-Id-CLU1.txt", 1)</f>
        <v>1</v>
      </c>
      <c r="Y390">
        <f>HYPERLINK("http://exon.niaid.nih.gov/transcriptome/C_felis/S1/links/cluster/cf-5-36-asb35-50-Id-CLTL1.txt", 11)</f>
        <v>11</v>
      </c>
      <c r="Z390" s="4">
        <f>HYPERLINK("http://exon.niaid.nih.gov/transcriptome/C_felis/S1/links/cluster/cf-5-36-asb40-50-Id-CLU1.txt", 1)</f>
        <v>1</v>
      </c>
      <c r="AA390">
        <f>HYPERLINK("http://exon.niaid.nih.gov/transcriptome/C_felis/S1/links/cluster/cf-5-36-asb40-50-Id-CLTL1.txt", 11)</f>
        <v>11</v>
      </c>
      <c r="AB390" s="4" t="str">
        <f>HYPERLINK("http://exon.niaid.nih.gov/transcriptome/C_felis/S1/links/XC-ASB/cf-contig_9-XC-ASB.txt","XC-contig_248")</f>
        <v>XC-contig_248</v>
      </c>
      <c r="AC390">
        <v>0.67</v>
      </c>
      <c r="AD390" s="10" t="s">
        <v>4600</v>
      </c>
      <c r="AE390" t="s">
        <v>4601</v>
      </c>
      <c r="AI390" s="4" t="s">
        <v>42</v>
      </c>
      <c r="AJ390" t="s">
        <v>42</v>
      </c>
      <c r="AK390" t="s">
        <v>42</v>
      </c>
      <c r="AL390" t="s">
        <v>42</v>
      </c>
      <c r="AM390" t="s">
        <v>42</v>
      </c>
      <c r="AN390" t="s">
        <v>42</v>
      </c>
      <c r="AO390" t="s">
        <v>42</v>
      </c>
      <c r="AP390" t="s">
        <v>42</v>
      </c>
      <c r="AQ390" t="s">
        <v>42</v>
      </c>
      <c r="AR390" t="s">
        <v>42</v>
      </c>
      <c r="AS390" t="s">
        <v>42</v>
      </c>
      <c r="AT390" t="s">
        <v>42</v>
      </c>
      <c r="AU390" t="s">
        <v>42</v>
      </c>
      <c r="AV390" t="s">
        <v>42</v>
      </c>
      <c r="AW390" t="s">
        <v>42</v>
      </c>
      <c r="AX390" t="s">
        <v>42</v>
      </c>
      <c r="AY390" t="s">
        <v>42</v>
      </c>
      <c r="AZ390" t="s">
        <v>42</v>
      </c>
      <c r="BA390" s="4" t="str">
        <f>HYPERLINK("http://exon.niaid.nih.gov/transcriptome/C_felis/S1/links/SWISSP/cf-contig_9-SWISSP.txt","Sodium channel protein 1 brain")</f>
        <v>Sodium channel protein 1 brain</v>
      </c>
      <c r="BB390" t="str">
        <f>HYPERLINK("http://www.uniprot.org/uniprot/Q05973","41")</f>
        <v>41</v>
      </c>
      <c r="BC390" t="s">
        <v>1708</v>
      </c>
      <c r="BD390">
        <v>26.9</v>
      </c>
      <c r="BE390">
        <v>32</v>
      </c>
      <c r="BF390">
        <v>1522</v>
      </c>
      <c r="BG390">
        <v>39</v>
      </c>
      <c r="BH390">
        <v>2</v>
      </c>
      <c r="BI390">
        <v>20</v>
      </c>
      <c r="BJ390">
        <v>0</v>
      </c>
      <c r="BK390">
        <v>1138</v>
      </c>
      <c r="BL390">
        <v>33</v>
      </c>
      <c r="BM390">
        <v>1</v>
      </c>
      <c r="BN390">
        <v>-1</v>
      </c>
      <c r="BO390" t="s">
        <v>12</v>
      </c>
      <c r="BP390">
        <v>3.125</v>
      </c>
      <c r="BQ390" t="s">
        <v>1666</v>
      </c>
      <c r="BR390" t="s">
        <v>1709</v>
      </c>
      <c r="BS390" s="4" t="str">
        <f>HYPERLINK("http://exon.niaid.nih.gov/transcriptome/C_felis/S1/links/CDD/cf-contig_9-CDD.txt","Ycf1")</f>
        <v>Ycf1</v>
      </c>
      <c r="BT390" t="str">
        <f>HYPERLINK("http://www.ncbi.nlm.nih.gov/Structure/cdd/cddsrv.cgi?uid=pfam05758&amp;version=v4.0","1.5")</f>
        <v>1.5</v>
      </c>
      <c r="BU390" t="s">
        <v>1710</v>
      </c>
      <c r="BV390" s="4" t="s">
        <v>42</v>
      </c>
      <c r="BW390" t="s">
        <v>42</v>
      </c>
      <c r="BX390" t="s">
        <v>42</v>
      </c>
      <c r="BY390" t="s">
        <v>42</v>
      </c>
      <c r="BZ390" t="s">
        <v>42</v>
      </c>
      <c r="CA390" t="s">
        <v>42</v>
      </c>
      <c r="CB390" t="s">
        <v>42</v>
      </c>
      <c r="CC390" t="s">
        <v>42</v>
      </c>
      <c r="CD390" t="s">
        <v>42</v>
      </c>
      <c r="CE390" t="s">
        <v>42</v>
      </c>
      <c r="CF390" t="s">
        <v>42</v>
      </c>
      <c r="CG390" t="s">
        <v>42</v>
      </c>
      <c r="CH390" t="s">
        <v>42</v>
      </c>
      <c r="CI390" t="s">
        <v>42</v>
      </c>
      <c r="CJ390" t="s">
        <v>42</v>
      </c>
      <c r="CK390" t="s">
        <v>42</v>
      </c>
      <c r="CL390" t="s">
        <v>42</v>
      </c>
      <c r="CM390" t="s">
        <v>42</v>
      </c>
      <c r="CN390" t="s">
        <v>42</v>
      </c>
      <c r="CO390" t="s">
        <v>42</v>
      </c>
      <c r="CP390" t="s">
        <v>42</v>
      </c>
      <c r="CQ390" t="s">
        <v>42</v>
      </c>
      <c r="CR390" t="s">
        <v>42</v>
      </c>
      <c r="CS390" s="4" t="str">
        <f>HYPERLINK("http://exon.niaid.nih.gov/transcriptome/C_felis/S1/links/KOG/cf-contig_9-KOG.txt","Predicted membrane protein")</f>
        <v>Predicted membrane protein</v>
      </c>
      <c r="CT390" t="str">
        <f>HYPERLINK("http://www.ncbi.nlm.nih.gov/COG/grace/shokog.cgi?KOG2970","6.2")</f>
        <v>6.2</v>
      </c>
      <c r="CU390" t="s">
        <v>1711</v>
      </c>
      <c r="CV390" s="4" t="str">
        <f>HYPERLINK("http://exon.niaid.nih.gov/transcriptome/C_felis/S1/links/PFAM/cf-contig_9-PFAM.txt","Ycf1")</f>
        <v>Ycf1</v>
      </c>
      <c r="CW390" t="str">
        <f>HYPERLINK("http://pfam.sanger.ac.uk/family?acc=PF05758","0.33")</f>
        <v>0.33</v>
      </c>
      <c r="CX390" s="4" t="str">
        <f>HYPERLINK("http://exon.niaid.nih.gov/transcriptome/C_felis/S1/links/SMART/cf-contig_9-SMART.txt","RPOLD")</f>
        <v>RPOLD</v>
      </c>
      <c r="CY390" t="str">
        <f>HYPERLINK("http://smart.embl-heidelberg.de/smart/do_annotation.pl?DOMAIN=RPOLD&amp;BLAST=DUMMY","1.2")</f>
        <v>1.2</v>
      </c>
      <c r="CZ390" s="4" t="s">
        <v>42</v>
      </c>
      <c r="DA390" t="s">
        <v>42</v>
      </c>
      <c r="DB390" t="s">
        <v>42</v>
      </c>
      <c r="DC390" t="s">
        <v>42</v>
      </c>
      <c r="DD390" t="s">
        <v>42</v>
      </c>
      <c r="DE390" t="s">
        <v>42</v>
      </c>
      <c r="DF390" t="s">
        <v>42</v>
      </c>
      <c r="DG390" t="s">
        <v>42</v>
      </c>
      <c r="DH390" s="4" t="s">
        <v>42</v>
      </c>
      <c r="DI390" t="s">
        <v>42</v>
      </c>
      <c r="DJ390" s="4" t="s">
        <v>42</v>
      </c>
      <c r="DK390" t="s">
        <v>42</v>
      </c>
      <c r="DL390" s="4">
        <f>HYPERLINK("http://exon.niaid.nih.gov/transcriptome/C_felis/S1/links/cluster/cf-5-36-asb30-50-Id-CLU2.txt", 2)</f>
        <v>2</v>
      </c>
      <c r="DM390">
        <f>HYPERLINK("http://exon.niaid.nih.gov/transcriptome/C_felis/S1/links/cluster/cf-5-36-asb30-50-Id-CLTL2.txt", 11)</f>
        <v>11</v>
      </c>
      <c r="DN390" s="4">
        <f>HYPERLINK("http://exon.niaid.nih.gov/transcriptome/C_felis/S1/links/cluster/cf-5-36-asb35-50-Id-CLU1.txt", 1)</f>
        <v>1</v>
      </c>
      <c r="DO390">
        <f>HYPERLINK("http://exon.niaid.nih.gov/transcriptome/C_felis/S1/links/cluster/cf-5-36-asb35-50-Id-CLTL1.txt", 11)</f>
        <v>11</v>
      </c>
      <c r="DP390" s="4">
        <f>HYPERLINK("http://exon.niaid.nih.gov/transcriptome/C_felis/S1/links/cluster/cf-5-36-asb40-50-Id-CLU1.txt", 1)</f>
        <v>1</v>
      </c>
      <c r="DQ390">
        <f>HYPERLINK("http://exon.niaid.nih.gov/transcriptome/C_felis/S1/links/cluster/cf-5-36-asb40-50-Id-CLTL1.txt", 11)</f>
        <v>11</v>
      </c>
      <c r="DR390" s="4">
        <f>HYPERLINK("http://exon.niaid.nih.gov/transcriptome/C_felis/S1/links/cluster/cf-5-36-asb45-50-Id-CLU1.txt", 1)</f>
        <v>1</v>
      </c>
      <c r="DS390">
        <f>HYPERLINK("http://exon.niaid.nih.gov/transcriptome/C_felis/S1/links/cluster/cf-5-36-asb45-50-Id-CLTL1.txt", 9)</f>
        <v>9</v>
      </c>
      <c r="DT390" s="4">
        <f>HYPERLINK("http://exon.niaid.nih.gov/transcriptome/C_felis/S1/links/cluster/cf-5-36-asb50-50-Id-CLU1.txt", 1)</f>
        <v>1</v>
      </c>
      <c r="DU390">
        <f>HYPERLINK("http://exon.niaid.nih.gov/transcriptome/C_felis/S1/links/cluster/cf-5-36-asb50-50-Id-CLTL1.txt", 8)</f>
        <v>8</v>
      </c>
      <c r="DV390" s="4">
        <f>HYPERLINK("http://exon.niaid.nih.gov/transcriptome/C_felis/S1/links/cluster/cf-5-36-asb55-50-Id-CLU12.txt", 12)</f>
        <v>12</v>
      </c>
      <c r="DW390">
        <f>HYPERLINK("http://exon.niaid.nih.gov/transcriptome/C_felis/S1/links/cluster/cf-5-36-asb55-50-Id-CLTL12.txt", 2)</f>
        <v>2</v>
      </c>
      <c r="DX390" s="4">
        <v>49</v>
      </c>
      <c r="DY390">
        <v>1</v>
      </c>
      <c r="DZ390" s="4">
        <v>43</v>
      </c>
      <c r="EA390">
        <v>1</v>
      </c>
      <c r="EB390" s="4">
        <v>37</v>
      </c>
      <c r="EC390">
        <v>1</v>
      </c>
      <c r="ED390" s="4">
        <v>34</v>
      </c>
      <c r="EE390">
        <v>1</v>
      </c>
      <c r="EF390" s="4">
        <v>28</v>
      </c>
      <c r="EG390">
        <v>1</v>
      </c>
      <c r="EH390" s="4">
        <v>16</v>
      </c>
      <c r="EI390">
        <v>1</v>
      </c>
      <c r="EJ390" s="4">
        <v>9</v>
      </c>
      <c r="EK390">
        <v>1</v>
      </c>
    </row>
    <row r="391" spans="1:141" x14ac:dyDescent="0.2">
      <c r="A391" t="str">
        <f>HYPERLINK("http://exon.niaid.nih.gov/transcriptome/C_felis/S1/links/cf/cf-contig_82.txt","cf-contig_82")</f>
        <v>cf-contig_82</v>
      </c>
      <c r="B391">
        <v>1</v>
      </c>
      <c r="C391" s="10" t="s">
        <v>4600</v>
      </c>
      <c r="D391">
        <v>1</v>
      </c>
      <c r="E391" t="str">
        <f>HYPERLINK("http://exon.niaid.nih.gov/transcriptome/C_felis/S1/links/cf/cf-5-36-asb-82.txt","Contig-82")</f>
        <v>Contig-82</v>
      </c>
      <c r="F391" t="str">
        <f>HYPERLINK("http://exon.niaid.nih.gov/transcriptome/C_felis/S1/links/cf/cf-5-36-82-CLU.txt","Contig82")</f>
        <v>Contig82</v>
      </c>
      <c r="G391" t="str">
        <f>HYPERLINK("http://exon.niaid.nih.gov/transcriptome/C_felis/S1/links/cf/cf-5-36-82-qual.txt","63.")</f>
        <v>63.</v>
      </c>
      <c r="H391" t="s">
        <v>11</v>
      </c>
      <c r="I391">
        <v>79.599999999999994</v>
      </c>
      <c r="J391">
        <v>187</v>
      </c>
      <c r="K391" t="s">
        <v>12</v>
      </c>
      <c r="L391">
        <v>1</v>
      </c>
      <c r="M391" t="s">
        <v>95</v>
      </c>
      <c r="N391">
        <v>187</v>
      </c>
      <c r="O391">
        <v>206</v>
      </c>
      <c r="P391">
        <v>87</v>
      </c>
      <c r="Q391" t="s">
        <v>902</v>
      </c>
      <c r="R391">
        <v>1</v>
      </c>
      <c r="S391" s="7" t="s">
        <v>4585</v>
      </c>
      <c r="U391">
        <v>1</v>
      </c>
      <c r="V391" s="4">
        <v>112</v>
      </c>
      <c r="W391">
        <v>1</v>
      </c>
      <c r="X391" s="4">
        <v>107</v>
      </c>
      <c r="Y391">
        <v>1</v>
      </c>
      <c r="Z391" s="4">
        <v>102</v>
      </c>
      <c r="AA391">
        <v>1</v>
      </c>
      <c r="AB391" s="4" t="str">
        <f>HYPERLINK("http://exon.niaid.nih.gov/transcriptome/C_felis/S1/links/XC-ASB/cf-contig_82-XC-ASB.txt","XC-contig_112")</f>
        <v>XC-contig_112</v>
      </c>
      <c r="AC391">
        <v>8.5999999999999993E-2</v>
      </c>
      <c r="AD391" s="10" t="s">
        <v>4600</v>
      </c>
      <c r="AE391" t="s">
        <v>4601</v>
      </c>
      <c r="AI391" s="4" t="s">
        <v>42</v>
      </c>
      <c r="AJ391" t="s">
        <v>42</v>
      </c>
      <c r="AK391" t="s">
        <v>42</v>
      </c>
      <c r="AL391" t="s">
        <v>42</v>
      </c>
      <c r="AM391" t="s">
        <v>42</v>
      </c>
      <c r="AN391" t="s">
        <v>42</v>
      </c>
      <c r="AO391" t="s">
        <v>42</v>
      </c>
      <c r="AP391" t="s">
        <v>42</v>
      </c>
      <c r="AQ391" t="s">
        <v>42</v>
      </c>
      <c r="AR391" t="s">
        <v>42</v>
      </c>
      <c r="AS391" t="s">
        <v>42</v>
      </c>
      <c r="AT391" t="s">
        <v>42</v>
      </c>
      <c r="AU391" t="s">
        <v>42</v>
      </c>
      <c r="AV391" t="s">
        <v>42</v>
      </c>
      <c r="AW391" t="s">
        <v>42</v>
      </c>
      <c r="AX391" t="s">
        <v>42</v>
      </c>
      <c r="AY391" t="s">
        <v>42</v>
      </c>
      <c r="AZ391" t="s">
        <v>42</v>
      </c>
      <c r="BA391" s="4" t="str">
        <f>HYPERLINK("http://exon.niaid.nih.gov/transcriptome/C_felis/S1/links/SWISSP/cf-contig_82-SWISSP.txt","DNA-directed RNA polymerase subunit beta")</f>
        <v>DNA-directed RNA polymerase subunit beta</v>
      </c>
      <c r="BB391" t="str">
        <f>HYPERLINK("http://www.uniprot.org/uniprot/P21421","40")</f>
        <v>40</v>
      </c>
      <c r="BC391" t="s">
        <v>1790</v>
      </c>
      <c r="BD391">
        <v>26.9</v>
      </c>
      <c r="BE391">
        <v>32</v>
      </c>
      <c r="BF391">
        <v>1024</v>
      </c>
      <c r="BG391">
        <v>36</v>
      </c>
      <c r="BH391">
        <v>3</v>
      </c>
      <c r="BI391">
        <v>24</v>
      </c>
      <c r="BJ391">
        <v>0</v>
      </c>
      <c r="BK391">
        <v>180</v>
      </c>
      <c r="BL391">
        <v>4</v>
      </c>
      <c r="BM391">
        <v>1</v>
      </c>
      <c r="BN391">
        <v>-3</v>
      </c>
      <c r="BO391" t="s">
        <v>12</v>
      </c>
      <c r="BP391">
        <v>6.25</v>
      </c>
      <c r="BQ391" t="s">
        <v>1666</v>
      </c>
      <c r="BR391" t="s">
        <v>1791</v>
      </c>
      <c r="BS391" s="4" t="str">
        <f>HYPERLINK("http://exon.niaid.nih.gov/transcriptome/C_felis/S1/links/CDD/cf-contig_82-CDD.txt","TIGR03766")</f>
        <v>TIGR03766</v>
      </c>
      <c r="BT391" t="str">
        <f>HYPERLINK("http://www.ncbi.nlm.nih.gov/Structure/cdd/cddsrv.cgi?uid=TIGR03766&amp;version=v4.0","0.74")</f>
        <v>0.74</v>
      </c>
      <c r="BU391" t="s">
        <v>1968</v>
      </c>
      <c r="BV391" s="4" t="s">
        <v>42</v>
      </c>
      <c r="BW391" t="s">
        <v>42</v>
      </c>
      <c r="BX391" t="s">
        <v>42</v>
      </c>
      <c r="BY391" t="s">
        <v>42</v>
      </c>
      <c r="BZ391" t="s">
        <v>42</v>
      </c>
      <c r="CA391" t="s">
        <v>42</v>
      </c>
      <c r="CB391" t="s">
        <v>42</v>
      </c>
      <c r="CC391" t="s">
        <v>42</v>
      </c>
      <c r="CD391" t="s">
        <v>42</v>
      </c>
      <c r="CE391" t="s">
        <v>42</v>
      </c>
      <c r="CF391" t="s">
        <v>42</v>
      </c>
      <c r="CG391" t="s">
        <v>42</v>
      </c>
      <c r="CH391" t="s">
        <v>42</v>
      </c>
      <c r="CI391" t="s">
        <v>42</v>
      </c>
      <c r="CJ391" t="s">
        <v>42</v>
      </c>
      <c r="CK391" t="s">
        <v>42</v>
      </c>
      <c r="CL391" t="s">
        <v>42</v>
      </c>
      <c r="CM391" t="s">
        <v>42</v>
      </c>
      <c r="CN391" t="s">
        <v>42</v>
      </c>
      <c r="CO391" t="s">
        <v>42</v>
      </c>
      <c r="CP391" t="s">
        <v>42</v>
      </c>
      <c r="CQ391" t="s">
        <v>42</v>
      </c>
      <c r="CR391" t="s">
        <v>42</v>
      </c>
      <c r="CS391" s="4" t="str">
        <f>HYPERLINK("http://exon.niaid.nih.gov/transcriptome/C_felis/S1/links/KOG/cf-contig_82-KOG.txt","Fucosyltransferase")</f>
        <v>Fucosyltransferase</v>
      </c>
      <c r="CT391" t="str">
        <f>HYPERLINK("http://www.ncbi.nlm.nih.gov/COG/grace/shokog.cgi?KOG2619","3.5")</f>
        <v>3.5</v>
      </c>
      <c r="CU391" t="s">
        <v>1969</v>
      </c>
      <c r="CV391" s="4" t="str">
        <f>HYPERLINK("http://exon.niaid.nih.gov/transcriptome/C_felis/S1/links/PFAM/cf-contig_82-PFAM.txt","DUF1574")</f>
        <v>DUF1574</v>
      </c>
      <c r="CW391" t="str">
        <f>HYPERLINK("http://pfam.sanger.ac.uk/family?acc=PF07611","2.1")</f>
        <v>2.1</v>
      </c>
      <c r="CX391" s="4" t="str">
        <f>HYPERLINK("http://exon.niaid.nih.gov/transcriptome/C_felis/S1/links/SMART/cf-contig_82-SMART.txt","DNaseIc")</f>
        <v>DNaseIc</v>
      </c>
      <c r="CY391" t="str">
        <f>HYPERLINK("http://smart.embl-heidelberg.de/smart/do_annotation.pl?DOMAIN=DNaseIc&amp;BLAST=DUMMY","1.4")</f>
        <v>1.4</v>
      </c>
      <c r="CZ391" s="4" t="s">
        <v>42</v>
      </c>
      <c r="DA391" t="s">
        <v>42</v>
      </c>
      <c r="DB391" t="s">
        <v>42</v>
      </c>
      <c r="DC391" t="s">
        <v>42</v>
      </c>
      <c r="DD391" t="s">
        <v>42</v>
      </c>
      <c r="DE391" t="s">
        <v>42</v>
      </c>
      <c r="DF391" t="s">
        <v>42</v>
      </c>
      <c r="DG391" t="s">
        <v>42</v>
      </c>
      <c r="DH391" s="4" t="s">
        <v>42</v>
      </c>
      <c r="DI391" t="s">
        <v>42</v>
      </c>
      <c r="DJ391" s="4" t="s">
        <v>42</v>
      </c>
      <c r="DK391" t="s">
        <v>42</v>
      </c>
      <c r="DL391" s="4">
        <v>112</v>
      </c>
      <c r="DM391">
        <v>1</v>
      </c>
      <c r="DN391" s="4">
        <v>107</v>
      </c>
      <c r="DO391">
        <v>1</v>
      </c>
      <c r="DP391" s="4">
        <v>102</v>
      </c>
      <c r="DQ391">
        <v>1</v>
      </c>
      <c r="DR391" s="4">
        <v>93</v>
      </c>
      <c r="DS391">
        <v>1</v>
      </c>
      <c r="DT391" s="4">
        <v>89</v>
      </c>
      <c r="DU391">
        <v>1</v>
      </c>
      <c r="DV391" s="4">
        <v>94</v>
      </c>
      <c r="DW391">
        <v>1</v>
      </c>
      <c r="DX391" s="4">
        <v>93</v>
      </c>
      <c r="DY391">
        <v>1</v>
      </c>
      <c r="DZ391" s="4">
        <v>91</v>
      </c>
      <c r="EA391">
        <v>1</v>
      </c>
      <c r="EB391" s="4">
        <v>91</v>
      </c>
      <c r="EC391">
        <v>1</v>
      </c>
      <c r="ED391" s="4">
        <v>92</v>
      </c>
      <c r="EE391">
        <v>1</v>
      </c>
      <c r="EF391" s="4">
        <v>89</v>
      </c>
      <c r="EG391">
        <v>1</v>
      </c>
      <c r="EH391" s="4">
        <v>84</v>
      </c>
      <c r="EI391">
        <v>1</v>
      </c>
      <c r="EJ391" s="4">
        <v>82</v>
      </c>
      <c r="EK391">
        <v>1</v>
      </c>
    </row>
    <row r="392" spans="1:141" x14ac:dyDescent="0.2">
      <c r="A392" t="str">
        <f>HYPERLINK("http://exon.niaid.nih.gov/transcriptome/C_felis/S1/links/cf/cf-contig_166.txt","cf-contig_166")</f>
        <v>cf-contig_166</v>
      </c>
      <c r="B392">
        <v>1</v>
      </c>
      <c r="C392" s="10" t="s">
        <v>4600</v>
      </c>
      <c r="D392">
        <v>1</v>
      </c>
      <c r="E392" t="str">
        <f>HYPERLINK("http://exon.niaid.nih.gov/transcriptome/C_felis/S1/links/cf/cf-5-36-asb-166.txt","Contig-166")</f>
        <v>Contig-166</v>
      </c>
      <c r="F392" t="str">
        <f>HYPERLINK("http://exon.niaid.nih.gov/transcriptome/C_felis/S1/links/cf/cf-5-36-166-CLU.txt","Contig166")</f>
        <v>Contig166</v>
      </c>
      <c r="G392" t="str">
        <f>HYPERLINK("http://exon.niaid.nih.gov/transcriptome/C_felis/S1/links/cf/cf-5-36-166-qual.txt","30.")</f>
        <v>30.</v>
      </c>
      <c r="H392">
        <v>4</v>
      </c>
      <c r="I392">
        <v>59</v>
      </c>
      <c r="J392">
        <v>81</v>
      </c>
      <c r="K392" t="s">
        <v>12</v>
      </c>
      <c r="L392">
        <v>1</v>
      </c>
      <c r="M392" t="s">
        <v>179</v>
      </c>
      <c r="N392">
        <v>81</v>
      </c>
      <c r="O392">
        <v>100</v>
      </c>
      <c r="P392">
        <v>60</v>
      </c>
      <c r="Q392" t="s">
        <v>986</v>
      </c>
      <c r="R392">
        <v>2</v>
      </c>
      <c r="S392" s="7" t="s">
        <v>4585</v>
      </c>
      <c r="U392">
        <v>1</v>
      </c>
      <c r="V392" s="4">
        <f>HYPERLINK("http://exon.niaid.nih.gov/transcriptome/C_felis/S1/links/cluster/cf-5-36-asb30-50-Id-CLU12.txt", 12)</f>
        <v>12</v>
      </c>
      <c r="W392">
        <f>HYPERLINK("http://exon.niaid.nih.gov/transcriptome/C_felis/S1/links/cluster/cf-5-36-asb30-50-Id-CLTL12.txt", 4)</f>
        <v>4</v>
      </c>
      <c r="X392" s="4">
        <f>HYPERLINK("http://exon.niaid.nih.gov/transcriptome/C_felis/S1/links/cluster/cf-5-36-asb35-50-Id-CLU38.txt", 38)</f>
        <v>38</v>
      </c>
      <c r="Y392">
        <f>HYPERLINK("http://exon.niaid.nih.gov/transcriptome/C_felis/S1/links/cluster/cf-5-36-asb35-50-Id-CLTL38.txt", 2)</f>
        <v>2</v>
      </c>
      <c r="Z392" s="4">
        <v>148</v>
      </c>
      <c r="AA392">
        <v>1</v>
      </c>
      <c r="AB392" s="4" t="str">
        <f>HYPERLINK("http://exon.niaid.nih.gov/transcriptome/C_felis/S1/links/XC-ASB/cf-contig_166-XC-ASB.txt","XC-contig_112")</f>
        <v>XC-contig_112</v>
      </c>
      <c r="AC392">
        <v>1.2</v>
      </c>
      <c r="AD392" s="10" t="s">
        <v>4600</v>
      </c>
      <c r="AE392" t="s">
        <v>4601</v>
      </c>
      <c r="AI392" s="4" t="s">
        <v>42</v>
      </c>
      <c r="AJ392" t="s">
        <v>42</v>
      </c>
      <c r="AK392" t="s">
        <v>42</v>
      </c>
      <c r="AL392" t="s">
        <v>42</v>
      </c>
      <c r="AM392" t="s">
        <v>42</v>
      </c>
      <c r="AN392" t="s">
        <v>42</v>
      </c>
      <c r="AO392" t="s">
        <v>42</v>
      </c>
      <c r="AP392" t="s">
        <v>42</v>
      </c>
      <c r="AQ392" t="s">
        <v>42</v>
      </c>
      <c r="AR392" t="s">
        <v>42</v>
      </c>
      <c r="AS392" t="s">
        <v>42</v>
      </c>
      <c r="AT392" t="s">
        <v>42</v>
      </c>
      <c r="AU392" t="s">
        <v>42</v>
      </c>
      <c r="AV392" t="s">
        <v>42</v>
      </c>
      <c r="AW392" t="s">
        <v>42</v>
      </c>
      <c r="AX392" t="s">
        <v>42</v>
      </c>
      <c r="AY392" t="s">
        <v>42</v>
      </c>
      <c r="AZ392" t="s">
        <v>42</v>
      </c>
      <c r="BA392" s="4" t="s">
        <v>42</v>
      </c>
      <c r="BB392" t="s">
        <v>42</v>
      </c>
      <c r="BC392" t="s">
        <v>42</v>
      </c>
      <c r="BD392" t="s">
        <v>42</v>
      </c>
      <c r="BE392" t="s">
        <v>42</v>
      </c>
      <c r="BF392" t="s">
        <v>42</v>
      </c>
      <c r="BG392" t="s">
        <v>42</v>
      </c>
      <c r="BH392" t="s">
        <v>42</v>
      </c>
      <c r="BI392" t="s">
        <v>42</v>
      </c>
      <c r="BJ392" t="s">
        <v>42</v>
      </c>
      <c r="BK392" t="s">
        <v>42</v>
      </c>
      <c r="BL392" t="s">
        <v>42</v>
      </c>
      <c r="BM392" t="s">
        <v>42</v>
      </c>
      <c r="BN392" t="s">
        <v>42</v>
      </c>
      <c r="BO392" t="s">
        <v>42</v>
      </c>
      <c r="BP392" t="s">
        <v>42</v>
      </c>
      <c r="BQ392" t="s">
        <v>42</v>
      </c>
      <c r="BR392" t="s">
        <v>42</v>
      </c>
      <c r="BS392" s="4" t="s">
        <v>42</v>
      </c>
      <c r="BT392" t="s">
        <v>42</v>
      </c>
      <c r="BU392" t="s">
        <v>42</v>
      </c>
      <c r="BV392" s="4" t="s">
        <v>42</v>
      </c>
      <c r="BW392" t="s">
        <v>42</v>
      </c>
      <c r="BX392" t="s">
        <v>42</v>
      </c>
      <c r="BY392" t="s">
        <v>42</v>
      </c>
      <c r="BZ392" t="s">
        <v>42</v>
      </c>
      <c r="CA392" t="s">
        <v>42</v>
      </c>
      <c r="CB392" t="s">
        <v>42</v>
      </c>
      <c r="CC392" t="s">
        <v>42</v>
      </c>
      <c r="CD392" t="s">
        <v>42</v>
      </c>
      <c r="CE392" t="s">
        <v>42</v>
      </c>
      <c r="CF392" t="s">
        <v>42</v>
      </c>
      <c r="CG392" t="s">
        <v>42</v>
      </c>
      <c r="CH392" t="s">
        <v>42</v>
      </c>
      <c r="CI392" t="s">
        <v>42</v>
      </c>
      <c r="CJ392" t="s">
        <v>42</v>
      </c>
      <c r="CK392" t="s">
        <v>42</v>
      </c>
      <c r="CL392" t="s">
        <v>42</v>
      </c>
      <c r="CM392" t="s">
        <v>42</v>
      </c>
      <c r="CN392" t="s">
        <v>42</v>
      </c>
      <c r="CO392" t="s">
        <v>42</v>
      </c>
      <c r="CP392" t="s">
        <v>42</v>
      </c>
      <c r="CQ392" t="s">
        <v>42</v>
      </c>
      <c r="CR392" t="s">
        <v>42</v>
      </c>
      <c r="CS392" s="4" t="s">
        <v>42</v>
      </c>
      <c r="CT392" t="s">
        <v>42</v>
      </c>
      <c r="CU392" t="s">
        <v>42</v>
      </c>
      <c r="CV392" s="4" t="s">
        <v>42</v>
      </c>
      <c r="CW392" t="s">
        <v>42</v>
      </c>
      <c r="CX392" s="4" t="str">
        <f>HYPERLINK("http://exon.niaid.nih.gov/transcriptome/C_felis/S1/links/SMART/cf-contig_166-SMART.txt","STE")</f>
        <v>STE</v>
      </c>
      <c r="CY392" t="str">
        <f>HYPERLINK("http://smart.embl-heidelberg.de/smart/do_annotation.pl?DOMAIN=STE&amp;BLAST=DUMMY","6.8")</f>
        <v>6.8</v>
      </c>
      <c r="CZ392" s="4" t="s">
        <v>42</v>
      </c>
      <c r="DA392" t="s">
        <v>42</v>
      </c>
      <c r="DB392" t="s">
        <v>42</v>
      </c>
      <c r="DC392" t="s">
        <v>42</v>
      </c>
      <c r="DD392" t="s">
        <v>42</v>
      </c>
      <c r="DE392" t="s">
        <v>42</v>
      </c>
      <c r="DF392" t="s">
        <v>42</v>
      </c>
      <c r="DG392" t="s">
        <v>42</v>
      </c>
      <c r="DH392" s="4" t="s">
        <v>42</v>
      </c>
      <c r="DI392" t="s">
        <v>42</v>
      </c>
      <c r="DJ392" s="4" t="s">
        <v>42</v>
      </c>
      <c r="DK392" t="s">
        <v>42</v>
      </c>
      <c r="DL392" s="4">
        <f>HYPERLINK("http://exon.niaid.nih.gov/transcriptome/C_felis/S1/links/cluster/cf-5-36-asb30-50-Id-CLU12.txt", 12)</f>
        <v>12</v>
      </c>
      <c r="DM392">
        <f>HYPERLINK("http://exon.niaid.nih.gov/transcriptome/C_felis/S1/links/cluster/cf-5-36-asb30-50-Id-CLTL12.txt", 4)</f>
        <v>4</v>
      </c>
      <c r="DN392" s="4">
        <f>HYPERLINK("http://exon.niaid.nih.gov/transcriptome/C_felis/S1/links/cluster/cf-5-36-asb35-50-Id-CLU38.txt", 38)</f>
        <v>38</v>
      </c>
      <c r="DO392">
        <f>HYPERLINK("http://exon.niaid.nih.gov/transcriptome/C_felis/S1/links/cluster/cf-5-36-asb35-50-Id-CLTL38.txt", 2)</f>
        <v>2</v>
      </c>
      <c r="DP392" s="4">
        <v>148</v>
      </c>
      <c r="DQ392">
        <v>1</v>
      </c>
      <c r="DR392" s="4">
        <v>145</v>
      </c>
      <c r="DS392">
        <v>1</v>
      </c>
      <c r="DT392" s="4">
        <v>145</v>
      </c>
      <c r="DU392">
        <v>1</v>
      </c>
      <c r="DV392" s="4">
        <v>155</v>
      </c>
      <c r="DW392">
        <v>1</v>
      </c>
      <c r="DX392" s="4">
        <v>157</v>
      </c>
      <c r="DY392">
        <v>1</v>
      </c>
      <c r="DZ392" s="4">
        <v>157</v>
      </c>
      <c r="EA392">
        <v>1</v>
      </c>
      <c r="EB392" s="4">
        <v>162</v>
      </c>
      <c r="EC392">
        <v>1</v>
      </c>
      <c r="ED392" s="4">
        <v>163</v>
      </c>
      <c r="EE392">
        <v>1</v>
      </c>
      <c r="EF392" s="4">
        <v>164</v>
      </c>
      <c r="EG392">
        <v>1</v>
      </c>
      <c r="EH392" s="4">
        <v>163</v>
      </c>
      <c r="EI392">
        <v>1</v>
      </c>
      <c r="EJ392" s="4">
        <v>166</v>
      </c>
      <c r="EK392">
        <v>1</v>
      </c>
    </row>
    <row r="393" spans="1:141" x14ac:dyDescent="0.2">
      <c r="A393" t="str">
        <f>HYPERLINK("http://exon.niaid.nih.gov/transcriptome/C_felis/S1/links/cf/cf-contig_193.txt","cf-contig_193")</f>
        <v>cf-contig_193</v>
      </c>
      <c r="B393">
        <v>4</v>
      </c>
      <c r="C393" s="10" t="s">
        <v>4600</v>
      </c>
      <c r="D393">
        <v>4</v>
      </c>
      <c r="E393" t="str">
        <f>HYPERLINK("http://exon.niaid.nih.gov/transcriptome/C_felis/S1/links/cf/cf-5-36-asb-193.txt","Contig-193")</f>
        <v>Contig-193</v>
      </c>
      <c r="F393" t="str">
        <f>HYPERLINK("http://exon.niaid.nih.gov/transcriptome/C_felis/S1/links/cf/cf-5-36-193-CLU.txt","Contig193")</f>
        <v>Contig193</v>
      </c>
      <c r="G393" t="str">
        <f>HYPERLINK("http://exon.niaid.nih.gov/transcriptome/C_felis/S1/links/cf/cf-5-36-193-qual.txt","79.2")</f>
        <v>79.2</v>
      </c>
      <c r="H393" t="s">
        <v>11</v>
      </c>
      <c r="I393">
        <v>73.599999999999994</v>
      </c>
      <c r="J393">
        <v>90</v>
      </c>
      <c r="K393" t="s">
        <v>12</v>
      </c>
      <c r="L393">
        <v>4</v>
      </c>
      <c r="M393" t="s">
        <v>206</v>
      </c>
      <c r="N393">
        <v>113</v>
      </c>
      <c r="O393">
        <v>110</v>
      </c>
      <c r="P393">
        <v>75</v>
      </c>
      <c r="Q393" t="s">
        <v>1013</v>
      </c>
      <c r="R393">
        <v>1</v>
      </c>
      <c r="S393" s="7" t="s">
        <v>4585</v>
      </c>
      <c r="U393">
        <v>4</v>
      </c>
      <c r="V393" s="4">
        <v>164</v>
      </c>
      <c r="W393">
        <v>1</v>
      </c>
      <c r="X393" s="4">
        <v>166</v>
      </c>
      <c r="Y393">
        <v>1</v>
      </c>
      <c r="Z393" s="4">
        <v>164</v>
      </c>
      <c r="AA393">
        <v>1</v>
      </c>
      <c r="AB393" s="4" t="str">
        <f>HYPERLINK("http://exon.niaid.nih.gov/transcriptome/C_felis/S1/links/XC-ASB/cf-contig_193-XC-ASB.txt","XC-contig_85")</f>
        <v>XC-contig_85</v>
      </c>
      <c r="AC393">
        <v>8.0000000000000007E-5</v>
      </c>
      <c r="AD393" s="10" t="s">
        <v>4600</v>
      </c>
      <c r="AE393" t="s">
        <v>4601</v>
      </c>
      <c r="AI393" s="4" t="s">
        <v>42</v>
      </c>
      <c r="AJ393" t="s">
        <v>42</v>
      </c>
      <c r="AK393" t="s">
        <v>42</v>
      </c>
      <c r="AL393" t="s">
        <v>42</v>
      </c>
      <c r="AM393" t="s">
        <v>42</v>
      </c>
      <c r="AN393" t="s">
        <v>42</v>
      </c>
      <c r="AO393" t="s">
        <v>42</v>
      </c>
      <c r="AP393" t="s">
        <v>42</v>
      </c>
      <c r="AQ393" t="s">
        <v>42</v>
      </c>
      <c r="AR393" t="s">
        <v>42</v>
      </c>
      <c r="AS393" t="s">
        <v>42</v>
      </c>
      <c r="AT393" t="s">
        <v>42</v>
      </c>
      <c r="AU393" t="s">
        <v>42</v>
      </c>
      <c r="AV393" t="s">
        <v>42</v>
      </c>
      <c r="AW393" t="s">
        <v>42</v>
      </c>
      <c r="AX393" t="s">
        <v>42</v>
      </c>
      <c r="AY393" t="s">
        <v>42</v>
      </c>
      <c r="AZ393" t="s">
        <v>42</v>
      </c>
      <c r="BA393" s="4" t="str">
        <f>HYPERLINK("http://exon.niaid.nih.gov/transcriptome/C_felis/S1/links/SWISSP/cf-contig_193-SWISSP.txt","Isoleucyl-tRNA synthetase")</f>
        <v>Isoleucyl-tRNA synthetase</v>
      </c>
      <c r="BB393" t="str">
        <f>HYPERLINK("http://www.uniprot.org/uniprot/Q057X9","8.2")</f>
        <v>8.2</v>
      </c>
      <c r="BC393" t="s">
        <v>2378</v>
      </c>
      <c r="BD393">
        <v>29.3</v>
      </c>
      <c r="BE393">
        <v>23</v>
      </c>
      <c r="BF393">
        <v>941</v>
      </c>
      <c r="BG393">
        <v>50</v>
      </c>
      <c r="BH393">
        <v>3</v>
      </c>
      <c r="BI393">
        <v>12</v>
      </c>
      <c r="BJ393">
        <v>0</v>
      </c>
      <c r="BK393">
        <v>829</v>
      </c>
      <c r="BL393">
        <v>13</v>
      </c>
      <c r="BM393">
        <v>1</v>
      </c>
      <c r="BN393">
        <v>1</v>
      </c>
      <c r="BO393" t="s">
        <v>12</v>
      </c>
      <c r="BP393">
        <v>4.3479999999999999</v>
      </c>
      <c r="BQ393" t="s">
        <v>1676</v>
      </c>
      <c r="BR393" t="s">
        <v>2379</v>
      </c>
      <c r="BS393" s="4" t="str">
        <f>HYPERLINK("http://exon.niaid.nih.gov/transcriptome/C_felis/S1/links/CDD/cf-contig_193-CDD.txt","DUF3741")</f>
        <v>DUF3741</v>
      </c>
      <c r="BT393" t="str">
        <f>HYPERLINK("http://www.ncbi.nlm.nih.gov/Structure/cdd/cddsrv.cgi?uid=pfam12552&amp;version=v4.0","3.9")</f>
        <v>3.9</v>
      </c>
      <c r="BU393" t="s">
        <v>2380</v>
      </c>
      <c r="BV393" s="4" t="s">
        <v>42</v>
      </c>
      <c r="BW393" t="s">
        <v>42</v>
      </c>
      <c r="BX393" t="s">
        <v>42</v>
      </c>
      <c r="BY393" t="s">
        <v>42</v>
      </c>
      <c r="BZ393" t="s">
        <v>42</v>
      </c>
      <c r="CA393" t="s">
        <v>42</v>
      </c>
      <c r="CB393" t="s">
        <v>42</v>
      </c>
      <c r="CC393" t="s">
        <v>42</v>
      </c>
      <c r="CD393" t="s">
        <v>42</v>
      </c>
      <c r="CE393" t="s">
        <v>42</v>
      </c>
      <c r="CF393" t="s">
        <v>42</v>
      </c>
      <c r="CG393" t="s">
        <v>42</v>
      </c>
      <c r="CH393" t="s">
        <v>42</v>
      </c>
      <c r="CI393" t="s">
        <v>42</v>
      </c>
      <c r="CJ393" t="s">
        <v>42</v>
      </c>
      <c r="CK393" t="s">
        <v>42</v>
      </c>
      <c r="CL393" t="s">
        <v>42</v>
      </c>
      <c r="CM393" t="s">
        <v>42</v>
      </c>
      <c r="CN393" t="s">
        <v>42</v>
      </c>
      <c r="CO393" t="s">
        <v>42</v>
      </c>
      <c r="CP393" t="s">
        <v>42</v>
      </c>
      <c r="CQ393" t="s">
        <v>42</v>
      </c>
      <c r="CR393" t="s">
        <v>42</v>
      </c>
      <c r="CS393" s="4" t="str">
        <f>HYPERLINK("http://exon.niaid.nih.gov/transcriptome/C_felis/S1/links/KOG/cf-contig_193-KOG.txt","40S ribosomal protein S11")</f>
        <v>40S ribosomal protein S11</v>
      </c>
      <c r="CT393" t="str">
        <f>HYPERLINK("http://www.ncbi.nlm.nih.gov/COG/grace/shokog.cgi?KOG1728","1.5")</f>
        <v>1.5</v>
      </c>
      <c r="CU393" t="s">
        <v>1707</v>
      </c>
      <c r="CV393" s="4" t="str">
        <f>HYPERLINK("http://exon.niaid.nih.gov/transcriptome/C_felis/S1/links/PFAM/cf-contig_193-PFAM.txt","DUF3741")</f>
        <v>DUF3741</v>
      </c>
      <c r="CW393" t="str">
        <f>HYPERLINK("http://pfam.sanger.ac.uk/family?acc=PF12552","0.81")</f>
        <v>0.81</v>
      </c>
      <c r="CX393" s="4" t="str">
        <f>HYPERLINK("http://exon.niaid.nih.gov/transcriptome/C_felis/S1/links/SMART/cf-contig_193-SMART.txt","IL4_13")</f>
        <v>IL4_13</v>
      </c>
      <c r="CY393" t="str">
        <f>HYPERLINK("http://smart.embl-heidelberg.de/smart/do_annotation.pl?DOMAIN=IL4_13&amp;BLAST=DUMMY","0.79")</f>
        <v>0.79</v>
      </c>
      <c r="CZ393" s="4" t="s">
        <v>42</v>
      </c>
      <c r="DA393" t="s">
        <v>42</v>
      </c>
      <c r="DB393" t="s">
        <v>42</v>
      </c>
      <c r="DC393" t="s">
        <v>42</v>
      </c>
      <c r="DD393" t="s">
        <v>42</v>
      </c>
      <c r="DE393" t="s">
        <v>42</v>
      </c>
      <c r="DF393" t="s">
        <v>42</v>
      </c>
      <c r="DG393" t="s">
        <v>42</v>
      </c>
      <c r="DH393" s="4" t="s">
        <v>42</v>
      </c>
      <c r="DI393" t="s">
        <v>42</v>
      </c>
      <c r="DJ393" s="4" t="s">
        <v>42</v>
      </c>
      <c r="DK393" t="s">
        <v>42</v>
      </c>
      <c r="DL393" s="4">
        <v>164</v>
      </c>
      <c r="DM393">
        <v>1</v>
      </c>
      <c r="DN393" s="4">
        <v>166</v>
      </c>
      <c r="DO393">
        <v>1</v>
      </c>
      <c r="DP393" s="4">
        <v>164</v>
      </c>
      <c r="DQ393">
        <v>1</v>
      </c>
      <c r="DR393" s="4">
        <v>163</v>
      </c>
      <c r="DS393">
        <v>1</v>
      </c>
      <c r="DT393" s="4">
        <v>167</v>
      </c>
      <c r="DU393">
        <v>1</v>
      </c>
      <c r="DV393" s="4">
        <v>177</v>
      </c>
      <c r="DW393">
        <v>1</v>
      </c>
      <c r="DX393" s="4">
        <v>179</v>
      </c>
      <c r="DY393">
        <v>1</v>
      </c>
      <c r="DZ393" s="4">
        <v>181</v>
      </c>
      <c r="EA393">
        <v>1</v>
      </c>
      <c r="EB393" s="4">
        <v>186</v>
      </c>
      <c r="EC393">
        <v>1</v>
      </c>
      <c r="ED393" s="4">
        <v>187</v>
      </c>
      <c r="EE393">
        <v>1</v>
      </c>
      <c r="EF393" s="4">
        <v>188</v>
      </c>
      <c r="EG393">
        <v>1</v>
      </c>
      <c r="EH393" s="4">
        <v>188</v>
      </c>
      <c r="EI393">
        <v>1</v>
      </c>
      <c r="EJ393" s="4">
        <v>193</v>
      </c>
      <c r="EK393">
        <v>1</v>
      </c>
    </row>
    <row r="394" spans="1:141" x14ac:dyDescent="0.2">
      <c r="A394" t="str">
        <f>HYPERLINK("http://exon.niaid.nih.gov/transcriptome/C_felis/S1/links/cf/cf-contig_224.txt","cf-contig_224")</f>
        <v>cf-contig_224</v>
      </c>
      <c r="B394">
        <v>1</v>
      </c>
      <c r="C394" s="10" t="s">
        <v>4600</v>
      </c>
      <c r="D394">
        <v>1</v>
      </c>
      <c r="E394" t="str">
        <f>HYPERLINK("http://exon.niaid.nih.gov/transcriptome/C_felis/S1/links/cf/cf-5-36-asb-224.txt","Contig-224")</f>
        <v>Contig-224</v>
      </c>
      <c r="F394" t="str">
        <f>HYPERLINK("http://exon.niaid.nih.gov/transcriptome/C_felis/S1/links/cf/cf-5-36-224-CLU.txt","Contig224")</f>
        <v>Contig224</v>
      </c>
      <c r="G394" t="str">
        <f>HYPERLINK("http://exon.niaid.nih.gov/transcriptome/C_felis/S1/links/cf/cf-5-36-224-qual.txt","51.3")</f>
        <v>51.3</v>
      </c>
      <c r="H394" t="s">
        <v>11</v>
      </c>
      <c r="I394">
        <v>73.3</v>
      </c>
      <c r="J394">
        <v>71</v>
      </c>
      <c r="K394" t="s">
        <v>12</v>
      </c>
      <c r="L394">
        <v>1</v>
      </c>
      <c r="M394" t="s">
        <v>237</v>
      </c>
      <c r="N394">
        <v>71</v>
      </c>
      <c r="O394">
        <v>90</v>
      </c>
      <c r="P394">
        <v>60</v>
      </c>
      <c r="Q394" t="s">
        <v>1044</v>
      </c>
      <c r="R394">
        <v>1</v>
      </c>
      <c r="S394" s="7" t="s">
        <v>4585</v>
      </c>
      <c r="U394">
        <v>1</v>
      </c>
      <c r="V394" s="4">
        <v>180</v>
      </c>
      <c r="W394">
        <v>1</v>
      </c>
      <c r="X394" s="4">
        <v>183</v>
      </c>
      <c r="Y394">
        <v>1</v>
      </c>
      <c r="Z394" s="4">
        <v>181</v>
      </c>
      <c r="AA394">
        <v>1</v>
      </c>
      <c r="AB394" s="4" t="str">
        <f>HYPERLINK("http://exon.niaid.nih.gov/transcriptome/C_felis/S1/links/XC-ASB/cf-contig_224-XC-ASB.txt","XC-contig_155")</f>
        <v>XC-contig_155</v>
      </c>
      <c r="AC394">
        <v>0.18</v>
      </c>
      <c r="AD394" s="10" t="s">
        <v>4600</v>
      </c>
      <c r="AE394" t="s">
        <v>4601</v>
      </c>
      <c r="AI394" s="4" t="s">
        <v>42</v>
      </c>
      <c r="AJ394" t="s">
        <v>42</v>
      </c>
      <c r="AK394" t="s">
        <v>42</v>
      </c>
      <c r="AL394" t="s">
        <v>42</v>
      </c>
      <c r="AM394" t="s">
        <v>42</v>
      </c>
      <c r="AN394" t="s">
        <v>42</v>
      </c>
      <c r="AO394" t="s">
        <v>42</v>
      </c>
      <c r="AP394" t="s">
        <v>42</v>
      </c>
      <c r="AQ394" t="s">
        <v>42</v>
      </c>
      <c r="AR394" t="s">
        <v>42</v>
      </c>
      <c r="AS394" t="s">
        <v>42</v>
      </c>
      <c r="AT394" t="s">
        <v>42</v>
      </c>
      <c r="AU394" t="s">
        <v>42</v>
      </c>
      <c r="AV394" t="s">
        <v>42</v>
      </c>
      <c r="AW394" t="s">
        <v>42</v>
      </c>
      <c r="AX394" t="s">
        <v>42</v>
      </c>
      <c r="AY394" t="s">
        <v>42</v>
      </c>
      <c r="AZ394" t="s">
        <v>42</v>
      </c>
      <c r="BA394" s="4" t="s">
        <v>42</v>
      </c>
      <c r="BB394" t="s">
        <v>42</v>
      </c>
      <c r="BC394" t="s">
        <v>42</v>
      </c>
      <c r="BD394" t="s">
        <v>42</v>
      </c>
      <c r="BE394" t="s">
        <v>42</v>
      </c>
      <c r="BF394" t="s">
        <v>42</v>
      </c>
      <c r="BG394" t="s">
        <v>42</v>
      </c>
      <c r="BH394" t="s">
        <v>42</v>
      </c>
      <c r="BI394" t="s">
        <v>42</v>
      </c>
      <c r="BJ394" t="s">
        <v>42</v>
      </c>
      <c r="BK394" t="s">
        <v>42</v>
      </c>
      <c r="BL394" t="s">
        <v>42</v>
      </c>
      <c r="BM394" t="s">
        <v>42</v>
      </c>
      <c r="BN394" t="s">
        <v>42</v>
      </c>
      <c r="BO394" t="s">
        <v>42</v>
      </c>
      <c r="BP394" t="s">
        <v>42</v>
      </c>
      <c r="BQ394" t="s">
        <v>42</v>
      </c>
      <c r="BR394" t="s">
        <v>42</v>
      </c>
      <c r="BS394" s="4" t="s">
        <v>42</v>
      </c>
      <c r="BT394" t="s">
        <v>42</v>
      </c>
      <c r="BU394" t="s">
        <v>42</v>
      </c>
      <c r="BV394" s="4" t="s">
        <v>42</v>
      </c>
      <c r="BW394" t="s">
        <v>42</v>
      </c>
      <c r="BX394" t="s">
        <v>42</v>
      </c>
      <c r="BY394" t="s">
        <v>42</v>
      </c>
      <c r="BZ394" t="s">
        <v>42</v>
      </c>
      <c r="CA394" t="s">
        <v>42</v>
      </c>
      <c r="CB394" t="s">
        <v>42</v>
      </c>
      <c r="CC394" t="s">
        <v>42</v>
      </c>
      <c r="CD394" t="s">
        <v>42</v>
      </c>
      <c r="CE394" t="s">
        <v>42</v>
      </c>
      <c r="CF394" t="s">
        <v>42</v>
      </c>
      <c r="CG394" t="s">
        <v>42</v>
      </c>
      <c r="CH394" t="s">
        <v>42</v>
      </c>
      <c r="CI394" t="s">
        <v>42</v>
      </c>
      <c r="CJ394" t="s">
        <v>42</v>
      </c>
      <c r="CK394" t="s">
        <v>42</v>
      </c>
      <c r="CL394" t="s">
        <v>42</v>
      </c>
      <c r="CM394" t="s">
        <v>42</v>
      </c>
      <c r="CN394" t="s">
        <v>42</v>
      </c>
      <c r="CO394" t="s">
        <v>42</v>
      </c>
      <c r="CP394" t="s">
        <v>42</v>
      </c>
      <c r="CQ394" t="s">
        <v>42</v>
      </c>
      <c r="CR394" t="s">
        <v>42</v>
      </c>
      <c r="CS394" s="4" t="s">
        <v>42</v>
      </c>
      <c r="CT394" t="s">
        <v>42</v>
      </c>
      <c r="CU394" t="s">
        <v>42</v>
      </c>
      <c r="CV394" s="4" t="str">
        <f>HYPERLINK("http://exon.niaid.nih.gov/transcriptome/C_felis/S1/links/PFAM/cf-contig_224-PFAM.txt","DUF2278")</f>
        <v>DUF2278</v>
      </c>
      <c r="CW394" t="str">
        <f>HYPERLINK("http://pfam.sanger.ac.uk/family?acc=PF10042","4.8")</f>
        <v>4.8</v>
      </c>
      <c r="CX394" s="4" t="str">
        <f>HYPERLINK("http://exon.niaid.nih.gov/transcriptome/C_felis/S1/links/SMART/cf-contig_224-SMART.txt","Pro_CA")</f>
        <v>Pro_CA</v>
      </c>
      <c r="CY394" t="str">
        <f>HYPERLINK("http://smart.embl-heidelberg.de/smart/do_annotation.pl?DOMAIN=Pro_CA&amp;BLAST=DUMMY","0.70")</f>
        <v>0.70</v>
      </c>
      <c r="CZ394" s="4" t="s">
        <v>42</v>
      </c>
      <c r="DA394" t="s">
        <v>42</v>
      </c>
      <c r="DB394" t="s">
        <v>42</v>
      </c>
      <c r="DC394" t="s">
        <v>42</v>
      </c>
      <c r="DD394" t="s">
        <v>42</v>
      </c>
      <c r="DE394" t="s">
        <v>42</v>
      </c>
      <c r="DF394" t="s">
        <v>42</v>
      </c>
      <c r="DG394" t="s">
        <v>42</v>
      </c>
      <c r="DH394" s="4" t="s">
        <v>42</v>
      </c>
      <c r="DI394" t="s">
        <v>42</v>
      </c>
      <c r="DJ394" s="4" t="s">
        <v>42</v>
      </c>
      <c r="DK394" t="s">
        <v>42</v>
      </c>
      <c r="DL394" s="4">
        <v>180</v>
      </c>
      <c r="DM394">
        <v>1</v>
      </c>
      <c r="DN394" s="4">
        <v>183</v>
      </c>
      <c r="DO394">
        <v>1</v>
      </c>
      <c r="DP394" s="4">
        <v>181</v>
      </c>
      <c r="DQ394">
        <v>1</v>
      </c>
      <c r="DR394" s="4">
        <v>184</v>
      </c>
      <c r="DS394">
        <v>1</v>
      </c>
      <c r="DT394" s="4">
        <v>188</v>
      </c>
      <c r="DU394">
        <v>1</v>
      </c>
      <c r="DV394" s="4">
        <v>200</v>
      </c>
      <c r="DW394">
        <v>1</v>
      </c>
      <c r="DX394" s="4">
        <v>202</v>
      </c>
      <c r="DY394">
        <v>1</v>
      </c>
      <c r="DZ394" s="4">
        <v>206</v>
      </c>
      <c r="EA394">
        <v>1</v>
      </c>
      <c r="EB394" s="4">
        <v>211</v>
      </c>
      <c r="EC394">
        <v>1</v>
      </c>
      <c r="ED394" s="4">
        <v>214</v>
      </c>
      <c r="EE394">
        <v>1</v>
      </c>
      <c r="EF394" s="4">
        <v>217</v>
      </c>
      <c r="EG394">
        <v>1</v>
      </c>
      <c r="EH394" s="4">
        <v>219</v>
      </c>
      <c r="EI394">
        <v>1</v>
      </c>
      <c r="EJ394" s="4">
        <v>224</v>
      </c>
      <c r="EK394">
        <v>1</v>
      </c>
    </row>
    <row r="395" spans="1:141" x14ac:dyDescent="0.2">
      <c r="A395" t="str">
        <f>HYPERLINK("http://exon.niaid.nih.gov/transcriptome/C_felis/S1/links/cf/cf-contig_248.txt","cf-contig_248")</f>
        <v>cf-contig_248</v>
      </c>
      <c r="B395">
        <v>1</v>
      </c>
      <c r="C395" s="10" t="s">
        <v>4600</v>
      </c>
      <c r="D395">
        <v>1</v>
      </c>
      <c r="E395" t="str">
        <f>HYPERLINK("http://exon.niaid.nih.gov/transcriptome/C_felis/S1/links/cf/cf-5-36-asb-248.txt","Contig-248")</f>
        <v>Contig-248</v>
      </c>
      <c r="F395" t="str">
        <f>HYPERLINK("http://exon.niaid.nih.gov/transcriptome/C_felis/S1/links/cf/cf-5-36-248-CLU.txt","Contig248")</f>
        <v>Contig248</v>
      </c>
      <c r="G395" t="str">
        <f>HYPERLINK("http://exon.niaid.nih.gov/transcriptome/C_felis/S1/links/cf/cf-5-36-248-qual.txt","59.7")</f>
        <v>59.7</v>
      </c>
      <c r="H395">
        <v>0.7</v>
      </c>
      <c r="I395">
        <v>77.2</v>
      </c>
      <c r="J395">
        <v>117</v>
      </c>
      <c r="K395" t="s">
        <v>12</v>
      </c>
      <c r="L395">
        <v>1</v>
      </c>
      <c r="M395" t="s">
        <v>261</v>
      </c>
      <c r="N395">
        <v>117</v>
      </c>
      <c r="O395">
        <v>136</v>
      </c>
      <c r="P395">
        <v>69</v>
      </c>
      <c r="Q395" t="s">
        <v>1068</v>
      </c>
      <c r="R395">
        <v>3</v>
      </c>
      <c r="S395" s="7" t="s">
        <v>4585</v>
      </c>
      <c r="U395">
        <v>1</v>
      </c>
      <c r="V395" s="4">
        <v>196</v>
      </c>
      <c r="W395">
        <v>1</v>
      </c>
      <c r="X395" s="4">
        <v>199</v>
      </c>
      <c r="Y395">
        <v>1</v>
      </c>
      <c r="Z395" s="4">
        <v>197</v>
      </c>
      <c r="AA395">
        <v>1</v>
      </c>
      <c r="AB395" s="4" t="str">
        <f>HYPERLINK("http://exon.niaid.nih.gov/transcriptome/C_felis/S1/links/XC-ASB/cf-contig_248-XC-ASB.txt","XC-contig_141")</f>
        <v>XC-contig_141</v>
      </c>
      <c r="AC395">
        <v>0.21</v>
      </c>
      <c r="AD395" s="10" t="s">
        <v>4600</v>
      </c>
      <c r="AE395" t="s">
        <v>4601</v>
      </c>
      <c r="AI395" s="4" t="s">
        <v>42</v>
      </c>
      <c r="AJ395" t="s">
        <v>42</v>
      </c>
      <c r="AK395" t="s">
        <v>42</v>
      </c>
      <c r="AL395" t="s">
        <v>42</v>
      </c>
      <c r="AM395" t="s">
        <v>42</v>
      </c>
      <c r="AN395" t="s">
        <v>42</v>
      </c>
      <c r="AO395" t="s">
        <v>42</v>
      </c>
      <c r="AP395" t="s">
        <v>42</v>
      </c>
      <c r="AQ395" t="s">
        <v>42</v>
      </c>
      <c r="AR395" t="s">
        <v>42</v>
      </c>
      <c r="AS395" t="s">
        <v>42</v>
      </c>
      <c r="AT395" t="s">
        <v>42</v>
      </c>
      <c r="AU395" t="s">
        <v>42</v>
      </c>
      <c r="AV395" t="s">
        <v>42</v>
      </c>
      <c r="AW395" t="s">
        <v>42</v>
      </c>
      <c r="AX395" t="s">
        <v>42</v>
      </c>
      <c r="AY395" t="s">
        <v>42</v>
      </c>
      <c r="AZ395" t="s">
        <v>42</v>
      </c>
      <c r="BA395" s="4" t="s">
        <v>42</v>
      </c>
      <c r="BB395" t="s">
        <v>42</v>
      </c>
      <c r="BC395" t="s">
        <v>42</v>
      </c>
      <c r="BD395" t="s">
        <v>42</v>
      </c>
      <c r="BE395" t="s">
        <v>42</v>
      </c>
      <c r="BF395" t="s">
        <v>42</v>
      </c>
      <c r="BG395" t="s">
        <v>42</v>
      </c>
      <c r="BH395" t="s">
        <v>42</v>
      </c>
      <c r="BI395" t="s">
        <v>42</v>
      </c>
      <c r="BJ395" t="s">
        <v>42</v>
      </c>
      <c r="BK395" t="s">
        <v>42</v>
      </c>
      <c r="BL395" t="s">
        <v>42</v>
      </c>
      <c r="BM395" t="s">
        <v>42</v>
      </c>
      <c r="BN395" t="s">
        <v>42</v>
      </c>
      <c r="BO395" t="s">
        <v>42</v>
      </c>
      <c r="BP395" t="s">
        <v>42</v>
      </c>
      <c r="BQ395" t="s">
        <v>42</v>
      </c>
      <c r="BR395" t="s">
        <v>42</v>
      </c>
      <c r="BS395" s="4" t="str">
        <f>HYPERLINK("http://exon.niaid.nih.gov/transcriptome/C_felis/S1/links/CDD/cf-contig_248-CDD.txt","ND4")</f>
        <v>ND4</v>
      </c>
      <c r="BT395" t="str">
        <f>HYPERLINK("http://www.ncbi.nlm.nih.gov/Structure/cdd/cddsrv.cgi?uid=MTH00062&amp;version=v4.0","1.7")</f>
        <v>1.7</v>
      </c>
      <c r="BU395" t="s">
        <v>2602</v>
      </c>
      <c r="BV395" s="4" t="s">
        <v>42</v>
      </c>
      <c r="BW395" t="s">
        <v>42</v>
      </c>
      <c r="BX395" t="s">
        <v>42</v>
      </c>
      <c r="BY395" t="s">
        <v>42</v>
      </c>
      <c r="BZ395" t="s">
        <v>42</v>
      </c>
      <c r="CA395" t="s">
        <v>42</v>
      </c>
      <c r="CB395" t="s">
        <v>42</v>
      </c>
      <c r="CC395" t="s">
        <v>42</v>
      </c>
      <c r="CD395" t="s">
        <v>42</v>
      </c>
      <c r="CE395" t="s">
        <v>42</v>
      </c>
      <c r="CF395" t="s">
        <v>42</v>
      </c>
      <c r="CG395" t="s">
        <v>42</v>
      </c>
      <c r="CH395" t="s">
        <v>42</v>
      </c>
      <c r="CI395" t="s">
        <v>42</v>
      </c>
      <c r="CJ395" t="s">
        <v>42</v>
      </c>
      <c r="CK395" t="s">
        <v>42</v>
      </c>
      <c r="CL395" t="s">
        <v>42</v>
      </c>
      <c r="CM395" t="s">
        <v>42</v>
      </c>
      <c r="CN395" t="s">
        <v>42</v>
      </c>
      <c r="CO395" t="s">
        <v>42</v>
      </c>
      <c r="CP395" t="s">
        <v>42</v>
      </c>
      <c r="CQ395" t="s">
        <v>42</v>
      </c>
      <c r="CR395" t="s">
        <v>42</v>
      </c>
      <c r="CS395" s="4" t="str">
        <f>HYPERLINK("http://exon.niaid.nih.gov/transcriptome/C_felis/S1/links/KOG/cf-contig_248-KOG.txt","Beta-2-glycoprotein I")</f>
        <v>Beta-2-glycoprotein I</v>
      </c>
      <c r="CT395" t="str">
        <f>HYPERLINK("http://www.ncbi.nlm.nih.gov/COG/grace/shokog.cgi?KOG3989","6.5")</f>
        <v>6.5</v>
      </c>
      <c r="CU395" t="s">
        <v>2603</v>
      </c>
      <c r="CV395" s="4" t="str">
        <f>HYPERLINK("http://exon.niaid.nih.gov/transcriptome/C_felis/S1/links/PFAM/cf-contig_248-PFAM.txt","DUF1029")</f>
        <v>DUF1029</v>
      </c>
      <c r="CW395" t="str">
        <f>HYPERLINK("http://pfam.sanger.ac.uk/family?acc=PF06269","1.5")</f>
        <v>1.5</v>
      </c>
      <c r="CX395" s="4" t="str">
        <f>HYPERLINK("http://exon.niaid.nih.gov/transcriptome/C_felis/S1/links/SMART/cf-contig_248-SMART.txt","Lactamase_B")</f>
        <v>Lactamase_B</v>
      </c>
      <c r="CY395" t="str">
        <f>HYPERLINK("http://smart.embl-heidelberg.de/smart/do_annotation.pl?DOMAIN=Lactamase_B&amp;BLAST=DUMMY","2.3")</f>
        <v>2.3</v>
      </c>
      <c r="CZ395" s="4" t="s">
        <v>42</v>
      </c>
      <c r="DA395" t="s">
        <v>42</v>
      </c>
      <c r="DB395" t="s">
        <v>42</v>
      </c>
      <c r="DC395" t="s">
        <v>42</v>
      </c>
      <c r="DD395" t="s">
        <v>42</v>
      </c>
      <c r="DE395" t="s">
        <v>42</v>
      </c>
      <c r="DF395" t="s">
        <v>42</v>
      </c>
      <c r="DG395" t="s">
        <v>42</v>
      </c>
      <c r="DH395" s="4" t="s">
        <v>42</v>
      </c>
      <c r="DI395" t="s">
        <v>42</v>
      </c>
      <c r="DJ395" s="4" t="s">
        <v>42</v>
      </c>
      <c r="DK395" t="s">
        <v>42</v>
      </c>
      <c r="DL395" s="4">
        <v>196</v>
      </c>
      <c r="DM395">
        <v>1</v>
      </c>
      <c r="DN395" s="4">
        <v>199</v>
      </c>
      <c r="DO395">
        <v>1</v>
      </c>
      <c r="DP395" s="4">
        <v>197</v>
      </c>
      <c r="DQ395">
        <v>1</v>
      </c>
      <c r="DR395" s="4">
        <v>206</v>
      </c>
      <c r="DS395">
        <v>1</v>
      </c>
      <c r="DT395" s="4">
        <v>212</v>
      </c>
      <c r="DU395">
        <v>1</v>
      </c>
      <c r="DV395" s="4">
        <v>224</v>
      </c>
      <c r="DW395">
        <v>1</v>
      </c>
      <c r="DX395" s="4">
        <v>226</v>
      </c>
      <c r="DY395">
        <v>1</v>
      </c>
      <c r="DZ395" s="4">
        <v>230</v>
      </c>
      <c r="EA395">
        <v>1</v>
      </c>
      <c r="EB395" s="4">
        <v>235</v>
      </c>
      <c r="EC395">
        <v>1</v>
      </c>
      <c r="ED395" s="4">
        <v>238</v>
      </c>
      <c r="EE395">
        <v>1</v>
      </c>
      <c r="EF395" s="4">
        <v>241</v>
      </c>
      <c r="EG395">
        <v>1</v>
      </c>
      <c r="EH395" s="4">
        <v>243</v>
      </c>
      <c r="EI395">
        <v>1</v>
      </c>
      <c r="EJ395" s="4">
        <v>248</v>
      </c>
      <c r="EK395">
        <v>1</v>
      </c>
    </row>
    <row r="396" spans="1:141" x14ac:dyDescent="0.2">
      <c r="A396" t="str">
        <f>HYPERLINK("http://exon.niaid.nih.gov/transcriptome/C_felis/S1/links/cf/cf-contig_253.txt","cf-contig_253")</f>
        <v>cf-contig_253</v>
      </c>
      <c r="B396">
        <v>1</v>
      </c>
      <c r="C396" s="10" t="s">
        <v>4600</v>
      </c>
      <c r="D396">
        <v>1</v>
      </c>
      <c r="E396" t="str">
        <f>HYPERLINK("http://exon.niaid.nih.gov/transcriptome/C_felis/S1/links/cf/cf-5-36-asb-253.txt","Contig-253")</f>
        <v>Contig-253</v>
      </c>
      <c r="F396" t="str">
        <f>HYPERLINK("http://exon.niaid.nih.gov/transcriptome/C_felis/S1/links/cf/cf-5-36-253-CLU.txt","Contig253")</f>
        <v>Contig253</v>
      </c>
      <c r="G396" t="str">
        <f>HYPERLINK("http://exon.niaid.nih.gov/transcriptome/C_felis/S1/links/cf/cf-5-36-253-qual.txt","55.6")</f>
        <v>55.6</v>
      </c>
      <c r="H396" t="s">
        <v>11</v>
      </c>
      <c r="I396">
        <v>69.8</v>
      </c>
      <c r="J396">
        <v>97</v>
      </c>
      <c r="K396" t="s">
        <v>12</v>
      </c>
      <c r="L396">
        <v>1</v>
      </c>
      <c r="M396" t="s">
        <v>266</v>
      </c>
      <c r="N396">
        <v>97</v>
      </c>
      <c r="O396">
        <v>116</v>
      </c>
      <c r="P396">
        <v>75</v>
      </c>
      <c r="Q396" t="s">
        <v>1073</v>
      </c>
      <c r="R396">
        <v>2</v>
      </c>
      <c r="S396" s="7" t="s">
        <v>4585</v>
      </c>
      <c r="U396">
        <v>1</v>
      </c>
      <c r="V396" s="4">
        <v>201</v>
      </c>
      <c r="W396">
        <v>1</v>
      </c>
      <c r="X396" s="4">
        <v>204</v>
      </c>
      <c r="Y396">
        <v>1</v>
      </c>
      <c r="Z396" s="4">
        <v>202</v>
      </c>
      <c r="AA396">
        <v>1</v>
      </c>
      <c r="AB396" s="4" t="str">
        <f>HYPERLINK("http://exon.niaid.nih.gov/transcriptome/C_felis/S1/links/XC-ASB/cf-contig_253-XC-ASB.txt","XC-contig_196")</f>
        <v>XC-contig_196</v>
      </c>
      <c r="AC396">
        <v>5.6000000000000001E-2</v>
      </c>
      <c r="AD396" s="10" t="s">
        <v>4600</v>
      </c>
      <c r="AE396" t="s">
        <v>4601</v>
      </c>
      <c r="AI396" s="4" t="s">
        <v>42</v>
      </c>
      <c r="AJ396" t="s">
        <v>42</v>
      </c>
      <c r="AK396" t="s">
        <v>42</v>
      </c>
      <c r="AL396" t="s">
        <v>42</v>
      </c>
      <c r="AM396" t="s">
        <v>42</v>
      </c>
      <c r="AN396" t="s">
        <v>42</v>
      </c>
      <c r="AO396" t="s">
        <v>42</v>
      </c>
      <c r="AP396" t="s">
        <v>42</v>
      </c>
      <c r="AQ396" t="s">
        <v>42</v>
      </c>
      <c r="AR396" t="s">
        <v>42</v>
      </c>
      <c r="AS396" t="s">
        <v>42</v>
      </c>
      <c r="AT396" t="s">
        <v>42</v>
      </c>
      <c r="AU396" t="s">
        <v>42</v>
      </c>
      <c r="AV396" t="s">
        <v>42</v>
      </c>
      <c r="AW396" t="s">
        <v>42</v>
      </c>
      <c r="AX396" t="s">
        <v>42</v>
      </c>
      <c r="AY396" t="s">
        <v>42</v>
      </c>
      <c r="AZ396" t="s">
        <v>42</v>
      </c>
      <c r="BA396" s="4" t="s">
        <v>42</v>
      </c>
      <c r="BB396" t="s">
        <v>42</v>
      </c>
      <c r="BC396" t="s">
        <v>42</v>
      </c>
      <c r="BD396" t="s">
        <v>42</v>
      </c>
      <c r="BE396" t="s">
        <v>42</v>
      </c>
      <c r="BF396" t="s">
        <v>42</v>
      </c>
      <c r="BG396" t="s">
        <v>42</v>
      </c>
      <c r="BH396" t="s">
        <v>42</v>
      </c>
      <c r="BI396" t="s">
        <v>42</v>
      </c>
      <c r="BJ396" t="s">
        <v>42</v>
      </c>
      <c r="BK396" t="s">
        <v>42</v>
      </c>
      <c r="BL396" t="s">
        <v>42</v>
      </c>
      <c r="BM396" t="s">
        <v>42</v>
      </c>
      <c r="BN396" t="s">
        <v>42</v>
      </c>
      <c r="BO396" t="s">
        <v>42</v>
      </c>
      <c r="BP396" t="s">
        <v>42</v>
      </c>
      <c r="BQ396" t="s">
        <v>42</v>
      </c>
      <c r="BR396" t="s">
        <v>42</v>
      </c>
      <c r="BS396" s="4" t="str">
        <f>HYPERLINK("http://exon.niaid.nih.gov/transcriptome/C_felis/S1/links/CDD/cf-contig_253-CDD.txt","PBP2_CbbR_Rubis")</f>
        <v>PBP2_CbbR_Rubis</v>
      </c>
      <c r="BT396" t="str">
        <f>HYPERLINK("http://www.ncbi.nlm.nih.gov/Structure/cdd/cddsrv.cgi?uid=cd08419&amp;version=v4.0","4.9")</f>
        <v>4.9</v>
      </c>
      <c r="BU396" t="s">
        <v>2623</v>
      </c>
      <c r="BV396" s="4" t="s">
        <v>42</v>
      </c>
      <c r="BW396" t="s">
        <v>42</v>
      </c>
      <c r="BX396" t="s">
        <v>42</v>
      </c>
      <c r="BY396" t="s">
        <v>42</v>
      </c>
      <c r="BZ396" t="s">
        <v>42</v>
      </c>
      <c r="CA396" t="s">
        <v>42</v>
      </c>
      <c r="CB396" t="s">
        <v>42</v>
      </c>
      <c r="CC396" t="s">
        <v>42</v>
      </c>
      <c r="CD396" t="s">
        <v>42</v>
      </c>
      <c r="CE396" t="s">
        <v>42</v>
      </c>
      <c r="CF396" t="s">
        <v>42</v>
      </c>
      <c r="CG396" t="s">
        <v>42</v>
      </c>
      <c r="CH396" t="s">
        <v>42</v>
      </c>
      <c r="CI396" t="s">
        <v>42</v>
      </c>
      <c r="CJ396" t="s">
        <v>42</v>
      </c>
      <c r="CK396" t="s">
        <v>42</v>
      </c>
      <c r="CL396" t="s">
        <v>42</v>
      </c>
      <c r="CM396" t="s">
        <v>42</v>
      </c>
      <c r="CN396" t="s">
        <v>42</v>
      </c>
      <c r="CO396" t="s">
        <v>42</v>
      </c>
      <c r="CP396" t="s">
        <v>42</v>
      </c>
      <c r="CQ396" t="s">
        <v>42</v>
      </c>
      <c r="CR396" t="s">
        <v>42</v>
      </c>
      <c r="CS396" s="4" t="s">
        <v>42</v>
      </c>
      <c r="CT396" t="s">
        <v>42</v>
      </c>
      <c r="CU396" t="s">
        <v>42</v>
      </c>
      <c r="CV396" s="4" t="str">
        <f>HYPERLINK("http://exon.niaid.nih.gov/transcriptome/C_felis/S1/links/PFAM/cf-contig_253-PFAM.txt","DUF1329")</f>
        <v>DUF1329</v>
      </c>
      <c r="CW396" t="str">
        <f>HYPERLINK("http://pfam.sanger.ac.uk/family?acc=PF07044","2.7")</f>
        <v>2.7</v>
      </c>
      <c r="CX396" s="4" t="str">
        <f>HYPERLINK("http://exon.niaid.nih.gov/transcriptome/C_felis/S1/links/SMART/cf-contig_253-SMART.txt","PTB")</f>
        <v>PTB</v>
      </c>
      <c r="CY396" t="str">
        <f>HYPERLINK("http://smart.embl-heidelberg.de/smart/do_annotation.pl?DOMAIN=PTB&amp;BLAST=DUMMY","1.4")</f>
        <v>1.4</v>
      </c>
      <c r="CZ396" s="4" t="s">
        <v>42</v>
      </c>
      <c r="DA396" t="s">
        <v>42</v>
      </c>
      <c r="DB396" t="s">
        <v>42</v>
      </c>
      <c r="DC396" t="s">
        <v>42</v>
      </c>
      <c r="DD396" t="s">
        <v>42</v>
      </c>
      <c r="DE396" t="s">
        <v>42</v>
      </c>
      <c r="DF396" t="s">
        <v>42</v>
      </c>
      <c r="DG396" t="s">
        <v>42</v>
      </c>
      <c r="DH396" s="4" t="s">
        <v>42</v>
      </c>
      <c r="DI396" t="s">
        <v>42</v>
      </c>
      <c r="DJ396" s="4" t="s">
        <v>42</v>
      </c>
      <c r="DK396" t="s">
        <v>42</v>
      </c>
      <c r="DL396" s="4">
        <v>201</v>
      </c>
      <c r="DM396">
        <v>1</v>
      </c>
      <c r="DN396" s="4">
        <v>204</v>
      </c>
      <c r="DO396">
        <v>1</v>
      </c>
      <c r="DP396" s="4">
        <v>202</v>
      </c>
      <c r="DQ396">
        <v>1</v>
      </c>
      <c r="DR396" s="4">
        <v>211</v>
      </c>
      <c r="DS396">
        <v>1</v>
      </c>
      <c r="DT396" s="4">
        <v>217</v>
      </c>
      <c r="DU396">
        <v>1</v>
      </c>
      <c r="DV396" s="4">
        <v>229</v>
      </c>
      <c r="DW396">
        <v>1</v>
      </c>
      <c r="DX396" s="4">
        <v>231</v>
      </c>
      <c r="DY396">
        <v>1</v>
      </c>
      <c r="DZ396" s="4">
        <v>235</v>
      </c>
      <c r="EA396">
        <v>1</v>
      </c>
      <c r="EB396" s="4">
        <v>240</v>
      </c>
      <c r="EC396">
        <v>1</v>
      </c>
      <c r="ED396" s="4">
        <v>243</v>
      </c>
      <c r="EE396">
        <v>1</v>
      </c>
      <c r="EF396" s="4">
        <v>246</v>
      </c>
      <c r="EG396">
        <v>1</v>
      </c>
      <c r="EH396" s="4">
        <v>248</v>
      </c>
      <c r="EI396">
        <v>1</v>
      </c>
      <c r="EJ396" s="4">
        <v>253</v>
      </c>
      <c r="EK396">
        <v>1</v>
      </c>
    </row>
    <row r="397" spans="1:141" x14ac:dyDescent="0.2">
      <c r="A397" t="str">
        <f>HYPERLINK("http://exon.niaid.nih.gov/transcriptome/C_felis/S1/links/cf/cf-contig_255.txt","cf-contig_255")</f>
        <v>cf-contig_255</v>
      </c>
      <c r="B397">
        <v>1</v>
      </c>
      <c r="C397" s="10" t="s">
        <v>4600</v>
      </c>
      <c r="D397">
        <v>1</v>
      </c>
      <c r="E397" t="str">
        <f>HYPERLINK("http://exon.niaid.nih.gov/transcriptome/C_felis/S1/links/cf/cf-5-36-asb-255.txt","Contig-255")</f>
        <v>Contig-255</v>
      </c>
      <c r="F397" t="str">
        <f>HYPERLINK("http://exon.niaid.nih.gov/transcriptome/C_felis/S1/links/cf/cf-5-36-255-CLU.txt","Contig255")</f>
        <v>Contig255</v>
      </c>
      <c r="G397" t="str">
        <f>HYPERLINK("http://exon.niaid.nih.gov/transcriptome/C_felis/S1/links/cf/cf-5-36-255-qual.txt","56.7")</f>
        <v>56.7</v>
      </c>
      <c r="H397">
        <v>0.5</v>
      </c>
      <c r="I397">
        <v>79.099999999999994</v>
      </c>
      <c r="J397">
        <v>187</v>
      </c>
      <c r="K397" t="s">
        <v>12</v>
      </c>
      <c r="L397">
        <v>1</v>
      </c>
      <c r="M397" t="s">
        <v>268</v>
      </c>
      <c r="N397">
        <v>187</v>
      </c>
      <c r="O397">
        <v>206</v>
      </c>
      <c r="P397">
        <v>84</v>
      </c>
      <c r="Q397" t="s">
        <v>1075</v>
      </c>
      <c r="R397">
        <v>2</v>
      </c>
      <c r="S397" s="7" t="s">
        <v>4585</v>
      </c>
      <c r="U397">
        <v>1</v>
      </c>
      <c r="V397" s="4">
        <v>203</v>
      </c>
      <c r="W397">
        <v>1</v>
      </c>
      <c r="X397" s="4">
        <v>206</v>
      </c>
      <c r="Y397">
        <v>1</v>
      </c>
      <c r="Z397" s="4">
        <v>204</v>
      </c>
      <c r="AA397">
        <v>1</v>
      </c>
      <c r="AB397" s="4" t="str">
        <f>HYPERLINK("http://exon.niaid.nih.gov/transcriptome/C_felis/S1/links/XC-ASB/cf-contig_255-XC-ASB.txt","XC-contig_160")</f>
        <v>XC-contig_160</v>
      </c>
      <c r="AC397">
        <v>0.19</v>
      </c>
      <c r="AD397" s="10" t="s">
        <v>4600</v>
      </c>
      <c r="AE397" t="s">
        <v>4601</v>
      </c>
      <c r="AI397" s="4" t="s">
        <v>42</v>
      </c>
      <c r="AJ397" t="s">
        <v>42</v>
      </c>
      <c r="AK397" t="s">
        <v>42</v>
      </c>
      <c r="AL397" t="s">
        <v>42</v>
      </c>
      <c r="AM397" t="s">
        <v>42</v>
      </c>
      <c r="AN397" t="s">
        <v>42</v>
      </c>
      <c r="AO397" t="s">
        <v>42</v>
      </c>
      <c r="AP397" t="s">
        <v>42</v>
      </c>
      <c r="AQ397" t="s">
        <v>42</v>
      </c>
      <c r="AR397" t="s">
        <v>42</v>
      </c>
      <c r="AS397" t="s">
        <v>42</v>
      </c>
      <c r="AT397" t="s">
        <v>42</v>
      </c>
      <c r="AU397" t="s">
        <v>42</v>
      </c>
      <c r="AV397" t="s">
        <v>42</v>
      </c>
      <c r="AW397" t="s">
        <v>42</v>
      </c>
      <c r="AX397" t="s">
        <v>42</v>
      </c>
      <c r="AY397" t="s">
        <v>42</v>
      </c>
      <c r="AZ397" t="s">
        <v>42</v>
      </c>
      <c r="BA397" s="4" t="str">
        <f>HYPERLINK("http://exon.niaid.nih.gov/transcriptome/C_felis/S1/links/SWISSP/cf-contig_255-SWISSP.txt","Integrator complex subunit 4 homolog")</f>
        <v>Integrator complex subunit 4 homolog</v>
      </c>
      <c r="BB397" t="str">
        <f>HYPERLINK("http://www.uniprot.org/uniprot/Q54LH5","18")</f>
        <v>18</v>
      </c>
      <c r="BC397" t="s">
        <v>2626</v>
      </c>
      <c r="BD397">
        <v>28.1</v>
      </c>
      <c r="BE397">
        <v>33</v>
      </c>
      <c r="BF397">
        <v>1233</v>
      </c>
      <c r="BG397">
        <v>32</v>
      </c>
      <c r="BH397">
        <v>3</v>
      </c>
      <c r="BI397">
        <v>23</v>
      </c>
      <c r="BJ397">
        <v>0</v>
      </c>
      <c r="BK397">
        <v>136</v>
      </c>
      <c r="BL397">
        <v>75</v>
      </c>
      <c r="BM397">
        <v>1</v>
      </c>
      <c r="BN397">
        <v>-1</v>
      </c>
      <c r="BO397" t="s">
        <v>12</v>
      </c>
      <c r="BP397">
        <v>3.03</v>
      </c>
      <c r="BQ397" t="s">
        <v>1666</v>
      </c>
      <c r="BR397" t="s">
        <v>1976</v>
      </c>
      <c r="BS397" s="4" t="str">
        <f>HYPERLINK("http://exon.niaid.nih.gov/transcriptome/C_felis/S1/links/CDD/cf-contig_255-CDD.txt","COX2")</f>
        <v>COX2</v>
      </c>
      <c r="BT397" t="str">
        <f>HYPERLINK("http://www.ncbi.nlm.nih.gov/Structure/cdd/cddsrv.cgi?uid=MTH00080&amp;version=v4.0","0.54")</f>
        <v>0.54</v>
      </c>
      <c r="BU397" t="s">
        <v>2627</v>
      </c>
      <c r="BV397" s="4" t="s">
        <v>42</v>
      </c>
      <c r="BW397" t="s">
        <v>42</v>
      </c>
      <c r="BX397" t="s">
        <v>42</v>
      </c>
      <c r="BY397" t="s">
        <v>42</v>
      </c>
      <c r="BZ397" t="s">
        <v>42</v>
      </c>
      <c r="CA397" t="s">
        <v>42</v>
      </c>
      <c r="CB397" t="s">
        <v>42</v>
      </c>
      <c r="CC397" t="s">
        <v>42</v>
      </c>
      <c r="CD397" t="s">
        <v>42</v>
      </c>
      <c r="CE397" t="s">
        <v>42</v>
      </c>
      <c r="CF397" t="s">
        <v>42</v>
      </c>
      <c r="CG397" t="s">
        <v>42</v>
      </c>
      <c r="CH397" t="s">
        <v>42</v>
      </c>
      <c r="CI397" t="s">
        <v>42</v>
      </c>
      <c r="CJ397" t="s">
        <v>42</v>
      </c>
      <c r="CK397" t="s">
        <v>42</v>
      </c>
      <c r="CL397" t="s">
        <v>42</v>
      </c>
      <c r="CM397" t="s">
        <v>42</v>
      </c>
      <c r="CN397" t="s">
        <v>42</v>
      </c>
      <c r="CO397" t="s">
        <v>42</v>
      </c>
      <c r="CP397" t="s">
        <v>42</v>
      </c>
      <c r="CQ397" t="s">
        <v>42</v>
      </c>
      <c r="CR397" t="s">
        <v>42</v>
      </c>
      <c r="CS397" s="4" t="str">
        <f>HYPERLINK("http://exon.niaid.nih.gov/transcriptome/C_felis/S1/links/KOG/cf-contig_255-KOG.txt","Uncharacterized conserved protein (Rhs family)")</f>
        <v>Uncharacterized conserved protein (Rhs family)</v>
      </c>
      <c r="CT397" t="str">
        <f>HYPERLINK("http://www.ncbi.nlm.nih.gov/COG/grace/shokog.cgi?KOG4659","2.2")</f>
        <v>2.2</v>
      </c>
      <c r="CU397" t="s">
        <v>1711</v>
      </c>
      <c r="CV397" s="4" t="str">
        <f>HYPERLINK("http://exon.niaid.nih.gov/transcriptome/C_felis/S1/links/PFAM/cf-contig_255-PFAM.txt","LEF-9")</f>
        <v>LEF-9</v>
      </c>
      <c r="CW397" t="str">
        <f>HYPERLINK("http://pfam.sanger.ac.uk/family?acc=PF05094","0.14")</f>
        <v>0.14</v>
      </c>
      <c r="CX397" s="4" t="str">
        <f>HYPERLINK("http://exon.niaid.nih.gov/transcriptome/C_felis/S1/links/SMART/cf-contig_255-SMART.txt","ZnF_C4")</f>
        <v>ZnF_C4</v>
      </c>
      <c r="CY397" t="str">
        <f>HYPERLINK("http://smart.embl-heidelberg.de/smart/do_annotation.pl?DOMAIN=ZnF_C4&amp;BLAST=DUMMY","0.21")</f>
        <v>0.21</v>
      </c>
      <c r="CZ397" s="4" t="s">
        <v>42</v>
      </c>
      <c r="DA397" t="s">
        <v>42</v>
      </c>
      <c r="DB397" t="s">
        <v>42</v>
      </c>
      <c r="DC397" t="s">
        <v>42</v>
      </c>
      <c r="DD397" t="s">
        <v>42</v>
      </c>
      <c r="DE397" t="s">
        <v>42</v>
      </c>
      <c r="DF397" t="s">
        <v>42</v>
      </c>
      <c r="DG397" t="s">
        <v>42</v>
      </c>
      <c r="DH397" s="4" t="s">
        <v>42</v>
      </c>
      <c r="DI397" t="s">
        <v>42</v>
      </c>
      <c r="DJ397" s="4" t="s">
        <v>42</v>
      </c>
      <c r="DK397" t="s">
        <v>42</v>
      </c>
      <c r="DL397" s="4">
        <v>203</v>
      </c>
      <c r="DM397">
        <v>1</v>
      </c>
      <c r="DN397" s="4">
        <v>206</v>
      </c>
      <c r="DO397">
        <v>1</v>
      </c>
      <c r="DP397" s="4">
        <v>204</v>
      </c>
      <c r="DQ397">
        <v>1</v>
      </c>
      <c r="DR397" s="4">
        <v>213</v>
      </c>
      <c r="DS397">
        <v>1</v>
      </c>
      <c r="DT397" s="4">
        <v>219</v>
      </c>
      <c r="DU397">
        <v>1</v>
      </c>
      <c r="DV397" s="4">
        <v>231</v>
      </c>
      <c r="DW397">
        <v>1</v>
      </c>
      <c r="DX397" s="4">
        <v>233</v>
      </c>
      <c r="DY397">
        <v>1</v>
      </c>
      <c r="DZ397" s="4">
        <v>237</v>
      </c>
      <c r="EA397">
        <v>1</v>
      </c>
      <c r="EB397" s="4">
        <v>242</v>
      </c>
      <c r="EC397">
        <v>1</v>
      </c>
      <c r="ED397" s="4">
        <v>245</v>
      </c>
      <c r="EE397">
        <v>1</v>
      </c>
      <c r="EF397" s="4">
        <v>248</v>
      </c>
      <c r="EG397">
        <v>1</v>
      </c>
      <c r="EH397" s="4">
        <v>250</v>
      </c>
      <c r="EI397">
        <v>1</v>
      </c>
      <c r="EJ397" s="4">
        <v>255</v>
      </c>
      <c r="EK397">
        <v>1</v>
      </c>
    </row>
    <row r="398" spans="1:141" x14ac:dyDescent="0.2">
      <c r="A398" t="str">
        <f>HYPERLINK("http://exon.niaid.nih.gov/transcriptome/C_felis/S1/links/cf/cf-contig_256.txt","cf-contig_256")</f>
        <v>cf-contig_256</v>
      </c>
      <c r="B398">
        <v>1</v>
      </c>
      <c r="C398" s="10" t="s">
        <v>4600</v>
      </c>
      <c r="D398">
        <v>1</v>
      </c>
      <c r="E398" t="str">
        <f>HYPERLINK("http://exon.niaid.nih.gov/transcriptome/C_felis/S1/links/cf/cf-5-36-asb-256.txt","Contig-256")</f>
        <v>Contig-256</v>
      </c>
      <c r="F398" t="str">
        <f>HYPERLINK("http://exon.niaid.nih.gov/transcriptome/C_felis/S1/links/cf/cf-5-36-256-CLU.txt","Contig256")</f>
        <v>Contig256</v>
      </c>
      <c r="G398" t="str">
        <f>HYPERLINK("http://exon.niaid.nih.gov/transcriptome/C_felis/S1/links/cf/cf-5-36-256-qual.txt","46.3")</f>
        <v>46.3</v>
      </c>
      <c r="H398">
        <v>0.8</v>
      </c>
      <c r="I398">
        <v>77.2</v>
      </c>
      <c r="J398">
        <v>104</v>
      </c>
      <c r="K398" t="s">
        <v>12</v>
      </c>
      <c r="L398">
        <v>1</v>
      </c>
      <c r="M398" t="s">
        <v>269</v>
      </c>
      <c r="N398">
        <v>104</v>
      </c>
      <c r="O398">
        <v>123</v>
      </c>
      <c r="P398">
        <v>60</v>
      </c>
      <c r="Q398" t="s">
        <v>1076</v>
      </c>
      <c r="R398">
        <v>2</v>
      </c>
      <c r="S398" s="7" t="s">
        <v>4585</v>
      </c>
      <c r="U398">
        <v>1</v>
      </c>
      <c r="V398" s="4">
        <v>204</v>
      </c>
      <c r="W398">
        <v>1</v>
      </c>
      <c r="X398" s="4">
        <v>207</v>
      </c>
      <c r="Y398">
        <v>1</v>
      </c>
      <c r="Z398" s="4">
        <v>205</v>
      </c>
      <c r="AA398">
        <v>1</v>
      </c>
      <c r="AB398" s="4" t="str">
        <f>HYPERLINK("http://exon.niaid.nih.gov/transcriptome/C_felis/S1/links/XC-ASB/cf-contig_256-XC-ASB.txt","XC-contig_57")</f>
        <v>XC-contig_57</v>
      </c>
      <c r="AC398">
        <v>0.31</v>
      </c>
      <c r="AD398" s="10" t="s">
        <v>4600</v>
      </c>
      <c r="AE398" t="s">
        <v>4601</v>
      </c>
      <c r="AI398" s="4" t="s">
        <v>42</v>
      </c>
      <c r="AJ398" t="s">
        <v>42</v>
      </c>
      <c r="AK398" t="s">
        <v>42</v>
      </c>
      <c r="AL398" t="s">
        <v>42</v>
      </c>
      <c r="AM398" t="s">
        <v>42</v>
      </c>
      <c r="AN398" t="s">
        <v>42</v>
      </c>
      <c r="AO398" t="s">
        <v>42</v>
      </c>
      <c r="AP398" t="s">
        <v>42</v>
      </c>
      <c r="AQ398" t="s">
        <v>42</v>
      </c>
      <c r="AR398" t="s">
        <v>42</v>
      </c>
      <c r="AS398" t="s">
        <v>42</v>
      </c>
      <c r="AT398" t="s">
        <v>42</v>
      </c>
      <c r="AU398" t="s">
        <v>42</v>
      </c>
      <c r="AV398" t="s">
        <v>42</v>
      </c>
      <c r="AW398" t="s">
        <v>42</v>
      </c>
      <c r="AX398" t="s">
        <v>42</v>
      </c>
      <c r="AY398" t="s">
        <v>42</v>
      </c>
      <c r="AZ398" t="s">
        <v>42</v>
      </c>
      <c r="BA398" s="4" t="str">
        <f>HYPERLINK("http://exon.niaid.nih.gov/transcriptome/C_felis/S1/links/SWISSP/cf-contig_256-SWISSP.txt","NADH-ubiquinone oxidoreductase chain 2")</f>
        <v>NADH-ubiquinone oxidoreductase chain 2</v>
      </c>
      <c r="BB398" t="str">
        <f>HYPERLINK("http://www.uniprot.org/uniprot/Q330D6","69")</f>
        <v>69</v>
      </c>
      <c r="BC398" t="s">
        <v>2628</v>
      </c>
      <c r="BD398">
        <v>26.2</v>
      </c>
      <c r="BE398">
        <v>33</v>
      </c>
      <c r="BF398">
        <v>347</v>
      </c>
      <c r="BG398">
        <v>35</v>
      </c>
      <c r="BH398">
        <v>10</v>
      </c>
      <c r="BI398">
        <v>22</v>
      </c>
      <c r="BJ398">
        <v>5</v>
      </c>
      <c r="BK398">
        <v>205</v>
      </c>
      <c r="BL398">
        <v>13</v>
      </c>
      <c r="BM398">
        <v>1</v>
      </c>
      <c r="BN398">
        <v>-1</v>
      </c>
      <c r="BO398" t="s">
        <v>12</v>
      </c>
      <c r="BQ398" t="s">
        <v>1666</v>
      </c>
      <c r="BR398" t="s">
        <v>2629</v>
      </c>
      <c r="BS398" s="4" t="s">
        <v>42</v>
      </c>
      <c r="BT398" t="s">
        <v>42</v>
      </c>
      <c r="BU398" t="s">
        <v>42</v>
      </c>
      <c r="BV398" s="4" t="s">
        <v>42</v>
      </c>
      <c r="BW398" t="s">
        <v>42</v>
      </c>
      <c r="BX398" t="s">
        <v>42</v>
      </c>
      <c r="BY398" t="s">
        <v>42</v>
      </c>
      <c r="BZ398" t="s">
        <v>42</v>
      </c>
      <c r="CA398" t="s">
        <v>42</v>
      </c>
      <c r="CB398" t="s">
        <v>42</v>
      </c>
      <c r="CC398" t="s">
        <v>42</v>
      </c>
      <c r="CD398" t="s">
        <v>42</v>
      </c>
      <c r="CE398" t="s">
        <v>42</v>
      </c>
      <c r="CF398" t="s">
        <v>42</v>
      </c>
      <c r="CG398" t="s">
        <v>42</v>
      </c>
      <c r="CH398" t="s">
        <v>42</v>
      </c>
      <c r="CI398" t="s">
        <v>42</v>
      </c>
      <c r="CJ398" t="s">
        <v>42</v>
      </c>
      <c r="CK398" t="s">
        <v>42</v>
      </c>
      <c r="CL398" t="s">
        <v>42</v>
      </c>
      <c r="CM398" t="s">
        <v>42</v>
      </c>
      <c r="CN398" t="s">
        <v>42</v>
      </c>
      <c r="CO398" t="s">
        <v>42</v>
      </c>
      <c r="CP398" t="s">
        <v>42</v>
      </c>
      <c r="CQ398" t="s">
        <v>42</v>
      </c>
      <c r="CR398" t="s">
        <v>42</v>
      </c>
      <c r="CS398" s="4" t="str">
        <f>HYPERLINK("http://exon.niaid.nih.gov/transcriptome/C_felis/S1/links/KOG/cf-contig_256-KOG.txt","N-myristoyl transferase")</f>
        <v>N-myristoyl transferase</v>
      </c>
      <c r="CT398" t="str">
        <f>HYPERLINK("http://www.ncbi.nlm.nih.gov/COG/grace/shokog.cgi?KOG2779","7.6")</f>
        <v>7.6</v>
      </c>
      <c r="CU398" t="s">
        <v>1761</v>
      </c>
      <c r="CV398" s="4" t="str">
        <f>HYPERLINK("http://exon.niaid.nih.gov/transcriptome/C_felis/S1/links/PFAM/cf-contig_256-PFAM.txt","DDE_Tnp_Tn3")</f>
        <v>DDE_Tnp_Tn3</v>
      </c>
      <c r="CW398" t="str">
        <f>HYPERLINK("http://pfam.sanger.ac.uk/family?acc=PF01526","3.3")</f>
        <v>3.3</v>
      </c>
      <c r="CX398" s="4" t="str">
        <f>HYPERLINK("http://exon.niaid.nih.gov/transcriptome/C_felis/S1/links/SMART/cf-contig_256-SMART.txt","Sema")</f>
        <v>Sema</v>
      </c>
      <c r="CY398" t="str">
        <f>HYPERLINK("http://smart.embl-heidelberg.de/smart/do_annotation.pl?DOMAIN=Sema&amp;BLAST=DUMMY","2.3")</f>
        <v>2.3</v>
      </c>
      <c r="CZ398" s="4" t="s">
        <v>42</v>
      </c>
      <c r="DA398" t="s">
        <v>42</v>
      </c>
      <c r="DB398" t="s">
        <v>42</v>
      </c>
      <c r="DC398" t="s">
        <v>42</v>
      </c>
      <c r="DD398" t="s">
        <v>42</v>
      </c>
      <c r="DE398" t="s">
        <v>42</v>
      </c>
      <c r="DF398" t="s">
        <v>42</v>
      </c>
      <c r="DG398" t="s">
        <v>42</v>
      </c>
      <c r="DH398" s="4" t="s">
        <v>42</v>
      </c>
      <c r="DI398" t="s">
        <v>42</v>
      </c>
      <c r="DJ398" s="4" t="s">
        <v>42</v>
      </c>
      <c r="DK398" t="s">
        <v>42</v>
      </c>
      <c r="DL398" s="4">
        <v>204</v>
      </c>
      <c r="DM398">
        <v>1</v>
      </c>
      <c r="DN398" s="4">
        <v>207</v>
      </c>
      <c r="DO398">
        <v>1</v>
      </c>
      <c r="DP398" s="4">
        <v>205</v>
      </c>
      <c r="DQ398">
        <v>1</v>
      </c>
      <c r="DR398" s="4">
        <v>214</v>
      </c>
      <c r="DS398">
        <v>1</v>
      </c>
      <c r="DT398" s="4">
        <v>220</v>
      </c>
      <c r="DU398">
        <v>1</v>
      </c>
      <c r="DV398" s="4">
        <v>232</v>
      </c>
      <c r="DW398">
        <v>1</v>
      </c>
      <c r="DX398" s="4">
        <v>234</v>
      </c>
      <c r="DY398">
        <v>1</v>
      </c>
      <c r="DZ398" s="4">
        <v>238</v>
      </c>
      <c r="EA398">
        <v>1</v>
      </c>
      <c r="EB398" s="4">
        <v>243</v>
      </c>
      <c r="EC398">
        <v>1</v>
      </c>
      <c r="ED398" s="4">
        <v>246</v>
      </c>
      <c r="EE398">
        <v>1</v>
      </c>
      <c r="EF398" s="4">
        <v>249</v>
      </c>
      <c r="EG398">
        <v>1</v>
      </c>
      <c r="EH398" s="4">
        <v>251</v>
      </c>
      <c r="EI398">
        <v>1</v>
      </c>
      <c r="EJ398" s="4">
        <v>256</v>
      </c>
      <c r="EK398">
        <v>1</v>
      </c>
    </row>
    <row r="399" spans="1:141" x14ac:dyDescent="0.2">
      <c r="A399" t="str">
        <f>HYPERLINK("http://exon.niaid.nih.gov/transcriptome/C_felis/S1/links/cf/cf-contig_257.txt","cf-contig_257")</f>
        <v>cf-contig_257</v>
      </c>
      <c r="B399">
        <v>1</v>
      </c>
      <c r="C399" s="10" t="s">
        <v>4600</v>
      </c>
      <c r="D399">
        <v>1</v>
      </c>
      <c r="E399" t="str">
        <f>HYPERLINK("http://exon.niaid.nih.gov/transcriptome/C_felis/S1/links/cf/cf-5-36-asb-257.txt","Contig-257")</f>
        <v>Contig-257</v>
      </c>
      <c r="F399" t="str">
        <f>HYPERLINK("http://exon.niaid.nih.gov/transcriptome/C_felis/S1/links/cf/cf-5-36-257-CLU.txt","Contig257")</f>
        <v>Contig257</v>
      </c>
      <c r="G399" t="str">
        <f>HYPERLINK("http://exon.niaid.nih.gov/transcriptome/C_felis/S1/links/cf/cf-5-36-257-qual.txt","37.8")</f>
        <v>37.8</v>
      </c>
      <c r="H399">
        <v>4.4000000000000004</v>
      </c>
      <c r="I399">
        <v>57.8</v>
      </c>
      <c r="J399">
        <v>71</v>
      </c>
      <c r="K399" t="s">
        <v>12</v>
      </c>
      <c r="L399">
        <v>1</v>
      </c>
      <c r="M399" t="s">
        <v>270</v>
      </c>
      <c r="N399">
        <v>71</v>
      </c>
      <c r="O399">
        <v>90</v>
      </c>
      <c r="P399">
        <v>87</v>
      </c>
      <c r="Q399" t="s">
        <v>1077</v>
      </c>
      <c r="R399">
        <v>2</v>
      </c>
      <c r="S399" s="7" t="s">
        <v>4585</v>
      </c>
      <c r="U399">
        <v>1</v>
      </c>
      <c r="V399" s="4">
        <v>205</v>
      </c>
      <c r="W399">
        <v>1</v>
      </c>
      <c r="X399" s="4">
        <v>208</v>
      </c>
      <c r="Y399">
        <v>1</v>
      </c>
      <c r="Z399" s="4">
        <v>206</v>
      </c>
      <c r="AA399">
        <v>1</v>
      </c>
      <c r="AB399" s="4" t="str">
        <f>HYPERLINK("http://exon.niaid.nih.gov/transcriptome/C_felis/S1/links/XC-ASB/cf-contig_257-XC-ASB.txt","XC-contig_185")</f>
        <v>XC-contig_185</v>
      </c>
      <c r="AC399">
        <v>8.1</v>
      </c>
      <c r="AD399" s="10" t="s">
        <v>4600</v>
      </c>
      <c r="AE399" t="s">
        <v>4601</v>
      </c>
      <c r="AI399" s="4" t="s">
        <v>42</v>
      </c>
      <c r="AJ399" t="s">
        <v>42</v>
      </c>
      <c r="AK399" t="s">
        <v>42</v>
      </c>
      <c r="AL399" t="s">
        <v>42</v>
      </c>
      <c r="AM399" t="s">
        <v>42</v>
      </c>
      <c r="AN399" t="s">
        <v>42</v>
      </c>
      <c r="AO399" t="s">
        <v>42</v>
      </c>
      <c r="AP399" t="s">
        <v>42</v>
      </c>
      <c r="AQ399" t="s">
        <v>42</v>
      </c>
      <c r="AR399" t="s">
        <v>42</v>
      </c>
      <c r="AS399" t="s">
        <v>42</v>
      </c>
      <c r="AT399" t="s">
        <v>42</v>
      </c>
      <c r="AU399" t="s">
        <v>42</v>
      </c>
      <c r="AV399" t="s">
        <v>42</v>
      </c>
      <c r="AW399" t="s">
        <v>42</v>
      </c>
      <c r="AX399" t="s">
        <v>42</v>
      </c>
      <c r="AY399" t="s">
        <v>42</v>
      </c>
      <c r="AZ399" t="s">
        <v>42</v>
      </c>
      <c r="BA399" s="4" t="s">
        <v>42</v>
      </c>
      <c r="BB399" t="s">
        <v>42</v>
      </c>
      <c r="BC399" t="s">
        <v>42</v>
      </c>
      <c r="BD399" t="s">
        <v>42</v>
      </c>
      <c r="BE399" t="s">
        <v>42</v>
      </c>
      <c r="BF399" t="s">
        <v>42</v>
      </c>
      <c r="BG399" t="s">
        <v>42</v>
      </c>
      <c r="BH399" t="s">
        <v>42</v>
      </c>
      <c r="BI399" t="s">
        <v>42</v>
      </c>
      <c r="BJ399" t="s">
        <v>42</v>
      </c>
      <c r="BK399" t="s">
        <v>42</v>
      </c>
      <c r="BL399" t="s">
        <v>42</v>
      </c>
      <c r="BM399" t="s">
        <v>42</v>
      </c>
      <c r="BN399" t="s">
        <v>42</v>
      </c>
      <c r="BO399" t="s">
        <v>42</v>
      </c>
      <c r="BP399" t="s">
        <v>42</v>
      </c>
      <c r="BQ399" t="s">
        <v>42</v>
      </c>
      <c r="BR399" t="s">
        <v>42</v>
      </c>
      <c r="BS399" s="4" t="s">
        <v>42</v>
      </c>
      <c r="BT399" t="s">
        <v>42</v>
      </c>
      <c r="BU399" t="s">
        <v>42</v>
      </c>
      <c r="BV399" s="4" t="s">
        <v>42</v>
      </c>
      <c r="BW399" t="s">
        <v>42</v>
      </c>
      <c r="BX399" t="s">
        <v>42</v>
      </c>
      <c r="BY399" t="s">
        <v>42</v>
      </c>
      <c r="BZ399" t="s">
        <v>42</v>
      </c>
      <c r="CA399" t="s">
        <v>42</v>
      </c>
      <c r="CB399" t="s">
        <v>42</v>
      </c>
      <c r="CC399" t="s">
        <v>42</v>
      </c>
      <c r="CD399" t="s">
        <v>42</v>
      </c>
      <c r="CE399" t="s">
        <v>42</v>
      </c>
      <c r="CF399" t="s">
        <v>42</v>
      </c>
      <c r="CG399" t="s">
        <v>42</v>
      </c>
      <c r="CH399" t="s">
        <v>42</v>
      </c>
      <c r="CI399" t="s">
        <v>42</v>
      </c>
      <c r="CJ399" t="s">
        <v>42</v>
      </c>
      <c r="CK399" t="s">
        <v>42</v>
      </c>
      <c r="CL399" t="s">
        <v>42</v>
      </c>
      <c r="CM399" t="s">
        <v>42</v>
      </c>
      <c r="CN399" t="s">
        <v>42</v>
      </c>
      <c r="CO399" t="s">
        <v>42</v>
      </c>
      <c r="CP399" t="s">
        <v>42</v>
      </c>
      <c r="CQ399" t="s">
        <v>42</v>
      </c>
      <c r="CR399" t="s">
        <v>42</v>
      </c>
      <c r="CS399" s="4" t="s">
        <v>42</v>
      </c>
      <c r="CT399" t="s">
        <v>42</v>
      </c>
      <c r="CU399" t="s">
        <v>42</v>
      </c>
      <c r="CV399" s="4" t="s">
        <v>42</v>
      </c>
      <c r="CW399" t="s">
        <v>42</v>
      </c>
      <c r="CX399" s="4" t="str">
        <f>HYPERLINK("http://exon.niaid.nih.gov/transcriptome/C_felis/S1/links/SMART/cf-contig_257-SMART.txt","Agro_virD5")</f>
        <v>Agro_virD5</v>
      </c>
      <c r="CY399" t="str">
        <f>HYPERLINK("http://smart.embl-heidelberg.de/smart/do_annotation.pl?DOMAIN=Agro_virD5&amp;BLAST=DUMMY","1.3")</f>
        <v>1.3</v>
      </c>
      <c r="CZ399" s="4" t="s">
        <v>42</v>
      </c>
      <c r="DA399" t="s">
        <v>42</v>
      </c>
      <c r="DB399" t="s">
        <v>42</v>
      </c>
      <c r="DC399" t="s">
        <v>42</v>
      </c>
      <c r="DD399" t="s">
        <v>42</v>
      </c>
      <c r="DE399" t="s">
        <v>42</v>
      </c>
      <c r="DF399" t="s">
        <v>42</v>
      </c>
      <c r="DG399" t="s">
        <v>42</v>
      </c>
      <c r="DH399" s="4" t="s">
        <v>42</v>
      </c>
      <c r="DI399" t="s">
        <v>42</v>
      </c>
      <c r="DJ399" s="4" t="s">
        <v>42</v>
      </c>
      <c r="DK399" t="s">
        <v>42</v>
      </c>
      <c r="DL399" s="4">
        <v>205</v>
      </c>
      <c r="DM399">
        <v>1</v>
      </c>
      <c r="DN399" s="4">
        <v>208</v>
      </c>
      <c r="DO399">
        <v>1</v>
      </c>
      <c r="DP399" s="4">
        <v>206</v>
      </c>
      <c r="DQ399">
        <v>1</v>
      </c>
      <c r="DR399" s="4">
        <v>215</v>
      </c>
      <c r="DS399">
        <v>1</v>
      </c>
      <c r="DT399" s="4">
        <v>221</v>
      </c>
      <c r="DU399">
        <v>1</v>
      </c>
      <c r="DV399" s="4">
        <v>233</v>
      </c>
      <c r="DW399">
        <v>1</v>
      </c>
      <c r="DX399" s="4">
        <v>235</v>
      </c>
      <c r="DY399">
        <v>1</v>
      </c>
      <c r="DZ399" s="4">
        <v>239</v>
      </c>
      <c r="EA399">
        <v>1</v>
      </c>
      <c r="EB399" s="4">
        <v>244</v>
      </c>
      <c r="EC399">
        <v>1</v>
      </c>
      <c r="ED399" s="4">
        <v>247</v>
      </c>
      <c r="EE399">
        <v>1</v>
      </c>
      <c r="EF399" s="4">
        <v>250</v>
      </c>
      <c r="EG399">
        <v>1</v>
      </c>
      <c r="EH399" s="4">
        <v>252</v>
      </c>
      <c r="EI399">
        <v>1</v>
      </c>
      <c r="EJ399" s="4">
        <v>257</v>
      </c>
      <c r="EK399">
        <v>1</v>
      </c>
    </row>
    <row r="400" spans="1:141" x14ac:dyDescent="0.2">
      <c r="A400" t="str">
        <f>HYPERLINK("http://exon.niaid.nih.gov/transcriptome/C_felis/S1/links/cf/cf-contig_258.txt","cf-contig_258")</f>
        <v>cf-contig_258</v>
      </c>
      <c r="B400">
        <v>1</v>
      </c>
      <c r="C400" s="10" t="s">
        <v>4600</v>
      </c>
      <c r="D400">
        <v>1</v>
      </c>
      <c r="E400" t="str">
        <f>HYPERLINK("http://exon.niaid.nih.gov/transcriptome/C_felis/S1/links/cf/cf-5-36-asb-258.txt","Contig-258")</f>
        <v>Contig-258</v>
      </c>
      <c r="F400" t="str">
        <f>HYPERLINK("http://exon.niaid.nih.gov/transcriptome/C_felis/S1/links/cf/cf-5-36-258-CLU.txt","Contig258")</f>
        <v>Contig258</v>
      </c>
      <c r="G400" t="str">
        <f>HYPERLINK("http://exon.niaid.nih.gov/transcriptome/C_felis/S1/links/cf/cf-5-36-258-qual.txt","42.6")</f>
        <v>42.6</v>
      </c>
      <c r="H400">
        <v>1.1000000000000001</v>
      </c>
      <c r="I400">
        <v>75.8</v>
      </c>
      <c r="J400">
        <v>72</v>
      </c>
      <c r="K400" t="s">
        <v>12</v>
      </c>
      <c r="L400">
        <v>1</v>
      </c>
      <c r="M400" t="s">
        <v>271</v>
      </c>
      <c r="N400">
        <v>72</v>
      </c>
      <c r="O400">
        <v>91</v>
      </c>
      <c r="P400">
        <v>87</v>
      </c>
      <c r="Q400" t="s">
        <v>1078</v>
      </c>
      <c r="R400">
        <v>1</v>
      </c>
      <c r="S400" s="7" t="s">
        <v>4585</v>
      </c>
      <c r="U400">
        <v>1</v>
      </c>
      <c r="V400" s="4">
        <v>206</v>
      </c>
      <c r="W400">
        <v>1</v>
      </c>
      <c r="X400" s="4">
        <v>209</v>
      </c>
      <c r="Y400">
        <v>1</v>
      </c>
      <c r="Z400" s="4">
        <v>207</v>
      </c>
      <c r="AA400">
        <v>1</v>
      </c>
      <c r="AB400" s="4" t="str">
        <f>HYPERLINK("http://exon.niaid.nih.gov/transcriptome/C_felis/S1/links/XC-ASB/cf-contig_258-XC-ASB.txt","XC-contig_53")</f>
        <v>XC-contig_53</v>
      </c>
      <c r="AC400">
        <v>0.65</v>
      </c>
      <c r="AD400" s="10" t="s">
        <v>4600</v>
      </c>
      <c r="AE400" t="s">
        <v>4601</v>
      </c>
      <c r="AI400" s="4" t="s">
        <v>42</v>
      </c>
      <c r="AJ400" t="s">
        <v>42</v>
      </c>
      <c r="AK400" t="s">
        <v>42</v>
      </c>
      <c r="AL400" t="s">
        <v>42</v>
      </c>
      <c r="AM400" t="s">
        <v>42</v>
      </c>
      <c r="AN400" t="s">
        <v>42</v>
      </c>
      <c r="AO400" t="s">
        <v>42</v>
      </c>
      <c r="AP400" t="s">
        <v>42</v>
      </c>
      <c r="AQ400" t="s">
        <v>42</v>
      </c>
      <c r="AR400" t="s">
        <v>42</v>
      </c>
      <c r="AS400" t="s">
        <v>42</v>
      </c>
      <c r="AT400" t="s">
        <v>42</v>
      </c>
      <c r="AU400" t="s">
        <v>42</v>
      </c>
      <c r="AV400" t="s">
        <v>42</v>
      </c>
      <c r="AW400" t="s">
        <v>42</v>
      </c>
      <c r="AX400" t="s">
        <v>42</v>
      </c>
      <c r="AY400" t="s">
        <v>42</v>
      </c>
      <c r="AZ400" t="s">
        <v>42</v>
      </c>
      <c r="BA400" s="4" t="s">
        <v>42</v>
      </c>
      <c r="BB400" t="s">
        <v>42</v>
      </c>
      <c r="BC400" t="s">
        <v>42</v>
      </c>
      <c r="BD400" t="s">
        <v>42</v>
      </c>
      <c r="BE400" t="s">
        <v>42</v>
      </c>
      <c r="BF400" t="s">
        <v>42</v>
      </c>
      <c r="BG400" t="s">
        <v>42</v>
      </c>
      <c r="BH400" t="s">
        <v>42</v>
      </c>
      <c r="BI400" t="s">
        <v>42</v>
      </c>
      <c r="BJ400" t="s">
        <v>42</v>
      </c>
      <c r="BK400" t="s">
        <v>42</v>
      </c>
      <c r="BL400" t="s">
        <v>42</v>
      </c>
      <c r="BM400" t="s">
        <v>42</v>
      </c>
      <c r="BN400" t="s">
        <v>42</v>
      </c>
      <c r="BO400" t="s">
        <v>42</v>
      </c>
      <c r="BP400" t="s">
        <v>42</v>
      </c>
      <c r="BQ400" t="s">
        <v>42</v>
      </c>
      <c r="BR400" t="s">
        <v>42</v>
      </c>
      <c r="BS400" s="4" t="s">
        <v>42</v>
      </c>
      <c r="BT400" t="s">
        <v>42</v>
      </c>
      <c r="BU400" t="s">
        <v>42</v>
      </c>
      <c r="BV400" s="4" t="s">
        <v>42</v>
      </c>
      <c r="BW400" t="s">
        <v>42</v>
      </c>
      <c r="BX400" t="s">
        <v>42</v>
      </c>
      <c r="BY400" t="s">
        <v>42</v>
      </c>
      <c r="BZ400" t="s">
        <v>42</v>
      </c>
      <c r="CA400" t="s">
        <v>42</v>
      </c>
      <c r="CB400" t="s">
        <v>42</v>
      </c>
      <c r="CC400" t="s">
        <v>42</v>
      </c>
      <c r="CD400" t="s">
        <v>42</v>
      </c>
      <c r="CE400" t="s">
        <v>42</v>
      </c>
      <c r="CF400" t="s">
        <v>42</v>
      </c>
      <c r="CG400" t="s">
        <v>42</v>
      </c>
      <c r="CH400" t="s">
        <v>42</v>
      </c>
      <c r="CI400" t="s">
        <v>42</v>
      </c>
      <c r="CJ400" t="s">
        <v>42</v>
      </c>
      <c r="CK400" t="s">
        <v>42</v>
      </c>
      <c r="CL400" t="s">
        <v>42</v>
      </c>
      <c r="CM400" t="s">
        <v>42</v>
      </c>
      <c r="CN400" t="s">
        <v>42</v>
      </c>
      <c r="CO400" t="s">
        <v>42</v>
      </c>
      <c r="CP400" t="s">
        <v>42</v>
      </c>
      <c r="CQ400" t="s">
        <v>42</v>
      </c>
      <c r="CR400" t="s">
        <v>42</v>
      </c>
      <c r="CS400" s="4" t="s">
        <v>42</v>
      </c>
      <c r="CT400" t="s">
        <v>42</v>
      </c>
      <c r="CU400" t="s">
        <v>42</v>
      </c>
      <c r="CV400" s="4" t="str">
        <f>HYPERLINK("http://exon.niaid.nih.gov/transcriptome/C_felis/S1/links/PFAM/cf-contig_258-PFAM.txt","Wzz")</f>
        <v>Wzz</v>
      </c>
      <c r="CW400" t="str">
        <f>HYPERLINK("http://pfam.sanger.ac.uk/family?acc=PF02706","5.4")</f>
        <v>5.4</v>
      </c>
      <c r="CX400" s="4" t="str">
        <f>HYPERLINK("http://exon.niaid.nih.gov/transcriptome/C_felis/S1/links/SMART/cf-contig_258-SMART.txt","AgrD")</f>
        <v>AgrD</v>
      </c>
      <c r="CY400" t="str">
        <f>HYPERLINK("http://smart.embl-heidelberg.de/smart/do_annotation.pl?DOMAIN=AgrD&amp;BLAST=DUMMY","1.7")</f>
        <v>1.7</v>
      </c>
      <c r="CZ400" s="4" t="s">
        <v>42</v>
      </c>
      <c r="DA400" t="s">
        <v>42</v>
      </c>
      <c r="DB400" t="s">
        <v>42</v>
      </c>
      <c r="DC400" t="s">
        <v>42</v>
      </c>
      <c r="DD400" t="s">
        <v>42</v>
      </c>
      <c r="DE400" t="s">
        <v>42</v>
      </c>
      <c r="DF400" t="s">
        <v>42</v>
      </c>
      <c r="DG400" t="s">
        <v>42</v>
      </c>
      <c r="DH400" s="4" t="s">
        <v>42</v>
      </c>
      <c r="DI400" t="s">
        <v>42</v>
      </c>
      <c r="DJ400" s="4" t="s">
        <v>42</v>
      </c>
      <c r="DK400" t="s">
        <v>42</v>
      </c>
      <c r="DL400" s="4">
        <v>206</v>
      </c>
      <c r="DM400">
        <v>1</v>
      </c>
      <c r="DN400" s="4">
        <v>209</v>
      </c>
      <c r="DO400">
        <v>1</v>
      </c>
      <c r="DP400" s="4">
        <v>207</v>
      </c>
      <c r="DQ400">
        <v>1</v>
      </c>
      <c r="DR400" s="4">
        <v>216</v>
      </c>
      <c r="DS400">
        <v>1</v>
      </c>
      <c r="DT400" s="4">
        <v>222</v>
      </c>
      <c r="DU400">
        <v>1</v>
      </c>
      <c r="DV400" s="4">
        <v>234</v>
      </c>
      <c r="DW400">
        <v>1</v>
      </c>
      <c r="DX400" s="4">
        <v>236</v>
      </c>
      <c r="DY400">
        <v>1</v>
      </c>
      <c r="DZ400" s="4">
        <v>240</v>
      </c>
      <c r="EA400">
        <v>1</v>
      </c>
      <c r="EB400" s="4">
        <v>245</v>
      </c>
      <c r="EC400">
        <v>1</v>
      </c>
      <c r="ED400" s="4">
        <v>248</v>
      </c>
      <c r="EE400">
        <v>1</v>
      </c>
      <c r="EF400" s="4">
        <v>251</v>
      </c>
      <c r="EG400">
        <v>1</v>
      </c>
      <c r="EH400" s="4">
        <v>253</v>
      </c>
      <c r="EI400">
        <v>1</v>
      </c>
      <c r="EJ400" s="4">
        <v>258</v>
      </c>
      <c r="EK400">
        <v>1</v>
      </c>
    </row>
    <row r="401" spans="1:141" x14ac:dyDescent="0.2">
      <c r="A401" t="str">
        <f>HYPERLINK("http://exon.niaid.nih.gov/transcriptome/C_felis/S1/links/cf/cf-contig_259.txt","cf-contig_259")</f>
        <v>cf-contig_259</v>
      </c>
      <c r="B401">
        <v>1</v>
      </c>
      <c r="C401" s="10" t="s">
        <v>4600</v>
      </c>
      <c r="D401">
        <v>1</v>
      </c>
      <c r="E401" t="str">
        <f>HYPERLINK("http://exon.niaid.nih.gov/transcriptome/C_felis/S1/links/cf/cf-5-36-asb-259.txt","Contig-259")</f>
        <v>Contig-259</v>
      </c>
      <c r="F401" t="str">
        <f>HYPERLINK("http://exon.niaid.nih.gov/transcriptome/C_felis/S1/links/cf/cf-5-36-259-CLU.txt","Contig259")</f>
        <v>Contig259</v>
      </c>
      <c r="G401" t="str">
        <f>HYPERLINK("http://exon.niaid.nih.gov/transcriptome/C_felis/S1/links/cf/cf-5-36-259-qual.txt","35.3")</f>
        <v>35.3</v>
      </c>
      <c r="H401" t="s">
        <v>11</v>
      </c>
      <c r="I401">
        <v>78.3</v>
      </c>
      <c r="J401">
        <v>50</v>
      </c>
      <c r="K401" t="s">
        <v>12</v>
      </c>
      <c r="L401">
        <v>1</v>
      </c>
      <c r="M401" t="s">
        <v>272</v>
      </c>
      <c r="N401">
        <v>50</v>
      </c>
      <c r="O401">
        <v>69</v>
      </c>
      <c r="P401">
        <v>66</v>
      </c>
      <c r="Q401" t="s">
        <v>1079</v>
      </c>
      <c r="R401">
        <v>2</v>
      </c>
      <c r="S401" s="7" t="s">
        <v>4585</v>
      </c>
      <c r="U401">
        <v>1</v>
      </c>
      <c r="V401" s="4">
        <v>207</v>
      </c>
      <c r="W401">
        <v>1</v>
      </c>
      <c r="X401" s="4">
        <v>210</v>
      </c>
      <c r="Y401">
        <v>1</v>
      </c>
      <c r="Z401" s="4">
        <v>208</v>
      </c>
      <c r="AA401">
        <v>1</v>
      </c>
      <c r="AB401" s="4" t="str">
        <f>HYPERLINK("http://exon.niaid.nih.gov/transcriptome/C_felis/S1/links/XC-ASB/cf-contig_259-XC-ASB.txt","XC-contig_106")</f>
        <v>XC-contig_106</v>
      </c>
      <c r="AC401">
        <v>0.49</v>
      </c>
      <c r="AD401" s="10" t="s">
        <v>4600</v>
      </c>
      <c r="AE401" t="s">
        <v>4601</v>
      </c>
      <c r="AI401" s="4" t="s">
        <v>42</v>
      </c>
      <c r="AJ401" t="s">
        <v>42</v>
      </c>
      <c r="AK401" t="s">
        <v>42</v>
      </c>
      <c r="AL401" t="s">
        <v>42</v>
      </c>
      <c r="AM401" t="s">
        <v>42</v>
      </c>
      <c r="AN401" t="s">
        <v>42</v>
      </c>
      <c r="AO401" t="s">
        <v>42</v>
      </c>
      <c r="AP401" t="s">
        <v>42</v>
      </c>
      <c r="AQ401" t="s">
        <v>42</v>
      </c>
      <c r="AR401" t="s">
        <v>42</v>
      </c>
      <c r="AS401" t="s">
        <v>42</v>
      </c>
      <c r="AT401" t="s">
        <v>42</v>
      </c>
      <c r="AU401" t="s">
        <v>42</v>
      </c>
      <c r="AV401" t="s">
        <v>42</v>
      </c>
      <c r="AW401" t="s">
        <v>42</v>
      </c>
      <c r="AX401" t="s">
        <v>42</v>
      </c>
      <c r="AY401" t="s">
        <v>42</v>
      </c>
      <c r="AZ401" t="s">
        <v>42</v>
      </c>
      <c r="BA401" s="4" t="s">
        <v>42</v>
      </c>
      <c r="BB401" t="s">
        <v>42</v>
      </c>
      <c r="BC401" t="s">
        <v>42</v>
      </c>
      <c r="BD401" t="s">
        <v>42</v>
      </c>
      <c r="BE401" t="s">
        <v>42</v>
      </c>
      <c r="BF401" t="s">
        <v>42</v>
      </c>
      <c r="BG401" t="s">
        <v>42</v>
      </c>
      <c r="BH401" t="s">
        <v>42</v>
      </c>
      <c r="BI401" t="s">
        <v>42</v>
      </c>
      <c r="BJ401" t="s">
        <v>42</v>
      </c>
      <c r="BK401" t="s">
        <v>42</v>
      </c>
      <c r="BL401" t="s">
        <v>42</v>
      </c>
      <c r="BM401" t="s">
        <v>42</v>
      </c>
      <c r="BN401" t="s">
        <v>42</v>
      </c>
      <c r="BO401" t="s">
        <v>42</v>
      </c>
      <c r="BP401" t="s">
        <v>42</v>
      </c>
      <c r="BQ401" t="s">
        <v>42</v>
      </c>
      <c r="BR401" t="s">
        <v>42</v>
      </c>
      <c r="BS401" s="4" t="s">
        <v>42</v>
      </c>
      <c r="BT401" t="s">
        <v>42</v>
      </c>
      <c r="BU401" t="s">
        <v>42</v>
      </c>
      <c r="BV401" s="4" t="s">
        <v>42</v>
      </c>
      <c r="BW401" t="s">
        <v>42</v>
      </c>
      <c r="BX401" t="s">
        <v>42</v>
      </c>
      <c r="BY401" t="s">
        <v>42</v>
      </c>
      <c r="BZ401" t="s">
        <v>42</v>
      </c>
      <c r="CA401" t="s">
        <v>42</v>
      </c>
      <c r="CB401" t="s">
        <v>42</v>
      </c>
      <c r="CC401" t="s">
        <v>42</v>
      </c>
      <c r="CD401" t="s">
        <v>42</v>
      </c>
      <c r="CE401" t="s">
        <v>42</v>
      </c>
      <c r="CF401" t="s">
        <v>42</v>
      </c>
      <c r="CG401" t="s">
        <v>42</v>
      </c>
      <c r="CH401" t="s">
        <v>42</v>
      </c>
      <c r="CI401" t="s">
        <v>42</v>
      </c>
      <c r="CJ401" t="s">
        <v>42</v>
      </c>
      <c r="CK401" t="s">
        <v>42</v>
      </c>
      <c r="CL401" t="s">
        <v>42</v>
      </c>
      <c r="CM401" t="s">
        <v>42</v>
      </c>
      <c r="CN401" t="s">
        <v>42</v>
      </c>
      <c r="CO401" t="s">
        <v>42</v>
      </c>
      <c r="CP401" t="s">
        <v>42</v>
      </c>
      <c r="CQ401" t="s">
        <v>42</v>
      </c>
      <c r="CR401" t="s">
        <v>42</v>
      </c>
      <c r="CS401" s="4" t="s">
        <v>42</v>
      </c>
      <c r="CT401" t="s">
        <v>42</v>
      </c>
      <c r="CU401" t="s">
        <v>42</v>
      </c>
      <c r="CV401" s="4" t="s">
        <v>42</v>
      </c>
      <c r="CW401" t="s">
        <v>42</v>
      </c>
      <c r="CX401" s="4" t="str">
        <f>HYPERLINK("http://exon.niaid.nih.gov/transcriptome/C_felis/S1/links/SMART/cf-contig_259-SMART.txt","WRKY")</f>
        <v>WRKY</v>
      </c>
      <c r="CY401" t="str">
        <f>HYPERLINK("http://smart.embl-heidelberg.de/smart/do_annotation.pl?DOMAIN=WRKY&amp;BLAST=DUMMY","1.9")</f>
        <v>1.9</v>
      </c>
      <c r="CZ401" s="4" t="s">
        <v>42</v>
      </c>
      <c r="DA401" t="s">
        <v>42</v>
      </c>
      <c r="DB401" t="s">
        <v>42</v>
      </c>
      <c r="DC401" t="s">
        <v>42</v>
      </c>
      <c r="DD401" t="s">
        <v>42</v>
      </c>
      <c r="DE401" t="s">
        <v>42</v>
      </c>
      <c r="DF401" t="s">
        <v>42</v>
      </c>
      <c r="DG401" t="s">
        <v>42</v>
      </c>
      <c r="DH401" s="4" t="s">
        <v>42</v>
      </c>
      <c r="DI401" t="s">
        <v>42</v>
      </c>
      <c r="DJ401" s="4" t="s">
        <v>42</v>
      </c>
      <c r="DK401" t="s">
        <v>42</v>
      </c>
      <c r="DL401" s="4">
        <v>207</v>
      </c>
      <c r="DM401">
        <v>1</v>
      </c>
      <c r="DN401" s="4">
        <v>210</v>
      </c>
      <c r="DO401">
        <v>1</v>
      </c>
      <c r="DP401" s="4">
        <v>208</v>
      </c>
      <c r="DQ401">
        <v>1</v>
      </c>
      <c r="DR401" s="4">
        <v>217</v>
      </c>
      <c r="DS401">
        <v>1</v>
      </c>
      <c r="DT401" s="4">
        <v>223</v>
      </c>
      <c r="DU401">
        <v>1</v>
      </c>
      <c r="DV401" s="4">
        <v>235</v>
      </c>
      <c r="DW401">
        <v>1</v>
      </c>
      <c r="DX401" s="4">
        <v>237</v>
      </c>
      <c r="DY401">
        <v>1</v>
      </c>
      <c r="DZ401" s="4">
        <v>241</v>
      </c>
      <c r="EA401">
        <v>1</v>
      </c>
      <c r="EB401" s="4">
        <v>246</v>
      </c>
      <c r="EC401">
        <v>1</v>
      </c>
      <c r="ED401" s="4">
        <v>249</v>
      </c>
      <c r="EE401">
        <v>1</v>
      </c>
      <c r="EF401" s="4">
        <v>252</v>
      </c>
      <c r="EG401">
        <v>1</v>
      </c>
      <c r="EH401" s="4">
        <v>254</v>
      </c>
      <c r="EI401">
        <v>1</v>
      </c>
      <c r="EJ401" s="4">
        <v>259</v>
      </c>
      <c r="EK401">
        <v>1</v>
      </c>
    </row>
    <row r="402" spans="1:141" x14ac:dyDescent="0.2">
      <c r="A402" t="str">
        <f>HYPERLINK("http://exon.niaid.nih.gov/transcriptome/C_felis/S1/links/cf/cf-contig_260.txt","cf-contig_260")</f>
        <v>cf-contig_260</v>
      </c>
      <c r="B402">
        <v>1</v>
      </c>
      <c r="C402" s="10" t="s">
        <v>4600</v>
      </c>
      <c r="D402">
        <v>1</v>
      </c>
      <c r="E402" t="str">
        <f>HYPERLINK("http://exon.niaid.nih.gov/transcriptome/C_felis/S1/links/cf/cf-5-36-asb-260.txt","Contig-260")</f>
        <v>Contig-260</v>
      </c>
      <c r="F402" t="str">
        <f>HYPERLINK("http://exon.niaid.nih.gov/transcriptome/C_felis/S1/links/cf/cf-5-36-260-CLU.txt","Contig260")</f>
        <v>Contig260</v>
      </c>
      <c r="G402" t="str">
        <f>HYPERLINK("http://exon.niaid.nih.gov/transcriptome/C_felis/S1/links/cf/cf-5-36-260-qual.txt","59.2")</f>
        <v>59.2</v>
      </c>
      <c r="H402" t="s">
        <v>11</v>
      </c>
      <c r="I402">
        <v>79</v>
      </c>
      <c r="J402">
        <v>124</v>
      </c>
      <c r="K402" t="s">
        <v>12</v>
      </c>
      <c r="L402">
        <v>1</v>
      </c>
      <c r="M402" t="s">
        <v>273</v>
      </c>
      <c r="N402">
        <v>124</v>
      </c>
      <c r="O402">
        <v>143</v>
      </c>
      <c r="P402">
        <v>78</v>
      </c>
      <c r="Q402" t="s">
        <v>1080</v>
      </c>
      <c r="R402">
        <v>2</v>
      </c>
      <c r="S402" s="7" t="s">
        <v>4585</v>
      </c>
      <c r="U402">
        <v>1</v>
      </c>
      <c r="V402" s="4">
        <v>208</v>
      </c>
      <c r="W402">
        <v>1</v>
      </c>
      <c r="X402" s="4">
        <v>211</v>
      </c>
      <c r="Y402">
        <v>1</v>
      </c>
      <c r="Z402" s="4">
        <v>209</v>
      </c>
      <c r="AA402">
        <v>1</v>
      </c>
      <c r="AB402" s="4" t="str">
        <f>HYPERLINK("http://exon.niaid.nih.gov/transcriptome/C_felis/S1/links/XC-ASB/cf-contig_260-XC-ASB.txt","XC-contig_9")</f>
        <v>XC-contig_9</v>
      </c>
      <c r="AC402">
        <v>8.4000000000000005E-2</v>
      </c>
      <c r="AD402" s="10" t="s">
        <v>4600</v>
      </c>
      <c r="AE402" t="s">
        <v>4601</v>
      </c>
      <c r="AI402" s="4" t="s">
        <v>42</v>
      </c>
      <c r="AJ402" t="s">
        <v>42</v>
      </c>
      <c r="AK402" t="s">
        <v>42</v>
      </c>
      <c r="AL402" t="s">
        <v>42</v>
      </c>
      <c r="AM402" t="s">
        <v>42</v>
      </c>
      <c r="AN402" t="s">
        <v>42</v>
      </c>
      <c r="AO402" t="s">
        <v>42</v>
      </c>
      <c r="AP402" t="s">
        <v>42</v>
      </c>
      <c r="AQ402" t="s">
        <v>42</v>
      </c>
      <c r="AR402" t="s">
        <v>42</v>
      </c>
      <c r="AS402" t="s">
        <v>42</v>
      </c>
      <c r="AT402" t="s">
        <v>42</v>
      </c>
      <c r="AU402" t="s">
        <v>42</v>
      </c>
      <c r="AV402" t="s">
        <v>42</v>
      </c>
      <c r="AW402" t="s">
        <v>42</v>
      </c>
      <c r="AX402" t="s">
        <v>42</v>
      </c>
      <c r="AY402" t="s">
        <v>42</v>
      </c>
      <c r="AZ402" t="s">
        <v>42</v>
      </c>
      <c r="BA402" s="4" t="s">
        <v>42</v>
      </c>
      <c r="BB402" t="s">
        <v>42</v>
      </c>
      <c r="BC402" t="s">
        <v>42</v>
      </c>
      <c r="BD402" t="s">
        <v>42</v>
      </c>
      <c r="BE402" t="s">
        <v>42</v>
      </c>
      <c r="BF402" t="s">
        <v>42</v>
      </c>
      <c r="BG402" t="s">
        <v>42</v>
      </c>
      <c r="BH402" t="s">
        <v>42</v>
      </c>
      <c r="BI402" t="s">
        <v>42</v>
      </c>
      <c r="BJ402" t="s">
        <v>42</v>
      </c>
      <c r="BK402" t="s">
        <v>42</v>
      </c>
      <c r="BL402" t="s">
        <v>42</v>
      </c>
      <c r="BM402" t="s">
        <v>42</v>
      </c>
      <c r="BN402" t="s">
        <v>42</v>
      </c>
      <c r="BO402" t="s">
        <v>42</v>
      </c>
      <c r="BP402" t="s">
        <v>42</v>
      </c>
      <c r="BQ402" t="s">
        <v>42</v>
      </c>
      <c r="BR402" t="s">
        <v>42</v>
      </c>
      <c r="BS402" s="4" t="str">
        <f>HYPERLINK("http://exon.niaid.nih.gov/transcriptome/C_felis/S1/links/CDD/cf-contig_260-CDD.txt","7TM_GPCR_Str")</f>
        <v>7TM_GPCR_Str</v>
      </c>
      <c r="BT402" t="str">
        <f>HYPERLINK("http://www.ncbi.nlm.nih.gov/Structure/cdd/cddsrv.cgi?uid=pfam10326&amp;version=v4.0","0.41")</f>
        <v>0.41</v>
      </c>
      <c r="BU402" t="s">
        <v>2630</v>
      </c>
      <c r="BV402" s="4" t="s">
        <v>42</v>
      </c>
      <c r="BW402" t="s">
        <v>42</v>
      </c>
      <c r="BX402" t="s">
        <v>42</v>
      </c>
      <c r="BY402" t="s">
        <v>42</v>
      </c>
      <c r="BZ402" t="s">
        <v>42</v>
      </c>
      <c r="CA402" t="s">
        <v>42</v>
      </c>
      <c r="CB402" t="s">
        <v>42</v>
      </c>
      <c r="CC402" t="s">
        <v>42</v>
      </c>
      <c r="CD402" t="s">
        <v>42</v>
      </c>
      <c r="CE402" t="s">
        <v>42</v>
      </c>
      <c r="CF402" t="s">
        <v>42</v>
      </c>
      <c r="CG402" t="s">
        <v>42</v>
      </c>
      <c r="CH402" t="s">
        <v>42</v>
      </c>
      <c r="CI402" t="s">
        <v>42</v>
      </c>
      <c r="CJ402" t="s">
        <v>42</v>
      </c>
      <c r="CK402" t="s">
        <v>42</v>
      </c>
      <c r="CL402" t="s">
        <v>42</v>
      </c>
      <c r="CM402" t="s">
        <v>42</v>
      </c>
      <c r="CN402" t="s">
        <v>42</v>
      </c>
      <c r="CO402" t="s">
        <v>42</v>
      </c>
      <c r="CP402" t="s">
        <v>42</v>
      </c>
      <c r="CQ402" t="s">
        <v>42</v>
      </c>
      <c r="CR402" t="s">
        <v>42</v>
      </c>
      <c r="CS402" s="4" t="s">
        <v>42</v>
      </c>
      <c r="CT402" t="s">
        <v>42</v>
      </c>
      <c r="CU402" t="s">
        <v>42</v>
      </c>
      <c r="CV402" s="4" t="str">
        <f>HYPERLINK("http://exon.niaid.nih.gov/transcriptome/C_felis/S1/links/PFAM/cf-contig_260-PFAM.txt","7TM_GPCR_Str")</f>
        <v>7TM_GPCR_Str</v>
      </c>
      <c r="CW402" t="str">
        <f>HYPERLINK("http://pfam.sanger.ac.uk/family?acc=PF10326","0.088")</f>
        <v>0.088</v>
      </c>
      <c r="CX402" s="4" t="str">
        <f>HYPERLINK("http://exon.niaid.nih.gov/transcriptome/C_felis/S1/links/SMART/cf-contig_260-SMART.txt","WGR")</f>
        <v>WGR</v>
      </c>
      <c r="CY402" t="str">
        <f>HYPERLINK("http://smart.embl-heidelberg.de/smart/do_annotation.pl?DOMAIN=WGR&amp;BLAST=DUMMY","0.41")</f>
        <v>0.41</v>
      </c>
      <c r="CZ402" s="4" t="s">
        <v>42</v>
      </c>
      <c r="DA402" t="s">
        <v>42</v>
      </c>
      <c r="DB402" t="s">
        <v>42</v>
      </c>
      <c r="DC402" t="s">
        <v>42</v>
      </c>
      <c r="DD402" t="s">
        <v>42</v>
      </c>
      <c r="DE402" t="s">
        <v>42</v>
      </c>
      <c r="DF402" t="s">
        <v>42</v>
      </c>
      <c r="DG402" t="s">
        <v>42</v>
      </c>
      <c r="DH402" s="4" t="s">
        <v>42</v>
      </c>
      <c r="DI402" t="s">
        <v>42</v>
      </c>
      <c r="DJ402" s="4" t="s">
        <v>42</v>
      </c>
      <c r="DK402" t="s">
        <v>42</v>
      </c>
      <c r="DL402" s="4">
        <v>208</v>
      </c>
      <c r="DM402">
        <v>1</v>
      </c>
      <c r="DN402" s="4">
        <v>211</v>
      </c>
      <c r="DO402">
        <v>1</v>
      </c>
      <c r="DP402" s="4">
        <v>209</v>
      </c>
      <c r="DQ402">
        <v>1</v>
      </c>
      <c r="DR402" s="4">
        <v>218</v>
      </c>
      <c r="DS402">
        <v>1</v>
      </c>
      <c r="DT402" s="4">
        <v>224</v>
      </c>
      <c r="DU402">
        <v>1</v>
      </c>
      <c r="DV402" s="4">
        <v>236</v>
      </c>
      <c r="DW402">
        <v>1</v>
      </c>
      <c r="DX402" s="4">
        <v>238</v>
      </c>
      <c r="DY402">
        <v>1</v>
      </c>
      <c r="DZ402" s="4">
        <v>242</v>
      </c>
      <c r="EA402">
        <v>1</v>
      </c>
      <c r="EB402" s="4">
        <v>247</v>
      </c>
      <c r="EC402">
        <v>1</v>
      </c>
      <c r="ED402" s="4">
        <v>250</v>
      </c>
      <c r="EE402">
        <v>1</v>
      </c>
      <c r="EF402" s="4">
        <v>253</v>
      </c>
      <c r="EG402">
        <v>1</v>
      </c>
      <c r="EH402" s="4">
        <v>255</v>
      </c>
      <c r="EI402">
        <v>1</v>
      </c>
      <c r="EJ402" s="4">
        <v>260</v>
      </c>
      <c r="EK402">
        <v>1</v>
      </c>
    </row>
    <row r="403" spans="1:141" x14ac:dyDescent="0.2">
      <c r="A403" t="str">
        <f>HYPERLINK("http://exon.niaid.nih.gov/transcriptome/C_felis/S1/links/cf/cf-contig_262.txt","cf-contig_262")</f>
        <v>cf-contig_262</v>
      </c>
      <c r="B403">
        <v>1</v>
      </c>
      <c r="C403" s="10" t="s">
        <v>4600</v>
      </c>
      <c r="D403">
        <v>1</v>
      </c>
      <c r="E403" t="str">
        <f>HYPERLINK("http://exon.niaid.nih.gov/transcriptome/C_felis/S1/links/cf/cf-5-36-asb-262.txt","Contig-262")</f>
        <v>Contig-262</v>
      </c>
      <c r="F403" t="str">
        <f>HYPERLINK("http://exon.niaid.nih.gov/transcriptome/C_felis/S1/links/cf/cf-5-36-262-CLU.txt","Contig262")</f>
        <v>Contig262</v>
      </c>
      <c r="G403" t="str">
        <f>HYPERLINK("http://exon.niaid.nih.gov/transcriptome/C_felis/S1/links/cf/cf-5-36-262-qual.txt","41.6")</f>
        <v>41.6</v>
      </c>
      <c r="H403" t="s">
        <v>11</v>
      </c>
      <c r="I403">
        <v>85.1</v>
      </c>
      <c r="J403">
        <v>55</v>
      </c>
      <c r="K403" t="s">
        <v>12</v>
      </c>
      <c r="L403">
        <v>1</v>
      </c>
      <c r="M403" t="s">
        <v>275</v>
      </c>
      <c r="N403">
        <v>55</v>
      </c>
      <c r="O403">
        <v>74</v>
      </c>
      <c r="P403">
        <v>63</v>
      </c>
      <c r="Q403" t="s">
        <v>1082</v>
      </c>
      <c r="R403">
        <v>2</v>
      </c>
      <c r="S403" s="7" t="s">
        <v>4585</v>
      </c>
      <c r="U403">
        <v>1</v>
      </c>
      <c r="V403" s="4">
        <v>209</v>
      </c>
      <c r="W403">
        <v>1</v>
      </c>
      <c r="X403" s="4">
        <v>213</v>
      </c>
      <c r="Y403">
        <v>1</v>
      </c>
      <c r="Z403" s="4">
        <v>211</v>
      </c>
      <c r="AA403">
        <v>1</v>
      </c>
      <c r="AB403" s="4" t="str">
        <f>HYPERLINK("http://exon.niaid.nih.gov/transcriptome/C_felis/S1/links/XC-ASB/cf-contig_262-XC-ASB.txt","XC-contig_165")</f>
        <v>XC-contig_165</v>
      </c>
      <c r="AC403">
        <v>1.4999999999999999E-2</v>
      </c>
      <c r="AD403" s="10" t="s">
        <v>4600</v>
      </c>
      <c r="AE403" t="s">
        <v>4601</v>
      </c>
      <c r="AI403" s="4" t="s">
        <v>42</v>
      </c>
      <c r="AJ403" t="s">
        <v>42</v>
      </c>
      <c r="AK403" t="s">
        <v>42</v>
      </c>
      <c r="AL403" t="s">
        <v>42</v>
      </c>
      <c r="AM403" t="s">
        <v>42</v>
      </c>
      <c r="AN403" t="s">
        <v>42</v>
      </c>
      <c r="AO403" t="s">
        <v>42</v>
      </c>
      <c r="AP403" t="s">
        <v>42</v>
      </c>
      <c r="AQ403" t="s">
        <v>42</v>
      </c>
      <c r="AR403" t="s">
        <v>42</v>
      </c>
      <c r="AS403" t="s">
        <v>42</v>
      </c>
      <c r="AT403" t="s">
        <v>42</v>
      </c>
      <c r="AU403" t="s">
        <v>42</v>
      </c>
      <c r="AV403" t="s">
        <v>42</v>
      </c>
      <c r="AW403" t="s">
        <v>42</v>
      </c>
      <c r="AX403" t="s">
        <v>42</v>
      </c>
      <c r="AY403" t="s">
        <v>42</v>
      </c>
      <c r="AZ403" t="s">
        <v>42</v>
      </c>
      <c r="BA403" s="4" t="s">
        <v>42</v>
      </c>
      <c r="BB403" t="s">
        <v>42</v>
      </c>
      <c r="BC403" t="s">
        <v>42</v>
      </c>
      <c r="BD403" t="s">
        <v>42</v>
      </c>
      <c r="BE403" t="s">
        <v>42</v>
      </c>
      <c r="BF403" t="s">
        <v>42</v>
      </c>
      <c r="BG403" t="s">
        <v>42</v>
      </c>
      <c r="BH403" t="s">
        <v>42</v>
      </c>
      <c r="BI403" t="s">
        <v>42</v>
      </c>
      <c r="BJ403" t="s">
        <v>42</v>
      </c>
      <c r="BK403" t="s">
        <v>42</v>
      </c>
      <c r="BL403" t="s">
        <v>42</v>
      </c>
      <c r="BM403" t="s">
        <v>42</v>
      </c>
      <c r="BN403" t="s">
        <v>42</v>
      </c>
      <c r="BO403" t="s">
        <v>42</v>
      </c>
      <c r="BP403" t="s">
        <v>42</v>
      </c>
      <c r="BQ403" t="s">
        <v>42</v>
      </c>
      <c r="BR403" t="s">
        <v>42</v>
      </c>
      <c r="BS403" s="4" t="str">
        <f>HYPERLINK("http://exon.niaid.nih.gov/transcriptome/C_felis/S1/links/CDD/cf-contig_262-CDD.txt","ND2")</f>
        <v>ND2</v>
      </c>
      <c r="BT403" t="str">
        <f>HYPERLINK("http://www.ncbi.nlm.nih.gov/Structure/cdd/cddsrv.cgi?uid=MTH00091&amp;version=v4.0","6.0")</f>
        <v>6.0</v>
      </c>
      <c r="BU403" t="s">
        <v>2633</v>
      </c>
      <c r="BV403" s="4" t="s">
        <v>42</v>
      </c>
      <c r="BW403" t="s">
        <v>42</v>
      </c>
      <c r="BX403" t="s">
        <v>42</v>
      </c>
      <c r="BY403" t="s">
        <v>42</v>
      </c>
      <c r="BZ403" t="s">
        <v>42</v>
      </c>
      <c r="CA403" t="s">
        <v>42</v>
      </c>
      <c r="CB403" t="s">
        <v>42</v>
      </c>
      <c r="CC403" t="s">
        <v>42</v>
      </c>
      <c r="CD403" t="s">
        <v>42</v>
      </c>
      <c r="CE403" t="s">
        <v>42</v>
      </c>
      <c r="CF403" t="s">
        <v>42</v>
      </c>
      <c r="CG403" t="s">
        <v>42</v>
      </c>
      <c r="CH403" t="s">
        <v>42</v>
      </c>
      <c r="CI403" t="s">
        <v>42</v>
      </c>
      <c r="CJ403" t="s">
        <v>42</v>
      </c>
      <c r="CK403" t="s">
        <v>42</v>
      </c>
      <c r="CL403" t="s">
        <v>42</v>
      </c>
      <c r="CM403" t="s">
        <v>42</v>
      </c>
      <c r="CN403" t="s">
        <v>42</v>
      </c>
      <c r="CO403" t="s">
        <v>42</v>
      </c>
      <c r="CP403" t="s">
        <v>42</v>
      </c>
      <c r="CQ403" t="s">
        <v>42</v>
      </c>
      <c r="CR403" t="s">
        <v>42</v>
      </c>
      <c r="CS403" s="4" t="s">
        <v>42</v>
      </c>
      <c r="CT403" t="s">
        <v>42</v>
      </c>
      <c r="CU403" t="s">
        <v>42</v>
      </c>
      <c r="CV403" s="4" t="str">
        <f>HYPERLINK("http://exon.niaid.nih.gov/transcriptome/C_felis/S1/links/PFAM/cf-contig_262-PFAM.txt","DUF2512")</f>
        <v>DUF2512</v>
      </c>
      <c r="CW403" t="str">
        <f>HYPERLINK("http://pfam.sanger.ac.uk/family?acc=PF10710","8.6")</f>
        <v>8.6</v>
      </c>
      <c r="CX403" s="4" t="str">
        <f>HYPERLINK("http://exon.niaid.nih.gov/transcriptome/C_felis/S1/links/SMART/cf-contig_262-SMART.txt","TLC")</f>
        <v>TLC</v>
      </c>
      <c r="CY403" t="str">
        <f>HYPERLINK("http://smart.embl-heidelberg.de/smart/do_annotation.pl?DOMAIN=TLC&amp;BLAST=DUMMY","1.9")</f>
        <v>1.9</v>
      </c>
      <c r="CZ403" s="4" t="s">
        <v>42</v>
      </c>
      <c r="DA403" t="s">
        <v>42</v>
      </c>
      <c r="DB403" t="s">
        <v>42</v>
      </c>
      <c r="DC403" t="s">
        <v>42</v>
      </c>
      <c r="DD403" t="s">
        <v>42</v>
      </c>
      <c r="DE403" t="s">
        <v>42</v>
      </c>
      <c r="DF403" t="s">
        <v>42</v>
      </c>
      <c r="DG403" t="s">
        <v>42</v>
      </c>
      <c r="DH403" s="4" t="s">
        <v>42</v>
      </c>
      <c r="DI403" t="s">
        <v>42</v>
      </c>
      <c r="DJ403" s="4" t="s">
        <v>42</v>
      </c>
      <c r="DK403" t="s">
        <v>42</v>
      </c>
      <c r="DL403" s="4">
        <v>209</v>
      </c>
      <c r="DM403">
        <v>1</v>
      </c>
      <c r="DN403" s="4">
        <v>213</v>
      </c>
      <c r="DO403">
        <v>1</v>
      </c>
      <c r="DP403" s="4">
        <v>211</v>
      </c>
      <c r="DQ403">
        <v>1</v>
      </c>
      <c r="DR403" s="4">
        <v>220</v>
      </c>
      <c r="DS403">
        <v>1</v>
      </c>
      <c r="DT403" s="4">
        <v>226</v>
      </c>
      <c r="DU403">
        <v>1</v>
      </c>
      <c r="DV403" s="4">
        <v>238</v>
      </c>
      <c r="DW403">
        <v>1</v>
      </c>
      <c r="DX403" s="4">
        <v>240</v>
      </c>
      <c r="DY403">
        <v>1</v>
      </c>
      <c r="DZ403" s="4">
        <v>244</v>
      </c>
      <c r="EA403">
        <v>1</v>
      </c>
      <c r="EB403" s="4">
        <v>249</v>
      </c>
      <c r="EC403">
        <v>1</v>
      </c>
      <c r="ED403" s="4">
        <v>252</v>
      </c>
      <c r="EE403">
        <v>1</v>
      </c>
      <c r="EF403" s="4">
        <v>255</v>
      </c>
      <c r="EG403">
        <v>1</v>
      </c>
      <c r="EH403" s="4">
        <v>257</v>
      </c>
      <c r="EI403">
        <v>1</v>
      </c>
      <c r="EJ403" s="4">
        <v>262</v>
      </c>
      <c r="EK403">
        <v>1</v>
      </c>
    </row>
    <row r="404" spans="1:141" x14ac:dyDescent="0.2">
      <c r="A404" t="str">
        <f>HYPERLINK("http://exon.niaid.nih.gov/transcriptome/C_felis/S1/links/cf/cf-contig_263.txt","cf-contig_263")</f>
        <v>cf-contig_263</v>
      </c>
      <c r="B404">
        <v>1</v>
      </c>
      <c r="C404" s="10" t="s">
        <v>4600</v>
      </c>
      <c r="D404">
        <v>1</v>
      </c>
      <c r="E404" t="str">
        <f>HYPERLINK("http://exon.niaid.nih.gov/transcriptome/C_felis/S1/links/cf/cf-5-36-asb-263.txt","Contig-263")</f>
        <v>Contig-263</v>
      </c>
      <c r="F404" t="str">
        <f>HYPERLINK("http://exon.niaid.nih.gov/transcriptome/C_felis/S1/links/cf/cf-5-36-263-CLU.txt","Contig263")</f>
        <v>Contig263</v>
      </c>
      <c r="G404" t="str">
        <f>HYPERLINK("http://exon.niaid.nih.gov/transcriptome/C_felis/S1/links/cf/cf-5-36-263-qual.txt","36.6")</f>
        <v>36.6</v>
      </c>
      <c r="H404">
        <v>1.2</v>
      </c>
      <c r="I404">
        <v>75.599999999999994</v>
      </c>
      <c r="J404">
        <v>63</v>
      </c>
      <c r="K404" t="s">
        <v>12</v>
      </c>
      <c r="L404">
        <v>1</v>
      </c>
      <c r="M404" t="s">
        <v>276</v>
      </c>
      <c r="N404">
        <v>63</v>
      </c>
      <c r="O404">
        <v>82</v>
      </c>
      <c r="P404">
        <v>66</v>
      </c>
      <c r="Q404" t="s">
        <v>1083</v>
      </c>
      <c r="R404">
        <v>1</v>
      </c>
      <c r="S404" s="7" t="s">
        <v>4585</v>
      </c>
      <c r="U404">
        <v>1</v>
      </c>
      <c r="V404" s="4">
        <v>210</v>
      </c>
      <c r="W404">
        <v>1</v>
      </c>
      <c r="X404" s="4">
        <v>214</v>
      </c>
      <c r="Y404">
        <v>1</v>
      </c>
      <c r="Z404" s="4">
        <v>212</v>
      </c>
      <c r="AA404">
        <v>1</v>
      </c>
      <c r="AB404" s="4" t="str">
        <f>HYPERLINK("http://exon.niaid.nih.gov/transcriptome/C_felis/S1/links/XC-ASB/cf-contig_263-XC-ASB.txt","XC-contig_75")</f>
        <v>XC-contig_75</v>
      </c>
      <c r="AC404">
        <v>0.18</v>
      </c>
      <c r="AD404" s="10" t="s">
        <v>4600</v>
      </c>
      <c r="AE404" t="s">
        <v>4601</v>
      </c>
      <c r="AI404" s="4" t="s">
        <v>42</v>
      </c>
      <c r="AJ404" t="s">
        <v>42</v>
      </c>
      <c r="AK404" t="s">
        <v>42</v>
      </c>
      <c r="AL404" t="s">
        <v>42</v>
      </c>
      <c r="AM404" t="s">
        <v>42</v>
      </c>
      <c r="AN404" t="s">
        <v>42</v>
      </c>
      <c r="AO404" t="s">
        <v>42</v>
      </c>
      <c r="AP404" t="s">
        <v>42</v>
      </c>
      <c r="AQ404" t="s">
        <v>42</v>
      </c>
      <c r="AR404" t="s">
        <v>42</v>
      </c>
      <c r="AS404" t="s">
        <v>42</v>
      </c>
      <c r="AT404" t="s">
        <v>42</v>
      </c>
      <c r="AU404" t="s">
        <v>42</v>
      </c>
      <c r="AV404" t="s">
        <v>42</v>
      </c>
      <c r="AW404" t="s">
        <v>42</v>
      </c>
      <c r="AX404" t="s">
        <v>42</v>
      </c>
      <c r="AY404" t="s">
        <v>42</v>
      </c>
      <c r="AZ404" t="s">
        <v>42</v>
      </c>
      <c r="BA404" s="4" t="s">
        <v>42</v>
      </c>
      <c r="BB404" t="s">
        <v>42</v>
      </c>
      <c r="BC404" t="s">
        <v>42</v>
      </c>
      <c r="BD404" t="s">
        <v>42</v>
      </c>
      <c r="BE404" t="s">
        <v>42</v>
      </c>
      <c r="BF404" t="s">
        <v>42</v>
      </c>
      <c r="BG404" t="s">
        <v>42</v>
      </c>
      <c r="BH404" t="s">
        <v>42</v>
      </c>
      <c r="BI404" t="s">
        <v>42</v>
      </c>
      <c r="BJ404" t="s">
        <v>42</v>
      </c>
      <c r="BK404" t="s">
        <v>42</v>
      </c>
      <c r="BL404" t="s">
        <v>42</v>
      </c>
      <c r="BM404" t="s">
        <v>42</v>
      </c>
      <c r="BN404" t="s">
        <v>42</v>
      </c>
      <c r="BO404" t="s">
        <v>42</v>
      </c>
      <c r="BP404" t="s">
        <v>42</v>
      </c>
      <c r="BQ404" t="s">
        <v>42</v>
      </c>
      <c r="BR404" t="s">
        <v>42</v>
      </c>
      <c r="BS404" s="4" t="s">
        <v>42</v>
      </c>
      <c r="BT404" t="s">
        <v>42</v>
      </c>
      <c r="BU404" t="s">
        <v>42</v>
      </c>
      <c r="BV404" s="4" t="s">
        <v>42</v>
      </c>
      <c r="BW404" t="s">
        <v>42</v>
      </c>
      <c r="BX404" t="s">
        <v>42</v>
      </c>
      <c r="BY404" t="s">
        <v>42</v>
      </c>
      <c r="BZ404" t="s">
        <v>42</v>
      </c>
      <c r="CA404" t="s">
        <v>42</v>
      </c>
      <c r="CB404" t="s">
        <v>42</v>
      </c>
      <c r="CC404" t="s">
        <v>42</v>
      </c>
      <c r="CD404" t="s">
        <v>42</v>
      </c>
      <c r="CE404" t="s">
        <v>42</v>
      </c>
      <c r="CF404" t="s">
        <v>42</v>
      </c>
      <c r="CG404" t="s">
        <v>42</v>
      </c>
      <c r="CH404" t="s">
        <v>42</v>
      </c>
      <c r="CI404" t="s">
        <v>42</v>
      </c>
      <c r="CJ404" t="s">
        <v>42</v>
      </c>
      <c r="CK404" t="s">
        <v>42</v>
      </c>
      <c r="CL404" t="s">
        <v>42</v>
      </c>
      <c r="CM404" t="s">
        <v>42</v>
      </c>
      <c r="CN404" t="s">
        <v>42</v>
      </c>
      <c r="CO404" t="s">
        <v>42</v>
      </c>
      <c r="CP404" t="s">
        <v>42</v>
      </c>
      <c r="CQ404" t="s">
        <v>42</v>
      </c>
      <c r="CR404" t="s">
        <v>42</v>
      </c>
      <c r="CS404" s="4" t="str">
        <f>HYPERLINK("http://exon.niaid.nih.gov/transcriptome/C_felis/S1/links/KOG/cf-contig_263-KOG.txt","DNA polymerase zeta, catalytic subunit")</f>
        <v>DNA polymerase zeta, catalytic subunit</v>
      </c>
      <c r="CT404" t="str">
        <f>HYPERLINK("http://www.ncbi.nlm.nih.gov/COG/grace/shokog.cgi?KOG0968","4.1")</f>
        <v>4.1</v>
      </c>
      <c r="CU404" t="s">
        <v>2520</v>
      </c>
      <c r="CV404" s="4" t="s">
        <v>42</v>
      </c>
      <c r="CW404" t="s">
        <v>42</v>
      </c>
      <c r="CX404" s="4" t="str">
        <f>HYPERLINK("http://exon.niaid.nih.gov/transcriptome/C_felis/S1/links/SMART/cf-contig_263-SMART.txt","PLCYc")</f>
        <v>PLCYc</v>
      </c>
      <c r="CY404" t="str">
        <f>HYPERLINK("http://smart.embl-heidelberg.de/smart/do_annotation.pl?DOMAIN=PLCYc&amp;BLAST=DUMMY","3.5")</f>
        <v>3.5</v>
      </c>
      <c r="CZ404" s="4" t="s">
        <v>42</v>
      </c>
      <c r="DA404" t="s">
        <v>42</v>
      </c>
      <c r="DB404" t="s">
        <v>42</v>
      </c>
      <c r="DC404" t="s">
        <v>42</v>
      </c>
      <c r="DD404" t="s">
        <v>42</v>
      </c>
      <c r="DE404" t="s">
        <v>42</v>
      </c>
      <c r="DF404" t="s">
        <v>42</v>
      </c>
      <c r="DG404" t="s">
        <v>42</v>
      </c>
      <c r="DH404" s="4" t="s">
        <v>42</v>
      </c>
      <c r="DI404" t="s">
        <v>42</v>
      </c>
      <c r="DJ404" s="4" t="s">
        <v>42</v>
      </c>
      <c r="DK404" t="s">
        <v>42</v>
      </c>
      <c r="DL404" s="4">
        <v>210</v>
      </c>
      <c r="DM404">
        <v>1</v>
      </c>
      <c r="DN404" s="4">
        <v>214</v>
      </c>
      <c r="DO404">
        <v>1</v>
      </c>
      <c r="DP404" s="4">
        <v>212</v>
      </c>
      <c r="DQ404">
        <v>1</v>
      </c>
      <c r="DR404" s="4">
        <v>221</v>
      </c>
      <c r="DS404">
        <v>1</v>
      </c>
      <c r="DT404" s="4">
        <v>227</v>
      </c>
      <c r="DU404">
        <v>1</v>
      </c>
      <c r="DV404" s="4">
        <v>239</v>
      </c>
      <c r="DW404">
        <v>1</v>
      </c>
      <c r="DX404" s="4">
        <v>241</v>
      </c>
      <c r="DY404">
        <v>1</v>
      </c>
      <c r="DZ404" s="4">
        <v>245</v>
      </c>
      <c r="EA404">
        <v>1</v>
      </c>
      <c r="EB404" s="4">
        <v>250</v>
      </c>
      <c r="EC404">
        <v>1</v>
      </c>
      <c r="ED404" s="4">
        <v>253</v>
      </c>
      <c r="EE404">
        <v>1</v>
      </c>
      <c r="EF404" s="4">
        <v>256</v>
      </c>
      <c r="EG404">
        <v>1</v>
      </c>
      <c r="EH404" s="4">
        <v>258</v>
      </c>
      <c r="EI404">
        <v>1</v>
      </c>
      <c r="EJ404" s="4">
        <v>263</v>
      </c>
      <c r="EK404">
        <v>1</v>
      </c>
    </row>
    <row r="405" spans="1:141" x14ac:dyDescent="0.2">
      <c r="A405" t="str">
        <f>HYPERLINK("http://exon.niaid.nih.gov/transcriptome/C_felis/S1/links/cf/cf-contig_265.txt","cf-contig_265")</f>
        <v>cf-contig_265</v>
      </c>
      <c r="B405">
        <v>1</v>
      </c>
      <c r="C405" s="10" t="s">
        <v>4600</v>
      </c>
      <c r="D405">
        <v>1</v>
      </c>
      <c r="E405" t="str">
        <f>HYPERLINK("http://exon.niaid.nih.gov/transcriptome/C_felis/S1/links/cf/cf-5-36-asb-265.txt","Contig-265")</f>
        <v>Contig-265</v>
      </c>
      <c r="F405" t="str">
        <f>HYPERLINK("http://exon.niaid.nih.gov/transcriptome/C_felis/S1/links/cf/cf-5-36-265-CLU.txt","Contig265")</f>
        <v>Contig265</v>
      </c>
      <c r="G405" t="str">
        <f>HYPERLINK("http://exon.niaid.nih.gov/transcriptome/C_felis/S1/links/cf/cf-5-36-265-qual.txt","38.")</f>
        <v>38.</v>
      </c>
      <c r="H405" t="s">
        <v>11</v>
      </c>
      <c r="I405">
        <v>74.2</v>
      </c>
      <c r="J405">
        <v>47</v>
      </c>
      <c r="K405" t="s">
        <v>12</v>
      </c>
      <c r="L405">
        <v>1</v>
      </c>
      <c r="M405" t="s">
        <v>278</v>
      </c>
      <c r="N405">
        <v>47</v>
      </c>
      <c r="O405">
        <v>66</v>
      </c>
      <c r="P405">
        <v>45</v>
      </c>
      <c r="Q405" t="s">
        <v>1085</v>
      </c>
      <c r="R405">
        <v>1</v>
      </c>
      <c r="S405" s="7" t="s">
        <v>4585</v>
      </c>
      <c r="U405">
        <v>1</v>
      </c>
      <c r="V405" s="4">
        <v>212</v>
      </c>
      <c r="W405">
        <v>1</v>
      </c>
      <c r="X405" s="4">
        <v>216</v>
      </c>
      <c r="Y405">
        <v>1</v>
      </c>
      <c r="Z405" s="4">
        <v>214</v>
      </c>
      <c r="AA405">
        <v>1</v>
      </c>
      <c r="AB405" s="4" t="str">
        <f>HYPERLINK("http://exon.niaid.nih.gov/transcriptome/C_felis/S1/links/XC-ASB/cf-contig_265-XC-ASB.txt","XC-contig_75")</f>
        <v>XC-contig_75</v>
      </c>
      <c r="AC405">
        <v>1.5</v>
      </c>
      <c r="AD405" s="10" t="s">
        <v>4600</v>
      </c>
      <c r="AE405" t="s">
        <v>4601</v>
      </c>
      <c r="AI405" s="4" t="s">
        <v>42</v>
      </c>
      <c r="AJ405" t="s">
        <v>42</v>
      </c>
      <c r="AK405" t="s">
        <v>42</v>
      </c>
      <c r="AL405" t="s">
        <v>42</v>
      </c>
      <c r="AM405" t="s">
        <v>42</v>
      </c>
      <c r="AN405" t="s">
        <v>42</v>
      </c>
      <c r="AO405" t="s">
        <v>42</v>
      </c>
      <c r="AP405" t="s">
        <v>42</v>
      </c>
      <c r="AQ405" t="s">
        <v>42</v>
      </c>
      <c r="AR405" t="s">
        <v>42</v>
      </c>
      <c r="AS405" t="s">
        <v>42</v>
      </c>
      <c r="AT405" t="s">
        <v>42</v>
      </c>
      <c r="AU405" t="s">
        <v>42</v>
      </c>
      <c r="AV405" t="s">
        <v>42</v>
      </c>
      <c r="AW405" t="s">
        <v>42</v>
      </c>
      <c r="AX405" t="s">
        <v>42</v>
      </c>
      <c r="AY405" t="s">
        <v>42</v>
      </c>
      <c r="AZ405" t="s">
        <v>42</v>
      </c>
      <c r="BA405" s="4" t="s">
        <v>42</v>
      </c>
      <c r="BB405" t="s">
        <v>42</v>
      </c>
      <c r="BC405" t="s">
        <v>42</v>
      </c>
      <c r="BD405" t="s">
        <v>42</v>
      </c>
      <c r="BE405" t="s">
        <v>42</v>
      </c>
      <c r="BF405" t="s">
        <v>42</v>
      </c>
      <c r="BG405" t="s">
        <v>42</v>
      </c>
      <c r="BH405" t="s">
        <v>42</v>
      </c>
      <c r="BI405" t="s">
        <v>42</v>
      </c>
      <c r="BJ405" t="s">
        <v>42</v>
      </c>
      <c r="BK405" t="s">
        <v>42</v>
      </c>
      <c r="BL405" t="s">
        <v>42</v>
      </c>
      <c r="BM405" t="s">
        <v>42</v>
      </c>
      <c r="BN405" t="s">
        <v>42</v>
      </c>
      <c r="BO405" t="s">
        <v>42</v>
      </c>
      <c r="BP405" t="s">
        <v>42</v>
      </c>
      <c r="BQ405" t="s">
        <v>42</v>
      </c>
      <c r="BR405" t="s">
        <v>42</v>
      </c>
      <c r="BS405" s="4" t="str">
        <f>HYPERLINK("http://exon.niaid.nih.gov/transcriptome/C_felis/S1/links/CDD/cf-contig_265-CDD.txt","Auxin_BP")</f>
        <v>Auxin_BP</v>
      </c>
      <c r="BT405" t="str">
        <f>HYPERLINK("http://www.ncbi.nlm.nih.gov/Structure/cdd/cddsrv.cgi?uid=pfam02041&amp;version=v4.0","7.8")</f>
        <v>7.8</v>
      </c>
      <c r="BU405" t="s">
        <v>2636</v>
      </c>
      <c r="BV405" s="4" t="s">
        <v>42</v>
      </c>
      <c r="BW405" t="s">
        <v>42</v>
      </c>
      <c r="BX405" t="s">
        <v>42</v>
      </c>
      <c r="BY405" t="s">
        <v>42</v>
      </c>
      <c r="BZ405" t="s">
        <v>42</v>
      </c>
      <c r="CA405" t="s">
        <v>42</v>
      </c>
      <c r="CB405" t="s">
        <v>42</v>
      </c>
      <c r="CC405" t="s">
        <v>42</v>
      </c>
      <c r="CD405" t="s">
        <v>42</v>
      </c>
      <c r="CE405" t="s">
        <v>42</v>
      </c>
      <c r="CF405" t="s">
        <v>42</v>
      </c>
      <c r="CG405" t="s">
        <v>42</v>
      </c>
      <c r="CH405" t="s">
        <v>42</v>
      </c>
      <c r="CI405" t="s">
        <v>42</v>
      </c>
      <c r="CJ405" t="s">
        <v>42</v>
      </c>
      <c r="CK405" t="s">
        <v>42</v>
      </c>
      <c r="CL405" t="s">
        <v>42</v>
      </c>
      <c r="CM405" t="s">
        <v>42</v>
      </c>
      <c r="CN405" t="s">
        <v>42</v>
      </c>
      <c r="CO405" t="s">
        <v>42</v>
      </c>
      <c r="CP405" t="s">
        <v>42</v>
      </c>
      <c r="CQ405" t="s">
        <v>42</v>
      </c>
      <c r="CR405" t="s">
        <v>42</v>
      </c>
      <c r="CS405" s="4" t="s">
        <v>42</v>
      </c>
      <c r="CT405" t="s">
        <v>42</v>
      </c>
      <c r="CU405" t="s">
        <v>42</v>
      </c>
      <c r="CV405" s="4" t="str">
        <f>HYPERLINK("http://exon.niaid.nih.gov/transcriptome/C_felis/S1/links/PFAM/cf-contig_265-PFAM.txt","Auxin_BP")</f>
        <v>Auxin_BP</v>
      </c>
      <c r="CW405" t="str">
        <f>HYPERLINK("http://pfam.sanger.ac.uk/family?acc=PF02041","1.7")</f>
        <v>1.7</v>
      </c>
      <c r="CX405" s="4" t="str">
        <f>HYPERLINK("http://exon.niaid.nih.gov/transcriptome/C_felis/S1/links/SMART/cf-contig_265-SMART.txt","HELICc")</f>
        <v>HELICc</v>
      </c>
      <c r="CY405" t="str">
        <f>HYPERLINK("http://smart.embl-heidelberg.de/smart/do_annotation.pl?DOMAIN=HELICc&amp;BLAST=DUMMY","5.4")</f>
        <v>5.4</v>
      </c>
      <c r="CZ405" s="4" t="s">
        <v>42</v>
      </c>
      <c r="DA405" t="s">
        <v>42</v>
      </c>
      <c r="DB405" t="s">
        <v>42</v>
      </c>
      <c r="DC405" t="s">
        <v>42</v>
      </c>
      <c r="DD405" t="s">
        <v>42</v>
      </c>
      <c r="DE405" t="s">
        <v>42</v>
      </c>
      <c r="DF405" t="s">
        <v>42</v>
      </c>
      <c r="DG405" t="s">
        <v>42</v>
      </c>
      <c r="DH405" s="4" t="s">
        <v>42</v>
      </c>
      <c r="DI405" t="s">
        <v>42</v>
      </c>
      <c r="DJ405" s="4" t="s">
        <v>42</v>
      </c>
      <c r="DK405" t="s">
        <v>42</v>
      </c>
      <c r="DL405" s="4">
        <v>212</v>
      </c>
      <c r="DM405">
        <v>1</v>
      </c>
      <c r="DN405" s="4">
        <v>216</v>
      </c>
      <c r="DO405">
        <v>1</v>
      </c>
      <c r="DP405" s="4">
        <v>214</v>
      </c>
      <c r="DQ405">
        <v>1</v>
      </c>
      <c r="DR405" s="4">
        <v>223</v>
      </c>
      <c r="DS405">
        <v>1</v>
      </c>
      <c r="DT405" s="4">
        <v>229</v>
      </c>
      <c r="DU405">
        <v>1</v>
      </c>
      <c r="DV405" s="4">
        <v>241</v>
      </c>
      <c r="DW405">
        <v>1</v>
      </c>
      <c r="DX405" s="4">
        <v>243</v>
      </c>
      <c r="DY405">
        <v>1</v>
      </c>
      <c r="DZ405" s="4">
        <v>247</v>
      </c>
      <c r="EA405">
        <v>1</v>
      </c>
      <c r="EB405" s="4">
        <v>252</v>
      </c>
      <c r="EC405">
        <v>1</v>
      </c>
      <c r="ED405" s="4">
        <v>255</v>
      </c>
      <c r="EE405">
        <v>1</v>
      </c>
      <c r="EF405" s="4">
        <v>258</v>
      </c>
      <c r="EG405">
        <v>1</v>
      </c>
      <c r="EH405" s="4">
        <v>260</v>
      </c>
      <c r="EI405">
        <v>1</v>
      </c>
      <c r="EJ405" s="4">
        <v>265</v>
      </c>
      <c r="EK405">
        <v>1</v>
      </c>
    </row>
    <row r="406" spans="1:141" x14ac:dyDescent="0.2">
      <c r="A406" t="str">
        <f>HYPERLINK("http://exon.niaid.nih.gov/transcriptome/C_felis/S1/links/cf/cf-contig_268.txt","cf-contig_268")</f>
        <v>cf-contig_268</v>
      </c>
      <c r="B406">
        <v>1</v>
      </c>
      <c r="C406" s="10" t="s">
        <v>4600</v>
      </c>
      <c r="D406">
        <v>1</v>
      </c>
      <c r="E406" t="str">
        <f>HYPERLINK("http://exon.niaid.nih.gov/transcriptome/C_felis/S1/links/cf/cf-5-36-asb-268.txt","Contig-268")</f>
        <v>Contig-268</v>
      </c>
      <c r="F406" t="str">
        <f>HYPERLINK("http://exon.niaid.nih.gov/transcriptome/C_felis/S1/links/cf/cf-5-36-268-CLU.txt","Contig268")</f>
        <v>Contig268</v>
      </c>
      <c r="G406" t="str">
        <f>HYPERLINK("http://exon.niaid.nih.gov/transcriptome/C_felis/S1/links/cf/cf-5-36-268-qual.txt","48.9")</f>
        <v>48.9</v>
      </c>
      <c r="H406" t="s">
        <v>11</v>
      </c>
      <c r="I406">
        <v>75.2</v>
      </c>
      <c r="J406">
        <v>94</v>
      </c>
      <c r="K406" t="s">
        <v>12</v>
      </c>
      <c r="L406">
        <v>1</v>
      </c>
      <c r="M406" t="s">
        <v>281</v>
      </c>
      <c r="N406">
        <v>94</v>
      </c>
      <c r="O406">
        <v>113</v>
      </c>
      <c r="P406">
        <v>87</v>
      </c>
      <c r="Q406" t="s">
        <v>1088</v>
      </c>
      <c r="R406">
        <v>3</v>
      </c>
      <c r="S406" s="7" t="s">
        <v>4585</v>
      </c>
      <c r="U406">
        <v>1</v>
      </c>
      <c r="V406" s="4">
        <v>214</v>
      </c>
      <c r="W406">
        <v>1</v>
      </c>
      <c r="X406" s="4">
        <v>218</v>
      </c>
      <c r="Y406">
        <v>1</v>
      </c>
      <c r="Z406" s="4">
        <v>217</v>
      </c>
      <c r="AA406">
        <v>1</v>
      </c>
      <c r="AB406" s="4" t="str">
        <f>HYPERLINK("http://exon.niaid.nih.gov/transcriptome/C_felis/S1/links/XC-ASB/cf-contig_268-XC-ASB.txt","XC-contig_33")</f>
        <v>XC-contig_33</v>
      </c>
      <c r="AC406">
        <v>0.35</v>
      </c>
      <c r="AD406" s="10" t="s">
        <v>4600</v>
      </c>
      <c r="AE406" t="s">
        <v>4601</v>
      </c>
      <c r="AI406" s="4" t="s">
        <v>42</v>
      </c>
      <c r="AJ406" t="s">
        <v>42</v>
      </c>
      <c r="AK406" t="s">
        <v>42</v>
      </c>
      <c r="AL406" t="s">
        <v>42</v>
      </c>
      <c r="AM406" t="s">
        <v>42</v>
      </c>
      <c r="AN406" t="s">
        <v>42</v>
      </c>
      <c r="AO406" t="s">
        <v>42</v>
      </c>
      <c r="AP406" t="s">
        <v>42</v>
      </c>
      <c r="AQ406" t="s">
        <v>42</v>
      </c>
      <c r="AR406" t="s">
        <v>42</v>
      </c>
      <c r="AS406" t="s">
        <v>42</v>
      </c>
      <c r="AT406" t="s">
        <v>42</v>
      </c>
      <c r="AU406" t="s">
        <v>42</v>
      </c>
      <c r="AV406" t="s">
        <v>42</v>
      </c>
      <c r="AW406" t="s">
        <v>42</v>
      </c>
      <c r="AX406" t="s">
        <v>42</v>
      </c>
      <c r="AY406" t="s">
        <v>42</v>
      </c>
      <c r="AZ406" t="s">
        <v>42</v>
      </c>
      <c r="BA406" s="4" t="str">
        <f>HYPERLINK("http://exon.niaid.nih.gov/transcriptome/C_felis/S1/links/SWISSP/cf-contig_268-SWISSP.txt","CTP synthase")</f>
        <v>CTP synthase</v>
      </c>
      <c r="BB406" t="str">
        <f>HYPERLINK("http://www.uniprot.org/uniprot/B9L1H7","11")</f>
        <v>11</v>
      </c>
      <c r="BC406" t="s">
        <v>2643</v>
      </c>
      <c r="BD406">
        <v>28.9</v>
      </c>
      <c r="BE406">
        <v>26</v>
      </c>
      <c r="BF406">
        <v>551</v>
      </c>
      <c r="BG406">
        <v>37</v>
      </c>
      <c r="BH406">
        <v>5</v>
      </c>
      <c r="BI406">
        <v>17</v>
      </c>
      <c r="BJ406">
        <v>0</v>
      </c>
      <c r="BK406">
        <v>472</v>
      </c>
      <c r="BL406">
        <v>12</v>
      </c>
      <c r="BM406">
        <v>1</v>
      </c>
      <c r="BN406">
        <v>3</v>
      </c>
      <c r="BO406" t="s">
        <v>12</v>
      </c>
      <c r="BQ406" t="s">
        <v>1676</v>
      </c>
      <c r="BR406" t="s">
        <v>2644</v>
      </c>
      <c r="BS406" s="4" t="str">
        <f>HYPERLINK("http://exon.niaid.nih.gov/transcriptome/C_felis/S1/links/CDD/cf-contig_268-CDD.txt","M14_AGBL5_like")</f>
        <v>M14_AGBL5_like</v>
      </c>
      <c r="BT406" t="str">
        <f>HYPERLINK("http://www.ncbi.nlm.nih.gov/Structure/cdd/cddsrv.cgi?uid=cd06236&amp;version=v4.0","0.29")</f>
        <v>0.29</v>
      </c>
      <c r="BU406" t="s">
        <v>2645</v>
      </c>
      <c r="BV406" s="4" t="s">
        <v>42</v>
      </c>
      <c r="BW406" t="s">
        <v>42</v>
      </c>
      <c r="BX406" t="s">
        <v>42</v>
      </c>
      <c r="BY406" t="s">
        <v>42</v>
      </c>
      <c r="BZ406" t="s">
        <v>42</v>
      </c>
      <c r="CA406" t="s">
        <v>42</v>
      </c>
      <c r="CB406" t="s">
        <v>42</v>
      </c>
      <c r="CC406" t="s">
        <v>42</v>
      </c>
      <c r="CD406" t="s">
        <v>42</v>
      </c>
      <c r="CE406" t="s">
        <v>42</v>
      </c>
      <c r="CF406" t="s">
        <v>42</v>
      </c>
      <c r="CG406" t="s">
        <v>42</v>
      </c>
      <c r="CH406" t="s">
        <v>42</v>
      </c>
      <c r="CI406" t="s">
        <v>42</v>
      </c>
      <c r="CJ406" t="s">
        <v>42</v>
      </c>
      <c r="CK406" t="s">
        <v>42</v>
      </c>
      <c r="CL406" t="s">
        <v>42</v>
      </c>
      <c r="CM406" t="s">
        <v>42</v>
      </c>
      <c r="CN406" t="s">
        <v>42</v>
      </c>
      <c r="CO406" t="s">
        <v>42</v>
      </c>
      <c r="CP406" t="s">
        <v>42</v>
      </c>
      <c r="CQ406" t="s">
        <v>42</v>
      </c>
      <c r="CR406" t="s">
        <v>42</v>
      </c>
      <c r="CS406" s="4" t="str">
        <f>HYPERLINK("http://exon.niaid.nih.gov/transcriptome/C_felis/S1/links/KOG/cf-contig_268-KOG.txt","T-type voltage-gated Ca2+ channel, pore-forming alpha1I subunit")</f>
        <v>T-type voltage-gated Ca2+ channel, pore-forming alpha1I subunit</v>
      </c>
      <c r="CT406" t="str">
        <f>HYPERLINK("http://www.ncbi.nlm.nih.gov/COG/grace/shokog.cgi?KOG2302","9.2")</f>
        <v>9.2</v>
      </c>
      <c r="CU406" t="s">
        <v>1702</v>
      </c>
      <c r="CV406" s="4" t="str">
        <f>HYPERLINK("http://exon.niaid.nih.gov/transcriptome/C_felis/S1/links/PFAM/cf-contig_268-PFAM.txt","Med5")</f>
        <v>Med5</v>
      </c>
      <c r="CW406" t="str">
        <f>HYPERLINK("http://pfam.sanger.ac.uk/family?acc=PF08689","1.1")</f>
        <v>1.1</v>
      </c>
      <c r="CX406" s="4" t="str">
        <f>HYPERLINK("http://exon.niaid.nih.gov/transcriptome/C_felis/S1/links/SMART/cf-contig_268-SMART.txt","CPSase_sm_chain")</f>
        <v>CPSase_sm_chain</v>
      </c>
      <c r="CY406" t="str">
        <f>HYPERLINK("http://smart.embl-heidelberg.de/smart/do_annotation.pl?DOMAIN=CPSase_sm_chain&amp;BLAST=DUMMY","0.22")</f>
        <v>0.22</v>
      </c>
      <c r="CZ406" s="4" t="s">
        <v>42</v>
      </c>
      <c r="DA406" t="s">
        <v>42</v>
      </c>
      <c r="DB406" t="s">
        <v>42</v>
      </c>
      <c r="DC406" t="s">
        <v>42</v>
      </c>
      <c r="DD406" t="s">
        <v>42</v>
      </c>
      <c r="DE406" t="s">
        <v>42</v>
      </c>
      <c r="DF406" t="s">
        <v>42</v>
      </c>
      <c r="DG406" t="s">
        <v>42</v>
      </c>
      <c r="DH406" s="4" t="s">
        <v>42</v>
      </c>
      <c r="DI406" t="s">
        <v>42</v>
      </c>
      <c r="DJ406" s="4" t="s">
        <v>42</v>
      </c>
      <c r="DK406" t="s">
        <v>42</v>
      </c>
      <c r="DL406" s="4">
        <v>214</v>
      </c>
      <c r="DM406">
        <v>1</v>
      </c>
      <c r="DN406" s="4">
        <v>218</v>
      </c>
      <c r="DO406">
        <v>1</v>
      </c>
      <c r="DP406" s="4">
        <v>217</v>
      </c>
      <c r="DQ406">
        <v>1</v>
      </c>
      <c r="DR406" s="4">
        <v>226</v>
      </c>
      <c r="DS406">
        <v>1</v>
      </c>
      <c r="DT406" s="4">
        <v>232</v>
      </c>
      <c r="DU406">
        <v>1</v>
      </c>
      <c r="DV406" s="4">
        <v>244</v>
      </c>
      <c r="DW406">
        <v>1</v>
      </c>
      <c r="DX406" s="4">
        <v>246</v>
      </c>
      <c r="DY406">
        <v>1</v>
      </c>
      <c r="DZ406" s="4">
        <v>250</v>
      </c>
      <c r="EA406">
        <v>1</v>
      </c>
      <c r="EB406" s="4">
        <v>255</v>
      </c>
      <c r="EC406">
        <v>1</v>
      </c>
      <c r="ED406" s="4">
        <v>258</v>
      </c>
      <c r="EE406">
        <v>1</v>
      </c>
      <c r="EF406" s="4">
        <v>261</v>
      </c>
      <c r="EG406">
        <v>1</v>
      </c>
      <c r="EH406" s="4">
        <v>263</v>
      </c>
      <c r="EI406">
        <v>1</v>
      </c>
      <c r="EJ406" s="4">
        <v>268</v>
      </c>
      <c r="EK406">
        <v>1</v>
      </c>
    </row>
    <row r="407" spans="1:141" x14ac:dyDescent="0.2">
      <c r="A407" t="str">
        <f>HYPERLINK("http://exon.niaid.nih.gov/transcriptome/C_felis/S1/links/cf/cf-contig_272.txt","cf-contig_272")</f>
        <v>cf-contig_272</v>
      </c>
      <c r="B407">
        <v>1</v>
      </c>
      <c r="C407" s="10" t="s">
        <v>4600</v>
      </c>
      <c r="D407">
        <v>1</v>
      </c>
      <c r="E407" t="str">
        <f>HYPERLINK("http://exon.niaid.nih.gov/transcriptome/C_felis/S1/links/cf/cf-5-36-asb-272.txt","Contig-272")</f>
        <v>Contig-272</v>
      </c>
      <c r="F407" t="str">
        <f>HYPERLINK("http://exon.niaid.nih.gov/transcriptome/C_felis/S1/links/cf/cf-5-36-272-CLU.txt","Contig272")</f>
        <v>Contig272</v>
      </c>
      <c r="G407" t="str">
        <f>HYPERLINK("http://exon.niaid.nih.gov/transcriptome/C_felis/S1/links/cf/cf-5-36-272-qual.txt","49.")</f>
        <v>49.</v>
      </c>
      <c r="H407" t="s">
        <v>11</v>
      </c>
      <c r="I407">
        <v>74.8</v>
      </c>
      <c r="J407">
        <v>124</v>
      </c>
      <c r="K407" t="s">
        <v>12</v>
      </c>
      <c r="L407">
        <v>1</v>
      </c>
      <c r="M407" t="s">
        <v>285</v>
      </c>
      <c r="N407">
        <v>124</v>
      </c>
      <c r="O407">
        <v>143</v>
      </c>
      <c r="P407">
        <v>141</v>
      </c>
      <c r="Q407" t="s">
        <v>1092</v>
      </c>
      <c r="R407">
        <v>1</v>
      </c>
      <c r="S407" s="7" t="s">
        <v>4585</v>
      </c>
      <c r="U407">
        <v>1</v>
      </c>
      <c r="V407" s="4">
        <v>216</v>
      </c>
      <c r="W407">
        <v>1</v>
      </c>
      <c r="X407" s="4">
        <v>221</v>
      </c>
      <c r="Y407">
        <v>1</v>
      </c>
      <c r="Z407" s="4">
        <v>220</v>
      </c>
      <c r="AA407">
        <v>1</v>
      </c>
      <c r="AB407" s="4" t="str">
        <f>HYPERLINK("http://exon.niaid.nih.gov/transcriptome/C_felis/S1/links/XC-ASB/cf-contig_272-XC-ASB.txt","XC-contig_160")</f>
        <v>XC-contig_160</v>
      </c>
      <c r="AC407">
        <v>0.77</v>
      </c>
      <c r="AD407" s="10" t="s">
        <v>4600</v>
      </c>
      <c r="AE407" t="s">
        <v>4601</v>
      </c>
      <c r="AI407" s="4" t="s">
        <v>42</v>
      </c>
      <c r="AJ407" t="s">
        <v>42</v>
      </c>
      <c r="AK407" t="s">
        <v>42</v>
      </c>
      <c r="AL407" t="s">
        <v>42</v>
      </c>
      <c r="AM407" t="s">
        <v>42</v>
      </c>
      <c r="AN407" t="s">
        <v>42</v>
      </c>
      <c r="AO407" t="s">
        <v>42</v>
      </c>
      <c r="AP407" t="s">
        <v>42</v>
      </c>
      <c r="AQ407" t="s">
        <v>42</v>
      </c>
      <c r="AR407" t="s">
        <v>42</v>
      </c>
      <c r="AS407" t="s">
        <v>42</v>
      </c>
      <c r="AT407" t="s">
        <v>42</v>
      </c>
      <c r="AU407" t="s">
        <v>42</v>
      </c>
      <c r="AV407" t="s">
        <v>42</v>
      </c>
      <c r="AW407" t="s">
        <v>42</v>
      </c>
      <c r="AX407" t="s">
        <v>42</v>
      </c>
      <c r="AY407" t="s">
        <v>42</v>
      </c>
      <c r="AZ407" t="s">
        <v>42</v>
      </c>
      <c r="BA407" s="4" t="str">
        <f>HYPERLINK("http://exon.niaid.nih.gov/transcriptome/C_felis/S1/links/SWISSP/cf-contig_272-SWISSP.txt","Uncharacterized protein 069L")</f>
        <v>Uncharacterized protein 069L</v>
      </c>
      <c r="BB407" t="str">
        <f>HYPERLINK("http://www.uniprot.org/uniprot/Q196Z1","52")</f>
        <v>52</v>
      </c>
      <c r="BC407" t="s">
        <v>2656</v>
      </c>
      <c r="BD407">
        <v>26.6</v>
      </c>
      <c r="BE407">
        <v>24</v>
      </c>
      <c r="BF407">
        <v>423</v>
      </c>
      <c r="BG407">
        <v>36</v>
      </c>
      <c r="BH407">
        <v>6</v>
      </c>
      <c r="BI407">
        <v>16</v>
      </c>
      <c r="BJ407">
        <v>0</v>
      </c>
      <c r="BK407">
        <v>257</v>
      </c>
      <c r="BL407">
        <v>22</v>
      </c>
      <c r="BM407">
        <v>1</v>
      </c>
      <c r="BN407">
        <v>1</v>
      </c>
      <c r="BO407" t="s">
        <v>12</v>
      </c>
      <c r="BQ407" t="s">
        <v>1676</v>
      </c>
      <c r="BR407" t="s">
        <v>2657</v>
      </c>
      <c r="BS407" s="4" t="str">
        <f>HYPERLINK("http://exon.niaid.nih.gov/transcriptome/C_felis/S1/links/CDD/cf-contig_272-CDD.txt","DER1")</f>
        <v>DER1</v>
      </c>
      <c r="BT407" t="str">
        <f>HYPERLINK("http://www.ncbi.nlm.nih.gov/Structure/cdd/cddsrv.cgi?uid=pfam04511&amp;version=v4.0","3.0")</f>
        <v>3.0</v>
      </c>
      <c r="BU407" t="s">
        <v>2658</v>
      </c>
      <c r="BV407" s="4" t="s">
        <v>42</v>
      </c>
      <c r="BW407" t="s">
        <v>42</v>
      </c>
      <c r="BX407" t="s">
        <v>42</v>
      </c>
      <c r="BY407" t="s">
        <v>42</v>
      </c>
      <c r="BZ407" t="s">
        <v>42</v>
      </c>
      <c r="CA407" t="s">
        <v>42</v>
      </c>
      <c r="CB407" t="s">
        <v>42</v>
      </c>
      <c r="CC407" t="s">
        <v>42</v>
      </c>
      <c r="CD407" t="s">
        <v>42</v>
      </c>
      <c r="CE407" t="s">
        <v>42</v>
      </c>
      <c r="CF407" t="s">
        <v>42</v>
      </c>
      <c r="CG407" t="s">
        <v>42</v>
      </c>
      <c r="CH407" t="s">
        <v>42</v>
      </c>
      <c r="CI407" t="s">
        <v>42</v>
      </c>
      <c r="CJ407" t="s">
        <v>42</v>
      </c>
      <c r="CK407" t="s">
        <v>42</v>
      </c>
      <c r="CL407" t="s">
        <v>42</v>
      </c>
      <c r="CM407" t="s">
        <v>42</v>
      </c>
      <c r="CN407" t="s">
        <v>42</v>
      </c>
      <c r="CO407" t="s">
        <v>42</v>
      </c>
      <c r="CP407" t="s">
        <v>42</v>
      </c>
      <c r="CQ407" t="s">
        <v>42</v>
      </c>
      <c r="CR407" t="s">
        <v>42</v>
      </c>
      <c r="CS407" s="4" t="str">
        <f>HYPERLINK("http://exon.niaid.nih.gov/transcriptome/C_felis/S1/links/KOG/cf-contig_272-KOG.txt","Lipocalin-interacting membrane receptor (LIMR)")</f>
        <v>Lipocalin-interacting membrane receptor (LIMR)</v>
      </c>
      <c r="CT407" t="str">
        <f>HYPERLINK("http://www.ncbi.nlm.nih.gov/COG/grace/shokog.cgi?KOG3722","3.7")</f>
        <v>3.7</v>
      </c>
      <c r="CU407" t="s">
        <v>2659</v>
      </c>
      <c r="CV407" s="4" t="str">
        <f>HYPERLINK("http://exon.niaid.nih.gov/transcriptome/C_felis/S1/links/PFAM/cf-contig_272-PFAM.txt","DER1")</f>
        <v>DER1</v>
      </c>
      <c r="CW407" t="str">
        <f>HYPERLINK("http://pfam.sanger.ac.uk/family?acc=PF04511","0.63")</f>
        <v>0.63</v>
      </c>
      <c r="CX407" s="4" t="str">
        <f>HYPERLINK("http://exon.niaid.nih.gov/transcriptome/C_felis/S1/links/SMART/cf-contig_272-SMART.txt","ADF")</f>
        <v>ADF</v>
      </c>
      <c r="CY407" t="str">
        <f>HYPERLINK("http://smart.embl-heidelberg.de/smart/do_annotation.pl?DOMAIN=ADF&amp;BLAST=DUMMY","0.38")</f>
        <v>0.38</v>
      </c>
      <c r="CZ407" s="4" t="s">
        <v>42</v>
      </c>
      <c r="DA407" t="s">
        <v>42</v>
      </c>
      <c r="DB407" t="s">
        <v>42</v>
      </c>
      <c r="DC407" t="s">
        <v>42</v>
      </c>
      <c r="DD407" t="s">
        <v>42</v>
      </c>
      <c r="DE407" t="s">
        <v>42</v>
      </c>
      <c r="DF407" t="s">
        <v>42</v>
      </c>
      <c r="DG407" t="s">
        <v>42</v>
      </c>
      <c r="DH407" s="4" t="s">
        <v>42</v>
      </c>
      <c r="DI407" t="s">
        <v>42</v>
      </c>
      <c r="DJ407" s="4" t="s">
        <v>42</v>
      </c>
      <c r="DK407" t="s">
        <v>42</v>
      </c>
      <c r="DL407" s="4">
        <v>216</v>
      </c>
      <c r="DM407">
        <v>1</v>
      </c>
      <c r="DN407" s="4">
        <v>221</v>
      </c>
      <c r="DO407">
        <v>1</v>
      </c>
      <c r="DP407" s="4">
        <v>220</v>
      </c>
      <c r="DQ407">
        <v>1</v>
      </c>
      <c r="DR407" s="4">
        <v>229</v>
      </c>
      <c r="DS407">
        <v>1</v>
      </c>
      <c r="DT407" s="4">
        <v>235</v>
      </c>
      <c r="DU407">
        <v>1</v>
      </c>
      <c r="DV407" s="4">
        <v>247</v>
      </c>
      <c r="DW407">
        <v>1</v>
      </c>
      <c r="DX407" s="4">
        <v>249</v>
      </c>
      <c r="DY407">
        <v>1</v>
      </c>
      <c r="DZ407" s="4">
        <v>254</v>
      </c>
      <c r="EA407">
        <v>1</v>
      </c>
      <c r="EB407" s="4">
        <v>259</v>
      </c>
      <c r="EC407">
        <v>1</v>
      </c>
      <c r="ED407" s="4">
        <v>262</v>
      </c>
      <c r="EE407">
        <v>1</v>
      </c>
      <c r="EF407" s="4">
        <v>265</v>
      </c>
      <c r="EG407">
        <v>1</v>
      </c>
      <c r="EH407" s="4">
        <v>267</v>
      </c>
      <c r="EI407">
        <v>1</v>
      </c>
      <c r="EJ407" s="4">
        <v>272</v>
      </c>
      <c r="EK407">
        <v>1</v>
      </c>
    </row>
    <row r="408" spans="1:141" x14ac:dyDescent="0.2">
      <c r="A408" t="str">
        <f>HYPERLINK("http://exon.niaid.nih.gov/transcriptome/C_felis/S1/links/cf/cf-contig_274.txt","cf-contig_274")</f>
        <v>cf-contig_274</v>
      </c>
      <c r="B408">
        <v>1</v>
      </c>
      <c r="C408" s="10" t="s">
        <v>4600</v>
      </c>
      <c r="D408">
        <v>1</v>
      </c>
      <c r="E408" t="str">
        <f>HYPERLINK("http://exon.niaid.nih.gov/transcriptome/C_felis/S1/links/cf/cf-5-36-asb-274.txt","Contig-274")</f>
        <v>Contig-274</v>
      </c>
      <c r="F408" t="str">
        <f>HYPERLINK("http://exon.niaid.nih.gov/transcriptome/C_felis/S1/links/cf/cf-5-36-274-CLU.txt","Contig274")</f>
        <v>Contig274</v>
      </c>
      <c r="G408" t="str">
        <f>HYPERLINK("http://exon.niaid.nih.gov/transcriptome/C_felis/S1/links/cf/cf-5-36-274-qual.txt","30.8")</f>
        <v>30.8</v>
      </c>
      <c r="H408" t="s">
        <v>11</v>
      </c>
      <c r="I408">
        <v>86.8</v>
      </c>
      <c r="J408">
        <v>57</v>
      </c>
      <c r="K408" t="s">
        <v>12</v>
      </c>
      <c r="L408">
        <v>1</v>
      </c>
      <c r="M408" t="s">
        <v>287</v>
      </c>
      <c r="N408">
        <v>57</v>
      </c>
      <c r="O408">
        <v>76</v>
      </c>
      <c r="P408">
        <v>54</v>
      </c>
      <c r="Q408" t="s">
        <v>1094</v>
      </c>
      <c r="R408">
        <v>3</v>
      </c>
      <c r="S408" s="7" t="s">
        <v>4585</v>
      </c>
      <c r="U408">
        <v>1</v>
      </c>
      <c r="V408" s="4">
        <v>218</v>
      </c>
      <c r="W408">
        <v>1</v>
      </c>
      <c r="X408" s="4">
        <v>223</v>
      </c>
      <c r="Y408">
        <v>1</v>
      </c>
      <c r="Z408" s="4">
        <v>222</v>
      </c>
      <c r="AA408">
        <v>1</v>
      </c>
      <c r="AB408" s="4" t="str">
        <f>HYPERLINK("http://exon.niaid.nih.gov/transcriptome/C_felis/S1/links/XC-ASB/cf-contig_274-XC-ASB.txt","XC-contig_140")</f>
        <v>XC-contig_140</v>
      </c>
      <c r="AC408">
        <v>0.66</v>
      </c>
      <c r="AD408" s="10" t="s">
        <v>4600</v>
      </c>
      <c r="AE408" t="s">
        <v>4601</v>
      </c>
      <c r="AI408" s="4" t="s">
        <v>42</v>
      </c>
      <c r="AJ408" t="s">
        <v>42</v>
      </c>
      <c r="AK408" t="s">
        <v>42</v>
      </c>
      <c r="AL408" t="s">
        <v>42</v>
      </c>
      <c r="AM408" t="s">
        <v>42</v>
      </c>
      <c r="AN408" t="s">
        <v>42</v>
      </c>
      <c r="AO408" t="s">
        <v>42</v>
      </c>
      <c r="AP408" t="s">
        <v>42</v>
      </c>
      <c r="AQ408" t="s">
        <v>42</v>
      </c>
      <c r="AR408" t="s">
        <v>42</v>
      </c>
      <c r="AS408" t="s">
        <v>42</v>
      </c>
      <c r="AT408" t="s">
        <v>42</v>
      </c>
      <c r="AU408" t="s">
        <v>42</v>
      </c>
      <c r="AV408" t="s">
        <v>42</v>
      </c>
      <c r="AW408" t="s">
        <v>42</v>
      </c>
      <c r="AX408" t="s">
        <v>42</v>
      </c>
      <c r="AY408" t="s">
        <v>42</v>
      </c>
      <c r="AZ408" t="s">
        <v>42</v>
      </c>
      <c r="BA408" s="4" t="s">
        <v>42</v>
      </c>
      <c r="BB408" t="s">
        <v>42</v>
      </c>
      <c r="BC408" t="s">
        <v>42</v>
      </c>
      <c r="BD408" t="s">
        <v>42</v>
      </c>
      <c r="BE408" t="s">
        <v>42</v>
      </c>
      <c r="BF408" t="s">
        <v>42</v>
      </c>
      <c r="BG408" t="s">
        <v>42</v>
      </c>
      <c r="BH408" t="s">
        <v>42</v>
      </c>
      <c r="BI408" t="s">
        <v>42</v>
      </c>
      <c r="BJ408" t="s">
        <v>42</v>
      </c>
      <c r="BK408" t="s">
        <v>42</v>
      </c>
      <c r="BL408" t="s">
        <v>42</v>
      </c>
      <c r="BM408" t="s">
        <v>42</v>
      </c>
      <c r="BN408" t="s">
        <v>42</v>
      </c>
      <c r="BO408" t="s">
        <v>42</v>
      </c>
      <c r="BP408" t="s">
        <v>42</v>
      </c>
      <c r="BQ408" t="s">
        <v>42</v>
      </c>
      <c r="BR408" t="s">
        <v>42</v>
      </c>
      <c r="BS408" s="4" t="s">
        <v>42</v>
      </c>
      <c r="BT408" t="s">
        <v>42</v>
      </c>
      <c r="BU408" t="s">
        <v>42</v>
      </c>
      <c r="BV408" s="4" t="s">
        <v>42</v>
      </c>
      <c r="BW408" t="s">
        <v>42</v>
      </c>
      <c r="BX408" t="s">
        <v>42</v>
      </c>
      <c r="BY408" t="s">
        <v>42</v>
      </c>
      <c r="BZ408" t="s">
        <v>42</v>
      </c>
      <c r="CA408" t="s">
        <v>42</v>
      </c>
      <c r="CB408" t="s">
        <v>42</v>
      </c>
      <c r="CC408" t="s">
        <v>42</v>
      </c>
      <c r="CD408" t="s">
        <v>42</v>
      </c>
      <c r="CE408" t="s">
        <v>42</v>
      </c>
      <c r="CF408" t="s">
        <v>42</v>
      </c>
      <c r="CG408" t="s">
        <v>42</v>
      </c>
      <c r="CH408" t="s">
        <v>42</v>
      </c>
      <c r="CI408" t="s">
        <v>42</v>
      </c>
      <c r="CJ408" t="s">
        <v>42</v>
      </c>
      <c r="CK408" t="s">
        <v>42</v>
      </c>
      <c r="CL408" t="s">
        <v>42</v>
      </c>
      <c r="CM408" t="s">
        <v>42</v>
      </c>
      <c r="CN408" t="s">
        <v>42</v>
      </c>
      <c r="CO408" t="s">
        <v>42</v>
      </c>
      <c r="CP408" t="s">
        <v>42</v>
      </c>
      <c r="CQ408" t="s">
        <v>42</v>
      </c>
      <c r="CR408" t="s">
        <v>42</v>
      </c>
      <c r="CS408" s="4" t="s">
        <v>42</v>
      </c>
      <c r="CT408" t="s">
        <v>42</v>
      </c>
      <c r="CU408" t="s">
        <v>42</v>
      </c>
      <c r="CV408" s="4" t="str">
        <f>HYPERLINK("http://exon.niaid.nih.gov/transcriptome/C_felis/S1/links/PFAM/cf-contig_274-PFAM.txt","DUF3119")</f>
        <v>DUF3119</v>
      </c>
      <c r="CW408" t="str">
        <f>HYPERLINK("http://pfam.sanger.ac.uk/family?acc=PF11317","3.4")</f>
        <v>3.4</v>
      </c>
      <c r="CX408" s="4" t="str">
        <f>HYPERLINK("http://exon.niaid.nih.gov/transcriptome/C_felis/S1/links/SMART/cf-contig_274-SMART.txt","SERPIN")</f>
        <v>SERPIN</v>
      </c>
      <c r="CY408" t="str">
        <f>HYPERLINK("http://smart.embl-heidelberg.de/smart/do_annotation.pl?DOMAIN=SERPIN&amp;BLAST=DUMMY","7.3")</f>
        <v>7.3</v>
      </c>
      <c r="CZ408" s="4" t="s">
        <v>42</v>
      </c>
      <c r="DA408" t="s">
        <v>42</v>
      </c>
      <c r="DB408" t="s">
        <v>42</v>
      </c>
      <c r="DC408" t="s">
        <v>42</v>
      </c>
      <c r="DD408" t="s">
        <v>42</v>
      </c>
      <c r="DE408" t="s">
        <v>42</v>
      </c>
      <c r="DF408" t="s">
        <v>42</v>
      </c>
      <c r="DG408" t="s">
        <v>42</v>
      </c>
      <c r="DH408" s="4" t="s">
        <v>42</v>
      </c>
      <c r="DI408" t="s">
        <v>42</v>
      </c>
      <c r="DJ408" s="4" t="s">
        <v>42</v>
      </c>
      <c r="DK408" t="s">
        <v>42</v>
      </c>
      <c r="DL408" s="4">
        <v>218</v>
      </c>
      <c r="DM408">
        <v>1</v>
      </c>
      <c r="DN408" s="4">
        <v>223</v>
      </c>
      <c r="DO408">
        <v>1</v>
      </c>
      <c r="DP408" s="4">
        <v>222</v>
      </c>
      <c r="DQ408">
        <v>1</v>
      </c>
      <c r="DR408" s="4">
        <v>231</v>
      </c>
      <c r="DS408">
        <v>1</v>
      </c>
      <c r="DT408" s="4">
        <v>237</v>
      </c>
      <c r="DU408">
        <v>1</v>
      </c>
      <c r="DV408" s="4">
        <v>249</v>
      </c>
      <c r="DW408">
        <v>1</v>
      </c>
      <c r="DX408" s="4">
        <v>251</v>
      </c>
      <c r="DY408">
        <v>1</v>
      </c>
      <c r="DZ408" s="4">
        <v>256</v>
      </c>
      <c r="EA408">
        <v>1</v>
      </c>
      <c r="EB408" s="4">
        <v>261</v>
      </c>
      <c r="EC408">
        <v>1</v>
      </c>
      <c r="ED408" s="4">
        <v>264</v>
      </c>
      <c r="EE408">
        <v>1</v>
      </c>
      <c r="EF408" s="4">
        <v>267</v>
      </c>
      <c r="EG408">
        <v>1</v>
      </c>
      <c r="EH408" s="4">
        <v>269</v>
      </c>
      <c r="EI408">
        <v>1</v>
      </c>
      <c r="EJ408" s="4">
        <v>274</v>
      </c>
      <c r="EK408">
        <v>1</v>
      </c>
    </row>
    <row r="409" spans="1:141" x14ac:dyDescent="0.2">
      <c r="A409" t="str">
        <f>HYPERLINK("http://exon.niaid.nih.gov/transcriptome/C_felis/S1/links/cf/cf-contig_275.txt","cf-contig_275")</f>
        <v>cf-contig_275</v>
      </c>
      <c r="B409">
        <v>1</v>
      </c>
      <c r="C409" s="10" t="s">
        <v>4600</v>
      </c>
      <c r="D409">
        <v>1</v>
      </c>
      <c r="E409" t="str">
        <f>HYPERLINK("http://exon.niaid.nih.gov/transcriptome/C_felis/S1/links/cf/cf-5-36-asb-275.txt","Contig-275")</f>
        <v>Contig-275</v>
      </c>
      <c r="F409" t="str">
        <f>HYPERLINK("http://exon.niaid.nih.gov/transcriptome/C_felis/S1/links/cf/cf-5-36-275-CLU.txt","Contig275")</f>
        <v>Contig275</v>
      </c>
      <c r="G409" t="str">
        <f>HYPERLINK("http://exon.niaid.nih.gov/transcriptome/C_felis/S1/links/cf/cf-5-36-275-qual.txt","33.5")</f>
        <v>33.5</v>
      </c>
      <c r="H409" t="s">
        <v>11</v>
      </c>
      <c r="I409">
        <v>68.3</v>
      </c>
      <c r="J409">
        <v>41</v>
      </c>
      <c r="K409" t="s">
        <v>12</v>
      </c>
      <c r="L409">
        <v>1</v>
      </c>
      <c r="M409" t="s">
        <v>288</v>
      </c>
      <c r="N409">
        <v>41</v>
      </c>
      <c r="O409">
        <v>60</v>
      </c>
      <c r="P409">
        <v>57</v>
      </c>
      <c r="Q409" t="s">
        <v>1095</v>
      </c>
      <c r="R409">
        <v>2</v>
      </c>
      <c r="S409" s="7" t="s">
        <v>4585</v>
      </c>
      <c r="U409">
        <v>1</v>
      </c>
      <c r="V409" s="4">
        <v>219</v>
      </c>
      <c r="W409">
        <v>1</v>
      </c>
      <c r="X409" s="4">
        <v>224</v>
      </c>
      <c r="Y409">
        <v>1</v>
      </c>
      <c r="Z409" s="4">
        <v>223</v>
      </c>
      <c r="AA409">
        <v>1</v>
      </c>
      <c r="AB409" s="4" t="str">
        <f>HYPERLINK("http://exon.niaid.nih.gov/transcriptome/C_felis/S1/links/XC-ASB/cf-contig_275-XC-ASB.txt","XC-contig_57")</f>
        <v>XC-contig_57</v>
      </c>
      <c r="AC409">
        <v>1.1000000000000001</v>
      </c>
      <c r="AD409" s="10" t="s">
        <v>4600</v>
      </c>
      <c r="AE409" t="s">
        <v>4601</v>
      </c>
      <c r="AI409" s="4" t="s">
        <v>42</v>
      </c>
      <c r="AJ409" t="s">
        <v>42</v>
      </c>
      <c r="AK409" t="s">
        <v>42</v>
      </c>
      <c r="AL409" t="s">
        <v>42</v>
      </c>
      <c r="AM409" t="s">
        <v>42</v>
      </c>
      <c r="AN409" t="s">
        <v>42</v>
      </c>
      <c r="AO409" t="s">
        <v>42</v>
      </c>
      <c r="AP409" t="s">
        <v>42</v>
      </c>
      <c r="AQ409" t="s">
        <v>42</v>
      </c>
      <c r="AR409" t="s">
        <v>42</v>
      </c>
      <c r="AS409" t="s">
        <v>42</v>
      </c>
      <c r="AT409" t="s">
        <v>42</v>
      </c>
      <c r="AU409" t="s">
        <v>42</v>
      </c>
      <c r="AV409" t="s">
        <v>42</v>
      </c>
      <c r="AW409" t="s">
        <v>42</v>
      </c>
      <c r="AX409" t="s">
        <v>42</v>
      </c>
      <c r="AY409" t="s">
        <v>42</v>
      </c>
      <c r="AZ409" t="s">
        <v>42</v>
      </c>
      <c r="BA409" s="4" t="s">
        <v>42</v>
      </c>
      <c r="BB409" t="s">
        <v>42</v>
      </c>
      <c r="BC409" t="s">
        <v>42</v>
      </c>
      <c r="BD409" t="s">
        <v>42</v>
      </c>
      <c r="BE409" t="s">
        <v>42</v>
      </c>
      <c r="BF409" t="s">
        <v>42</v>
      </c>
      <c r="BG409" t="s">
        <v>42</v>
      </c>
      <c r="BH409" t="s">
        <v>42</v>
      </c>
      <c r="BI409" t="s">
        <v>42</v>
      </c>
      <c r="BJ409" t="s">
        <v>42</v>
      </c>
      <c r="BK409" t="s">
        <v>42</v>
      </c>
      <c r="BL409" t="s">
        <v>42</v>
      </c>
      <c r="BM409" t="s">
        <v>42</v>
      </c>
      <c r="BN409" t="s">
        <v>42</v>
      </c>
      <c r="BO409" t="s">
        <v>42</v>
      </c>
      <c r="BP409" t="s">
        <v>42</v>
      </c>
      <c r="BQ409" t="s">
        <v>42</v>
      </c>
      <c r="BR409" t="s">
        <v>42</v>
      </c>
      <c r="BS409" s="4" t="s">
        <v>42</v>
      </c>
      <c r="BT409" t="s">
        <v>42</v>
      </c>
      <c r="BU409" t="s">
        <v>42</v>
      </c>
      <c r="BV409" s="4" t="s">
        <v>42</v>
      </c>
      <c r="BW409" t="s">
        <v>42</v>
      </c>
      <c r="BX409" t="s">
        <v>42</v>
      </c>
      <c r="BY409" t="s">
        <v>42</v>
      </c>
      <c r="BZ409" t="s">
        <v>42</v>
      </c>
      <c r="CA409" t="s">
        <v>42</v>
      </c>
      <c r="CB409" t="s">
        <v>42</v>
      </c>
      <c r="CC409" t="s">
        <v>42</v>
      </c>
      <c r="CD409" t="s">
        <v>42</v>
      </c>
      <c r="CE409" t="s">
        <v>42</v>
      </c>
      <c r="CF409" t="s">
        <v>42</v>
      </c>
      <c r="CG409" t="s">
        <v>42</v>
      </c>
      <c r="CH409" t="s">
        <v>42</v>
      </c>
      <c r="CI409" t="s">
        <v>42</v>
      </c>
      <c r="CJ409" t="s">
        <v>42</v>
      </c>
      <c r="CK409" t="s">
        <v>42</v>
      </c>
      <c r="CL409" t="s">
        <v>42</v>
      </c>
      <c r="CM409" t="s">
        <v>42</v>
      </c>
      <c r="CN409" t="s">
        <v>42</v>
      </c>
      <c r="CO409" t="s">
        <v>42</v>
      </c>
      <c r="CP409" t="s">
        <v>42</v>
      </c>
      <c r="CQ409" t="s">
        <v>42</v>
      </c>
      <c r="CR409" t="s">
        <v>42</v>
      </c>
      <c r="CS409" s="4" t="s">
        <v>42</v>
      </c>
      <c r="CT409" t="s">
        <v>42</v>
      </c>
      <c r="CU409" t="s">
        <v>42</v>
      </c>
      <c r="CV409" s="4" t="str">
        <f>HYPERLINK("http://exon.niaid.nih.gov/transcriptome/C_felis/S1/links/PFAM/cf-contig_275-PFAM.txt","CoA_transf_3")</f>
        <v>CoA_transf_3</v>
      </c>
      <c r="CW409" t="str">
        <f>HYPERLINK("http://pfam.sanger.ac.uk/family?acc=PF02515","7.6")</f>
        <v>7.6</v>
      </c>
      <c r="CX409" s="4" t="str">
        <f>HYPERLINK("http://exon.niaid.nih.gov/transcriptome/C_felis/S1/links/SMART/cf-contig_275-SMART.txt","TIR")</f>
        <v>TIR</v>
      </c>
      <c r="CY409" t="str">
        <f>HYPERLINK("http://smart.embl-heidelberg.de/smart/do_annotation.pl?DOMAIN=TIR&amp;BLAST=DUMMY","4.7")</f>
        <v>4.7</v>
      </c>
      <c r="CZ409" s="4" t="s">
        <v>42</v>
      </c>
      <c r="DA409" t="s">
        <v>42</v>
      </c>
      <c r="DB409" t="s">
        <v>42</v>
      </c>
      <c r="DC409" t="s">
        <v>42</v>
      </c>
      <c r="DD409" t="s">
        <v>42</v>
      </c>
      <c r="DE409" t="s">
        <v>42</v>
      </c>
      <c r="DF409" t="s">
        <v>42</v>
      </c>
      <c r="DG409" t="s">
        <v>42</v>
      </c>
      <c r="DH409" s="4" t="s">
        <v>42</v>
      </c>
      <c r="DI409" t="s">
        <v>42</v>
      </c>
      <c r="DJ409" s="4" t="s">
        <v>42</v>
      </c>
      <c r="DK409" t="s">
        <v>42</v>
      </c>
      <c r="DL409" s="4">
        <v>219</v>
      </c>
      <c r="DM409">
        <v>1</v>
      </c>
      <c r="DN409" s="4">
        <v>224</v>
      </c>
      <c r="DO409">
        <v>1</v>
      </c>
      <c r="DP409" s="4">
        <v>223</v>
      </c>
      <c r="DQ409">
        <v>1</v>
      </c>
      <c r="DR409" s="4">
        <v>232</v>
      </c>
      <c r="DS409">
        <v>1</v>
      </c>
      <c r="DT409" s="4">
        <v>238</v>
      </c>
      <c r="DU409">
        <v>1</v>
      </c>
      <c r="DV409" s="4">
        <v>250</v>
      </c>
      <c r="DW409">
        <v>1</v>
      </c>
      <c r="DX409" s="4">
        <v>252</v>
      </c>
      <c r="DY409">
        <v>1</v>
      </c>
      <c r="DZ409" s="4">
        <v>257</v>
      </c>
      <c r="EA409">
        <v>1</v>
      </c>
      <c r="EB409" s="4">
        <v>262</v>
      </c>
      <c r="EC409">
        <v>1</v>
      </c>
      <c r="ED409" s="4">
        <v>265</v>
      </c>
      <c r="EE409">
        <v>1</v>
      </c>
      <c r="EF409" s="4">
        <v>268</v>
      </c>
      <c r="EG409">
        <v>1</v>
      </c>
      <c r="EH409" s="4">
        <v>270</v>
      </c>
      <c r="EI409">
        <v>1</v>
      </c>
      <c r="EJ409" s="4">
        <v>275</v>
      </c>
      <c r="EK409">
        <v>1</v>
      </c>
    </row>
    <row r="410" spans="1:141" x14ac:dyDescent="0.2">
      <c r="A410" t="str">
        <f>HYPERLINK("http://exon.niaid.nih.gov/transcriptome/C_felis/S1/links/cf/cf-contig_276.txt","cf-contig_276")</f>
        <v>cf-contig_276</v>
      </c>
      <c r="B410">
        <v>1</v>
      </c>
      <c r="C410" s="10" t="s">
        <v>4600</v>
      </c>
      <c r="D410">
        <v>1</v>
      </c>
      <c r="E410" t="str">
        <f>HYPERLINK("http://exon.niaid.nih.gov/transcriptome/C_felis/S1/links/cf/cf-5-36-asb-276.txt","Contig-276")</f>
        <v>Contig-276</v>
      </c>
      <c r="F410" t="str">
        <f>HYPERLINK("http://exon.niaid.nih.gov/transcriptome/C_felis/S1/links/cf/cf-5-36-276-CLU.txt","Contig276")</f>
        <v>Contig276</v>
      </c>
      <c r="G410" t="str">
        <f>HYPERLINK("http://exon.niaid.nih.gov/transcriptome/C_felis/S1/links/cf/cf-5-36-276-qual.txt","42.2")</f>
        <v>42.2</v>
      </c>
      <c r="H410">
        <v>3.1</v>
      </c>
      <c r="I410">
        <v>72.7</v>
      </c>
      <c r="J410">
        <v>109</v>
      </c>
      <c r="K410" t="s">
        <v>12</v>
      </c>
      <c r="L410">
        <v>1</v>
      </c>
      <c r="M410" t="s">
        <v>289</v>
      </c>
      <c r="N410">
        <v>109</v>
      </c>
      <c r="O410">
        <v>128</v>
      </c>
      <c r="P410">
        <v>78</v>
      </c>
      <c r="Q410" t="s">
        <v>1096</v>
      </c>
      <c r="R410">
        <v>3</v>
      </c>
      <c r="S410" s="7" t="s">
        <v>4585</v>
      </c>
      <c r="U410">
        <v>1</v>
      </c>
      <c r="V410" s="4">
        <v>220</v>
      </c>
      <c r="W410">
        <v>1</v>
      </c>
      <c r="X410" s="4">
        <v>225</v>
      </c>
      <c r="Y410">
        <v>1</v>
      </c>
      <c r="Z410" s="4">
        <v>224</v>
      </c>
      <c r="AA410">
        <v>1</v>
      </c>
      <c r="AB410" s="4" t="str">
        <f>HYPERLINK("http://exon.niaid.nih.gov/transcriptome/C_felis/S1/links/XC-ASB/cf-contig_276-XC-ASB.txt","XC-contig_72")</f>
        <v>XC-contig_72</v>
      </c>
      <c r="AC410">
        <v>0.86</v>
      </c>
      <c r="AD410" s="10" t="s">
        <v>4600</v>
      </c>
      <c r="AE410" t="s">
        <v>4601</v>
      </c>
      <c r="AI410" s="4" t="s">
        <v>42</v>
      </c>
      <c r="AJ410" t="s">
        <v>42</v>
      </c>
      <c r="AK410" t="s">
        <v>42</v>
      </c>
      <c r="AL410" t="s">
        <v>42</v>
      </c>
      <c r="AM410" t="s">
        <v>42</v>
      </c>
      <c r="AN410" t="s">
        <v>42</v>
      </c>
      <c r="AO410" t="s">
        <v>42</v>
      </c>
      <c r="AP410" t="s">
        <v>42</v>
      </c>
      <c r="AQ410" t="s">
        <v>42</v>
      </c>
      <c r="AR410" t="s">
        <v>42</v>
      </c>
      <c r="AS410" t="s">
        <v>42</v>
      </c>
      <c r="AT410" t="s">
        <v>42</v>
      </c>
      <c r="AU410" t="s">
        <v>42</v>
      </c>
      <c r="AV410" t="s">
        <v>42</v>
      </c>
      <c r="AW410" t="s">
        <v>42</v>
      </c>
      <c r="AX410" t="s">
        <v>42</v>
      </c>
      <c r="AY410" t="s">
        <v>42</v>
      </c>
      <c r="AZ410" t="s">
        <v>42</v>
      </c>
      <c r="BA410" s="4" t="s">
        <v>42</v>
      </c>
      <c r="BB410" t="s">
        <v>42</v>
      </c>
      <c r="BC410" t="s">
        <v>42</v>
      </c>
      <c r="BD410" t="s">
        <v>42</v>
      </c>
      <c r="BE410" t="s">
        <v>42</v>
      </c>
      <c r="BF410" t="s">
        <v>42</v>
      </c>
      <c r="BG410" t="s">
        <v>42</v>
      </c>
      <c r="BH410" t="s">
        <v>42</v>
      </c>
      <c r="BI410" t="s">
        <v>42</v>
      </c>
      <c r="BJ410" t="s">
        <v>42</v>
      </c>
      <c r="BK410" t="s">
        <v>42</v>
      </c>
      <c r="BL410" t="s">
        <v>42</v>
      </c>
      <c r="BM410" t="s">
        <v>42</v>
      </c>
      <c r="BN410" t="s">
        <v>42</v>
      </c>
      <c r="BO410" t="s">
        <v>42</v>
      </c>
      <c r="BP410" t="s">
        <v>42</v>
      </c>
      <c r="BQ410" t="s">
        <v>42</v>
      </c>
      <c r="BR410" t="s">
        <v>42</v>
      </c>
      <c r="BS410" s="4" t="s">
        <v>42</v>
      </c>
      <c r="BT410" t="s">
        <v>42</v>
      </c>
      <c r="BU410" t="s">
        <v>42</v>
      </c>
      <c r="BV410" s="4" t="s">
        <v>42</v>
      </c>
      <c r="BW410" t="s">
        <v>42</v>
      </c>
      <c r="BX410" t="s">
        <v>42</v>
      </c>
      <c r="BY410" t="s">
        <v>42</v>
      </c>
      <c r="BZ410" t="s">
        <v>42</v>
      </c>
      <c r="CA410" t="s">
        <v>42</v>
      </c>
      <c r="CB410" t="s">
        <v>42</v>
      </c>
      <c r="CC410" t="s">
        <v>42</v>
      </c>
      <c r="CD410" t="s">
        <v>42</v>
      </c>
      <c r="CE410" t="s">
        <v>42</v>
      </c>
      <c r="CF410" t="s">
        <v>42</v>
      </c>
      <c r="CG410" t="s">
        <v>42</v>
      </c>
      <c r="CH410" t="s">
        <v>42</v>
      </c>
      <c r="CI410" t="s">
        <v>42</v>
      </c>
      <c r="CJ410" t="s">
        <v>42</v>
      </c>
      <c r="CK410" t="s">
        <v>42</v>
      </c>
      <c r="CL410" t="s">
        <v>42</v>
      </c>
      <c r="CM410" t="s">
        <v>42</v>
      </c>
      <c r="CN410" t="s">
        <v>42</v>
      </c>
      <c r="CO410" t="s">
        <v>42</v>
      </c>
      <c r="CP410" t="s">
        <v>42</v>
      </c>
      <c r="CQ410" t="s">
        <v>42</v>
      </c>
      <c r="CR410" t="s">
        <v>42</v>
      </c>
      <c r="CS410" s="4" t="str">
        <f>HYPERLINK("http://exon.niaid.nih.gov/transcriptome/C_felis/S1/links/KOG/cf-contig_276-KOG.txt","DRIM (Down-regulated in metastasis)-like proteins")</f>
        <v>DRIM (Down-regulated in metastasis)-like proteins</v>
      </c>
      <c r="CT410" t="str">
        <f>HYPERLINK("http://www.ncbi.nlm.nih.gov/COG/grace/shokog.cgi?KOG1823","2.2")</f>
        <v>2.2</v>
      </c>
      <c r="CU410" t="s">
        <v>2659</v>
      </c>
      <c r="CV410" s="4" t="str">
        <f>HYPERLINK("http://exon.niaid.nih.gov/transcriptome/C_felis/S1/links/PFAM/cf-contig_276-PFAM.txt","TcpE")</f>
        <v>TcpE</v>
      </c>
      <c r="CW410" t="str">
        <f>HYPERLINK("http://pfam.sanger.ac.uk/family?acc=PF12648","4.5")</f>
        <v>4.5</v>
      </c>
      <c r="CX410" s="4" t="str">
        <f>HYPERLINK("http://exon.niaid.nih.gov/transcriptome/C_felis/S1/links/SMART/cf-contig_276-SMART.txt","RHO")</f>
        <v>RHO</v>
      </c>
      <c r="CY410" t="str">
        <f>HYPERLINK("http://smart.embl-heidelberg.de/smart/do_annotation.pl?DOMAIN=RHO&amp;BLAST=DUMMY","0.48")</f>
        <v>0.48</v>
      </c>
      <c r="CZ410" s="4" t="s">
        <v>42</v>
      </c>
      <c r="DA410" t="s">
        <v>42</v>
      </c>
      <c r="DB410" t="s">
        <v>42</v>
      </c>
      <c r="DC410" t="s">
        <v>42</v>
      </c>
      <c r="DD410" t="s">
        <v>42</v>
      </c>
      <c r="DE410" t="s">
        <v>42</v>
      </c>
      <c r="DF410" t="s">
        <v>42</v>
      </c>
      <c r="DG410" t="s">
        <v>42</v>
      </c>
      <c r="DH410" s="4" t="s">
        <v>42</v>
      </c>
      <c r="DI410" t="s">
        <v>42</v>
      </c>
      <c r="DJ410" s="4" t="s">
        <v>42</v>
      </c>
      <c r="DK410" t="s">
        <v>42</v>
      </c>
      <c r="DL410" s="4">
        <v>220</v>
      </c>
      <c r="DM410">
        <v>1</v>
      </c>
      <c r="DN410" s="4">
        <v>225</v>
      </c>
      <c r="DO410">
        <v>1</v>
      </c>
      <c r="DP410" s="4">
        <v>224</v>
      </c>
      <c r="DQ410">
        <v>1</v>
      </c>
      <c r="DR410" s="4">
        <v>233</v>
      </c>
      <c r="DS410">
        <v>1</v>
      </c>
      <c r="DT410" s="4">
        <v>239</v>
      </c>
      <c r="DU410">
        <v>1</v>
      </c>
      <c r="DV410" s="4">
        <v>251</v>
      </c>
      <c r="DW410">
        <v>1</v>
      </c>
      <c r="DX410" s="4">
        <v>253</v>
      </c>
      <c r="DY410">
        <v>1</v>
      </c>
      <c r="DZ410" s="4">
        <v>258</v>
      </c>
      <c r="EA410">
        <v>1</v>
      </c>
      <c r="EB410" s="4">
        <v>263</v>
      </c>
      <c r="EC410">
        <v>1</v>
      </c>
      <c r="ED410" s="4">
        <v>266</v>
      </c>
      <c r="EE410">
        <v>1</v>
      </c>
      <c r="EF410" s="4">
        <v>269</v>
      </c>
      <c r="EG410">
        <v>1</v>
      </c>
      <c r="EH410" s="4">
        <v>271</v>
      </c>
      <c r="EI410">
        <v>1</v>
      </c>
      <c r="EJ410" s="4">
        <v>276</v>
      </c>
      <c r="EK410">
        <v>1</v>
      </c>
    </row>
    <row r="411" spans="1:141" x14ac:dyDescent="0.2">
      <c r="A411" t="str">
        <f>HYPERLINK("http://exon.niaid.nih.gov/transcriptome/C_felis/S1/links/cf/cf-contig_278.txt","cf-contig_278")</f>
        <v>cf-contig_278</v>
      </c>
      <c r="B411">
        <v>1</v>
      </c>
      <c r="C411" s="10" t="s">
        <v>4600</v>
      </c>
      <c r="D411">
        <v>1</v>
      </c>
      <c r="E411" t="str">
        <f>HYPERLINK("http://exon.niaid.nih.gov/transcriptome/C_felis/S1/links/cf/cf-5-36-asb-278.txt","Contig-278")</f>
        <v>Contig-278</v>
      </c>
      <c r="F411" t="str">
        <f>HYPERLINK("http://exon.niaid.nih.gov/transcriptome/C_felis/S1/links/cf/cf-5-36-278-CLU.txt","Contig278")</f>
        <v>Contig278</v>
      </c>
      <c r="G411" t="str">
        <f>HYPERLINK("http://exon.niaid.nih.gov/transcriptome/C_felis/S1/links/cf/cf-5-36-278-qual.txt","45.2")</f>
        <v>45.2</v>
      </c>
      <c r="H411">
        <v>1.7</v>
      </c>
      <c r="I411">
        <v>69.2</v>
      </c>
      <c r="J411">
        <v>98</v>
      </c>
      <c r="K411" t="s">
        <v>12</v>
      </c>
      <c r="L411">
        <v>1</v>
      </c>
      <c r="M411" t="s">
        <v>291</v>
      </c>
      <c r="N411">
        <v>98</v>
      </c>
      <c r="O411">
        <v>117</v>
      </c>
      <c r="P411">
        <v>111</v>
      </c>
      <c r="Q411" t="s">
        <v>1098</v>
      </c>
      <c r="R411">
        <v>3</v>
      </c>
      <c r="S411" s="7" t="s">
        <v>4585</v>
      </c>
      <c r="U411">
        <v>1</v>
      </c>
      <c r="V411" s="4">
        <v>222</v>
      </c>
      <c r="W411">
        <v>1</v>
      </c>
      <c r="X411" s="4">
        <v>227</v>
      </c>
      <c r="Y411">
        <v>1</v>
      </c>
      <c r="Z411" s="4">
        <v>226</v>
      </c>
      <c r="AA411">
        <v>1</v>
      </c>
      <c r="AB411" s="4" t="str">
        <f>HYPERLINK("http://exon.niaid.nih.gov/transcriptome/C_felis/S1/links/XC-ASB/cf-contig_278-XC-ASB.txt","XC-contig_125")</f>
        <v>XC-contig_125</v>
      </c>
      <c r="AC411">
        <v>1.3</v>
      </c>
      <c r="AD411" s="10" t="s">
        <v>4600</v>
      </c>
      <c r="AE411" t="s">
        <v>4601</v>
      </c>
      <c r="AI411" s="4" t="s">
        <v>42</v>
      </c>
      <c r="AJ411" t="s">
        <v>42</v>
      </c>
      <c r="AK411" t="s">
        <v>42</v>
      </c>
      <c r="AL411" t="s">
        <v>42</v>
      </c>
      <c r="AM411" t="s">
        <v>42</v>
      </c>
      <c r="AN411" t="s">
        <v>42</v>
      </c>
      <c r="AO411" t="s">
        <v>42</v>
      </c>
      <c r="AP411" t="s">
        <v>42</v>
      </c>
      <c r="AQ411" t="s">
        <v>42</v>
      </c>
      <c r="AR411" t="s">
        <v>42</v>
      </c>
      <c r="AS411" t="s">
        <v>42</v>
      </c>
      <c r="AT411" t="s">
        <v>42</v>
      </c>
      <c r="AU411" t="s">
        <v>42</v>
      </c>
      <c r="AV411" t="s">
        <v>42</v>
      </c>
      <c r="AW411" t="s">
        <v>42</v>
      </c>
      <c r="AX411" t="s">
        <v>42</v>
      </c>
      <c r="AY411" t="s">
        <v>42</v>
      </c>
      <c r="AZ411" t="s">
        <v>42</v>
      </c>
      <c r="BA411" s="4" t="s">
        <v>42</v>
      </c>
      <c r="BB411" t="s">
        <v>42</v>
      </c>
      <c r="BC411" t="s">
        <v>42</v>
      </c>
      <c r="BD411" t="s">
        <v>42</v>
      </c>
      <c r="BE411" t="s">
        <v>42</v>
      </c>
      <c r="BF411" t="s">
        <v>42</v>
      </c>
      <c r="BG411" t="s">
        <v>42</v>
      </c>
      <c r="BH411" t="s">
        <v>42</v>
      </c>
      <c r="BI411" t="s">
        <v>42</v>
      </c>
      <c r="BJ411" t="s">
        <v>42</v>
      </c>
      <c r="BK411" t="s">
        <v>42</v>
      </c>
      <c r="BL411" t="s">
        <v>42</v>
      </c>
      <c r="BM411" t="s">
        <v>42</v>
      </c>
      <c r="BN411" t="s">
        <v>42</v>
      </c>
      <c r="BO411" t="s">
        <v>42</v>
      </c>
      <c r="BP411" t="s">
        <v>42</v>
      </c>
      <c r="BQ411" t="s">
        <v>42</v>
      </c>
      <c r="BR411" t="s">
        <v>42</v>
      </c>
      <c r="BS411" s="4" t="str">
        <f>HYPERLINK("http://exon.niaid.nih.gov/transcriptome/C_felis/S1/links/CDD/cf-contig_278-CDD.txt","SpoVR")</f>
        <v>SpoVR</v>
      </c>
      <c r="BT411" t="str">
        <f>HYPERLINK("http://www.ncbi.nlm.nih.gov/Structure/cdd/cddsrv.cgi?uid=pfam04293&amp;version=v4.0","1.1")</f>
        <v>1.1</v>
      </c>
      <c r="BU411" t="s">
        <v>2665</v>
      </c>
      <c r="BV411" s="4" t="s">
        <v>42</v>
      </c>
      <c r="BW411" t="s">
        <v>42</v>
      </c>
      <c r="BX411" t="s">
        <v>42</v>
      </c>
      <c r="BY411" t="s">
        <v>42</v>
      </c>
      <c r="BZ411" t="s">
        <v>42</v>
      </c>
      <c r="CA411" t="s">
        <v>42</v>
      </c>
      <c r="CB411" t="s">
        <v>42</v>
      </c>
      <c r="CC411" t="s">
        <v>42</v>
      </c>
      <c r="CD411" t="s">
        <v>42</v>
      </c>
      <c r="CE411" t="s">
        <v>42</v>
      </c>
      <c r="CF411" t="s">
        <v>42</v>
      </c>
      <c r="CG411" t="s">
        <v>42</v>
      </c>
      <c r="CH411" t="s">
        <v>42</v>
      </c>
      <c r="CI411" t="s">
        <v>42</v>
      </c>
      <c r="CJ411" t="s">
        <v>42</v>
      </c>
      <c r="CK411" t="s">
        <v>42</v>
      </c>
      <c r="CL411" t="s">
        <v>42</v>
      </c>
      <c r="CM411" t="s">
        <v>42</v>
      </c>
      <c r="CN411" t="s">
        <v>42</v>
      </c>
      <c r="CO411" t="s">
        <v>42</v>
      </c>
      <c r="CP411" t="s">
        <v>42</v>
      </c>
      <c r="CQ411" t="s">
        <v>42</v>
      </c>
      <c r="CR411" t="s">
        <v>42</v>
      </c>
      <c r="CS411" s="4" t="str">
        <f>HYPERLINK("http://exon.niaid.nih.gov/transcriptome/C_felis/S1/links/KOG/cf-contig_278-KOG.txt","4-aminobutyrate aminotransferase")</f>
        <v>4-aminobutyrate aminotransferase</v>
      </c>
      <c r="CT411" t="str">
        <f>HYPERLINK("http://www.ncbi.nlm.nih.gov/COG/grace/shokog.cgi?KOG1405","9.8")</f>
        <v>9.8</v>
      </c>
      <c r="CU411" t="s">
        <v>2408</v>
      </c>
      <c r="CV411" s="4" t="str">
        <f>HYPERLINK("http://exon.niaid.nih.gov/transcriptome/C_felis/S1/links/PFAM/cf-contig_278-PFAM.txt","SpoVR")</f>
        <v>SpoVR</v>
      </c>
      <c r="CW411" t="str">
        <f>HYPERLINK("http://pfam.sanger.ac.uk/family?acc=PF04293","0.25")</f>
        <v>0.25</v>
      </c>
      <c r="CX411" s="4" t="str">
        <f>HYPERLINK("http://exon.niaid.nih.gov/transcriptome/C_felis/S1/links/SMART/cf-contig_278-SMART.txt","HA2")</f>
        <v>HA2</v>
      </c>
      <c r="CY411" t="str">
        <f>HYPERLINK("http://smart.embl-heidelberg.de/smart/do_annotation.pl?DOMAIN=HA2&amp;BLAST=DUMMY","0.95")</f>
        <v>0.95</v>
      </c>
      <c r="CZ411" s="4" t="s">
        <v>42</v>
      </c>
      <c r="DA411" t="s">
        <v>42</v>
      </c>
      <c r="DB411" t="s">
        <v>42</v>
      </c>
      <c r="DC411" t="s">
        <v>42</v>
      </c>
      <c r="DD411" t="s">
        <v>42</v>
      </c>
      <c r="DE411" t="s">
        <v>42</v>
      </c>
      <c r="DF411" t="s">
        <v>42</v>
      </c>
      <c r="DG411" t="s">
        <v>42</v>
      </c>
      <c r="DH411" s="4" t="s">
        <v>42</v>
      </c>
      <c r="DI411" t="s">
        <v>42</v>
      </c>
      <c r="DJ411" s="4" t="s">
        <v>42</v>
      </c>
      <c r="DK411" t="s">
        <v>42</v>
      </c>
      <c r="DL411" s="4">
        <v>222</v>
      </c>
      <c r="DM411">
        <v>1</v>
      </c>
      <c r="DN411" s="4">
        <v>227</v>
      </c>
      <c r="DO411">
        <v>1</v>
      </c>
      <c r="DP411" s="4">
        <v>226</v>
      </c>
      <c r="DQ411">
        <v>1</v>
      </c>
      <c r="DR411" s="4">
        <v>235</v>
      </c>
      <c r="DS411">
        <v>1</v>
      </c>
      <c r="DT411" s="4">
        <v>241</v>
      </c>
      <c r="DU411">
        <v>1</v>
      </c>
      <c r="DV411" s="4">
        <v>253</v>
      </c>
      <c r="DW411">
        <v>1</v>
      </c>
      <c r="DX411" s="4">
        <v>255</v>
      </c>
      <c r="DY411">
        <v>1</v>
      </c>
      <c r="DZ411" s="4">
        <v>260</v>
      </c>
      <c r="EA411">
        <v>1</v>
      </c>
      <c r="EB411" s="4">
        <v>265</v>
      </c>
      <c r="EC411">
        <v>1</v>
      </c>
      <c r="ED411" s="4">
        <v>268</v>
      </c>
      <c r="EE411">
        <v>1</v>
      </c>
      <c r="EF411" s="4">
        <v>271</v>
      </c>
      <c r="EG411">
        <v>1</v>
      </c>
      <c r="EH411" s="4">
        <v>273</v>
      </c>
      <c r="EI411">
        <v>1</v>
      </c>
      <c r="EJ411" s="4">
        <v>278</v>
      </c>
      <c r="EK411">
        <v>1</v>
      </c>
    </row>
    <row r="412" spans="1:141" x14ac:dyDescent="0.2">
      <c r="A412" t="str">
        <f>HYPERLINK("http://exon.niaid.nih.gov/transcriptome/C_felis/S1/links/cf/cf-contig_279.txt","cf-contig_279")</f>
        <v>cf-contig_279</v>
      </c>
      <c r="B412">
        <v>1</v>
      </c>
      <c r="C412" s="10" t="s">
        <v>4600</v>
      </c>
      <c r="D412">
        <v>1</v>
      </c>
      <c r="E412" t="str">
        <f>HYPERLINK("http://exon.niaid.nih.gov/transcriptome/C_felis/S1/links/cf/cf-5-36-asb-279.txt","Contig-279")</f>
        <v>Contig-279</v>
      </c>
      <c r="F412" t="str">
        <f>HYPERLINK("http://exon.niaid.nih.gov/transcriptome/C_felis/S1/links/cf/cf-5-36-279-CLU.txt","Contig279")</f>
        <v>Contig279</v>
      </c>
      <c r="G412" t="str">
        <f>HYPERLINK("http://exon.niaid.nih.gov/transcriptome/C_felis/S1/links/cf/cf-5-36-279-qual.txt","39.5")</f>
        <v>39.5</v>
      </c>
      <c r="H412" t="s">
        <v>11</v>
      </c>
      <c r="I412">
        <v>86</v>
      </c>
      <c r="J412">
        <v>38</v>
      </c>
      <c r="K412" t="s">
        <v>12</v>
      </c>
      <c r="L412">
        <v>1</v>
      </c>
      <c r="M412" t="s">
        <v>292</v>
      </c>
      <c r="N412">
        <v>38</v>
      </c>
      <c r="O412">
        <v>57</v>
      </c>
      <c r="P412">
        <v>30</v>
      </c>
      <c r="Q412" t="s">
        <v>1099</v>
      </c>
      <c r="R412">
        <v>2</v>
      </c>
      <c r="S412" s="7" t="s">
        <v>4585</v>
      </c>
      <c r="U412">
        <v>1</v>
      </c>
      <c r="V412" s="4">
        <v>223</v>
      </c>
      <c r="W412">
        <v>1</v>
      </c>
      <c r="X412" s="4">
        <v>228</v>
      </c>
      <c r="Y412">
        <v>1</v>
      </c>
      <c r="Z412" s="4">
        <v>227</v>
      </c>
      <c r="AA412">
        <v>1</v>
      </c>
      <c r="AB412" s="4" t="str">
        <f>HYPERLINK("http://exon.niaid.nih.gov/transcriptome/C_felis/S1/links/XC-ASB/cf-contig_279-XC-ASB.txt","XC-contig_253")</f>
        <v>XC-contig_253</v>
      </c>
      <c r="AC412">
        <v>0.6</v>
      </c>
      <c r="AD412" s="10" t="s">
        <v>4600</v>
      </c>
      <c r="AE412" t="s">
        <v>4601</v>
      </c>
      <c r="AI412" s="4" t="s">
        <v>42</v>
      </c>
      <c r="AJ412" t="s">
        <v>42</v>
      </c>
      <c r="AK412" t="s">
        <v>42</v>
      </c>
      <c r="AL412" t="s">
        <v>42</v>
      </c>
      <c r="AM412" t="s">
        <v>42</v>
      </c>
      <c r="AN412" t="s">
        <v>42</v>
      </c>
      <c r="AO412" t="s">
        <v>42</v>
      </c>
      <c r="AP412" t="s">
        <v>42</v>
      </c>
      <c r="AQ412" t="s">
        <v>42</v>
      </c>
      <c r="AR412" t="s">
        <v>42</v>
      </c>
      <c r="AS412" t="s">
        <v>42</v>
      </c>
      <c r="AT412" t="s">
        <v>42</v>
      </c>
      <c r="AU412" t="s">
        <v>42</v>
      </c>
      <c r="AV412" t="s">
        <v>42</v>
      </c>
      <c r="AW412" t="s">
        <v>42</v>
      </c>
      <c r="AX412" t="s">
        <v>42</v>
      </c>
      <c r="AY412" t="s">
        <v>42</v>
      </c>
      <c r="AZ412" t="s">
        <v>42</v>
      </c>
      <c r="BA412" s="4" t="s">
        <v>42</v>
      </c>
      <c r="BB412" t="s">
        <v>42</v>
      </c>
      <c r="BC412" t="s">
        <v>42</v>
      </c>
      <c r="BD412" t="s">
        <v>42</v>
      </c>
      <c r="BE412" t="s">
        <v>42</v>
      </c>
      <c r="BF412" t="s">
        <v>42</v>
      </c>
      <c r="BG412" t="s">
        <v>42</v>
      </c>
      <c r="BH412" t="s">
        <v>42</v>
      </c>
      <c r="BI412" t="s">
        <v>42</v>
      </c>
      <c r="BJ412" t="s">
        <v>42</v>
      </c>
      <c r="BK412" t="s">
        <v>42</v>
      </c>
      <c r="BL412" t="s">
        <v>42</v>
      </c>
      <c r="BM412" t="s">
        <v>42</v>
      </c>
      <c r="BN412" t="s">
        <v>42</v>
      </c>
      <c r="BO412" t="s">
        <v>42</v>
      </c>
      <c r="BP412" t="s">
        <v>42</v>
      </c>
      <c r="BQ412" t="s">
        <v>42</v>
      </c>
      <c r="BR412" t="s">
        <v>42</v>
      </c>
      <c r="BS412" s="4" t="s">
        <v>42</v>
      </c>
      <c r="BT412" t="s">
        <v>42</v>
      </c>
      <c r="BU412" t="s">
        <v>42</v>
      </c>
      <c r="BV412" s="4" t="s">
        <v>42</v>
      </c>
      <c r="BW412" t="s">
        <v>42</v>
      </c>
      <c r="BX412" t="s">
        <v>42</v>
      </c>
      <c r="BY412" t="s">
        <v>42</v>
      </c>
      <c r="BZ412" t="s">
        <v>42</v>
      </c>
      <c r="CA412" t="s">
        <v>42</v>
      </c>
      <c r="CB412" t="s">
        <v>42</v>
      </c>
      <c r="CC412" t="s">
        <v>42</v>
      </c>
      <c r="CD412" t="s">
        <v>42</v>
      </c>
      <c r="CE412" t="s">
        <v>42</v>
      </c>
      <c r="CF412" t="s">
        <v>42</v>
      </c>
      <c r="CG412" t="s">
        <v>42</v>
      </c>
      <c r="CH412" t="s">
        <v>42</v>
      </c>
      <c r="CI412" t="s">
        <v>42</v>
      </c>
      <c r="CJ412" t="s">
        <v>42</v>
      </c>
      <c r="CK412" t="s">
        <v>42</v>
      </c>
      <c r="CL412" t="s">
        <v>42</v>
      </c>
      <c r="CM412" t="s">
        <v>42</v>
      </c>
      <c r="CN412" t="s">
        <v>42</v>
      </c>
      <c r="CO412" t="s">
        <v>42</v>
      </c>
      <c r="CP412" t="s">
        <v>42</v>
      </c>
      <c r="CQ412" t="s">
        <v>42</v>
      </c>
      <c r="CR412" t="s">
        <v>42</v>
      </c>
      <c r="CS412" s="4" t="s">
        <v>42</v>
      </c>
      <c r="CT412" t="s">
        <v>42</v>
      </c>
      <c r="CU412" t="s">
        <v>42</v>
      </c>
      <c r="CV412" s="4" t="s">
        <v>42</v>
      </c>
      <c r="CW412" t="s">
        <v>42</v>
      </c>
      <c r="CX412" s="4" t="str">
        <f>HYPERLINK("http://exon.niaid.nih.gov/transcriptome/C_felis/S1/links/SMART/cf-contig_279-SMART.txt","DnaJ")</f>
        <v>DnaJ</v>
      </c>
      <c r="CY412" t="str">
        <f>HYPERLINK("http://smart.embl-heidelberg.de/smart/do_annotation.pl?DOMAIN=DnaJ&amp;BLAST=DUMMY","4.1")</f>
        <v>4.1</v>
      </c>
      <c r="CZ412" s="4" t="s">
        <v>42</v>
      </c>
      <c r="DA412" t="s">
        <v>42</v>
      </c>
      <c r="DB412" t="s">
        <v>42</v>
      </c>
      <c r="DC412" t="s">
        <v>42</v>
      </c>
      <c r="DD412" t="s">
        <v>42</v>
      </c>
      <c r="DE412" t="s">
        <v>42</v>
      </c>
      <c r="DF412" t="s">
        <v>42</v>
      </c>
      <c r="DG412" t="s">
        <v>42</v>
      </c>
      <c r="DH412" s="4" t="s">
        <v>42</v>
      </c>
      <c r="DI412" t="s">
        <v>42</v>
      </c>
      <c r="DJ412" s="4" t="s">
        <v>42</v>
      </c>
      <c r="DK412" t="s">
        <v>42</v>
      </c>
      <c r="DL412" s="4">
        <v>223</v>
      </c>
      <c r="DM412">
        <v>1</v>
      </c>
      <c r="DN412" s="4">
        <v>228</v>
      </c>
      <c r="DO412">
        <v>1</v>
      </c>
      <c r="DP412" s="4">
        <v>227</v>
      </c>
      <c r="DQ412">
        <v>1</v>
      </c>
      <c r="DR412" s="4">
        <v>236</v>
      </c>
      <c r="DS412">
        <v>1</v>
      </c>
      <c r="DT412" s="4">
        <v>242</v>
      </c>
      <c r="DU412">
        <v>1</v>
      </c>
      <c r="DV412" s="4">
        <v>254</v>
      </c>
      <c r="DW412">
        <v>1</v>
      </c>
      <c r="DX412" s="4">
        <v>256</v>
      </c>
      <c r="DY412">
        <v>1</v>
      </c>
      <c r="DZ412" s="4">
        <v>261</v>
      </c>
      <c r="EA412">
        <v>1</v>
      </c>
      <c r="EB412" s="4">
        <v>266</v>
      </c>
      <c r="EC412">
        <v>1</v>
      </c>
      <c r="ED412" s="4">
        <v>269</v>
      </c>
      <c r="EE412">
        <v>1</v>
      </c>
      <c r="EF412" s="4">
        <v>272</v>
      </c>
      <c r="EG412">
        <v>1</v>
      </c>
      <c r="EH412" s="4">
        <v>274</v>
      </c>
      <c r="EI412">
        <v>1</v>
      </c>
      <c r="EJ412" s="4">
        <v>279</v>
      </c>
      <c r="EK412">
        <v>1</v>
      </c>
    </row>
    <row r="413" spans="1:141" x14ac:dyDescent="0.2">
      <c r="A413" t="str">
        <f>HYPERLINK("http://exon.niaid.nih.gov/transcriptome/C_felis/S1/links/cf/cf-contig_280.txt","cf-contig_280")</f>
        <v>cf-contig_280</v>
      </c>
      <c r="B413">
        <v>1</v>
      </c>
      <c r="C413" s="10" t="s">
        <v>4600</v>
      </c>
      <c r="D413">
        <v>1</v>
      </c>
      <c r="E413" t="str">
        <f>HYPERLINK("http://exon.niaid.nih.gov/transcriptome/C_felis/S1/links/cf/cf-5-36-asb-280.txt","Contig-280")</f>
        <v>Contig-280</v>
      </c>
      <c r="F413" t="str">
        <f>HYPERLINK("http://exon.niaid.nih.gov/transcriptome/C_felis/S1/links/cf/cf-5-36-280-CLU.txt","Contig280")</f>
        <v>Contig280</v>
      </c>
      <c r="G413" t="str">
        <f>HYPERLINK("http://exon.niaid.nih.gov/transcriptome/C_felis/S1/links/cf/cf-5-36-280-qual.txt","43.")</f>
        <v>43.</v>
      </c>
      <c r="H413" t="s">
        <v>11</v>
      </c>
      <c r="I413">
        <v>57.6</v>
      </c>
      <c r="J413">
        <v>66</v>
      </c>
      <c r="K413" t="s">
        <v>12</v>
      </c>
      <c r="L413">
        <v>1</v>
      </c>
      <c r="M413" t="s">
        <v>293</v>
      </c>
      <c r="N413">
        <v>66</v>
      </c>
      <c r="O413">
        <v>85</v>
      </c>
      <c r="P413">
        <v>66</v>
      </c>
      <c r="Q413" t="s">
        <v>1100</v>
      </c>
      <c r="R413">
        <v>1</v>
      </c>
      <c r="S413" s="7" t="s">
        <v>4585</v>
      </c>
      <c r="U413">
        <v>1</v>
      </c>
      <c r="V413" s="4">
        <v>224</v>
      </c>
      <c r="W413">
        <v>1</v>
      </c>
      <c r="X413" s="4">
        <v>229</v>
      </c>
      <c r="Y413">
        <v>1</v>
      </c>
      <c r="Z413" s="4">
        <v>228</v>
      </c>
      <c r="AA413">
        <v>1</v>
      </c>
      <c r="AB413" s="4" t="str">
        <f>HYPERLINK("http://exon.niaid.nih.gov/transcriptome/C_felis/S1/links/XC-ASB/cf-contig_280-XC-ASB.txt","XC-contig_70")</f>
        <v>XC-contig_70</v>
      </c>
      <c r="AC413">
        <v>0.9</v>
      </c>
      <c r="AD413" s="10" t="s">
        <v>4600</v>
      </c>
      <c r="AE413" t="s">
        <v>4601</v>
      </c>
      <c r="AI413" s="4" t="s">
        <v>42</v>
      </c>
      <c r="AJ413" t="s">
        <v>42</v>
      </c>
      <c r="AK413" t="s">
        <v>42</v>
      </c>
      <c r="AL413" t="s">
        <v>42</v>
      </c>
      <c r="AM413" t="s">
        <v>42</v>
      </c>
      <c r="AN413" t="s">
        <v>42</v>
      </c>
      <c r="AO413" t="s">
        <v>42</v>
      </c>
      <c r="AP413" t="s">
        <v>42</v>
      </c>
      <c r="AQ413" t="s">
        <v>42</v>
      </c>
      <c r="AR413" t="s">
        <v>42</v>
      </c>
      <c r="AS413" t="s">
        <v>42</v>
      </c>
      <c r="AT413" t="s">
        <v>42</v>
      </c>
      <c r="AU413" t="s">
        <v>42</v>
      </c>
      <c r="AV413" t="s">
        <v>42</v>
      </c>
      <c r="AW413" t="s">
        <v>42</v>
      </c>
      <c r="AX413" t="s">
        <v>42</v>
      </c>
      <c r="AY413" t="s">
        <v>42</v>
      </c>
      <c r="AZ413" t="s">
        <v>42</v>
      </c>
      <c r="BA413" s="4" t="str">
        <f>HYPERLINK("http://exon.niaid.nih.gov/transcriptome/C_felis/S1/links/SWISSP/cf-contig_280-SWISSP.txt","Phenylalanyl-tRNA synthetase alpha chain")</f>
        <v>Phenylalanyl-tRNA synthetase alpha chain</v>
      </c>
      <c r="BB413" t="str">
        <f>HYPERLINK("http://www.uniprot.org/uniprot/Q5FUA1","89")</f>
        <v>89</v>
      </c>
      <c r="BC413" t="s">
        <v>2666</v>
      </c>
      <c r="BD413">
        <v>25.8</v>
      </c>
      <c r="BE413">
        <v>14</v>
      </c>
      <c r="BF413">
        <v>356</v>
      </c>
      <c r="BG413">
        <v>60</v>
      </c>
      <c r="BH413">
        <v>4</v>
      </c>
      <c r="BI413">
        <v>6</v>
      </c>
      <c r="BJ413">
        <v>0</v>
      </c>
      <c r="BK413">
        <v>132</v>
      </c>
      <c r="BL413">
        <v>2</v>
      </c>
      <c r="BM413">
        <v>1</v>
      </c>
      <c r="BN413">
        <v>-1</v>
      </c>
      <c r="BO413" t="s">
        <v>12</v>
      </c>
      <c r="BQ413" t="s">
        <v>1666</v>
      </c>
      <c r="BR413" t="s">
        <v>2667</v>
      </c>
      <c r="BS413" s="4" t="str">
        <f>HYPERLINK("http://exon.niaid.nih.gov/transcriptome/C_felis/S1/links/CDD/cf-contig_280-CDD.txt","potG")</f>
        <v>potG</v>
      </c>
      <c r="BT413" t="str">
        <f>HYPERLINK("http://www.ncbi.nlm.nih.gov/Structure/cdd/cddsrv.cgi?uid=PRK11607&amp;version=v4.0","2.5")</f>
        <v>2.5</v>
      </c>
      <c r="BU413" t="s">
        <v>2668</v>
      </c>
      <c r="BV413" s="4" t="s">
        <v>42</v>
      </c>
      <c r="BW413" t="s">
        <v>42</v>
      </c>
      <c r="BX413" t="s">
        <v>42</v>
      </c>
      <c r="BY413" t="s">
        <v>42</v>
      </c>
      <c r="BZ413" t="s">
        <v>42</v>
      </c>
      <c r="CA413" t="s">
        <v>42</v>
      </c>
      <c r="CB413" t="s">
        <v>42</v>
      </c>
      <c r="CC413" t="s">
        <v>42</v>
      </c>
      <c r="CD413" t="s">
        <v>42</v>
      </c>
      <c r="CE413" t="s">
        <v>42</v>
      </c>
      <c r="CF413" t="s">
        <v>42</v>
      </c>
      <c r="CG413" t="s">
        <v>42</v>
      </c>
      <c r="CH413" t="s">
        <v>42</v>
      </c>
      <c r="CI413" t="s">
        <v>42</v>
      </c>
      <c r="CJ413" t="s">
        <v>42</v>
      </c>
      <c r="CK413" t="s">
        <v>42</v>
      </c>
      <c r="CL413" t="s">
        <v>42</v>
      </c>
      <c r="CM413" t="s">
        <v>42</v>
      </c>
      <c r="CN413" t="s">
        <v>42</v>
      </c>
      <c r="CO413" t="s">
        <v>42</v>
      </c>
      <c r="CP413" t="s">
        <v>42</v>
      </c>
      <c r="CQ413" t="s">
        <v>42</v>
      </c>
      <c r="CR413" t="s">
        <v>42</v>
      </c>
      <c r="CS413" s="4" t="s">
        <v>42</v>
      </c>
      <c r="CT413" t="s">
        <v>42</v>
      </c>
      <c r="CU413" t="s">
        <v>42</v>
      </c>
      <c r="CV413" s="4" t="str">
        <f>HYPERLINK("http://exon.niaid.nih.gov/transcriptome/C_felis/S1/links/PFAM/cf-contig_280-PFAM.txt","Rota_NS53")</f>
        <v>Rota_NS53</v>
      </c>
      <c r="CW413" t="str">
        <f>HYPERLINK("http://pfam.sanger.ac.uk/family?acc=PF00981","3.3")</f>
        <v>3.3</v>
      </c>
      <c r="CX413" s="4" t="str">
        <f>HYPERLINK("http://exon.niaid.nih.gov/transcriptome/C_felis/S1/links/SMART/cf-contig_280-SMART.txt","PSI")</f>
        <v>PSI</v>
      </c>
      <c r="CY413" t="str">
        <f>HYPERLINK("http://smart.embl-heidelberg.de/smart/do_annotation.pl?DOMAIN=PSI&amp;BLAST=DUMMY","0.99")</f>
        <v>0.99</v>
      </c>
      <c r="CZ413" s="4" t="s">
        <v>42</v>
      </c>
      <c r="DA413" t="s">
        <v>42</v>
      </c>
      <c r="DB413" t="s">
        <v>42</v>
      </c>
      <c r="DC413" t="s">
        <v>42</v>
      </c>
      <c r="DD413" t="s">
        <v>42</v>
      </c>
      <c r="DE413" t="s">
        <v>42</v>
      </c>
      <c r="DF413" t="s">
        <v>42</v>
      </c>
      <c r="DG413" t="s">
        <v>42</v>
      </c>
      <c r="DH413" s="4" t="s">
        <v>42</v>
      </c>
      <c r="DI413" t="s">
        <v>42</v>
      </c>
      <c r="DJ413" s="4" t="s">
        <v>42</v>
      </c>
      <c r="DK413" t="s">
        <v>42</v>
      </c>
      <c r="DL413" s="4">
        <v>224</v>
      </c>
      <c r="DM413">
        <v>1</v>
      </c>
      <c r="DN413" s="4">
        <v>229</v>
      </c>
      <c r="DO413">
        <v>1</v>
      </c>
      <c r="DP413" s="4">
        <v>228</v>
      </c>
      <c r="DQ413">
        <v>1</v>
      </c>
      <c r="DR413" s="4">
        <v>237</v>
      </c>
      <c r="DS413">
        <v>1</v>
      </c>
      <c r="DT413" s="4">
        <v>243</v>
      </c>
      <c r="DU413">
        <v>1</v>
      </c>
      <c r="DV413" s="4">
        <v>255</v>
      </c>
      <c r="DW413">
        <v>1</v>
      </c>
      <c r="DX413" s="4">
        <v>257</v>
      </c>
      <c r="DY413">
        <v>1</v>
      </c>
      <c r="DZ413" s="4">
        <v>262</v>
      </c>
      <c r="EA413">
        <v>1</v>
      </c>
      <c r="EB413" s="4">
        <v>267</v>
      </c>
      <c r="EC413">
        <v>1</v>
      </c>
      <c r="ED413" s="4">
        <v>270</v>
      </c>
      <c r="EE413">
        <v>1</v>
      </c>
      <c r="EF413" s="4">
        <v>273</v>
      </c>
      <c r="EG413">
        <v>1</v>
      </c>
      <c r="EH413" s="4">
        <v>275</v>
      </c>
      <c r="EI413">
        <v>1</v>
      </c>
      <c r="EJ413" s="4">
        <v>280</v>
      </c>
      <c r="EK413">
        <v>1</v>
      </c>
    </row>
    <row r="414" spans="1:141" x14ac:dyDescent="0.2">
      <c r="A414" t="str">
        <f>HYPERLINK("http://exon.niaid.nih.gov/transcriptome/C_felis/S1/links/cf/cf-contig_282.txt","cf-contig_282")</f>
        <v>cf-contig_282</v>
      </c>
      <c r="B414">
        <v>1</v>
      </c>
      <c r="C414" s="10" t="s">
        <v>4600</v>
      </c>
      <c r="D414">
        <v>1</v>
      </c>
      <c r="E414" t="str">
        <f>HYPERLINK("http://exon.niaid.nih.gov/transcriptome/C_felis/S1/links/cf/cf-5-36-asb-282.txt","Contig-282")</f>
        <v>Contig-282</v>
      </c>
      <c r="F414" t="str">
        <f>HYPERLINK("http://exon.niaid.nih.gov/transcriptome/C_felis/S1/links/cf/cf-5-36-282-CLU.txt","Contig282")</f>
        <v>Contig282</v>
      </c>
      <c r="G414" t="str">
        <f>HYPERLINK("http://exon.niaid.nih.gov/transcriptome/C_felis/S1/links/cf/cf-5-36-282-qual.txt","27.3")</f>
        <v>27.3</v>
      </c>
      <c r="H414" t="s">
        <v>11</v>
      </c>
      <c r="I414">
        <v>81</v>
      </c>
      <c r="J414">
        <v>39</v>
      </c>
      <c r="K414" t="s">
        <v>12</v>
      </c>
      <c r="L414">
        <v>1</v>
      </c>
      <c r="M414" t="s">
        <v>295</v>
      </c>
      <c r="N414">
        <v>39</v>
      </c>
      <c r="O414">
        <v>58</v>
      </c>
      <c r="P414">
        <v>51</v>
      </c>
      <c r="Q414" t="s">
        <v>1102</v>
      </c>
      <c r="R414">
        <v>3</v>
      </c>
      <c r="S414" s="7" t="s">
        <v>4585</v>
      </c>
      <c r="U414">
        <v>1</v>
      </c>
      <c r="V414" s="4">
        <v>226</v>
      </c>
      <c r="W414">
        <v>1</v>
      </c>
      <c r="X414" s="4">
        <v>231</v>
      </c>
      <c r="Y414">
        <v>1</v>
      </c>
      <c r="Z414" s="4">
        <v>230</v>
      </c>
      <c r="AA414">
        <v>1</v>
      </c>
      <c r="AB414" s="4" t="str">
        <f>HYPERLINK("http://exon.niaid.nih.gov/transcriptome/C_felis/S1/links/XC-ASB/cf-contig_282-XC-ASB.txt","XC-contig_77")</f>
        <v>XC-contig_77</v>
      </c>
      <c r="AC414">
        <v>4.0999999999999996</v>
      </c>
      <c r="AD414" s="10" t="s">
        <v>4600</v>
      </c>
      <c r="AE414" t="s">
        <v>4601</v>
      </c>
      <c r="AI414" s="4" t="s">
        <v>42</v>
      </c>
      <c r="AJ414" t="s">
        <v>42</v>
      </c>
      <c r="AK414" t="s">
        <v>42</v>
      </c>
      <c r="AL414" t="s">
        <v>42</v>
      </c>
      <c r="AM414" t="s">
        <v>42</v>
      </c>
      <c r="AN414" t="s">
        <v>42</v>
      </c>
      <c r="AO414" t="s">
        <v>42</v>
      </c>
      <c r="AP414" t="s">
        <v>42</v>
      </c>
      <c r="AQ414" t="s">
        <v>42</v>
      </c>
      <c r="AR414" t="s">
        <v>42</v>
      </c>
      <c r="AS414" t="s">
        <v>42</v>
      </c>
      <c r="AT414" t="s">
        <v>42</v>
      </c>
      <c r="AU414" t="s">
        <v>42</v>
      </c>
      <c r="AV414" t="s">
        <v>42</v>
      </c>
      <c r="AW414" t="s">
        <v>42</v>
      </c>
      <c r="AX414" t="s">
        <v>42</v>
      </c>
      <c r="AY414" t="s">
        <v>42</v>
      </c>
      <c r="AZ414" t="s">
        <v>42</v>
      </c>
      <c r="BA414" s="4" t="s">
        <v>42</v>
      </c>
      <c r="BB414" t="s">
        <v>42</v>
      </c>
      <c r="BC414" t="s">
        <v>42</v>
      </c>
      <c r="BD414" t="s">
        <v>42</v>
      </c>
      <c r="BE414" t="s">
        <v>42</v>
      </c>
      <c r="BF414" t="s">
        <v>42</v>
      </c>
      <c r="BG414" t="s">
        <v>42</v>
      </c>
      <c r="BH414" t="s">
        <v>42</v>
      </c>
      <c r="BI414" t="s">
        <v>42</v>
      </c>
      <c r="BJ414" t="s">
        <v>42</v>
      </c>
      <c r="BK414" t="s">
        <v>42</v>
      </c>
      <c r="BL414" t="s">
        <v>42</v>
      </c>
      <c r="BM414" t="s">
        <v>42</v>
      </c>
      <c r="BN414" t="s">
        <v>42</v>
      </c>
      <c r="BO414" t="s">
        <v>42</v>
      </c>
      <c r="BP414" t="s">
        <v>42</v>
      </c>
      <c r="BQ414" t="s">
        <v>42</v>
      </c>
      <c r="BR414" t="s">
        <v>42</v>
      </c>
      <c r="BS414" s="4" t="s">
        <v>42</v>
      </c>
      <c r="BT414" t="s">
        <v>42</v>
      </c>
      <c r="BU414" t="s">
        <v>42</v>
      </c>
      <c r="BV414" s="4" t="s">
        <v>42</v>
      </c>
      <c r="BW414" t="s">
        <v>42</v>
      </c>
      <c r="BX414" t="s">
        <v>42</v>
      </c>
      <c r="BY414" t="s">
        <v>42</v>
      </c>
      <c r="BZ414" t="s">
        <v>42</v>
      </c>
      <c r="CA414" t="s">
        <v>42</v>
      </c>
      <c r="CB414" t="s">
        <v>42</v>
      </c>
      <c r="CC414" t="s">
        <v>42</v>
      </c>
      <c r="CD414" t="s">
        <v>42</v>
      </c>
      <c r="CE414" t="s">
        <v>42</v>
      </c>
      <c r="CF414" t="s">
        <v>42</v>
      </c>
      <c r="CG414" t="s">
        <v>42</v>
      </c>
      <c r="CH414" t="s">
        <v>42</v>
      </c>
      <c r="CI414" t="s">
        <v>42</v>
      </c>
      <c r="CJ414" t="s">
        <v>42</v>
      </c>
      <c r="CK414" t="s">
        <v>42</v>
      </c>
      <c r="CL414" t="s">
        <v>42</v>
      </c>
      <c r="CM414" t="s">
        <v>42</v>
      </c>
      <c r="CN414" t="s">
        <v>42</v>
      </c>
      <c r="CO414" t="s">
        <v>42</v>
      </c>
      <c r="CP414" t="s">
        <v>42</v>
      </c>
      <c r="CQ414" t="s">
        <v>42</v>
      </c>
      <c r="CR414" t="s">
        <v>42</v>
      </c>
      <c r="CS414" s="4" t="s">
        <v>42</v>
      </c>
      <c r="CT414" t="s">
        <v>42</v>
      </c>
      <c r="CU414" t="s">
        <v>42</v>
      </c>
      <c r="CV414" s="4" t="str">
        <f>HYPERLINK("http://exon.niaid.nih.gov/transcriptome/C_felis/S1/links/PFAM/cf-contig_282-PFAM.txt","DUF106")</f>
        <v>DUF106</v>
      </c>
      <c r="CW414" t="str">
        <f>HYPERLINK("http://pfam.sanger.ac.uk/family?acc=PF01956","2.2")</f>
        <v>2.2</v>
      </c>
      <c r="CX414" s="4" t="str">
        <f>HYPERLINK("http://exon.niaid.nih.gov/transcriptome/C_felis/S1/links/SMART/cf-contig_282-SMART.txt","PA2c")</f>
        <v>PA2c</v>
      </c>
      <c r="CY414" t="str">
        <f>HYPERLINK("http://smart.embl-heidelberg.de/smart/do_annotation.pl?DOMAIN=PA2c&amp;BLAST=DUMMY","3.5")</f>
        <v>3.5</v>
      </c>
      <c r="CZ414" s="4" t="s">
        <v>42</v>
      </c>
      <c r="DA414" t="s">
        <v>42</v>
      </c>
      <c r="DB414" t="s">
        <v>42</v>
      </c>
      <c r="DC414" t="s">
        <v>42</v>
      </c>
      <c r="DD414" t="s">
        <v>42</v>
      </c>
      <c r="DE414" t="s">
        <v>42</v>
      </c>
      <c r="DF414" t="s">
        <v>42</v>
      </c>
      <c r="DG414" t="s">
        <v>42</v>
      </c>
      <c r="DH414" s="4" t="s">
        <v>42</v>
      </c>
      <c r="DI414" t="s">
        <v>42</v>
      </c>
      <c r="DJ414" s="4" t="s">
        <v>42</v>
      </c>
      <c r="DK414" t="s">
        <v>42</v>
      </c>
      <c r="DL414" s="4">
        <v>226</v>
      </c>
      <c r="DM414">
        <v>1</v>
      </c>
      <c r="DN414" s="4">
        <v>231</v>
      </c>
      <c r="DO414">
        <v>1</v>
      </c>
      <c r="DP414" s="4">
        <v>230</v>
      </c>
      <c r="DQ414">
        <v>1</v>
      </c>
      <c r="DR414" s="4">
        <v>239</v>
      </c>
      <c r="DS414">
        <v>1</v>
      </c>
      <c r="DT414" s="4">
        <v>245</v>
      </c>
      <c r="DU414">
        <v>1</v>
      </c>
      <c r="DV414" s="4">
        <v>257</v>
      </c>
      <c r="DW414">
        <v>1</v>
      </c>
      <c r="DX414" s="4">
        <v>259</v>
      </c>
      <c r="DY414">
        <v>1</v>
      </c>
      <c r="DZ414" s="4">
        <v>264</v>
      </c>
      <c r="EA414">
        <v>1</v>
      </c>
      <c r="EB414" s="4">
        <v>269</v>
      </c>
      <c r="EC414">
        <v>1</v>
      </c>
      <c r="ED414" s="4">
        <v>272</v>
      </c>
      <c r="EE414">
        <v>1</v>
      </c>
      <c r="EF414" s="4">
        <v>275</v>
      </c>
      <c r="EG414">
        <v>1</v>
      </c>
      <c r="EH414" s="4">
        <v>277</v>
      </c>
      <c r="EI414">
        <v>1</v>
      </c>
      <c r="EJ414" s="4">
        <v>282</v>
      </c>
      <c r="EK414">
        <v>1</v>
      </c>
    </row>
    <row r="415" spans="1:141" x14ac:dyDescent="0.2">
      <c r="A415" t="str">
        <f>HYPERLINK("http://exon.niaid.nih.gov/transcriptome/C_felis/S1/links/cf/cf-contig_283.txt","cf-contig_283")</f>
        <v>cf-contig_283</v>
      </c>
      <c r="B415">
        <v>1</v>
      </c>
      <c r="C415" s="10" t="s">
        <v>4600</v>
      </c>
      <c r="D415">
        <v>1</v>
      </c>
      <c r="E415" t="str">
        <f>HYPERLINK("http://exon.niaid.nih.gov/transcriptome/C_felis/S1/links/cf/cf-5-36-asb-283.txt","Contig-283")</f>
        <v>Contig-283</v>
      </c>
      <c r="F415" t="str">
        <f>HYPERLINK("http://exon.niaid.nih.gov/transcriptome/C_felis/S1/links/cf/cf-5-36-283-CLU.txt","Contig283")</f>
        <v>Contig283</v>
      </c>
      <c r="G415" t="str">
        <f>HYPERLINK("http://exon.niaid.nih.gov/transcriptome/C_felis/S1/links/cf/cf-5-36-283-qual.txt","55.6")</f>
        <v>55.6</v>
      </c>
      <c r="H415">
        <v>1.2</v>
      </c>
      <c r="I415">
        <v>73.3</v>
      </c>
      <c r="J415">
        <v>142</v>
      </c>
      <c r="K415" t="s">
        <v>12</v>
      </c>
      <c r="L415">
        <v>1</v>
      </c>
      <c r="M415" t="s">
        <v>296</v>
      </c>
      <c r="N415">
        <v>142</v>
      </c>
      <c r="O415">
        <v>161</v>
      </c>
      <c r="P415">
        <v>99</v>
      </c>
      <c r="Q415" t="s">
        <v>1103</v>
      </c>
      <c r="R415">
        <v>1</v>
      </c>
      <c r="S415" s="7" t="s">
        <v>4585</v>
      </c>
      <c r="U415">
        <v>1</v>
      </c>
      <c r="V415" s="4">
        <v>227</v>
      </c>
      <c r="W415">
        <v>1</v>
      </c>
      <c r="X415" s="4">
        <v>232</v>
      </c>
      <c r="Y415">
        <v>1</v>
      </c>
      <c r="Z415" s="4">
        <v>231</v>
      </c>
      <c r="AA415">
        <v>1</v>
      </c>
      <c r="AB415" s="4" t="str">
        <f>HYPERLINK("http://exon.niaid.nih.gov/transcriptome/C_felis/S1/links/XC-ASB/cf-contig_283-XC-ASB.txt","XC-contig_158")</f>
        <v>XC-contig_158</v>
      </c>
      <c r="AC415">
        <v>0.15</v>
      </c>
      <c r="AD415" s="10" t="s">
        <v>4600</v>
      </c>
      <c r="AE415" t="s">
        <v>4601</v>
      </c>
      <c r="AI415" s="4" t="s">
        <v>42</v>
      </c>
      <c r="AJ415" t="s">
        <v>42</v>
      </c>
      <c r="AK415" t="s">
        <v>42</v>
      </c>
      <c r="AL415" t="s">
        <v>42</v>
      </c>
      <c r="AM415" t="s">
        <v>42</v>
      </c>
      <c r="AN415" t="s">
        <v>42</v>
      </c>
      <c r="AO415" t="s">
        <v>42</v>
      </c>
      <c r="AP415" t="s">
        <v>42</v>
      </c>
      <c r="AQ415" t="s">
        <v>42</v>
      </c>
      <c r="AR415" t="s">
        <v>42</v>
      </c>
      <c r="AS415" t="s">
        <v>42</v>
      </c>
      <c r="AT415" t="s">
        <v>42</v>
      </c>
      <c r="AU415" t="s">
        <v>42</v>
      </c>
      <c r="AV415" t="s">
        <v>42</v>
      </c>
      <c r="AW415" t="s">
        <v>42</v>
      </c>
      <c r="AX415" t="s">
        <v>42</v>
      </c>
      <c r="AY415" t="s">
        <v>42</v>
      </c>
      <c r="AZ415" t="s">
        <v>42</v>
      </c>
      <c r="BA415" s="4" t="str">
        <f>HYPERLINK("http://exon.niaid.nih.gov/transcriptome/C_felis/S1/links/SWISSP/cf-contig_283-SWISSP.txt","DnaJ-like protein DjlA")</f>
        <v>DnaJ-like protein DjlA</v>
      </c>
      <c r="BB415" t="str">
        <f>HYPERLINK("http://www.uniprot.org/uniprot/Q65RA1","31")</f>
        <v>31</v>
      </c>
      <c r="BC415" t="s">
        <v>2673</v>
      </c>
      <c r="BD415">
        <v>27.3</v>
      </c>
      <c r="BE415">
        <v>32</v>
      </c>
      <c r="BF415">
        <v>288</v>
      </c>
      <c r="BG415">
        <v>33</v>
      </c>
      <c r="BH415">
        <v>11</v>
      </c>
      <c r="BI415">
        <v>22</v>
      </c>
      <c r="BJ415">
        <v>0</v>
      </c>
      <c r="BK415">
        <v>195</v>
      </c>
      <c r="BL415">
        <v>3</v>
      </c>
      <c r="BM415">
        <v>1</v>
      </c>
      <c r="BN415">
        <v>3</v>
      </c>
      <c r="BO415" t="s">
        <v>12</v>
      </c>
      <c r="BP415">
        <v>3.125</v>
      </c>
      <c r="BQ415" t="s">
        <v>1676</v>
      </c>
      <c r="BR415" t="s">
        <v>2674</v>
      </c>
      <c r="BS415" s="4" t="str">
        <f>HYPERLINK("http://exon.niaid.nih.gov/transcriptome/C_felis/S1/links/CDD/cf-contig_283-CDD.txt","Lin-8")</f>
        <v>Lin-8</v>
      </c>
      <c r="BT415" t="str">
        <f>HYPERLINK("http://www.ncbi.nlm.nih.gov/Structure/cdd/cddsrv.cgi?uid=pfam03353&amp;version=v4.0","0.38")</f>
        <v>0.38</v>
      </c>
      <c r="BU415" t="s">
        <v>2675</v>
      </c>
      <c r="BV415" s="4" t="s">
        <v>42</v>
      </c>
      <c r="BW415" t="s">
        <v>42</v>
      </c>
      <c r="BX415" t="s">
        <v>42</v>
      </c>
      <c r="BY415" t="s">
        <v>42</v>
      </c>
      <c r="BZ415" t="s">
        <v>42</v>
      </c>
      <c r="CA415" t="s">
        <v>42</v>
      </c>
      <c r="CB415" t="s">
        <v>42</v>
      </c>
      <c r="CC415" t="s">
        <v>42</v>
      </c>
      <c r="CD415" t="s">
        <v>42</v>
      </c>
      <c r="CE415" t="s">
        <v>42</v>
      </c>
      <c r="CF415" t="s">
        <v>42</v>
      </c>
      <c r="CG415" t="s">
        <v>42</v>
      </c>
      <c r="CH415" t="s">
        <v>42</v>
      </c>
      <c r="CI415" t="s">
        <v>42</v>
      </c>
      <c r="CJ415" t="s">
        <v>42</v>
      </c>
      <c r="CK415" t="s">
        <v>42</v>
      </c>
      <c r="CL415" t="s">
        <v>42</v>
      </c>
      <c r="CM415" t="s">
        <v>42</v>
      </c>
      <c r="CN415" t="s">
        <v>42</v>
      </c>
      <c r="CO415" t="s">
        <v>42</v>
      </c>
      <c r="CP415" t="s">
        <v>42</v>
      </c>
      <c r="CQ415" t="s">
        <v>42</v>
      </c>
      <c r="CR415" t="s">
        <v>42</v>
      </c>
      <c r="CS415" s="4" t="str">
        <f>HYPERLINK("http://exon.niaid.nih.gov/transcriptome/C_felis/S1/links/KOG/cf-contig_283-KOG.txt","Signal recognition particle, subunit Srp72")</f>
        <v>Signal recognition particle, subunit Srp72</v>
      </c>
      <c r="CT415" t="str">
        <f>HYPERLINK("http://www.ncbi.nlm.nih.gov/COG/grace/shokog.cgi?KOG2376","1.5")</f>
        <v>1.5</v>
      </c>
      <c r="CU415" t="s">
        <v>1686</v>
      </c>
      <c r="CV415" s="4" t="str">
        <f>HYPERLINK("http://exon.niaid.nih.gov/transcriptome/C_felis/S1/links/PFAM/cf-contig_283-PFAM.txt","Lin-8")</f>
        <v>Lin-8</v>
      </c>
      <c r="CW415" t="str">
        <f>HYPERLINK("http://pfam.sanger.ac.uk/family?acc=PF03353","0.080")</f>
        <v>0.080</v>
      </c>
      <c r="CX415" s="4" t="str">
        <f>HYPERLINK("http://exon.niaid.nih.gov/transcriptome/C_felis/S1/links/SMART/cf-contig_283-SMART.txt","PSN")</f>
        <v>PSN</v>
      </c>
      <c r="CY415" t="str">
        <f>HYPERLINK("http://smart.embl-heidelberg.de/smart/do_annotation.pl?DOMAIN=PSN&amp;BLAST=DUMMY","0.74")</f>
        <v>0.74</v>
      </c>
      <c r="CZ415" s="4" t="s">
        <v>42</v>
      </c>
      <c r="DA415" t="s">
        <v>42</v>
      </c>
      <c r="DB415" t="s">
        <v>42</v>
      </c>
      <c r="DC415" t="s">
        <v>42</v>
      </c>
      <c r="DD415" t="s">
        <v>42</v>
      </c>
      <c r="DE415" t="s">
        <v>42</v>
      </c>
      <c r="DF415" t="s">
        <v>42</v>
      </c>
      <c r="DG415" t="s">
        <v>42</v>
      </c>
      <c r="DH415" s="4" t="s">
        <v>42</v>
      </c>
      <c r="DI415" t="s">
        <v>42</v>
      </c>
      <c r="DJ415" s="4" t="s">
        <v>42</v>
      </c>
      <c r="DK415" t="s">
        <v>42</v>
      </c>
      <c r="DL415" s="4">
        <v>227</v>
      </c>
      <c r="DM415">
        <v>1</v>
      </c>
      <c r="DN415" s="4">
        <v>232</v>
      </c>
      <c r="DO415">
        <v>1</v>
      </c>
      <c r="DP415" s="4">
        <v>231</v>
      </c>
      <c r="DQ415">
        <v>1</v>
      </c>
      <c r="DR415" s="4">
        <v>240</v>
      </c>
      <c r="DS415">
        <v>1</v>
      </c>
      <c r="DT415" s="4">
        <v>246</v>
      </c>
      <c r="DU415">
        <v>1</v>
      </c>
      <c r="DV415" s="4">
        <v>258</v>
      </c>
      <c r="DW415">
        <v>1</v>
      </c>
      <c r="DX415" s="4">
        <v>260</v>
      </c>
      <c r="DY415">
        <v>1</v>
      </c>
      <c r="DZ415" s="4">
        <v>265</v>
      </c>
      <c r="EA415">
        <v>1</v>
      </c>
      <c r="EB415" s="4">
        <v>270</v>
      </c>
      <c r="EC415">
        <v>1</v>
      </c>
      <c r="ED415" s="4">
        <v>273</v>
      </c>
      <c r="EE415">
        <v>1</v>
      </c>
      <c r="EF415" s="4">
        <v>276</v>
      </c>
      <c r="EG415">
        <v>1</v>
      </c>
      <c r="EH415" s="4">
        <v>278</v>
      </c>
      <c r="EI415">
        <v>1</v>
      </c>
      <c r="EJ415" s="4">
        <v>283</v>
      </c>
      <c r="EK415">
        <v>1</v>
      </c>
    </row>
    <row r="416" spans="1:141" x14ac:dyDescent="0.2">
      <c r="A416" t="str">
        <f>HYPERLINK("http://exon.niaid.nih.gov/transcriptome/C_felis/S1/links/cf/cf-contig_284.txt","cf-contig_284")</f>
        <v>cf-contig_284</v>
      </c>
      <c r="B416">
        <v>1</v>
      </c>
      <c r="C416" s="10" t="s">
        <v>4600</v>
      </c>
      <c r="D416">
        <v>1</v>
      </c>
      <c r="E416" t="str">
        <f>HYPERLINK("http://exon.niaid.nih.gov/transcriptome/C_felis/S1/links/cf/cf-5-36-asb-284.txt","Contig-284")</f>
        <v>Contig-284</v>
      </c>
      <c r="F416" t="str">
        <f>HYPERLINK("http://exon.niaid.nih.gov/transcriptome/C_felis/S1/links/cf/cf-5-36-284-CLU.txt","Contig284")</f>
        <v>Contig284</v>
      </c>
      <c r="G416" t="str">
        <f>HYPERLINK("http://exon.niaid.nih.gov/transcriptome/C_felis/S1/links/cf/cf-5-36-284-qual.txt","46.1")</f>
        <v>46.1</v>
      </c>
      <c r="H416">
        <v>0.9</v>
      </c>
      <c r="I416">
        <v>66.099999999999994</v>
      </c>
      <c r="J416">
        <v>90</v>
      </c>
      <c r="K416" t="s">
        <v>12</v>
      </c>
      <c r="L416">
        <v>1</v>
      </c>
      <c r="M416" t="s">
        <v>297</v>
      </c>
      <c r="N416">
        <v>90</v>
      </c>
      <c r="O416">
        <v>109</v>
      </c>
      <c r="P416">
        <v>75</v>
      </c>
      <c r="Q416" t="s">
        <v>1104</v>
      </c>
      <c r="R416">
        <v>3</v>
      </c>
      <c r="S416" s="7" t="s">
        <v>4585</v>
      </c>
      <c r="U416">
        <v>1</v>
      </c>
      <c r="V416" s="4">
        <v>228</v>
      </c>
      <c r="W416">
        <v>1</v>
      </c>
      <c r="X416" s="4">
        <v>233</v>
      </c>
      <c r="Y416">
        <v>1</v>
      </c>
      <c r="Z416" s="4">
        <v>232</v>
      </c>
      <c r="AA416">
        <v>1</v>
      </c>
      <c r="AB416" s="4" t="str">
        <f>HYPERLINK("http://exon.niaid.nih.gov/transcriptome/C_felis/S1/links/XC-ASB/cf-contig_284-XC-ASB.txt","XC-contig_41")</f>
        <v>XC-contig_41</v>
      </c>
      <c r="AC416">
        <v>4.8000000000000001E-2</v>
      </c>
      <c r="AD416" s="10" t="s">
        <v>4600</v>
      </c>
      <c r="AE416" t="s">
        <v>4601</v>
      </c>
      <c r="AI416" s="4" t="s">
        <v>42</v>
      </c>
      <c r="AJ416" t="s">
        <v>42</v>
      </c>
      <c r="AK416" t="s">
        <v>42</v>
      </c>
      <c r="AL416" t="s">
        <v>42</v>
      </c>
      <c r="AM416" t="s">
        <v>42</v>
      </c>
      <c r="AN416" t="s">
        <v>42</v>
      </c>
      <c r="AO416" t="s">
        <v>42</v>
      </c>
      <c r="AP416" t="s">
        <v>42</v>
      </c>
      <c r="AQ416" t="s">
        <v>42</v>
      </c>
      <c r="AR416" t="s">
        <v>42</v>
      </c>
      <c r="AS416" t="s">
        <v>42</v>
      </c>
      <c r="AT416" t="s">
        <v>42</v>
      </c>
      <c r="AU416" t="s">
        <v>42</v>
      </c>
      <c r="AV416" t="s">
        <v>42</v>
      </c>
      <c r="AW416" t="s">
        <v>42</v>
      </c>
      <c r="AX416" t="s">
        <v>42</v>
      </c>
      <c r="AY416" t="s">
        <v>42</v>
      </c>
      <c r="AZ416" t="s">
        <v>42</v>
      </c>
      <c r="BA416" s="4" t="s">
        <v>42</v>
      </c>
      <c r="BB416" t="s">
        <v>42</v>
      </c>
      <c r="BC416" t="s">
        <v>42</v>
      </c>
      <c r="BD416" t="s">
        <v>42</v>
      </c>
      <c r="BE416" t="s">
        <v>42</v>
      </c>
      <c r="BF416" t="s">
        <v>42</v>
      </c>
      <c r="BG416" t="s">
        <v>42</v>
      </c>
      <c r="BH416" t="s">
        <v>42</v>
      </c>
      <c r="BI416" t="s">
        <v>42</v>
      </c>
      <c r="BJ416" t="s">
        <v>42</v>
      </c>
      <c r="BK416" t="s">
        <v>42</v>
      </c>
      <c r="BL416" t="s">
        <v>42</v>
      </c>
      <c r="BM416" t="s">
        <v>42</v>
      </c>
      <c r="BN416" t="s">
        <v>42</v>
      </c>
      <c r="BO416" t="s">
        <v>42</v>
      </c>
      <c r="BP416" t="s">
        <v>42</v>
      </c>
      <c r="BQ416" t="s">
        <v>42</v>
      </c>
      <c r="BR416" t="s">
        <v>42</v>
      </c>
      <c r="BS416" s="4" t="str">
        <f>HYPERLINK("http://exon.niaid.nih.gov/transcriptome/C_felis/S1/links/CDD/cf-contig_284-CDD.txt","delta_tubulin")</f>
        <v>delta_tubulin</v>
      </c>
      <c r="BT416" t="str">
        <f>HYPERLINK("http://www.ncbi.nlm.nih.gov/Structure/cdd/cddsrv.cgi?uid=cd02189&amp;version=v4.0","9.7")</f>
        <v>9.7</v>
      </c>
      <c r="BU416" t="s">
        <v>2676</v>
      </c>
      <c r="BV416" s="4" t="s">
        <v>42</v>
      </c>
      <c r="BW416" t="s">
        <v>42</v>
      </c>
      <c r="BX416" t="s">
        <v>42</v>
      </c>
      <c r="BY416" t="s">
        <v>42</v>
      </c>
      <c r="BZ416" t="s">
        <v>42</v>
      </c>
      <c r="CA416" t="s">
        <v>42</v>
      </c>
      <c r="CB416" t="s">
        <v>42</v>
      </c>
      <c r="CC416" t="s">
        <v>42</v>
      </c>
      <c r="CD416" t="s">
        <v>42</v>
      </c>
      <c r="CE416" t="s">
        <v>42</v>
      </c>
      <c r="CF416" t="s">
        <v>42</v>
      </c>
      <c r="CG416" t="s">
        <v>42</v>
      </c>
      <c r="CH416" t="s">
        <v>42</v>
      </c>
      <c r="CI416" t="s">
        <v>42</v>
      </c>
      <c r="CJ416" t="s">
        <v>42</v>
      </c>
      <c r="CK416" t="s">
        <v>42</v>
      </c>
      <c r="CL416" t="s">
        <v>42</v>
      </c>
      <c r="CM416" t="s">
        <v>42</v>
      </c>
      <c r="CN416" t="s">
        <v>42</v>
      </c>
      <c r="CO416" t="s">
        <v>42</v>
      </c>
      <c r="CP416" t="s">
        <v>42</v>
      </c>
      <c r="CQ416" t="s">
        <v>42</v>
      </c>
      <c r="CR416" t="s">
        <v>42</v>
      </c>
      <c r="CS416" s="4" t="str">
        <f>HYPERLINK("http://exon.niaid.nih.gov/transcriptome/C_felis/S1/links/KOG/cf-contig_284-KOG.txt","Glycine dehydrogenase (decarboxylating)")</f>
        <v>Glycine dehydrogenase (decarboxylating)</v>
      </c>
      <c r="CT416" t="str">
        <f>HYPERLINK("http://www.ncbi.nlm.nih.gov/COG/grace/shokog.cgi?KOG2040","4.2")</f>
        <v>4.2</v>
      </c>
      <c r="CU416" t="s">
        <v>2408</v>
      </c>
      <c r="CV416" s="4" t="str">
        <f>HYPERLINK("http://exon.niaid.nih.gov/transcriptome/C_felis/S1/links/PFAM/cf-contig_284-PFAM.txt","Lung_7-TM_R")</f>
        <v>Lung_7-TM_R</v>
      </c>
      <c r="CW416" t="str">
        <f>HYPERLINK("http://pfam.sanger.ac.uk/family?acc=PF06814","2.7")</f>
        <v>2.7</v>
      </c>
      <c r="CX416" s="4" t="str">
        <f>HYPERLINK("http://exon.niaid.nih.gov/transcriptome/C_felis/S1/links/SMART/cf-contig_284-SMART.txt","Pro-kuma_activ")</f>
        <v>Pro-kuma_activ</v>
      </c>
      <c r="CY416" t="str">
        <f>HYPERLINK("http://smart.embl-heidelberg.de/smart/do_annotation.pl?DOMAIN=Pro-kuma_activ&amp;BLAST=DUMMY","1.6")</f>
        <v>1.6</v>
      </c>
      <c r="CZ416" s="4" t="s">
        <v>42</v>
      </c>
      <c r="DA416" t="s">
        <v>42</v>
      </c>
      <c r="DB416" t="s">
        <v>42</v>
      </c>
      <c r="DC416" t="s">
        <v>42</v>
      </c>
      <c r="DD416" t="s">
        <v>42</v>
      </c>
      <c r="DE416" t="s">
        <v>42</v>
      </c>
      <c r="DF416" t="s">
        <v>42</v>
      </c>
      <c r="DG416" t="s">
        <v>42</v>
      </c>
      <c r="DH416" s="4" t="s">
        <v>42</v>
      </c>
      <c r="DI416" t="s">
        <v>42</v>
      </c>
      <c r="DJ416" s="4" t="s">
        <v>42</v>
      </c>
      <c r="DK416" t="s">
        <v>42</v>
      </c>
      <c r="DL416" s="4">
        <v>228</v>
      </c>
      <c r="DM416">
        <v>1</v>
      </c>
      <c r="DN416" s="4">
        <v>233</v>
      </c>
      <c r="DO416">
        <v>1</v>
      </c>
      <c r="DP416" s="4">
        <v>232</v>
      </c>
      <c r="DQ416">
        <v>1</v>
      </c>
      <c r="DR416" s="4">
        <v>241</v>
      </c>
      <c r="DS416">
        <v>1</v>
      </c>
      <c r="DT416" s="4">
        <v>247</v>
      </c>
      <c r="DU416">
        <v>1</v>
      </c>
      <c r="DV416" s="4">
        <v>259</v>
      </c>
      <c r="DW416">
        <v>1</v>
      </c>
      <c r="DX416" s="4">
        <v>261</v>
      </c>
      <c r="DY416">
        <v>1</v>
      </c>
      <c r="DZ416" s="4">
        <v>266</v>
      </c>
      <c r="EA416">
        <v>1</v>
      </c>
      <c r="EB416" s="4">
        <v>271</v>
      </c>
      <c r="EC416">
        <v>1</v>
      </c>
      <c r="ED416" s="4">
        <v>274</v>
      </c>
      <c r="EE416">
        <v>1</v>
      </c>
      <c r="EF416" s="4">
        <v>277</v>
      </c>
      <c r="EG416">
        <v>1</v>
      </c>
      <c r="EH416" s="4">
        <v>279</v>
      </c>
      <c r="EI416">
        <v>1</v>
      </c>
      <c r="EJ416" s="4">
        <v>284</v>
      </c>
      <c r="EK416">
        <v>1</v>
      </c>
    </row>
    <row r="417" spans="1:141" x14ac:dyDescent="0.2">
      <c r="A417" t="str">
        <f>HYPERLINK("http://exon.niaid.nih.gov/transcriptome/C_felis/S1/links/cf/cf-contig_286.txt","cf-contig_286")</f>
        <v>cf-contig_286</v>
      </c>
      <c r="B417">
        <v>1</v>
      </c>
      <c r="C417" s="10" t="s">
        <v>4600</v>
      </c>
      <c r="D417">
        <v>1</v>
      </c>
      <c r="E417" t="str">
        <f>HYPERLINK("http://exon.niaid.nih.gov/transcriptome/C_felis/S1/links/cf/cf-5-36-asb-286.txt","Contig-286")</f>
        <v>Contig-286</v>
      </c>
      <c r="F417" t="str">
        <f>HYPERLINK("http://exon.niaid.nih.gov/transcriptome/C_felis/S1/links/cf/cf-5-36-286-CLU.txt","Contig286")</f>
        <v>Contig286</v>
      </c>
      <c r="G417" t="str">
        <f>HYPERLINK("http://exon.niaid.nih.gov/transcriptome/C_felis/S1/links/cf/cf-5-36-286-qual.txt","56.6")</f>
        <v>56.6</v>
      </c>
      <c r="H417">
        <v>1.7</v>
      </c>
      <c r="I417">
        <v>70</v>
      </c>
      <c r="J417">
        <v>41</v>
      </c>
      <c r="K417" t="s">
        <v>12</v>
      </c>
      <c r="L417">
        <v>1</v>
      </c>
      <c r="M417" t="s">
        <v>299</v>
      </c>
      <c r="N417">
        <v>41</v>
      </c>
      <c r="O417">
        <v>60</v>
      </c>
      <c r="P417">
        <v>42</v>
      </c>
      <c r="Q417" t="s">
        <v>1106</v>
      </c>
      <c r="R417">
        <v>3</v>
      </c>
      <c r="S417" s="7" t="s">
        <v>4585</v>
      </c>
      <c r="U417">
        <v>1</v>
      </c>
      <c r="V417" s="4">
        <v>229</v>
      </c>
      <c r="W417">
        <v>1</v>
      </c>
      <c r="X417" s="4">
        <v>234</v>
      </c>
      <c r="Y417">
        <v>1</v>
      </c>
      <c r="Z417" s="4">
        <v>233</v>
      </c>
      <c r="AA417">
        <v>1</v>
      </c>
      <c r="AB417" s="4" t="str">
        <f>HYPERLINK("http://exon.niaid.nih.gov/transcriptome/C_felis/S1/links/XC-ASB/cf-contig_286-XC-ASB.txt","XC-contig_120")</f>
        <v>XC-contig_120</v>
      </c>
      <c r="AC417">
        <v>2.9</v>
      </c>
      <c r="AD417" s="10" t="s">
        <v>4600</v>
      </c>
      <c r="AE417" t="s">
        <v>4601</v>
      </c>
      <c r="AI417" s="4" t="s">
        <v>42</v>
      </c>
      <c r="AJ417" t="s">
        <v>42</v>
      </c>
      <c r="AK417" t="s">
        <v>42</v>
      </c>
      <c r="AL417" t="s">
        <v>42</v>
      </c>
      <c r="AM417" t="s">
        <v>42</v>
      </c>
      <c r="AN417" t="s">
        <v>42</v>
      </c>
      <c r="AO417" t="s">
        <v>42</v>
      </c>
      <c r="AP417" t="s">
        <v>42</v>
      </c>
      <c r="AQ417" t="s">
        <v>42</v>
      </c>
      <c r="AR417" t="s">
        <v>42</v>
      </c>
      <c r="AS417" t="s">
        <v>42</v>
      </c>
      <c r="AT417" t="s">
        <v>42</v>
      </c>
      <c r="AU417" t="s">
        <v>42</v>
      </c>
      <c r="AV417" t="s">
        <v>42</v>
      </c>
      <c r="AW417" t="s">
        <v>42</v>
      </c>
      <c r="AX417" t="s">
        <v>42</v>
      </c>
      <c r="AY417" t="s">
        <v>42</v>
      </c>
      <c r="AZ417" t="s">
        <v>42</v>
      </c>
      <c r="BA417" s="4" t="s">
        <v>42</v>
      </c>
      <c r="BB417" t="s">
        <v>42</v>
      </c>
      <c r="BC417" t="s">
        <v>42</v>
      </c>
      <c r="BD417" t="s">
        <v>42</v>
      </c>
      <c r="BE417" t="s">
        <v>42</v>
      </c>
      <c r="BF417" t="s">
        <v>42</v>
      </c>
      <c r="BG417" t="s">
        <v>42</v>
      </c>
      <c r="BH417" t="s">
        <v>42</v>
      </c>
      <c r="BI417" t="s">
        <v>42</v>
      </c>
      <c r="BJ417" t="s">
        <v>42</v>
      </c>
      <c r="BK417" t="s">
        <v>42</v>
      </c>
      <c r="BL417" t="s">
        <v>42</v>
      </c>
      <c r="BM417" t="s">
        <v>42</v>
      </c>
      <c r="BN417" t="s">
        <v>42</v>
      </c>
      <c r="BO417" t="s">
        <v>42</v>
      </c>
      <c r="BP417" t="s">
        <v>42</v>
      </c>
      <c r="BQ417" t="s">
        <v>42</v>
      </c>
      <c r="BR417" t="s">
        <v>42</v>
      </c>
      <c r="BS417" s="4" t="s">
        <v>42</v>
      </c>
      <c r="BT417" t="s">
        <v>42</v>
      </c>
      <c r="BU417" t="s">
        <v>42</v>
      </c>
      <c r="BV417" s="4" t="s">
        <v>42</v>
      </c>
      <c r="BW417" t="s">
        <v>42</v>
      </c>
      <c r="BX417" t="s">
        <v>42</v>
      </c>
      <c r="BY417" t="s">
        <v>42</v>
      </c>
      <c r="BZ417" t="s">
        <v>42</v>
      </c>
      <c r="CA417" t="s">
        <v>42</v>
      </c>
      <c r="CB417" t="s">
        <v>42</v>
      </c>
      <c r="CC417" t="s">
        <v>42</v>
      </c>
      <c r="CD417" t="s">
        <v>42</v>
      </c>
      <c r="CE417" t="s">
        <v>42</v>
      </c>
      <c r="CF417" t="s">
        <v>42</v>
      </c>
      <c r="CG417" t="s">
        <v>42</v>
      </c>
      <c r="CH417" t="s">
        <v>42</v>
      </c>
      <c r="CI417" t="s">
        <v>42</v>
      </c>
      <c r="CJ417" t="s">
        <v>42</v>
      </c>
      <c r="CK417" t="s">
        <v>42</v>
      </c>
      <c r="CL417" t="s">
        <v>42</v>
      </c>
      <c r="CM417" t="s">
        <v>42</v>
      </c>
      <c r="CN417" t="s">
        <v>42</v>
      </c>
      <c r="CO417" t="s">
        <v>42</v>
      </c>
      <c r="CP417" t="s">
        <v>42</v>
      </c>
      <c r="CQ417" t="s">
        <v>42</v>
      </c>
      <c r="CR417" t="s">
        <v>42</v>
      </c>
      <c r="CS417" s="4" t="str">
        <f>HYPERLINK("http://exon.niaid.nih.gov/transcriptome/C_felis/S1/links/KOG/cf-contig_286-KOG.txt","Predicted protein kinase (contains TBC and RHOD domains)")</f>
        <v>Predicted protein kinase (contains TBC and RHOD domains)</v>
      </c>
      <c r="CT417" t="str">
        <f>HYPERLINK("http://www.ncbi.nlm.nih.gov/COG/grace/shokog.cgi?KOG1093","9.1")</f>
        <v>9.1</v>
      </c>
      <c r="CU417" t="s">
        <v>1721</v>
      </c>
      <c r="CV417" s="4" t="s">
        <v>42</v>
      </c>
      <c r="CW417" t="s">
        <v>42</v>
      </c>
      <c r="CX417" s="4" t="str">
        <f>HYPERLINK("http://exon.niaid.nih.gov/transcriptome/C_felis/S1/links/SMART/cf-contig_286-SMART.txt","SET")</f>
        <v>SET</v>
      </c>
      <c r="CY417" t="str">
        <f>HYPERLINK("http://smart.embl-heidelberg.de/smart/do_annotation.pl?DOMAIN=SET&amp;BLAST=DUMMY","2.1")</f>
        <v>2.1</v>
      </c>
      <c r="CZ417" s="4" t="s">
        <v>42</v>
      </c>
      <c r="DA417" t="s">
        <v>42</v>
      </c>
      <c r="DB417" t="s">
        <v>42</v>
      </c>
      <c r="DC417" t="s">
        <v>42</v>
      </c>
      <c r="DD417" t="s">
        <v>42</v>
      </c>
      <c r="DE417" t="s">
        <v>42</v>
      </c>
      <c r="DF417" t="s">
        <v>42</v>
      </c>
      <c r="DG417" t="s">
        <v>42</v>
      </c>
      <c r="DH417" s="4" t="s">
        <v>42</v>
      </c>
      <c r="DI417" t="s">
        <v>42</v>
      </c>
      <c r="DJ417" s="4" t="s">
        <v>42</v>
      </c>
      <c r="DK417" t="s">
        <v>42</v>
      </c>
      <c r="DL417" s="4">
        <v>229</v>
      </c>
      <c r="DM417">
        <v>1</v>
      </c>
      <c r="DN417" s="4">
        <v>234</v>
      </c>
      <c r="DO417">
        <v>1</v>
      </c>
      <c r="DP417" s="4">
        <v>233</v>
      </c>
      <c r="DQ417">
        <v>1</v>
      </c>
      <c r="DR417" s="4">
        <v>242</v>
      </c>
      <c r="DS417">
        <v>1</v>
      </c>
      <c r="DT417" s="4">
        <v>248</v>
      </c>
      <c r="DU417">
        <v>1</v>
      </c>
      <c r="DV417" s="4">
        <v>260</v>
      </c>
      <c r="DW417">
        <v>1</v>
      </c>
      <c r="DX417" s="4">
        <v>262</v>
      </c>
      <c r="DY417">
        <v>1</v>
      </c>
      <c r="DZ417" s="4">
        <v>267</v>
      </c>
      <c r="EA417">
        <v>1</v>
      </c>
      <c r="EB417" s="4">
        <v>272</v>
      </c>
      <c r="EC417">
        <v>1</v>
      </c>
      <c r="ED417" s="4">
        <v>275</v>
      </c>
      <c r="EE417">
        <v>1</v>
      </c>
      <c r="EF417" s="4">
        <v>279</v>
      </c>
      <c r="EG417">
        <v>1</v>
      </c>
      <c r="EH417" s="4">
        <v>281</v>
      </c>
      <c r="EI417">
        <v>1</v>
      </c>
      <c r="EJ417" s="4">
        <v>286</v>
      </c>
      <c r="EK417">
        <v>1</v>
      </c>
    </row>
    <row r="418" spans="1:141" x14ac:dyDescent="0.2">
      <c r="A418" t="str">
        <f>HYPERLINK("http://exon.niaid.nih.gov/transcriptome/C_felis/S1/links/cf/cf-contig_293.txt","cf-contig_293")</f>
        <v>cf-contig_293</v>
      </c>
      <c r="B418">
        <v>1</v>
      </c>
      <c r="C418" s="10" t="s">
        <v>4600</v>
      </c>
      <c r="D418">
        <v>1</v>
      </c>
      <c r="E418" t="str">
        <f>HYPERLINK("http://exon.niaid.nih.gov/transcriptome/C_felis/S1/links/cf/cf-5-36-asb-293.txt","Contig-293")</f>
        <v>Contig-293</v>
      </c>
      <c r="F418" t="str">
        <f>HYPERLINK("http://exon.niaid.nih.gov/transcriptome/C_felis/S1/links/cf/cf-5-36-293-CLU.txt","Contig293")</f>
        <v>Contig293</v>
      </c>
      <c r="G418" t="str">
        <f>HYPERLINK("http://exon.niaid.nih.gov/transcriptome/C_felis/S1/links/cf/cf-5-36-293-qual.txt","52.3")</f>
        <v>52.3</v>
      </c>
      <c r="H418" t="s">
        <v>11</v>
      </c>
      <c r="I418">
        <v>69.599999999999994</v>
      </c>
      <c r="J418">
        <v>60</v>
      </c>
      <c r="K418" t="s">
        <v>12</v>
      </c>
      <c r="L418">
        <v>1</v>
      </c>
      <c r="M418" t="s">
        <v>306</v>
      </c>
      <c r="N418">
        <v>60</v>
      </c>
      <c r="O418">
        <v>79</v>
      </c>
      <c r="P418">
        <v>39</v>
      </c>
      <c r="Q418" t="s">
        <v>1113</v>
      </c>
      <c r="R418">
        <v>1</v>
      </c>
      <c r="S418" s="7" t="s">
        <v>4585</v>
      </c>
      <c r="U418">
        <v>1</v>
      </c>
      <c r="V418" s="4">
        <v>235</v>
      </c>
      <c r="W418">
        <v>1</v>
      </c>
      <c r="X418" s="4">
        <v>240</v>
      </c>
      <c r="Y418">
        <v>1</v>
      </c>
      <c r="Z418" s="4">
        <v>239</v>
      </c>
      <c r="AA418">
        <v>1</v>
      </c>
      <c r="AB418" s="4" t="str">
        <f>HYPERLINK("http://exon.niaid.nih.gov/transcriptome/C_felis/S1/links/XC-ASB/cf-contig_293-XC-ASB.txt","XC-contig_27")</f>
        <v>XC-contig_27</v>
      </c>
      <c r="AC418">
        <v>0.66</v>
      </c>
      <c r="AD418" s="10" t="s">
        <v>4600</v>
      </c>
      <c r="AE418" t="s">
        <v>4601</v>
      </c>
      <c r="AI418" s="4" t="s">
        <v>42</v>
      </c>
      <c r="AJ418" t="s">
        <v>42</v>
      </c>
      <c r="AK418" t="s">
        <v>42</v>
      </c>
      <c r="AL418" t="s">
        <v>42</v>
      </c>
      <c r="AM418" t="s">
        <v>42</v>
      </c>
      <c r="AN418" t="s">
        <v>42</v>
      </c>
      <c r="AO418" t="s">
        <v>42</v>
      </c>
      <c r="AP418" t="s">
        <v>42</v>
      </c>
      <c r="AQ418" t="s">
        <v>42</v>
      </c>
      <c r="AR418" t="s">
        <v>42</v>
      </c>
      <c r="AS418" t="s">
        <v>42</v>
      </c>
      <c r="AT418" t="s">
        <v>42</v>
      </c>
      <c r="AU418" t="s">
        <v>42</v>
      </c>
      <c r="AV418" t="s">
        <v>42</v>
      </c>
      <c r="AW418" t="s">
        <v>42</v>
      </c>
      <c r="AX418" t="s">
        <v>42</v>
      </c>
      <c r="AY418" t="s">
        <v>42</v>
      </c>
      <c r="AZ418" t="s">
        <v>42</v>
      </c>
      <c r="BA418" s="4" t="str">
        <f>HYPERLINK("http://exon.niaid.nih.gov/transcriptome/C_felis/S1/links/SWISSP/cf-contig_293-SWISSP.txt","StAR-related lipid transfer protein 7, mitochondrial")</f>
        <v>StAR-related lipid transfer protein 7, mitochondrial</v>
      </c>
      <c r="BB418" t="str">
        <f>HYPERLINK("http://www.uniprot.org/uniprot/Q8R1R3","90")</f>
        <v>90</v>
      </c>
      <c r="BC418" t="s">
        <v>2708</v>
      </c>
      <c r="BD418">
        <v>25.8</v>
      </c>
      <c r="BE418">
        <v>10</v>
      </c>
      <c r="BF418">
        <v>373</v>
      </c>
      <c r="BG418">
        <v>63</v>
      </c>
      <c r="BH418">
        <v>3</v>
      </c>
      <c r="BI418">
        <v>4</v>
      </c>
      <c r="BJ418">
        <v>0</v>
      </c>
      <c r="BK418">
        <v>215</v>
      </c>
      <c r="BL418">
        <v>3</v>
      </c>
      <c r="BM418">
        <v>1</v>
      </c>
      <c r="BN418">
        <v>-3</v>
      </c>
      <c r="BO418" t="s">
        <v>12</v>
      </c>
      <c r="BQ418" t="s">
        <v>1666</v>
      </c>
      <c r="BR418" t="s">
        <v>1705</v>
      </c>
      <c r="BS418" s="4" t="str">
        <f>HYPERLINK("http://exon.niaid.nih.gov/transcriptome/C_felis/S1/links/CDD/cf-contig_293-CDD.txt","PRK11263")</f>
        <v>PRK11263</v>
      </c>
      <c r="BT418" t="str">
        <f>HYPERLINK("http://www.ncbi.nlm.nih.gov/Structure/cdd/cddsrv.cgi?uid=PRK11263&amp;version=v4.0","3.4")</f>
        <v>3.4</v>
      </c>
      <c r="BU418" t="s">
        <v>2709</v>
      </c>
      <c r="BV418" s="4" t="s">
        <v>42</v>
      </c>
      <c r="BW418" t="s">
        <v>42</v>
      </c>
      <c r="BX418" t="s">
        <v>42</v>
      </c>
      <c r="BY418" t="s">
        <v>42</v>
      </c>
      <c r="BZ418" t="s">
        <v>42</v>
      </c>
      <c r="CA418" t="s">
        <v>42</v>
      </c>
      <c r="CB418" t="s">
        <v>42</v>
      </c>
      <c r="CC418" t="s">
        <v>42</v>
      </c>
      <c r="CD418" t="s">
        <v>42</v>
      </c>
      <c r="CE418" t="s">
        <v>42</v>
      </c>
      <c r="CF418" t="s">
        <v>42</v>
      </c>
      <c r="CG418" t="s">
        <v>42</v>
      </c>
      <c r="CH418" t="s">
        <v>42</v>
      </c>
      <c r="CI418" t="s">
        <v>42</v>
      </c>
      <c r="CJ418" t="s">
        <v>42</v>
      </c>
      <c r="CK418" t="s">
        <v>42</v>
      </c>
      <c r="CL418" t="s">
        <v>42</v>
      </c>
      <c r="CM418" t="s">
        <v>42</v>
      </c>
      <c r="CN418" t="s">
        <v>42</v>
      </c>
      <c r="CO418" t="s">
        <v>42</v>
      </c>
      <c r="CP418" t="s">
        <v>42</v>
      </c>
      <c r="CQ418" t="s">
        <v>42</v>
      </c>
      <c r="CR418" t="s">
        <v>42</v>
      </c>
      <c r="CS418" s="4" t="s">
        <v>42</v>
      </c>
      <c r="CT418" t="s">
        <v>42</v>
      </c>
      <c r="CU418" t="s">
        <v>42</v>
      </c>
      <c r="CV418" s="4" t="str">
        <f>HYPERLINK("http://exon.niaid.nih.gov/transcriptome/C_felis/S1/links/PFAM/cf-contig_293-PFAM.txt","SpecificRecomb")</f>
        <v>SpecificRecomb</v>
      </c>
      <c r="CW418" t="str">
        <f>HYPERLINK("http://pfam.sanger.ac.uk/family?acc=PF10136","8.0")</f>
        <v>8.0</v>
      </c>
      <c r="CX418" s="4" t="str">
        <f>HYPERLINK("http://exon.niaid.nih.gov/transcriptome/C_felis/S1/links/SMART/cf-contig_293-SMART.txt","SHR3_chaperone")</f>
        <v>SHR3_chaperone</v>
      </c>
      <c r="CY418" t="str">
        <f>HYPERLINK("http://smart.embl-heidelberg.de/smart/do_annotation.pl?DOMAIN=SHR3_chaperone&amp;BLAST=DUMMY","4.3")</f>
        <v>4.3</v>
      </c>
      <c r="CZ418" s="4" t="s">
        <v>42</v>
      </c>
      <c r="DA418" t="s">
        <v>42</v>
      </c>
      <c r="DB418" t="s">
        <v>42</v>
      </c>
      <c r="DC418" t="s">
        <v>42</v>
      </c>
      <c r="DD418" t="s">
        <v>42</v>
      </c>
      <c r="DE418" t="s">
        <v>42</v>
      </c>
      <c r="DF418" t="s">
        <v>42</v>
      </c>
      <c r="DG418" t="s">
        <v>42</v>
      </c>
      <c r="DH418" s="4" t="s">
        <v>42</v>
      </c>
      <c r="DI418" t="s">
        <v>42</v>
      </c>
      <c r="DJ418" s="4" t="s">
        <v>42</v>
      </c>
      <c r="DK418" t="s">
        <v>42</v>
      </c>
      <c r="DL418" s="4">
        <v>235</v>
      </c>
      <c r="DM418">
        <v>1</v>
      </c>
      <c r="DN418" s="4">
        <v>240</v>
      </c>
      <c r="DO418">
        <v>1</v>
      </c>
      <c r="DP418" s="4">
        <v>239</v>
      </c>
      <c r="DQ418">
        <v>1</v>
      </c>
      <c r="DR418" s="4">
        <v>248</v>
      </c>
      <c r="DS418">
        <v>1</v>
      </c>
      <c r="DT418" s="4">
        <v>255</v>
      </c>
      <c r="DU418">
        <v>1</v>
      </c>
      <c r="DV418" s="4">
        <v>267</v>
      </c>
      <c r="DW418">
        <v>1</v>
      </c>
      <c r="DX418" s="4">
        <v>269</v>
      </c>
      <c r="DY418">
        <v>1</v>
      </c>
      <c r="DZ418" s="4">
        <v>274</v>
      </c>
      <c r="EA418">
        <v>1</v>
      </c>
      <c r="EB418" s="4">
        <v>279</v>
      </c>
      <c r="EC418">
        <v>1</v>
      </c>
      <c r="ED418" s="4">
        <v>282</v>
      </c>
      <c r="EE418">
        <v>1</v>
      </c>
      <c r="EF418" s="4">
        <v>286</v>
      </c>
      <c r="EG418">
        <v>1</v>
      </c>
      <c r="EH418" s="4">
        <v>288</v>
      </c>
      <c r="EI418">
        <v>1</v>
      </c>
      <c r="EJ418" s="4">
        <v>293</v>
      </c>
      <c r="EK418">
        <v>1</v>
      </c>
    </row>
    <row r="419" spans="1:141" x14ac:dyDescent="0.2">
      <c r="A419" t="str">
        <f>HYPERLINK("http://exon.niaid.nih.gov/transcriptome/C_felis/S1/links/cf/cf-contig_294.txt","cf-contig_294")</f>
        <v>cf-contig_294</v>
      </c>
      <c r="B419">
        <v>1</v>
      </c>
      <c r="C419" s="10" t="s">
        <v>4600</v>
      </c>
      <c r="D419">
        <v>1</v>
      </c>
      <c r="E419" t="str">
        <f>HYPERLINK("http://exon.niaid.nih.gov/transcriptome/C_felis/S1/links/cf/cf-5-36-asb-294.txt","Contig-294")</f>
        <v>Contig-294</v>
      </c>
      <c r="F419" t="str">
        <f>HYPERLINK("http://exon.niaid.nih.gov/transcriptome/C_felis/S1/links/cf/cf-5-36-294-CLU.txt","Contig294")</f>
        <v>Contig294</v>
      </c>
      <c r="G419" t="str">
        <f>HYPERLINK("http://exon.niaid.nih.gov/transcriptome/C_felis/S1/links/cf/cf-5-36-294-qual.txt","48.5")</f>
        <v>48.5</v>
      </c>
      <c r="H419">
        <v>1.1000000000000001</v>
      </c>
      <c r="I419">
        <v>67.8</v>
      </c>
      <c r="J419">
        <v>68</v>
      </c>
      <c r="K419" t="s">
        <v>12</v>
      </c>
      <c r="L419">
        <v>1</v>
      </c>
      <c r="M419" t="s">
        <v>307</v>
      </c>
      <c r="N419">
        <v>68</v>
      </c>
      <c r="O419">
        <v>87</v>
      </c>
      <c r="P419">
        <v>81</v>
      </c>
      <c r="Q419" t="s">
        <v>1114</v>
      </c>
      <c r="R419">
        <v>3</v>
      </c>
      <c r="S419" s="7" t="s">
        <v>4585</v>
      </c>
      <c r="U419">
        <v>1</v>
      </c>
      <c r="V419" s="4">
        <v>236</v>
      </c>
      <c r="W419">
        <v>1</v>
      </c>
      <c r="X419" s="4">
        <v>241</v>
      </c>
      <c r="Y419">
        <v>1</v>
      </c>
      <c r="Z419" s="4">
        <v>240</v>
      </c>
      <c r="AA419">
        <v>1</v>
      </c>
      <c r="AB419" s="4" t="str">
        <f>HYPERLINK("http://exon.niaid.nih.gov/transcriptome/C_felis/S1/links/XC-ASB/cf-contig_294-XC-ASB.txt","XC-contig_7")</f>
        <v>XC-contig_7</v>
      </c>
      <c r="AC419">
        <v>4.0000000000000001E-3</v>
      </c>
      <c r="AD419" s="10" t="s">
        <v>4600</v>
      </c>
      <c r="AE419" t="s">
        <v>4601</v>
      </c>
      <c r="AI419" s="4" t="s">
        <v>42</v>
      </c>
      <c r="AJ419" t="s">
        <v>42</v>
      </c>
      <c r="AK419" t="s">
        <v>42</v>
      </c>
      <c r="AL419" t="s">
        <v>42</v>
      </c>
      <c r="AM419" t="s">
        <v>42</v>
      </c>
      <c r="AN419" t="s">
        <v>42</v>
      </c>
      <c r="AO419" t="s">
        <v>42</v>
      </c>
      <c r="AP419" t="s">
        <v>42</v>
      </c>
      <c r="AQ419" t="s">
        <v>42</v>
      </c>
      <c r="AR419" t="s">
        <v>42</v>
      </c>
      <c r="AS419" t="s">
        <v>42</v>
      </c>
      <c r="AT419" t="s">
        <v>42</v>
      </c>
      <c r="AU419" t="s">
        <v>42</v>
      </c>
      <c r="AV419" t="s">
        <v>42</v>
      </c>
      <c r="AW419" t="s">
        <v>42</v>
      </c>
      <c r="AX419" t="s">
        <v>42</v>
      </c>
      <c r="AY419" t="s">
        <v>42</v>
      </c>
      <c r="AZ419" t="s">
        <v>42</v>
      </c>
      <c r="BA419" s="4" t="s">
        <v>42</v>
      </c>
      <c r="BB419" t="s">
        <v>42</v>
      </c>
      <c r="BC419" t="s">
        <v>42</v>
      </c>
      <c r="BD419" t="s">
        <v>42</v>
      </c>
      <c r="BE419" t="s">
        <v>42</v>
      </c>
      <c r="BF419" t="s">
        <v>42</v>
      </c>
      <c r="BG419" t="s">
        <v>42</v>
      </c>
      <c r="BH419" t="s">
        <v>42</v>
      </c>
      <c r="BI419" t="s">
        <v>42</v>
      </c>
      <c r="BJ419" t="s">
        <v>42</v>
      </c>
      <c r="BK419" t="s">
        <v>42</v>
      </c>
      <c r="BL419" t="s">
        <v>42</v>
      </c>
      <c r="BM419" t="s">
        <v>42</v>
      </c>
      <c r="BN419" t="s">
        <v>42</v>
      </c>
      <c r="BO419" t="s">
        <v>42</v>
      </c>
      <c r="BP419" t="s">
        <v>42</v>
      </c>
      <c r="BQ419" t="s">
        <v>42</v>
      </c>
      <c r="BR419" t="s">
        <v>42</v>
      </c>
      <c r="BS419" s="4" t="str">
        <f>HYPERLINK("http://exon.niaid.nih.gov/transcriptome/C_felis/S1/links/CDD/cf-contig_294-CDD.txt","ND5")</f>
        <v>ND5</v>
      </c>
      <c r="BT419" t="str">
        <f>HYPERLINK("http://www.ncbi.nlm.nih.gov/Structure/cdd/cddsrv.cgi?uid=MTH00063&amp;version=v4.0","4.5")</f>
        <v>4.5</v>
      </c>
      <c r="BU419" t="s">
        <v>2710</v>
      </c>
      <c r="BV419" s="4" t="s">
        <v>42</v>
      </c>
      <c r="BW419" t="s">
        <v>42</v>
      </c>
      <c r="BX419" t="s">
        <v>42</v>
      </c>
      <c r="BY419" t="s">
        <v>42</v>
      </c>
      <c r="BZ419" t="s">
        <v>42</v>
      </c>
      <c r="CA419" t="s">
        <v>42</v>
      </c>
      <c r="CB419" t="s">
        <v>42</v>
      </c>
      <c r="CC419" t="s">
        <v>42</v>
      </c>
      <c r="CD419" t="s">
        <v>42</v>
      </c>
      <c r="CE419" t="s">
        <v>42</v>
      </c>
      <c r="CF419" t="s">
        <v>42</v>
      </c>
      <c r="CG419" t="s">
        <v>42</v>
      </c>
      <c r="CH419" t="s">
        <v>42</v>
      </c>
      <c r="CI419" t="s">
        <v>42</v>
      </c>
      <c r="CJ419" t="s">
        <v>42</v>
      </c>
      <c r="CK419" t="s">
        <v>42</v>
      </c>
      <c r="CL419" t="s">
        <v>42</v>
      </c>
      <c r="CM419" t="s">
        <v>42</v>
      </c>
      <c r="CN419" t="s">
        <v>42</v>
      </c>
      <c r="CO419" t="s">
        <v>42</v>
      </c>
      <c r="CP419" t="s">
        <v>42</v>
      </c>
      <c r="CQ419" t="s">
        <v>42</v>
      </c>
      <c r="CR419" t="s">
        <v>42</v>
      </c>
      <c r="CS419" s="4" t="str">
        <f>HYPERLINK("http://exon.niaid.nih.gov/transcriptome/C_felis/S1/links/KOG/cf-contig_294-KOG.txt","Predicted G-protein coupled receptor")</f>
        <v>Predicted G-protein coupled receptor</v>
      </c>
      <c r="CT419" t="str">
        <f>HYPERLINK("http://www.ncbi.nlm.nih.gov/COG/grace/shokog.cgi?KOG2417","5.3")</f>
        <v>5.3</v>
      </c>
      <c r="CU419" t="s">
        <v>1780</v>
      </c>
      <c r="CV419" s="4" t="str">
        <f>HYPERLINK("http://exon.niaid.nih.gov/transcriptome/C_felis/S1/links/PFAM/cf-contig_294-PFAM.txt","YfhO")</f>
        <v>YfhO</v>
      </c>
      <c r="CW419" t="str">
        <f>HYPERLINK("http://pfam.sanger.ac.uk/family?acc=PF09586","4.8")</f>
        <v>4.8</v>
      </c>
      <c r="CX419" s="4" t="str">
        <f>HYPERLINK("http://exon.niaid.nih.gov/transcriptome/C_felis/S1/links/SMART/cf-contig_294-SMART.txt","EGF_CA")</f>
        <v>EGF_CA</v>
      </c>
      <c r="CY419" t="str">
        <f>HYPERLINK("http://smart.embl-heidelberg.de/smart/do_annotation.pl?DOMAIN=EGF_CA&amp;BLAST=DUMMY","4.5")</f>
        <v>4.5</v>
      </c>
      <c r="CZ419" s="4" t="s">
        <v>42</v>
      </c>
      <c r="DA419" t="s">
        <v>42</v>
      </c>
      <c r="DB419" t="s">
        <v>42</v>
      </c>
      <c r="DC419" t="s">
        <v>42</v>
      </c>
      <c r="DD419" t="s">
        <v>42</v>
      </c>
      <c r="DE419" t="s">
        <v>42</v>
      </c>
      <c r="DF419" t="s">
        <v>42</v>
      </c>
      <c r="DG419" t="s">
        <v>42</v>
      </c>
      <c r="DH419" s="4" t="s">
        <v>42</v>
      </c>
      <c r="DI419" t="s">
        <v>42</v>
      </c>
      <c r="DJ419" s="4" t="s">
        <v>42</v>
      </c>
      <c r="DK419" t="s">
        <v>42</v>
      </c>
      <c r="DL419" s="4">
        <v>236</v>
      </c>
      <c r="DM419">
        <v>1</v>
      </c>
      <c r="DN419" s="4">
        <v>241</v>
      </c>
      <c r="DO419">
        <v>1</v>
      </c>
      <c r="DP419" s="4">
        <v>240</v>
      </c>
      <c r="DQ419">
        <v>1</v>
      </c>
      <c r="DR419" s="4">
        <v>249</v>
      </c>
      <c r="DS419">
        <v>1</v>
      </c>
      <c r="DT419" s="4">
        <v>256</v>
      </c>
      <c r="DU419">
        <v>1</v>
      </c>
      <c r="DV419" s="4">
        <v>268</v>
      </c>
      <c r="DW419">
        <v>1</v>
      </c>
      <c r="DX419" s="4">
        <v>270</v>
      </c>
      <c r="DY419">
        <v>1</v>
      </c>
      <c r="DZ419" s="4">
        <v>275</v>
      </c>
      <c r="EA419">
        <v>1</v>
      </c>
      <c r="EB419" s="4">
        <v>280</v>
      </c>
      <c r="EC419">
        <v>1</v>
      </c>
      <c r="ED419" s="4">
        <v>283</v>
      </c>
      <c r="EE419">
        <v>1</v>
      </c>
      <c r="EF419" s="4">
        <v>287</v>
      </c>
      <c r="EG419">
        <v>1</v>
      </c>
      <c r="EH419" s="4">
        <v>289</v>
      </c>
      <c r="EI419">
        <v>1</v>
      </c>
      <c r="EJ419" s="4">
        <v>294</v>
      </c>
      <c r="EK419">
        <v>1</v>
      </c>
    </row>
    <row r="420" spans="1:141" x14ac:dyDescent="0.2">
      <c r="A420" t="str">
        <f>HYPERLINK("http://exon.niaid.nih.gov/transcriptome/C_felis/S1/links/cf/cf-contig_296.txt","cf-contig_296")</f>
        <v>cf-contig_296</v>
      </c>
      <c r="B420">
        <v>1</v>
      </c>
      <c r="C420" s="10" t="s">
        <v>4600</v>
      </c>
      <c r="D420">
        <v>1</v>
      </c>
      <c r="E420" t="str">
        <f>HYPERLINK("http://exon.niaid.nih.gov/transcriptome/C_felis/S1/links/cf/cf-5-36-asb-296.txt","Contig-296")</f>
        <v>Contig-296</v>
      </c>
      <c r="F420" t="str">
        <f>HYPERLINK("http://exon.niaid.nih.gov/transcriptome/C_felis/S1/links/cf/cf-5-36-296-CLU.txt","Contig296")</f>
        <v>Contig296</v>
      </c>
      <c r="G420" t="str">
        <f>HYPERLINK("http://exon.niaid.nih.gov/transcriptome/C_felis/S1/links/cf/cf-5-36-296-qual.txt","34.8")</f>
        <v>34.8</v>
      </c>
      <c r="H420">
        <v>2.7</v>
      </c>
      <c r="I420">
        <v>73.3</v>
      </c>
      <c r="J420">
        <v>56</v>
      </c>
      <c r="K420" t="s">
        <v>12</v>
      </c>
      <c r="L420">
        <v>1</v>
      </c>
      <c r="M420" t="s">
        <v>309</v>
      </c>
      <c r="N420">
        <v>56</v>
      </c>
      <c r="O420">
        <v>75</v>
      </c>
      <c r="P420">
        <v>72</v>
      </c>
      <c r="Q420" t="s">
        <v>1116</v>
      </c>
      <c r="R420">
        <v>1</v>
      </c>
      <c r="S420" s="7" t="s">
        <v>4585</v>
      </c>
      <c r="U420">
        <v>1</v>
      </c>
      <c r="V420" s="4">
        <v>238</v>
      </c>
      <c r="W420">
        <v>1</v>
      </c>
      <c r="X420" s="4">
        <v>243</v>
      </c>
      <c r="Y420">
        <v>1</v>
      </c>
      <c r="Z420" s="4">
        <v>242</v>
      </c>
      <c r="AA420">
        <v>1</v>
      </c>
      <c r="AB420" s="4" t="str">
        <f>HYPERLINK("http://exon.niaid.nih.gov/transcriptome/C_felis/S1/links/XC-ASB/cf-contig_296-XC-ASB.txt","XC-contig_222")</f>
        <v>XC-contig_222</v>
      </c>
      <c r="AC420">
        <v>1.2</v>
      </c>
      <c r="AD420" s="10" t="s">
        <v>4600</v>
      </c>
      <c r="AE420" t="s">
        <v>4601</v>
      </c>
      <c r="AI420" s="4" t="s">
        <v>42</v>
      </c>
      <c r="AJ420" t="s">
        <v>42</v>
      </c>
      <c r="AK420" t="s">
        <v>42</v>
      </c>
      <c r="AL420" t="s">
        <v>42</v>
      </c>
      <c r="AM420" t="s">
        <v>42</v>
      </c>
      <c r="AN420" t="s">
        <v>42</v>
      </c>
      <c r="AO420" t="s">
        <v>42</v>
      </c>
      <c r="AP420" t="s">
        <v>42</v>
      </c>
      <c r="AQ420" t="s">
        <v>42</v>
      </c>
      <c r="AR420" t="s">
        <v>42</v>
      </c>
      <c r="AS420" t="s">
        <v>42</v>
      </c>
      <c r="AT420" t="s">
        <v>42</v>
      </c>
      <c r="AU420" t="s">
        <v>42</v>
      </c>
      <c r="AV420" t="s">
        <v>42</v>
      </c>
      <c r="AW420" t="s">
        <v>42</v>
      </c>
      <c r="AX420" t="s">
        <v>42</v>
      </c>
      <c r="AY420" t="s">
        <v>42</v>
      </c>
      <c r="AZ420" t="s">
        <v>42</v>
      </c>
      <c r="BA420" s="4" t="s">
        <v>42</v>
      </c>
      <c r="BB420" t="s">
        <v>42</v>
      </c>
      <c r="BC420" t="s">
        <v>42</v>
      </c>
      <c r="BD420" t="s">
        <v>42</v>
      </c>
      <c r="BE420" t="s">
        <v>42</v>
      </c>
      <c r="BF420" t="s">
        <v>42</v>
      </c>
      <c r="BG420" t="s">
        <v>42</v>
      </c>
      <c r="BH420" t="s">
        <v>42</v>
      </c>
      <c r="BI420" t="s">
        <v>42</v>
      </c>
      <c r="BJ420" t="s">
        <v>42</v>
      </c>
      <c r="BK420" t="s">
        <v>42</v>
      </c>
      <c r="BL420" t="s">
        <v>42</v>
      </c>
      <c r="BM420" t="s">
        <v>42</v>
      </c>
      <c r="BN420" t="s">
        <v>42</v>
      </c>
      <c r="BO420" t="s">
        <v>42</v>
      </c>
      <c r="BP420" t="s">
        <v>42</v>
      </c>
      <c r="BQ420" t="s">
        <v>42</v>
      </c>
      <c r="BR420" t="s">
        <v>42</v>
      </c>
      <c r="BS420" s="4" t="str">
        <f>HYPERLINK("http://exon.niaid.nih.gov/transcriptome/C_felis/S1/links/CDD/cf-contig_296-CDD.txt","metN")</f>
        <v>metN</v>
      </c>
      <c r="BT420" t="str">
        <f>HYPERLINK("http://www.ncbi.nlm.nih.gov/Structure/cdd/cddsrv.cgi?uid=PRK11153&amp;version=v4.0","4.2")</f>
        <v>4.2</v>
      </c>
      <c r="BU420" t="s">
        <v>2714</v>
      </c>
      <c r="BV420" s="4" t="s">
        <v>42</v>
      </c>
      <c r="BW420" t="s">
        <v>42</v>
      </c>
      <c r="BX420" t="s">
        <v>42</v>
      </c>
      <c r="BY420" t="s">
        <v>42</v>
      </c>
      <c r="BZ420" t="s">
        <v>42</v>
      </c>
      <c r="CA420" t="s">
        <v>42</v>
      </c>
      <c r="CB420" t="s">
        <v>42</v>
      </c>
      <c r="CC420" t="s">
        <v>42</v>
      </c>
      <c r="CD420" t="s">
        <v>42</v>
      </c>
      <c r="CE420" t="s">
        <v>42</v>
      </c>
      <c r="CF420" t="s">
        <v>42</v>
      </c>
      <c r="CG420" t="s">
        <v>42</v>
      </c>
      <c r="CH420" t="s">
        <v>42</v>
      </c>
      <c r="CI420" t="s">
        <v>42</v>
      </c>
      <c r="CJ420" t="s">
        <v>42</v>
      </c>
      <c r="CK420" t="s">
        <v>42</v>
      </c>
      <c r="CL420" t="s">
        <v>42</v>
      </c>
      <c r="CM420" t="s">
        <v>42</v>
      </c>
      <c r="CN420" t="s">
        <v>42</v>
      </c>
      <c r="CO420" t="s">
        <v>42</v>
      </c>
      <c r="CP420" t="s">
        <v>42</v>
      </c>
      <c r="CQ420" t="s">
        <v>42</v>
      </c>
      <c r="CR420" t="s">
        <v>42</v>
      </c>
      <c r="CS420" s="4" t="s">
        <v>42</v>
      </c>
      <c r="CT420" t="s">
        <v>42</v>
      </c>
      <c r="CU420" t="s">
        <v>42</v>
      </c>
      <c r="CV420" s="4" t="str">
        <f>HYPERLINK("http://exon.niaid.nih.gov/transcriptome/C_felis/S1/links/PFAM/cf-contig_296-PFAM.txt","DUF1673")</f>
        <v>DUF1673</v>
      </c>
      <c r="CW420" t="str">
        <f>HYPERLINK("http://pfam.sanger.ac.uk/family?acc=PF07895","4.2")</f>
        <v>4.2</v>
      </c>
      <c r="CX420" s="4" t="str">
        <f>HYPERLINK("http://exon.niaid.nih.gov/transcriptome/C_felis/S1/links/SMART/cf-contig_296-SMART.txt","PGAM")</f>
        <v>PGAM</v>
      </c>
      <c r="CY420" t="str">
        <f>HYPERLINK("http://smart.embl-heidelberg.de/smart/do_annotation.pl?DOMAIN=PGAM&amp;BLAST=DUMMY","6.9")</f>
        <v>6.9</v>
      </c>
      <c r="CZ420" s="4" t="s">
        <v>42</v>
      </c>
      <c r="DA420" t="s">
        <v>42</v>
      </c>
      <c r="DB420" t="s">
        <v>42</v>
      </c>
      <c r="DC420" t="s">
        <v>42</v>
      </c>
      <c r="DD420" t="s">
        <v>42</v>
      </c>
      <c r="DE420" t="s">
        <v>42</v>
      </c>
      <c r="DF420" t="s">
        <v>42</v>
      </c>
      <c r="DG420" t="s">
        <v>42</v>
      </c>
      <c r="DH420" s="4" t="s">
        <v>42</v>
      </c>
      <c r="DI420" t="s">
        <v>42</v>
      </c>
      <c r="DJ420" s="4" t="s">
        <v>42</v>
      </c>
      <c r="DK420" t="s">
        <v>42</v>
      </c>
      <c r="DL420" s="4">
        <v>238</v>
      </c>
      <c r="DM420">
        <v>1</v>
      </c>
      <c r="DN420" s="4">
        <v>243</v>
      </c>
      <c r="DO420">
        <v>1</v>
      </c>
      <c r="DP420" s="4">
        <v>242</v>
      </c>
      <c r="DQ420">
        <v>1</v>
      </c>
      <c r="DR420" s="4">
        <v>251</v>
      </c>
      <c r="DS420">
        <v>1</v>
      </c>
      <c r="DT420" s="4">
        <v>258</v>
      </c>
      <c r="DU420">
        <v>1</v>
      </c>
      <c r="DV420" s="4">
        <v>270</v>
      </c>
      <c r="DW420">
        <v>1</v>
      </c>
      <c r="DX420" s="4">
        <v>272</v>
      </c>
      <c r="DY420">
        <v>1</v>
      </c>
      <c r="DZ420" s="4">
        <v>277</v>
      </c>
      <c r="EA420">
        <v>1</v>
      </c>
      <c r="EB420" s="4">
        <v>282</v>
      </c>
      <c r="EC420">
        <v>1</v>
      </c>
      <c r="ED420" s="4">
        <v>285</v>
      </c>
      <c r="EE420">
        <v>1</v>
      </c>
      <c r="EF420" s="4">
        <v>289</v>
      </c>
      <c r="EG420">
        <v>1</v>
      </c>
      <c r="EH420" s="4">
        <v>291</v>
      </c>
      <c r="EI420">
        <v>1</v>
      </c>
      <c r="EJ420" s="4">
        <v>296</v>
      </c>
      <c r="EK420">
        <v>1</v>
      </c>
    </row>
    <row r="421" spans="1:141" x14ac:dyDescent="0.2">
      <c r="A421" t="str">
        <f>HYPERLINK("http://exon.niaid.nih.gov/transcriptome/C_felis/S1/links/cf/cf-contig_300.txt","cf-contig_300")</f>
        <v>cf-contig_300</v>
      </c>
      <c r="B421">
        <v>1</v>
      </c>
      <c r="C421" s="10" t="s">
        <v>4600</v>
      </c>
      <c r="D421">
        <v>1</v>
      </c>
      <c r="E421" t="str">
        <f>HYPERLINK("http://exon.niaid.nih.gov/transcriptome/C_felis/S1/links/cf/cf-5-36-asb-300.txt","Contig-300")</f>
        <v>Contig-300</v>
      </c>
      <c r="F421" t="str">
        <f>HYPERLINK("http://exon.niaid.nih.gov/transcriptome/C_felis/S1/links/cf/cf-5-36-300-CLU.txt","Contig300")</f>
        <v>Contig300</v>
      </c>
      <c r="G421" t="str">
        <f>HYPERLINK("http://exon.niaid.nih.gov/transcriptome/C_felis/S1/links/cf/cf-5-36-300-qual.txt","56.3")</f>
        <v>56.3</v>
      </c>
      <c r="H421" t="s">
        <v>11</v>
      </c>
      <c r="I421">
        <v>67</v>
      </c>
      <c r="J421">
        <v>84</v>
      </c>
      <c r="K421" t="s">
        <v>12</v>
      </c>
      <c r="L421">
        <v>1</v>
      </c>
      <c r="M421" t="s">
        <v>313</v>
      </c>
      <c r="N421">
        <v>84</v>
      </c>
      <c r="O421">
        <v>103</v>
      </c>
      <c r="P421">
        <v>90</v>
      </c>
      <c r="Q421" t="s">
        <v>1120</v>
      </c>
      <c r="R421">
        <v>3</v>
      </c>
      <c r="S421" s="7" t="s">
        <v>4585</v>
      </c>
      <c r="U421">
        <v>1</v>
      </c>
      <c r="V421" s="4">
        <v>241</v>
      </c>
      <c r="W421">
        <v>1</v>
      </c>
      <c r="X421" s="4">
        <v>246</v>
      </c>
      <c r="Y421">
        <v>1</v>
      </c>
      <c r="Z421" s="4">
        <v>245</v>
      </c>
      <c r="AA421">
        <v>1</v>
      </c>
      <c r="AB421" s="4" t="str">
        <f>HYPERLINK("http://exon.niaid.nih.gov/transcriptome/C_felis/S1/links/XC-ASB/cf-contig_300-XC-ASB.txt","XC-contig_60")</f>
        <v>XC-contig_60</v>
      </c>
      <c r="AC421">
        <v>5.5E-2</v>
      </c>
      <c r="AD421" s="10" t="s">
        <v>4600</v>
      </c>
      <c r="AE421" t="s">
        <v>4601</v>
      </c>
      <c r="AI421" s="4" t="s">
        <v>42</v>
      </c>
      <c r="AJ421" t="s">
        <v>42</v>
      </c>
      <c r="AK421" t="s">
        <v>42</v>
      </c>
      <c r="AL421" t="s">
        <v>42</v>
      </c>
      <c r="AM421" t="s">
        <v>42</v>
      </c>
      <c r="AN421" t="s">
        <v>42</v>
      </c>
      <c r="AO421" t="s">
        <v>42</v>
      </c>
      <c r="AP421" t="s">
        <v>42</v>
      </c>
      <c r="AQ421" t="s">
        <v>42</v>
      </c>
      <c r="AR421" t="s">
        <v>42</v>
      </c>
      <c r="AS421" t="s">
        <v>42</v>
      </c>
      <c r="AT421" t="s">
        <v>42</v>
      </c>
      <c r="AU421" t="s">
        <v>42</v>
      </c>
      <c r="AV421" t="s">
        <v>42</v>
      </c>
      <c r="AW421" t="s">
        <v>42</v>
      </c>
      <c r="AX421" t="s">
        <v>42</v>
      </c>
      <c r="AY421" t="s">
        <v>42</v>
      </c>
      <c r="AZ421" t="s">
        <v>42</v>
      </c>
      <c r="BA421" s="4" t="str">
        <f>HYPERLINK("http://exon.niaid.nih.gov/transcriptome/C_felis/S1/links/SWISSP/cf-contig_300-SWISSP.txt","Bis(5'-nucleosyl)-tetraphosphatase, symmetrical")</f>
        <v>Bis(5'-nucleosyl)-tetraphosphatase, symmetrical</v>
      </c>
      <c r="BB421" t="str">
        <f>HYPERLINK("http://www.uniprot.org/uniprot/A1RMV0","40")</f>
        <v>40</v>
      </c>
      <c r="BC421" t="s">
        <v>2729</v>
      </c>
      <c r="BD421">
        <v>26.9</v>
      </c>
      <c r="BE421">
        <v>21</v>
      </c>
      <c r="BF421">
        <v>274</v>
      </c>
      <c r="BG421">
        <v>54</v>
      </c>
      <c r="BH421">
        <v>8</v>
      </c>
      <c r="BI421">
        <v>10</v>
      </c>
      <c r="BJ421">
        <v>0</v>
      </c>
      <c r="BK421">
        <v>140</v>
      </c>
      <c r="BL421">
        <v>18</v>
      </c>
      <c r="BM421">
        <v>1</v>
      </c>
      <c r="BN421">
        <v>3</v>
      </c>
      <c r="BO421" t="s">
        <v>12</v>
      </c>
      <c r="BQ421" t="s">
        <v>1676</v>
      </c>
      <c r="BR421" t="s">
        <v>2730</v>
      </c>
      <c r="BS421" s="4" t="s">
        <v>42</v>
      </c>
      <c r="BT421" t="s">
        <v>42</v>
      </c>
      <c r="BU421" t="s">
        <v>42</v>
      </c>
      <c r="BV421" s="4" t="s">
        <v>42</v>
      </c>
      <c r="BW421" t="s">
        <v>42</v>
      </c>
      <c r="BX421" t="s">
        <v>42</v>
      </c>
      <c r="BY421" t="s">
        <v>42</v>
      </c>
      <c r="BZ421" t="s">
        <v>42</v>
      </c>
      <c r="CA421" t="s">
        <v>42</v>
      </c>
      <c r="CB421" t="s">
        <v>42</v>
      </c>
      <c r="CC421" t="s">
        <v>42</v>
      </c>
      <c r="CD421" t="s">
        <v>42</v>
      </c>
      <c r="CE421" t="s">
        <v>42</v>
      </c>
      <c r="CF421" t="s">
        <v>42</v>
      </c>
      <c r="CG421" t="s">
        <v>42</v>
      </c>
      <c r="CH421" t="s">
        <v>42</v>
      </c>
      <c r="CI421" t="s">
        <v>42</v>
      </c>
      <c r="CJ421" t="s">
        <v>42</v>
      </c>
      <c r="CK421" t="s">
        <v>42</v>
      </c>
      <c r="CL421" t="s">
        <v>42</v>
      </c>
      <c r="CM421" t="s">
        <v>42</v>
      </c>
      <c r="CN421" t="s">
        <v>42</v>
      </c>
      <c r="CO421" t="s">
        <v>42</v>
      </c>
      <c r="CP421" t="s">
        <v>42</v>
      </c>
      <c r="CQ421" t="s">
        <v>42</v>
      </c>
      <c r="CR421" t="s">
        <v>42</v>
      </c>
      <c r="CS421" s="4" t="s">
        <v>42</v>
      </c>
      <c r="CT421" t="s">
        <v>42</v>
      </c>
      <c r="CU421" t="s">
        <v>42</v>
      </c>
      <c r="CV421" s="4" t="str">
        <f>HYPERLINK("http://exon.niaid.nih.gov/transcriptome/C_felis/S1/links/PFAM/cf-contig_300-PFAM.txt","DUF554")</f>
        <v>DUF554</v>
      </c>
      <c r="CW421" t="str">
        <f>HYPERLINK("http://pfam.sanger.ac.uk/family?acc=PF04474","2.5")</f>
        <v>2.5</v>
      </c>
      <c r="CX421" s="4" t="str">
        <f>HYPERLINK("http://exon.niaid.nih.gov/transcriptome/C_felis/S1/links/SMART/cf-contig_300-SMART.txt","LITAF")</f>
        <v>LITAF</v>
      </c>
      <c r="CY421" t="str">
        <f>HYPERLINK("http://smart.embl-heidelberg.de/smart/do_annotation.pl?DOMAIN=LITAF&amp;BLAST=DUMMY","3.1")</f>
        <v>3.1</v>
      </c>
      <c r="CZ421" s="4" t="s">
        <v>42</v>
      </c>
      <c r="DA421" t="s">
        <v>42</v>
      </c>
      <c r="DB421" t="s">
        <v>42</v>
      </c>
      <c r="DC421" t="s">
        <v>42</v>
      </c>
      <c r="DD421" t="s">
        <v>42</v>
      </c>
      <c r="DE421" t="s">
        <v>42</v>
      </c>
      <c r="DF421" t="s">
        <v>42</v>
      </c>
      <c r="DG421" t="s">
        <v>42</v>
      </c>
      <c r="DH421" s="4" t="s">
        <v>42</v>
      </c>
      <c r="DI421" t="s">
        <v>42</v>
      </c>
      <c r="DJ421" s="4" t="s">
        <v>42</v>
      </c>
      <c r="DK421" t="s">
        <v>42</v>
      </c>
      <c r="DL421" s="4">
        <v>241</v>
      </c>
      <c r="DM421">
        <v>1</v>
      </c>
      <c r="DN421" s="4">
        <v>246</v>
      </c>
      <c r="DO421">
        <v>1</v>
      </c>
      <c r="DP421" s="4">
        <v>245</v>
      </c>
      <c r="DQ421">
        <v>1</v>
      </c>
      <c r="DR421" s="4">
        <v>254</v>
      </c>
      <c r="DS421">
        <v>1</v>
      </c>
      <c r="DT421" s="4">
        <v>262</v>
      </c>
      <c r="DU421">
        <v>1</v>
      </c>
      <c r="DV421" s="4">
        <v>274</v>
      </c>
      <c r="DW421">
        <v>1</v>
      </c>
      <c r="DX421" s="4">
        <v>276</v>
      </c>
      <c r="DY421">
        <v>1</v>
      </c>
      <c r="DZ421" s="4">
        <v>281</v>
      </c>
      <c r="EA421">
        <v>1</v>
      </c>
      <c r="EB421" s="4">
        <v>286</v>
      </c>
      <c r="EC421">
        <v>1</v>
      </c>
      <c r="ED421" s="4">
        <v>289</v>
      </c>
      <c r="EE421">
        <v>1</v>
      </c>
      <c r="EF421" s="4">
        <v>293</v>
      </c>
      <c r="EG421">
        <v>1</v>
      </c>
      <c r="EH421" s="4">
        <v>295</v>
      </c>
      <c r="EI421">
        <v>1</v>
      </c>
      <c r="EJ421" s="4">
        <v>300</v>
      </c>
      <c r="EK421">
        <v>1</v>
      </c>
    </row>
    <row r="422" spans="1:141" x14ac:dyDescent="0.2">
      <c r="A422" t="str">
        <f>HYPERLINK("http://exon.niaid.nih.gov/transcriptome/C_felis/S1/links/cf/cf-contig_301.txt","cf-contig_301")</f>
        <v>cf-contig_301</v>
      </c>
      <c r="B422">
        <v>1</v>
      </c>
      <c r="C422" s="10" t="s">
        <v>4600</v>
      </c>
      <c r="D422">
        <v>1</v>
      </c>
      <c r="E422" t="str">
        <f>HYPERLINK("http://exon.niaid.nih.gov/transcriptome/C_felis/S1/links/cf/cf-5-36-asb-301.txt","Contig-301")</f>
        <v>Contig-301</v>
      </c>
      <c r="F422" t="str">
        <f>HYPERLINK("http://exon.niaid.nih.gov/transcriptome/C_felis/S1/links/cf/cf-5-36-301-CLU.txt","Contig301")</f>
        <v>Contig301</v>
      </c>
      <c r="G422" t="str">
        <f>HYPERLINK("http://exon.niaid.nih.gov/transcriptome/C_felis/S1/links/cf/cf-5-36-301-qual.txt","59.1")</f>
        <v>59.1</v>
      </c>
      <c r="H422" t="s">
        <v>11</v>
      </c>
      <c r="I422">
        <v>73.099999999999994</v>
      </c>
      <c r="J422">
        <v>156</v>
      </c>
      <c r="K422" t="s">
        <v>12</v>
      </c>
      <c r="L422">
        <v>1</v>
      </c>
      <c r="M422" t="s">
        <v>314</v>
      </c>
      <c r="N422">
        <v>156</v>
      </c>
      <c r="O422">
        <v>175</v>
      </c>
      <c r="P422">
        <v>111</v>
      </c>
      <c r="Q422" t="s">
        <v>1121</v>
      </c>
      <c r="R422">
        <v>3</v>
      </c>
      <c r="S422" s="7" t="s">
        <v>4585</v>
      </c>
      <c r="U422">
        <v>1</v>
      </c>
      <c r="V422" s="4">
        <v>242</v>
      </c>
      <c r="W422">
        <v>1</v>
      </c>
      <c r="X422" s="4">
        <v>247</v>
      </c>
      <c r="Y422">
        <v>1</v>
      </c>
      <c r="Z422" s="4">
        <v>246</v>
      </c>
      <c r="AA422">
        <v>1</v>
      </c>
      <c r="AB422" s="4" t="str">
        <f>HYPERLINK("http://exon.niaid.nih.gov/transcriptome/C_felis/S1/links/XC-ASB/cf-contig_301-XC-ASB.txt","XC-contig_103")</f>
        <v>XC-contig_103</v>
      </c>
      <c r="AC422">
        <v>3.5000000000000003E-2</v>
      </c>
      <c r="AD422" s="10" t="s">
        <v>4600</v>
      </c>
      <c r="AE422" t="s">
        <v>4601</v>
      </c>
      <c r="AI422" s="4" t="s">
        <v>42</v>
      </c>
      <c r="AJ422" t="s">
        <v>42</v>
      </c>
      <c r="AK422" t="s">
        <v>42</v>
      </c>
      <c r="AL422" t="s">
        <v>42</v>
      </c>
      <c r="AM422" t="s">
        <v>42</v>
      </c>
      <c r="AN422" t="s">
        <v>42</v>
      </c>
      <c r="AO422" t="s">
        <v>42</v>
      </c>
      <c r="AP422" t="s">
        <v>42</v>
      </c>
      <c r="AQ422" t="s">
        <v>42</v>
      </c>
      <c r="AR422" t="s">
        <v>42</v>
      </c>
      <c r="AS422" t="s">
        <v>42</v>
      </c>
      <c r="AT422" t="s">
        <v>42</v>
      </c>
      <c r="AU422" t="s">
        <v>42</v>
      </c>
      <c r="AV422" t="s">
        <v>42</v>
      </c>
      <c r="AW422" t="s">
        <v>42</v>
      </c>
      <c r="AX422" t="s">
        <v>42</v>
      </c>
      <c r="AY422" t="s">
        <v>42</v>
      </c>
      <c r="AZ422" t="s">
        <v>42</v>
      </c>
      <c r="BA422" s="4" t="str">
        <f>HYPERLINK("http://exon.niaid.nih.gov/transcriptome/C_felis/S1/links/SWISSP/cf-contig_301-SWISSP.txt","Protein ycf2")</f>
        <v>Protein ycf2</v>
      </c>
      <c r="BB422" t="str">
        <f>HYPERLINK("http://www.uniprot.org/uniprot/P09975","40")</f>
        <v>40</v>
      </c>
      <c r="BC422" t="s">
        <v>2731</v>
      </c>
      <c r="BD422">
        <v>26.9</v>
      </c>
      <c r="BE422">
        <v>26</v>
      </c>
      <c r="BF422">
        <v>2136</v>
      </c>
      <c r="BG422">
        <v>44</v>
      </c>
      <c r="BH422">
        <v>1</v>
      </c>
      <c r="BI422">
        <v>15</v>
      </c>
      <c r="BJ422">
        <v>0</v>
      </c>
      <c r="BK422">
        <v>869</v>
      </c>
      <c r="BL422">
        <v>75</v>
      </c>
      <c r="BM422">
        <v>1</v>
      </c>
      <c r="BN422">
        <v>3</v>
      </c>
      <c r="BO422" t="s">
        <v>12</v>
      </c>
      <c r="BQ422" t="s">
        <v>1676</v>
      </c>
      <c r="BR422" t="s">
        <v>2732</v>
      </c>
      <c r="BS422" s="4" t="str">
        <f>HYPERLINK("http://exon.niaid.nih.gov/transcriptome/C_felis/S1/links/CDD/cf-contig_301-CDD.txt","ND2")</f>
        <v>ND2</v>
      </c>
      <c r="BT422" t="str">
        <f>HYPERLINK("http://www.ncbi.nlm.nih.gov/Structure/cdd/cddsrv.cgi?uid=MTH00160&amp;version=v4.0","0.78")</f>
        <v>0.78</v>
      </c>
      <c r="BU422" t="s">
        <v>2733</v>
      </c>
      <c r="BV422" s="4" t="s">
        <v>42</v>
      </c>
      <c r="BW422" t="s">
        <v>42</v>
      </c>
      <c r="BX422" t="s">
        <v>42</v>
      </c>
      <c r="BY422" t="s">
        <v>42</v>
      </c>
      <c r="BZ422" t="s">
        <v>42</v>
      </c>
      <c r="CA422" t="s">
        <v>42</v>
      </c>
      <c r="CB422" t="s">
        <v>42</v>
      </c>
      <c r="CC422" t="s">
        <v>42</v>
      </c>
      <c r="CD422" t="s">
        <v>42</v>
      </c>
      <c r="CE422" t="s">
        <v>42</v>
      </c>
      <c r="CF422" t="s">
        <v>42</v>
      </c>
      <c r="CG422" t="s">
        <v>42</v>
      </c>
      <c r="CH422" t="s">
        <v>42</v>
      </c>
      <c r="CI422" t="s">
        <v>42</v>
      </c>
      <c r="CJ422" t="s">
        <v>42</v>
      </c>
      <c r="CK422" t="s">
        <v>42</v>
      </c>
      <c r="CL422" t="s">
        <v>42</v>
      </c>
      <c r="CM422" t="s">
        <v>42</v>
      </c>
      <c r="CN422" t="s">
        <v>42</v>
      </c>
      <c r="CO422" t="s">
        <v>42</v>
      </c>
      <c r="CP422" t="s">
        <v>42</v>
      </c>
      <c r="CQ422" t="s">
        <v>42</v>
      </c>
      <c r="CR422" t="s">
        <v>42</v>
      </c>
      <c r="CS422" s="4" t="str">
        <f>HYPERLINK("http://exon.niaid.nih.gov/transcriptome/C_felis/S1/links/KOG/cf-contig_301-KOG.txt","Voltage-gated Ca2+ channels, alpha1 subunits")</f>
        <v>Voltage-gated Ca2+ channels, alpha1 subunits</v>
      </c>
      <c r="CT422" t="str">
        <f>HYPERLINK("http://www.ncbi.nlm.nih.gov/COG/grace/shokog.cgi?KOG2301","2.1")</f>
        <v>2.1</v>
      </c>
      <c r="CU422" t="s">
        <v>1702</v>
      </c>
      <c r="CV422" s="4" t="str">
        <f>HYPERLINK("http://exon.niaid.nih.gov/transcriptome/C_felis/S1/links/PFAM/cf-contig_301-PFAM.txt","Sulfate_transp")</f>
        <v>Sulfate_transp</v>
      </c>
      <c r="CW422" t="str">
        <f>HYPERLINK("http://pfam.sanger.ac.uk/family?acc=PF00916","2.5")</f>
        <v>2.5</v>
      </c>
      <c r="CX422" s="4" t="str">
        <f>HYPERLINK("http://exon.niaid.nih.gov/transcriptome/C_felis/S1/links/SMART/cf-contig_301-SMART.txt","H3")</f>
        <v>H3</v>
      </c>
      <c r="CY422" t="str">
        <f>HYPERLINK("http://smart.embl-heidelberg.de/smart/do_annotation.pl?DOMAIN=H3&amp;BLAST=DUMMY","0.43")</f>
        <v>0.43</v>
      </c>
      <c r="CZ422" s="4" t="s">
        <v>42</v>
      </c>
      <c r="DA422" t="s">
        <v>42</v>
      </c>
      <c r="DB422" t="s">
        <v>42</v>
      </c>
      <c r="DC422" t="s">
        <v>42</v>
      </c>
      <c r="DD422" t="s">
        <v>42</v>
      </c>
      <c r="DE422" t="s">
        <v>42</v>
      </c>
      <c r="DF422" t="s">
        <v>42</v>
      </c>
      <c r="DG422" t="s">
        <v>42</v>
      </c>
      <c r="DH422" s="4" t="s">
        <v>42</v>
      </c>
      <c r="DI422" t="s">
        <v>42</v>
      </c>
      <c r="DJ422" s="4" t="s">
        <v>42</v>
      </c>
      <c r="DK422" t="s">
        <v>42</v>
      </c>
      <c r="DL422" s="4">
        <v>242</v>
      </c>
      <c r="DM422">
        <v>1</v>
      </c>
      <c r="DN422" s="4">
        <v>247</v>
      </c>
      <c r="DO422">
        <v>1</v>
      </c>
      <c r="DP422" s="4">
        <v>246</v>
      </c>
      <c r="DQ422">
        <v>1</v>
      </c>
      <c r="DR422" s="4">
        <v>255</v>
      </c>
      <c r="DS422">
        <v>1</v>
      </c>
      <c r="DT422" s="4">
        <v>263</v>
      </c>
      <c r="DU422">
        <v>1</v>
      </c>
      <c r="DV422" s="4">
        <v>275</v>
      </c>
      <c r="DW422">
        <v>1</v>
      </c>
      <c r="DX422" s="4">
        <v>277</v>
      </c>
      <c r="DY422">
        <v>1</v>
      </c>
      <c r="DZ422" s="4">
        <v>282</v>
      </c>
      <c r="EA422">
        <v>1</v>
      </c>
      <c r="EB422" s="4">
        <v>287</v>
      </c>
      <c r="EC422">
        <v>1</v>
      </c>
      <c r="ED422" s="4">
        <v>290</v>
      </c>
      <c r="EE422">
        <v>1</v>
      </c>
      <c r="EF422" s="4">
        <v>294</v>
      </c>
      <c r="EG422">
        <v>1</v>
      </c>
      <c r="EH422" s="4">
        <v>296</v>
      </c>
      <c r="EI422">
        <v>1</v>
      </c>
      <c r="EJ422" s="4">
        <v>301</v>
      </c>
      <c r="EK422">
        <v>1</v>
      </c>
    </row>
    <row r="423" spans="1:141" x14ac:dyDescent="0.2">
      <c r="A423" t="str">
        <f>HYPERLINK("http://exon.niaid.nih.gov/transcriptome/C_felis/S1/links/cf/cf-contig_319.txt","cf-contig_319")</f>
        <v>cf-contig_319</v>
      </c>
      <c r="B423">
        <v>1</v>
      </c>
      <c r="C423" s="10" t="s">
        <v>4600</v>
      </c>
      <c r="D423">
        <v>1</v>
      </c>
      <c r="E423" t="str">
        <f>HYPERLINK("http://exon.niaid.nih.gov/transcriptome/C_felis/S1/links/cf/cf-5-36-asb-319.txt","Contig-319")</f>
        <v>Contig-319</v>
      </c>
      <c r="F423" t="str">
        <f>HYPERLINK("http://exon.niaid.nih.gov/transcriptome/C_felis/S1/links/cf/cf-5-36-319-CLU.txt","Contig319")</f>
        <v>Contig319</v>
      </c>
      <c r="G423" t="str">
        <f>HYPERLINK("http://exon.niaid.nih.gov/transcriptome/C_felis/S1/links/cf/cf-5-36-319-qual.txt","53.8")</f>
        <v>53.8</v>
      </c>
      <c r="H423" t="s">
        <v>11</v>
      </c>
      <c r="I423">
        <v>68.599999999999994</v>
      </c>
      <c r="J423">
        <v>118</v>
      </c>
      <c r="K423" t="s">
        <v>12</v>
      </c>
      <c r="L423">
        <v>1</v>
      </c>
      <c r="M423" t="s">
        <v>332</v>
      </c>
      <c r="N423">
        <v>118</v>
      </c>
      <c r="O423">
        <v>137</v>
      </c>
      <c r="P423">
        <v>69</v>
      </c>
      <c r="Q423" t="s">
        <v>1139</v>
      </c>
      <c r="R423">
        <v>2</v>
      </c>
      <c r="S423" s="7" t="s">
        <v>4585</v>
      </c>
      <c r="U423">
        <v>1</v>
      </c>
      <c r="V423" s="4">
        <v>257</v>
      </c>
      <c r="W423">
        <v>1</v>
      </c>
      <c r="X423" s="4">
        <v>263</v>
      </c>
      <c r="Y423">
        <v>1</v>
      </c>
      <c r="Z423" s="4">
        <v>262</v>
      </c>
      <c r="AA423">
        <v>1</v>
      </c>
      <c r="AB423" s="4" t="str">
        <f>HYPERLINK("http://exon.niaid.nih.gov/transcriptome/C_felis/S1/links/XC-ASB/cf-contig_319-XC-ASB.txt","XC-contig_167")</f>
        <v>XC-contig_167</v>
      </c>
      <c r="AC423">
        <v>1.4</v>
      </c>
      <c r="AD423" s="10" t="s">
        <v>4600</v>
      </c>
      <c r="AE423" t="s">
        <v>4601</v>
      </c>
      <c r="AI423" s="4" t="s">
        <v>42</v>
      </c>
      <c r="AJ423" t="s">
        <v>42</v>
      </c>
      <c r="AK423" t="s">
        <v>42</v>
      </c>
      <c r="AL423" t="s">
        <v>42</v>
      </c>
      <c r="AM423" t="s">
        <v>42</v>
      </c>
      <c r="AN423" t="s">
        <v>42</v>
      </c>
      <c r="AO423" t="s">
        <v>42</v>
      </c>
      <c r="AP423" t="s">
        <v>42</v>
      </c>
      <c r="AQ423" t="s">
        <v>42</v>
      </c>
      <c r="AR423" t="s">
        <v>42</v>
      </c>
      <c r="AS423" t="s">
        <v>42</v>
      </c>
      <c r="AT423" t="s">
        <v>42</v>
      </c>
      <c r="AU423" t="s">
        <v>42</v>
      </c>
      <c r="AV423" t="s">
        <v>42</v>
      </c>
      <c r="AW423" t="s">
        <v>42</v>
      </c>
      <c r="AX423" t="s">
        <v>42</v>
      </c>
      <c r="AY423" t="s">
        <v>42</v>
      </c>
      <c r="AZ423" t="s">
        <v>42</v>
      </c>
      <c r="BA423" s="4" t="str">
        <f>HYPERLINK("http://exon.niaid.nih.gov/transcriptome/C_felis/S1/links/SWISSP/cf-contig_319-SWISSP.txt","DEAD-box ATP-dependent RNA helicase 34")</f>
        <v>DEAD-box ATP-dependent RNA helicase 34</v>
      </c>
      <c r="BB423" t="str">
        <f>HYPERLINK("http://www.uniprot.org/uniprot/Q10I26","23")</f>
        <v>23</v>
      </c>
      <c r="BC423" t="s">
        <v>2815</v>
      </c>
      <c r="BD423">
        <v>27.7</v>
      </c>
      <c r="BE423">
        <v>11</v>
      </c>
      <c r="BF423">
        <v>404</v>
      </c>
      <c r="BG423">
        <v>100</v>
      </c>
      <c r="BH423">
        <v>3</v>
      </c>
      <c r="BI423">
        <v>0</v>
      </c>
      <c r="BJ423">
        <v>0</v>
      </c>
      <c r="BK423">
        <v>393</v>
      </c>
      <c r="BL423">
        <v>1</v>
      </c>
      <c r="BM423">
        <v>1</v>
      </c>
      <c r="BN423">
        <v>1</v>
      </c>
      <c r="BO423" t="s">
        <v>12</v>
      </c>
      <c r="BQ423" t="s">
        <v>1676</v>
      </c>
      <c r="BR423" t="s">
        <v>2448</v>
      </c>
      <c r="BS423" s="4" t="str">
        <f>HYPERLINK("http://exon.niaid.nih.gov/transcriptome/C_felis/S1/links/CDD/cf-contig_319-CDD.txt","flgK")</f>
        <v>flgK</v>
      </c>
      <c r="BT423" t="str">
        <f>HYPERLINK("http://www.ncbi.nlm.nih.gov/Structure/cdd/cddsrv.cgi?uid=PRK06665&amp;version=v4.0","3.5")</f>
        <v>3.5</v>
      </c>
      <c r="BU423" t="s">
        <v>2816</v>
      </c>
      <c r="BV423" s="4" t="s">
        <v>42</v>
      </c>
      <c r="BW423" t="s">
        <v>42</v>
      </c>
      <c r="BX423" t="s">
        <v>42</v>
      </c>
      <c r="BY423" t="s">
        <v>42</v>
      </c>
      <c r="BZ423" t="s">
        <v>42</v>
      </c>
      <c r="CA423" t="s">
        <v>42</v>
      </c>
      <c r="CB423" t="s">
        <v>42</v>
      </c>
      <c r="CC423" t="s">
        <v>42</v>
      </c>
      <c r="CD423" t="s">
        <v>42</v>
      </c>
      <c r="CE423" t="s">
        <v>42</v>
      </c>
      <c r="CF423" t="s">
        <v>42</v>
      </c>
      <c r="CG423" t="s">
        <v>42</v>
      </c>
      <c r="CH423" t="s">
        <v>42</v>
      </c>
      <c r="CI423" t="s">
        <v>42</v>
      </c>
      <c r="CJ423" t="s">
        <v>42</v>
      </c>
      <c r="CK423" t="s">
        <v>42</v>
      </c>
      <c r="CL423" t="s">
        <v>42</v>
      </c>
      <c r="CM423" t="s">
        <v>42</v>
      </c>
      <c r="CN423" t="s">
        <v>42</v>
      </c>
      <c r="CO423" t="s">
        <v>42</v>
      </c>
      <c r="CP423" t="s">
        <v>42</v>
      </c>
      <c r="CQ423" t="s">
        <v>42</v>
      </c>
      <c r="CR423" t="s">
        <v>42</v>
      </c>
      <c r="CS423" s="4" t="str">
        <f>HYPERLINK("http://exon.niaid.nih.gov/transcriptome/C_felis/S1/links/KOG/cf-contig_319-KOG.txt","Predicted ATP-dependent RNA helicase FAL1, involved in rRNA maturation, DEAD-box superfamily")</f>
        <v>Predicted ATP-dependent RNA helicase FAL1, involved in rRNA maturation, DEAD-box superfamily</v>
      </c>
      <c r="CT423" t="str">
        <f>HYPERLINK("http://www.ncbi.nlm.nih.gov/COG/grace/shokog.cgi?KOG0328","0.24")</f>
        <v>0.24</v>
      </c>
      <c r="CU423" t="s">
        <v>1707</v>
      </c>
      <c r="CV423" s="4" t="str">
        <f>HYPERLINK("http://exon.niaid.nih.gov/transcriptome/C_felis/S1/links/PFAM/cf-contig_319-PFAM.txt","Ceramidase")</f>
        <v>Ceramidase</v>
      </c>
      <c r="CW423" t="str">
        <f>HYPERLINK("http://pfam.sanger.ac.uk/family?acc=PF05875","1.1")</f>
        <v>1.1</v>
      </c>
      <c r="CX423" s="4" t="str">
        <f>HYPERLINK("http://exon.niaid.nih.gov/transcriptome/C_felis/S1/links/SMART/cf-contig_319-SMART.txt","Cog4")</f>
        <v>Cog4</v>
      </c>
      <c r="CY423" t="str">
        <f>HYPERLINK("http://smart.embl-heidelberg.de/smart/do_annotation.pl?DOMAIN=Cog4&amp;BLAST=DUMMY","0.64")</f>
        <v>0.64</v>
      </c>
      <c r="CZ423" s="4" t="s">
        <v>42</v>
      </c>
      <c r="DA423" t="s">
        <v>42</v>
      </c>
      <c r="DB423" t="s">
        <v>42</v>
      </c>
      <c r="DC423" t="s">
        <v>42</v>
      </c>
      <c r="DD423" t="s">
        <v>42</v>
      </c>
      <c r="DE423" t="s">
        <v>42</v>
      </c>
      <c r="DF423" t="s">
        <v>42</v>
      </c>
      <c r="DG423" t="s">
        <v>42</v>
      </c>
      <c r="DH423" s="4" t="s">
        <v>42</v>
      </c>
      <c r="DI423" t="s">
        <v>42</v>
      </c>
      <c r="DJ423" s="4" t="s">
        <v>42</v>
      </c>
      <c r="DK423" t="s">
        <v>42</v>
      </c>
      <c r="DL423" s="4">
        <v>257</v>
      </c>
      <c r="DM423">
        <v>1</v>
      </c>
      <c r="DN423" s="4">
        <v>263</v>
      </c>
      <c r="DO423">
        <v>1</v>
      </c>
      <c r="DP423" s="4">
        <v>262</v>
      </c>
      <c r="DQ423">
        <v>1</v>
      </c>
      <c r="DR423" s="4">
        <v>271</v>
      </c>
      <c r="DS423">
        <v>1</v>
      </c>
      <c r="DT423" s="4">
        <v>281</v>
      </c>
      <c r="DU423">
        <v>1</v>
      </c>
      <c r="DV423" s="4">
        <v>293</v>
      </c>
      <c r="DW423">
        <v>1</v>
      </c>
      <c r="DX423" s="4">
        <v>295</v>
      </c>
      <c r="DY423">
        <v>1</v>
      </c>
      <c r="DZ423" s="4">
        <v>300</v>
      </c>
      <c r="EA423">
        <v>1</v>
      </c>
      <c r="EB423" s="4">
        <v>305</v>
      </c>
      <c r="EC423">
        <v>1</v>
      </c>
      <c r="ED423" s="4">
        <v>308</v>
      </c>
      <c r="EE423">
        <v>1</v>
      </c>
      <c r="EF423" s="4">
        <v>312</v>
      </c>
      <c r="EG423">
        <v>1</v>
      </c>
      <c r="EH423" s="4">
        <v>314</v>
      </c>
      <c r="EI423">
        <v>1</v>
      </c>
      <c r="EJ423" s="4">
        <v>319</v>
      </c>
      <c r="EK423">
        <v>1</v>
      </c>
    </row>
    <row r="424" spans="1:141" x14ac:dyDescent="0.2">
      <c r="A424" t="str">
        <f>HYPERLINK("http://exon.niaid.nih.gov/transcriptome/C_felis/S1/links/cf/cf-contig_322.txt","cf-contig_322")</f>
        <v>cf-contig_322</v>
      </c>
      <c r="B424">
        <v>1</v>
      </c>
      <c r="C424" s="10" t="s">
        <v>4600</v>
      </c>
      <c r="D424">
        <v>1</v>
      </c>
      <c r="E424" t="str">
        <f>HYPERLINK("http://exon.niaid.nih.gov/transcriptome/C_felis/S1/links/cf/cf-5-36-asb-322.txt","Contig-322")</f>
        <v>Contig-322</v>
      </c>
      <c r="F424" t="str">
        <f>HYPERLINK("http://exon.niaid.nih.gov/transcriptome/C_felis/S1/links/cf/cf-5-36-322-CLU.txt","Contig322")</f>
        <v>Contig322</v>
      </c>
      <c r="G424" t="str">
        <f>HYPERLINK("http://exon.niaid.nih.gov/transcriptome/C_felis/S1/links/cf/cf-5-36-322-qual.txt","34.3")</f>
        <v>34.3</v>
      </c>
      <c r="H424">
        <v>1.6</v>
      </c>
      <c r="I424">
        <v>68.900000000000006</v>
      </c>
      <c r="J424">
        <v>42</v>
      </c>
      <c r="K424" t="s">
        <v>12</v>
      </c>
      <c r="L424">
        <v>1</v>
      </c>
      <c r="M424" t="s">
        <v>335</v>
      </c>
      <c r="N424">
        <v>42</v>
      </c>
      <c r="O424">
        <v>61</v>
      </c>
      <c r="P424">
        <v>54</v>
      </c>
      <c r="Q424" t="s">
        <v>1142</v>
      </c>
      <c r="R424">
        <v>3</v>
      </c>
      <c r="S424" s="7" t="s">
        <v>4585</v>
      </c>
      <c r="U424">
        <v>1</v>
      </c>
      <c r="V424" s="4">
        <v>259</v>
      </c>
      <c r="W424">
        <v>1</v>
      </c>
      <c r="X424" s="4">
        <v>265</v>
      </c>
      <c r="Y424">
        <v>1</v>
      </c>
      <c r="Z424" s="4">
        <v>264</v>
      </c>
      <c r="AA424">
        <v>1</v>
      </c>
      <c r="AB424" s="4" t="s">
        <v>42</v>
      </c>
      <c r="AD424" s="10" t="s">
        <v>4600</v>
      </c>
      <c r="AE424" t="s">
        <v>4601</v>
      </c>
      <c r="AI424" s="4" t="s">
        <v>42</v>
      </c>
      <c r="AJ424" t="s">
        <v>42</v>
      </c>
      <c r="AK424" t="s">
        <v>42</v>
      </c>
      <c r="AL424" t="s">
        <v>42</v>
      </c>
      <c r="AM424" t="s">
        <v>42</v>
      </c>
      <c r="AN424" t="s">
        <v>42</v>
      </c>
      <c r="AO424" t="s">
        <v>42</v>
      </c>
      <c r="AP424" t="s">
        <v>42</v>
      </c>
      <c r="AQ424" t="s">
        <v>42</v>
      </c>
      <c r="AR424" t="s">
        <v>42</v>
      </c>
      <c r="AS424" t="s">
        <v>42</v>
      </c>
      <c r="AT424" t="s">
        <v>42</v>
      </c>
      <c r="AU424" t="s">
        <v>42</v>
      </c>
      <c r="AV424" t="s">
        <v>42</v>
      </c>
      <c r="AW424" t="s">
        <v>42</v>
      </c>
      <c r="AX424" t="s">
        <v>42</v>
      </c>
      <c r="AY424" t="s">
        <v>42</v>
      </c>
      <c r="AZ424" t="s">
        <v>42</v>
      </c>
      <c r="BA424" s="4" t="s">
        <v>42</v>
      </c>
      <c r="BB424" t="s">
        <v>42</v>
      </c>
      <c r="BC424" t="s">
        <v>42</v>
      </c>
      <c r="BD424" t="s">
        <v>42</v>
      </c>
      <c r="BE424" t="s">
        <v>42</v>
      </c>
      <c r="BF424" t="s">
        <v>42</v>
      </c>
      <c r="BG424" t="s">
        <v>42</v>
      </c>
      <c r="BH424" t="s">
        <v>42</v>
      </c>
      <c r="BI424" t="s">
        <v>42</v>
      </c>
      <c r="BJ424" t="s">
        <v>42</v>
      </c>
      <c r="BK424" t="s">
        <v>42</v>
      </c>
      <c r="BL424" t="s">
        <v>42</v>
      </c>
      <c r="BM424" t="s">
        <v>42</v>
      </c>
      <c r="BN424" t="s">
        <v>42</v>
      </c>
      <c r="BO424" t="s">
        <v>42</v>
      </c>
      <c r="BP424" t="s">
        <v>42</v>
      </c>
      <c r="BQ424" t="s">
        <v>42</v>
      </c>
      <c r="BR424" t="s">
        <v>42</v>
      </c>
      <c r="BS424" s="4" t="s">
        <v>42</v>
      </c>
      <c r="BT424" t="s">
        <v>42</v>
      </c>
      <c r="BU424" t="s">
        <v>42</v>
      </c>
      <c r="BV424" s="4" t="s">
        <v>42</v>
      </c>
      <c r="BW424" t="s">
        <v>42</v>
      </c>
      <c r="BX424" t="s">
        <v>42</v>
      </c>
      <c r="BY424" t="s">
        <v>42</v>
      </c>
      <c r="BZ424" t="s">
        <v>42</v>
      </c>
      <c r="CA424" t="s">
        <v>42</v>
      </c>
      <c r="CB424" t="s">
        <v>42</v>
      </c>
      <c r="CC424" t="s">
        <v>42</v>
      </c>
      <c r="CD424" t="s">
        <v>42</v>
      </c>
      <c r="CE424" t="s">
        <v>42</v>
      </c>
      <c r="CF424" t="s">
        <v>42</v>
      </c>
      <c r="CG424" t="s">
        <v>42</v>
      </c>
      <c r="CH424" t="s">
        <v>42</v>
      </c>
      <c r="CI424" t="s">
        <v>42</v>
      </c>
      <c r="CJ424" t="s">
        <v>42</v>
      </c>
      <c r="CK424" t="s">
        <v>42</v>
      </c>
      <c r="CL424" t="s">
        <v>42</v>
      </c>
      <c r="CM424" t="s">
        <v>42</v>
      </c>
      <c r="CN424" t="s">
        <v>42</v>
      </c>
      <c r="CO424" t="s">
        <v>42</v>
      </c>
      <c r="CP424" t="s">
        <v>42</v>
      </c>
      <c r="CQ424" t="s">
        <v>42</v>
      </c>
      <c r="CR424" t="s">
        <v>42</v>
      </c>
      <c r="CS424" s="4" t="s">
        <v>42</v>
      </c>
      <c r="CT424" t="s">
        <v>42</v>
      </c>
      <c r="CU424" t="s">
        <v>42</v>
      </c>
      <c r="CV424" s="4" t="str">
        <f>HYPERLINK("http://exon.niaid.nih.gov/transcriptome/C_felis/S1/links/PFAM/cf-contig_322-PFAM.txt","DUF763")</f>
        <v>DUF763</v>
      </c>
      <c r="CW424" t="str">
        <f>HYPERLINK("http://pfam.sanger.ac.uk/family?acc=PF05559","4.1")</f>
        <v>4.1</v>
      </c>
      <c r="CX424" s="4" t="str">
        <f>HYPERLINK("http://exon.niaid.nih.gov/transcriptome/C_felis/S1/links/SMART/cf-contig_322-SMART.txt","AICARFT_IMPCHas")</f>
        <v>AICARFT_IMPCHas</v>
      </c>
      <c r="CY424" t="str">
        <f>HYPERLINK("http://smart.embl-heidelberg.de/smart/do_annotation.pl?DOMAIN=AICARFT_IMPCHas&amp;BLAST=DUMMY","5.3")</f>
        <v>5.3</v>
      </c>
      <c r="CZ424" s="4" t="s">
        <v>42</v>
      </c>
      <c r="DA424" t="s">
        <v>42</v>
      </c>
      <c r="DB424" t="s">
        <v>42</v>
      </c>
      <c r="DC424" t="s">
        <v>42</v>
      </c>
      <c r="DD424" t="s">
        <v>42</v>
      </c>
      <c r="DE424" t="s">
        <v>42</v>
      </c>
      <c r="DF424" t="s">
        <v>42</v>
      </c>
      <c r="DG424" t="s">
        <v>42</v>
      </c>
      <c r="DH424" s="4" t="s">
        <v>42</v>
      </c>
      <c r="DI424" t="s">
        <v>42</v>
      </c>
      <c r="DJ424" s="4" t="s">
        <v>42</v>
      </c>
      <c r="DK424" t="s">
        <v>42</v>
      </c>
      <c r="DL424" s="4">
        <v>259</v>
      </c>
      <c r="DM424">
        <v>1</v>
      </c>
      <c r="DN424" s="4">
        <v>265</v>
      </c>
      <c r="DO424">
        <v>1</v>
      </c>
      <c r="DP424" s="4">
        <v>264</v>
      </c>
      <c r="DQ424">
        <v>1</v>
      </c>
      <c r="DR424" s="4">
        <v>273</v>
      </c>
      <c r="DS424">
        <v>1</v>
      </c>
      <c r="DT424" s="4">
        <v>283</v>
      </c>
      <c r="DU424">
        <v>1</v>
      </c>
      <c r="DV424" s="4">
        <v>295</v>
      </c>
      <c r="DW424">
        <v>1</v>
      </c>
      <c r="DX424" s="4">
        <v>297</v>
      </c>
      <c r="DY424">
        <v>1</v>
      </c>
      <c r="DZ424" s="4">
        <v>302</v>
      </c>
      <c r="EA424">
        <v>1</v>
      </c>
      <c r="EB424" s="4">
        <v>307</v>
      </c>
      <c r="EC424">
        <v>1</v>
      </c>
      <c r="ED424" s="4">
        <v>311</v>
      </c>
      <c r="EE424">
        <v>1</v>
      </c>
      <c r="EF424" s="4">
        <v>315</v>
      </c>
      <c r="EG424">
        <v>1</v>
      </c>
      <c r="EH424" s="4">
        <v>317</v>
      </c>
      <c r="EI424">
        <v>1</v>
      </c>
      <c r="EJ424" s="4">
        <v>322</v>
      </c>
      <c r="EK424">
        <v>1</v>
      </c>
    </row>
    <row r="425" spans="1:141" x14ac:dyDescent="0.2">
      <c r="A425" t="str">
        <f>HYPERLINK("http://exon.niaid.nih.gov/transcriptome/C_felis/S1/links/cf/cf-contig_326.txt","cf-contig_326")</f>
        <v>cf-contig_326</v>
      </c>
      <c r="B425">
        <v>1</v>
      </c>
      <c r="C425" s="10" t="s">
        <v>4600</v>
      </c>
      <c r="D425">
        <v>1</v>
      </c>
      <c r="E425" t="str">
        <f>HYPERLINK("http://exon.niaid.nih.gov/transcriptome/C_felis/S1/links/cf/cf-5-36-asb-326.txt","Contig-326")</f>
        <v>Contig-326</v>
      </c>
      <c r="F425" t="str">
        <f>HYPERLINK("http://exon.niaid.nih.gov/transcriptome/C_felis/S1/links/cf/cf-5-36-326-CLU.txt","Contig326")</f>
        <v>Contig326</v>
      </c>
      <c r="G425" t="str">
        <f>HYPERLINK("http://exon.niaid.nih.gov/transcriptome/C_felis/S1/links/cf/cf-5-36-326-qual.txt","34.")</f>
        <v>34.</v>
      </c>
      <c r="H425" t="s">
        <v>11</v>
      </c>
      <c r="I425">
        <v>67.400000000000006</v>
      </c>
      <c r="J425">
        <v>76</v>
      </c>
      <c r="K425" t="s">
        <v>12</v>
      </c>
      <c r="L425">
        <v>1</v>
      </c>
      <c r="M425" t="s">
        <v>339</v>
      </c>
      <c r="N425">
        <v>76</v>
      </c>
      <c r="O425">
        <v>95</v>
      </c>
      <c r="P425">
        <v>60</v>
      </c>
      <c r="Q425" t="s">
        <v>1146</v>
      </c>
      <c r="R425">
        <v>1</v>
      </c>
      <c r="S425" s="7" t="s">
        <v>4585</v>
      </c>
      <c r="U425">
        <v>1</v>
      </c>
      <c r="V425" s="4">
        <v>263</v>
      </c>
      <c r="W425">
        <v>1</v>
      </c>
      <c r="X425" s="4">
        <v>269</v>
      </c>
      <c r="Y425">
        <v>1</v>
      </c>
      <c r="Z425" s="4">
        <v>268</v>
      </c>
      <c r="AA425">
        <v>1</v>
      </c>
      <c r="AB425" s="4" t="str">
        <f>HYPERLINK("http://exon.niaid.nih.gov/transcriptome/C_felis/S1/links/XC-ASB/cf-contig_326-XC-ASB.txt","XC-contig_193")</f>
        <v>XC-contig_193</v>
      </c>
      <c r="AC425">
        <v>9.5000000000000001E-2</v>
      </c>
      <c r="AD425" s="10" t="s">
        <v>4600</v>
      </c>
      <c r="AE425" t="s">
        <v>4601</v>
      </c>
      <c r="AI425" s="4" t="s">
        <v>42</v>
      </c>
      <c r="AJ425" t="s">
        <v>42</v>
      </c>
      <c r="AK425" t="s">
        <v>42</v>
      </c>
      <c r="AL425" t="s">
        <v>42</v>
      </c>
      <c r="AM425" t="s">
        <v>42</v>
      </c>
      <c r="AN425" t="s">
        <v>42</v>
      </c>
      <c r="AO425" t="s">
        <v>42</v>
      </c>
      <c r="AP425" t="s">
        <v>42</v>
      </c>
      <c r="AQ425" t="s">
        <v>42</v>
      </c>
      <c r="AR425" t="s">
        <v>42</v>
      </c>
      <c r="AS425" t="s">
        <v>42</v>
      </c>
      <c r="AT425" t="s">
        <v>42</v>
      </c>
      <c r="AU425" t="s">
        <v>42</v>
      </c>
      <c r="AV425" t="s">
        <v>42</v>
      </c>
      <c r="AW425" t="s">
        <v>42</v>
      </c>
      <c r="AX425" t="s">
        <v>42</v>
      </c>
      <c r="AY425" t="s">
        <v>42</v>
      </c>
      <c r="AZ425" t="s">
        <v>42</v>
      </c>
      <c r="BA425" s="4" t="s">
        <v>42</v>
      </c>
      <c r="BB425" t="s">
        <v>42</v>
      </c>
      <c r="BC425" t="s">
        <v>42</v>
      </c>
      <c r="BD425" t="s">
        <v>42</v>
      </c>
      <c r="BE425" t="s">
        <v>42</v>
      </c>
      <c r="BF425" t="s">
        <v>42</v>
      </c>
      <c r="BG425" t="s">
        <v>42</v>
      </c>
      <c r="BH425" t="s">
        <v>42</v>
      </c>
      <c r="BI425" t="s">
        <v>42</v>
      </c>
      <c r="BJ425" t="s">
        <v>42</v>
      </c>
      <c r="BK425" t="s">
        <v>42</v>
      </c>
      <c r="BL425" t="s">
        <v>42</v>
      </c>
      <c r="BM425" t="s">
        <v>42</v>
      </c>
      <c r="BN425" t="s">
        <v>42</v>
      </c>
      <c r="BO425" t="s">
        <v>42</v>
      </c>
      <c r="BP425" t="s">
        <v>42</v>
      </c>
      <c r="BQ425" t="s">
        <v>42</v>
      </c>
      <c r="BR425" t="s">
        <v>42</v>
      </c>
      <c r="BS425" s="4" t="str">
        <f>HYPERLINK("http://exon.niaid.nih.gov/transcriptome/C_felis/S1/links/CDD/cf-contig_326-CDD.txt","PHA02735")</f>
        <v>PHA02735</v>
      </c>
      <c r="BT425" t="str">
        <f>HYPERLINK("http://www.ncbi.nlm.nih.gov/Structure/cdd/cddsrv.cgi?uid=PHA02735&amp;version=v4.0","2.9")</f>
        <v>2.9</v>
      </c>
      <c r="BU425" t="s">
        <v>2848</v>
      </c>
      <c r="BV425" s="4" t="s">
        <v>42</v>
      </c>
      <c r="BW425" t="s">
        <v>42</v>
      </c>
      <c r="BX425" t="s">
        <v>42</v>
      </c>
      <c r="BY425" t="s">
        <v>42</v>
      </c>
      <c r="BZ425" t="s">
        <v>42</v>
      </c>
      <c r="CA425" t="s">
        <v>42</v>
      </c>
      <c r="CB425" t="s">
        <v>42</v>
      </c>
      <c r="CC425" t="s">
        <v>42</v>
      </c>
      <c r="CD425" t="s">
        <v>42</v>
      </c>
      <c r="CE425" t="s">
        <v>42</v>
      </c>
      <c r="CF425" t="s">
        <v>42</v>
      </c>
      <c r="CG425" t="s">
        <v>42</v>
      </c>
      <c r="CH425" t="s">
        <v>42</v>
      </c>
      <c r="CI425" t="s">
        <v>42</v>
      </c>
      <c r="CJ425" t="s">
        <v>42</v>
      </c>
      <c r="CK425" t="s">
        <v>42</v>
      </c>
      <c r="CL425" t="s">
        <v>42</v>
      </c>
      <c r="CM425" t="s">
        <v>42</v>
      </c>
      <c r="CN425" t="s">
        <v>42</v>
      </c>
      <c r="CO425" t="s">
        <v>42</v>
      </c>
      <c r="CP425" t="s">
        <v>42</v>
      </c>
      <c r="CQ425" t="s">
        <v>42</v>
      </c>
      <c r="CR425" t="s">
        <v>42</v>
      </c>
      <c r="CS425" s="4" t="s">
        <v>42</v>
      </c>
      <c r="CT425" t="s">
        <v>42</v>
      </c>
      <c r="CU425" t="s">
        <v>42</v>
      </c>
      <c r="CV425" s="4" t="str">
        <f>HYPERLINK("http://exon.niaid.nih.gov/transcriptome/C_felis/S1/links/PFAM/cf-contig_326-PFAM.txt","DNA_pol_B_2")</f>
        <v>DNA_pol_B_2</v>
      </c>
      <c r="CW425" t="str">
        <f>HYPERLINK("http://pfam.sanger.ac.uk/family?acc=PF03175","1.3")</f>
        <v>1.3</v>
      </c>
      <c r="CX425" s="4" t="str">
        <f>HYPERLINK("http://exon.niaid.nih.gov/transcriptome/C_felis/S1/links/SMART/cf-contig_326-SMART.txt","CNX")</f>
        <v>CNX</v>
      </c>
      <c r="CY425" t="str">
        <f>HYPERLINK("http://smart.embl-heidelberg.de/smart/do_annotation.pl?DOMAIN=CNX&amp;BLAST=DUMMY","0.99")</f>
        <v>0.99</v>
      </c>
      <c r="CZ425" s="4" t="s">
        <v>42</v>
      </c>
      <c r="DA425" t="s">
        <v>42</v>
      </c>
      <c r="DB425" t="s">
        <v>42</v>
      </c>
      <c r="DC425" t="s">
        <v>42</v>
      </c>
      <c r="DD425" t="s">
        <v>42</v>
      </c>
      <c r="DE425" t="s">
        <v>42</v>
      </c>
      <c r="DF425" t="s">
        <v>42</v>
      </c>
      <c r="DG425" t="s">
        <v>42</v>
      </c>
      <c r="DH425" s="4" t="s">
        <v>42</v>
      </c>
      <c r="DI425" t="s">
        <v>42</v>
      </c>
      <c r="DJ425" s="4" t="s">
        <v>42</v>
      </c>
      <c r="DK425" t="s">
        <v>42</v>
      </c>
      <c r="DL425" s="4">
        <v>263</v>
      </c>
      <c r="DM425">
        <v>1</v>
      </c>
      <c r="DN425" s="4">
        <v>269</v>
      </c>
      <c r="DO425">
        <v>1</v>
      </c>
      <c r="DP425" s="4">
        <v>268</v>
      </c>
      <c r="DQ425">
        <v>1</v>
      </c>
      <c r="DR425" s="4">
        <v>277</v>
      </c>
      <c r="DS425">
        <v>1</v>
      </c>
      <c r="DT425" s="4">
        <v>287</v>
      </c>
      <c r="DU425">
        <v>1</v>
      </c>
      <c r="DV425" s="4">
        <v>299</v>
      </c>
      <c r="DW425">
        <v>1</v>
      </c>
      <c r="DX425" s="4">
        <v>301</v>
      </c>
      <c r="DY425">
        <v>1</v>
      </c>
      <c r="DZ425" s="4">
        <v>306</v>
      </c>
      <c r="EA425">
        <v>1</v>
      </c>
      <c r="EB425" s="4">
        <v>311</v>
      </c>
      <c r="EC425">
        <v>1</v>
      </c>
      <c r="ED425" s="4">
        <v>315</v>
      </c>
      <c r="EE425">
        <v>1</v>
      </c>
      <c r="EF425" s="4">
        <v>319</v>
      </c>
      <c r="EG425">
        <v>1</v>
      </c>
      <c r="EH425" s="4">
        <v>321</v>
      </c>
      <c r="EI425">
        <v>1</v>
      </c>
      <c r="EJ425" s="4">
        <v>326</v>
      </c>
      <c r="EK425">
        <v>1</v>
      </c>
    </row>
    <row r="426" spans="1:141" x14ac:dyDescent="0.2">
      <c r="A426" t="str">
        <f>HYPERLINK("http://exon.niaid.nih.gov/transcriptome/C_felis/S1/links/cf/cf-contig_332.txt","cf-contig_332")</f>
        <v>cf-contig_332</v>
      </c>
      <c r="B426">
        <v>1</v>
      </c>
      <c r="C426" s="10" t="s">
        <v>4600</v>
      </c>
      <c r="D426">
        <v>1</v>
      </c>
      <c r="E426" t="str">
        <f>HYPERLINK("http://exon.niaid.nih.gov/transcriptome/C_felis/S1/links/cf/cf-5-36-asb-332.txt","Contig-332")</f>
        <v>Contig-332</v>
      </c>
      <c r="F426" t="str">
        <f>HYPERLINK("http://exon.niaid.nih.gov/transcriptome/C_felis/S1/links/cf/cf-5-36-332-CLU.txt","Contig332")</f>
        <v>Contig332</v>
      </c>
      <c r="G426" t="str">
        <f>HYPERLINK("http://exon.niaid.nih.gov/transcriptome/C_felis/S1/links/cf/cf-5-36-332-qual.txt","22.5")</f>
        <v>22.5</v>
      </c>
      <c r="H426" t="s">
        <v>11</v>
      </c>
      <c r="I426">
        <v>52.5</v>
      </c>
      <c r="J426">
        <v>40</v>
      </c>
      <c r="K426" t="s">
        <v>12</v>
      </c>
      <c r="L426">
        <v>1</v>
      </c>
      <c r="M426" t="s">
        <v>345</v>
      </c>
      <c r="N426">
        <v>40</v>
      </c>
      <c r="O426">
        <v>59</v>
      </c>
      <c r="P426">
        <v>57</v>
      </c>
      <c r="Q426" t="s">
        <v>1152</v>
      </c>
      <c r="R426">
        <v>1</v>
      </c>
      <c r="S426" s="7" t="s">
        <v>4585</v>
      </c>
      <c r="U426">
        <v>1</v>
      </c>
      <c r="V426" s="4">
        <v>268</v>
      </c>
      <c r="W426">
        <v>1</v>
      </c>
      <c r="X426" s="4">
        <v>274</v>
      </c>
      <c r="Y426">
        <v>1</v>
      </c>
      <c r="Z426" s="4">
        <v>273</v>
      </c>
      <c r="AA426">
        <v>1</v>
      </c>
      <c r="AB426" s="4" t="str">
        <f>HYPERLINK("http://exon.niaid.nih.gov/transcriptome/C_felis/S1/links/XC-ASB/cf-contig_332-XC-ASB.txt","XC-contig_79")</f>
        <v>XC-contig_79</v>
      </c>
      <c r="AC426">
        <v>0.6</v>
      </c>
      <c r="AD426" s="10" t="s">
        <v>4600</v>
      </c>
      <c r="AE426" t="s">
        <v>4601</v>
      </c>
      <c r="AI426" s="4" t="s">
        <v>42</v>
      </c>
      <c r="AJ426" t="s">
        <v>42</v>
      </c>
      <c r="AK426" t="s">
        <v>42</v>
      </c>
      <c r="AL426" t="s">
        <v>42</v>
      </c>
      <c r="AM426" t="s">
        <v>42</v>
      </c>
      <c r="AN426" t="s">
        <v>42</v>
      </c>
      <c r="AO426" t="s">
        <v>42</v>
      </c>
      <c r="AP426" t="s">
        <v>42</v>
      </c>
      <c r="AQ426" t="s">
        <v>42</v>
      </c>
      <c r="AR426" t="s">
        <v>42</v>
      </c>
      <c r="AS426" t="s">
        <v>42</v>
      </c>
      <c r="AT426" t="s">
        <v>42</v>
      </c>
      <c r="AU426" t="s">
        <v>42</v>
      </c>
      <c r="AV426" t="s">
        <v>42</v>
      </c>
      <c r="AW426" t="s">
        <v>42</v>
      </c>
      <c r="AX426" t="s">
        <v>42</v>
      </c>
      <c r="AY426" t="s">
        <v>42</v>
      </c>
      <c r="AZ426" t="s">
        <v>42</v>
      </c>
      <c r="BA426" s="4" t="s">
        <v>42</v>
      </c>
      <c r="BB426" t="s">
        <v>42</v>
      </c>
      <c r="BC426" t="s">
        <v>42</v>
      </c>
      <c r="BD426" t="s">
        <v>42</v>
      </c>
      <c r="BE426" t="s">
        <v>42</v>
      </c>
      <c r="BF426" t="s">
        <v>42</v>
      </c>
      <c r="BG426" t="s">
        <v>42</v>
      </c>
      <c r="BH426" t="s">
        <v>42</v>
      </c>
      <c r="BI426" t="s">
        <v>42</v>
      </c>
      <c r="BJ426" t="s">
        <v>42</v>
      </c>
      <c r="BK426" t="s">
        <v>42</v>
      </c>
      <c r="BL426" t="s">
        <v>42</v>
      </c>
      <c r="BM426" t="s">
        <v>42</v>
      </c>
      <c r="BN426" t="s">
        <v>42</v>
      </c>
      <c r="BO426" t="s">
        <v>42</v>
      </c>
      <c r="BP426" t="s">
        <v>42</v>
      </c>
      <c r="BQ426" t="s">
        <v>42</v>
      </c>
      <c r="BR426" t="s">
        <v>42</v>
      </c>
      <c r="BS426" s="4" t="s">
        <v>42</v>
      </c>
      <c r="BT426" t="s">
        <v>42</v>
      </c>
      <c r="BU426" t="s">
        <v>42</v>
      </c>
      <c r="BV426" s="4" t="s">
        <v>42</v>
      </c>
      <c r="BW426" t="s">
        <v>42</v>
      </c>
      <c r="BX426" t="s">
        <v>42</v>
      </c>
      <c r="BY426" t="s">
        <v>42</v>
      </c>
      <c r="BZ426" t="s">
        <v>42</v>
      </c>
      <c r="CA426" t="s">
        <v>42</v>
      </c>
      <c r="CB426" t="s">
        <v>42</v>
      </c>
      <c r="CC426" t="s">
        <v>42</v>
      </c>
      <c r="CD426" t="s">
        <v>42</v>
      </c>
      <c r="CE426" t="s">
        <v>42</v>
      </c>
      <c r="CF426" t="s">
        <v>42</v>
      </c>
      <c r="CG426" t="s">
        <v>42</v>
      </c>
      <c r="CH426" t="s">
        <v>42</v>
      </c>
      <c r="CI426" t="s">
        <v>42</v>
      </c>
      <c r="CJ426" t="s">
        <v>42</v>
      </c>
      <c r="CK426" t="s">
        <v>42</v>
      </c>
      <c r="CL426" t="s">
        <v>42</v>
      </c>
      <c r="CM426" t="s">
        <v>42</v>
      </c>
      <c r="CN426" t="s">
        <v>42</v>
      </c>
      <c r="CO426" t="s">
        <v>42</v>
      </c>
      <c r="CP426" t="s">
        <v>42</v>
      </c>
      <c r="CQ426" t="s">
        <v>42</v>
      </c>
      <c r="CR426" t="s">
        <v>42</v>
      </c>
      <c r="CS426" s="4" t="s">
        <v>42</v>
      </c>
      <c r="CT426" t="s">
        <v>42</v>
      </c>
      <c r="CU426" t="s">
        <v>42</v>
      </c>
      <c r="CV426" s="4" t="str">
        <f>HYPERLINK("http://exon.niaid.nih.gov/transcriptome/C_felis/S1/links/PFAM/cf-contig_332-PFAM.txt","ThylakoidFormat")</f>
        <v>ThylakoidFormat</v>
      </c>
      <c r="CW426" t="str">
        <f>HYPERLINK("http://pfam.sanger.ac.uk/family?acc=PF11264","2.7")</f>
        <v>2.7</v>
      </c>
      <c r="CX426" s="4" t="str">
        <f>HYPERLINK("http://exon.niaid.nih.gov/transcriptome/C_felis/S1/links/SMART/cf-contig_332-SMART.txt","MltA")</f>
        <v>MltA</v>
      </c>
      <c r="CY426" t="str">
        <f>HYPERLINK("http://smart.embl-heidelberg.de/smart/do_annotation.pl?DOMAIN=MltA&amp;BLAST=DUMMY","1.9")</f>
        <v>1.9</v>
      </c>
      <c r="CZ426" s="4" t="s">
        <v>42</v>
      </c>
      <c r="DA426" t="s">
        <v>42</v>
      </c>
      <c r="DB426" t="s">
        <v>42</v>
      </c>
      <c r="DC426" t="s">
        <v>42</v>
      </c>
      <c r="DD426" t="s">
        <v>42</v>
      </c>
      <c r="DE426" t="s">
        <v>42</v>
      </c>
      <c r="DF426" t="s">
        <v>42</v>
      </c>
      <c r="DG426" t="s">
        <v>42</v>
      </c>
      <c r="DH426" s="4" t="s">
        <v>42</v>
      </c>
      <c r="DI426" t="s">
        <v>42</v>
      </c>
      <c r="DJ426" s="4" t="s">
        <v>42</v>
      </c>
      <c r="DK426" t="s">
        <v>42</v>
      </c>
      <c r="DL426" s="4">
        <v>268</v>
      </c>
      <c r="DM426">
        <v>1</v>
      </c>
      <c r="DN426" s="4">
        <v>274</v>
      </c>
      <c r="DO426">
        <v>1</v>
      </c>
      <c r="DP426" s="4">
        <v>273</v>
      </c>
      <c r="DQ426">
        <v>1</v>
      </c>
      <c r="DR426" s="4">
        <v>282</v>
      </c>
      <c r="DS426">
        <v>1</v>
      </c>
      <c r="DT426" s="4">
        <v>292</v>
      </c>
      <c r="DU426">
        <v>1</v>
      </c>
      <c r="DV426" s="4">
        <v>304</v>
      </c>
      <c r="DW426">
        <v>1</v>
      </c>
      <c r="DX426" s="4">
        <v>306</v>
      </c>
      <c r="DY426">
        <v>1</v>
      </c>
      <c r="DZ426" s="4">
        <v>311</v>
      </c>
      <c r="EA426">
        <v>1</v>
      </c>
      <c r="EB426" s="4">
        <v>316</v>
      </c>
      <c r="EC426">
        <v>1</v>
      </c>
      <c r="ED426" s="4">
        <v>320</v>
      </c>
      <c r="EE426">
        <v>1</v>
      </c>
      <c r="EF426" s="4">
        <v>325</v>
      </c>
      <c r="EG426">
        <v>1</v>
      </c>
      <c r="EH426" s="4">
        <v>327</v>
      </c>
      <c r="EI426">
        <v>1</v>
      </c>
      <c r="EJ426" s="4">
        <v>332</v>
      </c>
      <c r="EK426">
        <v>1</v>
      </c>
    </row>
    <row r="427" spans="1:141" x14ac:dyDescent="0.2">
      <c r="A427" t="str">
        <f>HYPERLINK("http://exon.niaid.nih.gov/transcriptome/C_felis/S1/links/cf/cf-contig_333.txt","cf-contig_333")</f>
        <v>cf-contig_333</v>
      </c>
      <c r="B427">
        <v>1</v>
      </c>
      <c r="C427" s="10" t="s">
        <v>4600</v>
      </c>
      <c r="D427">
        <v>1</v>
      </c>
      <c r="E427" t="str">
        <f>HYPERLINK("http://exon.niaid.nih.gov/transcriptome/C_felis/S1/links/cf/cf-5-36-asb-333.txt","Contig-333")</f>
        <v>Contig-333</v>
      </c>
      <c r="F427" t="str">
        <f>HYPERLINK("http://exon.niaid.nih.gov/transcriptome/C_felis/S1/links/cf/cf-5-36-333-CLU.txt","Contig333")</f>
        <v>Contig333</v>
      </c>
      <c r="G427" t="str">
        <f>HYPERLINK("http://exon.niaid.nih.gov/transcriptome/C_felis/S1/links/cf/cf-5-36-333-qual.txt","36.4")</f>
        <v>36.4</v>
      </c>
      <c r="H427">
        <v>0.8</v>
      </c>
      <c r="I427">
        <v>61.8</v>
      </c>
      <c r="J427">
        <v>104</v>
      </c>
      <c r="K427" t="s">
        <v>12</v>
      </c>
      <c r="L427">
        <v>1</v>
      </c>
      <c r="M427" t="s">
        <v>346</v>
      </c>
      <c r="N427">
        <v>104</v>
      </c>
      <c r="O427">
        <v>123</v>
      </c>
      <c r="P427">
        <v>84</v>
      </c>
      <c r="Q427" t="s">
        <v>1153</v>
      </c>
      <c r="R427">
        <v>2</v>
      </c>
      <c r="S427" s="7" t="s">
        <v>4585</v>
      </c>
      <c r="U427">
        <v>1</v>
      </c>
      <c r="V427" s="4">
        <f>HYPERLINK("http://exon.niaid.nih.gov/transcriptome/C_felis/S1/links/cluster/cf-5-36-asb30-50-Id-CLU68.txt", 68)</f>
        <v>68</v>
      </c>
      <c r="W427">
        <f>HYPERLINK("http://exon.niaid.nih.gov/transcriptome/C_felis/S1/links/cluster/cf-5-36-asb30-50-Id-CLTL68.txt", 2)</f>
        <v>2</v>
      </c>
      <c r="X427" s="4">
        <f>HYPERLINK("http://exon.niaid.nih.gov/transcriptome/C_felis/S1/links/cluster/cf-5-36-asb35-50-Id-CLU60.txt", 60)</f>
        <v>60</v>
      </c>
      <c r="Y427">
        <f>HYPERLINK("http://exon.niaid.nih.gov/transcriptome/C_felis/S1/links/cluster/cf-5-36-asb35-50-Id-CLTL60.txt", 2)</f>
        <v>2</v>
      </c>
      <c r="Z427" s="4">
        <f>HYPERLINK("http://exon.niaid.nih.gov/transcriptome/C_felis/S1/links/cluster/cf-5-36-asb40-50-Id-CLU57.txt", 57)</f>
        <v>57</v>
      </c>
      <c r="AA427">
        <f>HYPERLINK("http://exon.niaid.nih.gov/transcriptome/C_felis/S1/links/cluster/cf-5-36-asb40-50-Id-CLTL57.txt", 2)</f>
        <v>2</v>
      </c>
      <c r="AB427" s="4" t="str">
        <f>HYPERLINK("http://exon.niaid.nih.gov/transcriptome/C_felis/S1/links/XC-ASB/cf-contig_333-XC-ASB.txt","XC-contig_129")</f>
        <v>XC-contig_129</v>
      </c>
      <c r="AC427">
        <v>0.55000000000000004</v>
      </c>
      <c r="AD427" s="10" t="s">
        <v>4600</v>
      </c>
      <c r="AE427" t="s">
        <v>4601</v>
      </c>
      <c r="AI427" s="4" t="s">
        <v>42</v>
      </c>
      <c r="AJ427" t="s">
        <v>42</v>
      </c>
      <c r="AK427" t="s">
        <v>42</v>
      </c>
      <c r="AL427" t="s">
        <v>42</v>
      </c>
      <c r="AM427" t="s">
        <v>42</v>
      </c>
      <c r="AN427" t="s">
        <v>42</v>
      </c>
      <c r="AO427" t="s">
        <v>42</v>
      </c>
      <c r="AP427" t="s">
        <v>42</v>
      </c>
      <c r="AQ427" t="s">
        <v>42</v>
      </c>
      <c r="AR427" t="s">
        <v>42</v>
      </c>
      <c r="AS427" t="s">
        <v>42</v>
      </c>
      <c r="AT427" t="s">
        <v>42</v>
      </c>
      <c r="AU427" t="s">
        <v>42</v>
      </c>
      <c r="AV427" t="s">
        <v>42</v>
      </c>
      <c r="AW427" t="s">
        <v>42</v>
      </c>
      <c r="AX427" t="s">
        <v>42</v>
      </c>
      <c r="AY427" t="s">
        <v>42</v>
      </c>
      <c r="AZ427" t="s">
        <v>42</v>
      </c>
      <c r="BA427" s="4" t="str">
        <f>HYPERLINK("http://exon.niaid.nih.gov/transcriptome/C_felis/S1/links/SWISSP/cf-contig_333-SWISSP.txt","Autophagy-related protein 3")</f>
        <v>Autophagy-related protein 3</v>
      </c>
      <c r="BB427" t="str">
        <f>HYPERLINK("http://www.uniprot.org/uniprot/Q4WUE5","31")</f>
        <v>31</v>
      </c>
      <c r="BC427" t="s">
        <v>2864</v>
      </c>
      <c r="BD427">
        <v>27.3</v>
      </c>
      <c r="BE427">
        <v>25</v>
      </c>
      <c r="BF427">
        <v>353</v>
      </c>
      <c r="BG427">
        <v>42</v>
      </c>
      <c r="BH427">
        <v>7</v>
      </c>
      <c r="BI427">
        <v>15</v>
      </c>
      <c r="BJ427">
        <v>0</v>
      </c>
      <c r="BK427">
        <v>168</v>
      </c>
      <c r="BL427">
        <v>27</v>
      </c>
      <c r="BM427">
        <v>1</v>
      </c>
      <c r="BN427">
        <v>3</v>
      </c>
      <c r="BO427" t="s">
        <v>12</v>
      </c>
      <c r="BP427">
        <v>4</v>
      </c>
      <c r="BQ427" t="s">
        <v>1676</v>
      </c>
      <c r="BR427" t="s">
        <v>2865</v>
      </c>
      <c r="BS427" s="4" t="str">
        <f>HYPERLINK("http://exon.niaid.nih.gov/transcriptome/C_felis/S1/links/CDD/cf-contig_333-CDD.txt","PRK10173")</f>
        <v>PRK10173</v>
      </c>
      <c r="BT427" t="str">
        <f>HYPERLINK("http://www.ncbi.nlm.nih.gov/Structure/cdd/cddsrv.cgi?uid=PRK10173&amp;version=v4.0","4.5")</f>
        <v>4.5</v>
      </c>
      <c r="BU427" t="s">
        <v>2866</v>
      </c>
      <c r="BV427" s="4" t="s">
        <v>42</v>
      </c>
      <c r="BW427" t="s">
        <v>42</v>
      </c>
      <c r="BX427" t="s">
        <v>42</v>
      </c>
      <c r="BY427" t="s">
        <v>42</v>
      </c>
      <c r="BZ427" t="s">
        <v>42</v>
      </c>
      <c r="CA427" t="s">
        <v>42</v>
      </c>
      <c r="CB427" t="s">
        <v>42</v>
      </c>
      <c r="CC427" t="s">
        <v>42</v>
      </c>
      <c r="CD427" t="s">
        <v>42</v>
      </c>
      <c r="CE427" t="s">
        <v>42</v>
      </c>
      <c r="CF427" t="s">
        <v>42</v>
      </c>
      <c r="CG427" t="s">
        <v>42</v>
      </c>
      <c r="CH427" t="s">
        <v>42</v>
      </c>
      <c r="CI427" t="s">
        <v>42</v>
      </c>
      <c r="CJ427" t="s">
        <v>42</v>
      </c>
      <c r="CK427" t="s">
        <v>42</v>
      </c>
      <c r="CL427" t="s">
        <v>42</v>
      </c>
      <c r="CM427" t="s">
        <v>42</v>
      </c>
      <c r="CN427" t="s">
        <v>42</v>
      </c>
      <c r="CO427" t="s">
        <v>42</v>
      </c>
      <c r="CP427" t="s">
        <v>42</v>
      </c>
      <c r="CQ427" t="s">
        <v>42</v>
      </c>
      <c r="CR427" t="s">
        <v>42</v>
      </c>
      <c r="CS427" s="4" t="str">
        <f>HYPERLINK("http://exon.niaid.nih.gov/transcriptome/C_felis/S1/links/KOG/cf-contig_333-KOG.txt","5-formyltetrahydrofolate cyclo-ligase")</f>
        <v>5-formyltetrahydrofolate cyclo-ligase</v>
      </c>
      <c r="CT427" t="str">
        <f>HYPERLINK("http://www.ncbi.nlm.nih.gov/COG/grace/shokog.cgi?KOG3093","8.7")</f>
        <v>8.7</v>
      </c>
      <c r="CU427" t="s">
        <v>2194</v>
      </c>
      <c r="CV427" s="4" t="str">
        <f>HYPERLINK("http://exon.niaid.nih.gov/transcriptome/C_felis/S1/links/PFAM/cf-contig_333-PFAM.txt","Frizzled")</f>
        <v>Frizzled</v>
      </c>
      <c r="CW427" t="str">
        <f>HYPERLINK("http://pfam.sanger.ac.uk/family?acc=PF01534","2.1")</f>
        <v>2.1</v>
      </c>
      <c r="CX427" s="4" t="str">
        <f>HYPERLINK("http://exon.niaid.nih.gov/transcriptome/C_felis/S1/links/SMART/cf-contig_333-SMART.txt","PLEC")</f>
        <v>PLEC</v>
      </c>
      <c r="CY427" t="str">
        <f>HYPERLINK("http://smart.embl-heidelberg.de/smart/do_annotation.pl?DOMAIN=PLEC&amp;BLAST=DUMMY","0.090")</f>
        <v>0.090</v>
      </c>
      <c r="CZ427" s="4" t="s">
        <v>42</v>
      </c>
      <c r="DA427" t="s">
        <v>42</v>
      </c>
      <c r="DB427" t="s">
        <v>42</v>
      </c>
      <c r="DC427" t="s">
        <v>42</v>
      </c>
      <c r="DD427" t="s">
        <v>42</v>
      </c>
      <c r="DE427" t="s">
        <v>42</v>
      </c>
      <c r="DF427" t="s">
        <v>42</v>
      </c>
      <c r="DG427" t="s">
        <v>42</v>
      </c>
      <c r="DH427" s="4" t="s">
        <v>42</v>
      </c>
      <c r="DI427" t="s">
        <v>42</v>
      </c>
      <c r="DJ427" s="4" t="s">
        <v>42</v>
      </c>
      <c r="DK427" t="s">
        <v>42</v>
      </c>
      <c r="DL427" s="4">
        <f>HYPERLINK("http://exon.niaid.nih.gov/transcriptome/C_felis/S1/links/cluster/cf-5-36-asb30-50-Id-CLU68.txt", 68)</f>
        <v>68</v>
      </c>
      <c r="DM427">
        <f>HYPERLINK("http://exon.niaid.nih.gov/transcriptome/C_felis/S1/links/cluster/cf-5-36-asb30-50-Id-CLTL68.txt", 2)</f>
        <v>2</v>
      </c>
      <c r="DN427" s="4">
        <f>HYPERLINK("http://exon.niaid.nih.gov/transcriptome/C_felis/S1/links/cluster/cf-5-36-asb35-50-Id-CLU60.txt", 60)</f>
        <v>60</v>
      </c>
      <c r="DO427">
        <f>HYPERLINK("http://exon.niaid.nih.gov/transcriptome/C_felis/S1/links/cluster/cf-5-36-asb35-50-Id-CLTL60.txt", 2)</f>
        <v>2</v>
      </c>
      <c r="DP427" s="4">
        <f>HYPERLINK("http://exon.niaid.nih.gov/transcriptome/C_felis/S1/links/cluster/cf-5-36-asb40-50-Id-CLU57.txt", 57)</f>
        <v>57</v>
      </c>
      <c r="DQ427">
        <f>HYPERLINK("http://exon.niaid.nih.gov/transcriptome/C_felis/S1/links/cluster/cf-5-36-asb40-50-Id-CLTL57.txt", 2)</f>
        <v>2</v>
      </c>
      <c r="DR427" s="4">
        <f>HYPERLINK("http://exon.niaid.nih.gov/transcriptome/C_felis/S1/links/cluster/cf-5-36-asb45-50-Id-CLU48.txt", 48)</f>
        <v>48</v>
      </c>
      <c r="DS427">
        <f>HYPERLINK("http://exon.niaid.nih.gov/transcriptome/C_felis/S1/links/cluster/cf-5-36-asb45-50-Id-CLTL48.txt", 2)</f>
        <v>2</v>
      </c>
      <c r="DT427" s="4">
        <f>HYPERLINK("http://exon.niaid.nih.gov/transcriptome/C_felis/S1/links/cluster/cf-5-36-asb50-50-Id-CLU40.txt", 40)</f>
        <v>40</v>
      </c>
      <c r="DU427">
        <f>HYPERLINK("http://exon.niaid.nih.gov/transcriptome/C_felis/S1/links/cluster/cf-5-36-asb50-50-Id-CLTL40.txt", 2)</f>
        <v>2</v>
      </c>
      <c r="DV427" s="4">
        <f>HYPERLINK("http://exon.niaid.nih.gov/transcriptome/C_felis/S1/links/cluster/cf-5-36-asb55-50-Id-CLU37.txt", 37)</f>
        <v>37</v>
      </c>
      <c r="DW427">
        <f>HYPERLINK("http://exon.niaid.nih.gov/transcriptome/C_felis/S1/links/cluster/cf-5-36-asb55-50-Id-CLTL37.txt", 2)</f>
        <v>2</v>
      </c>
      <c r="DX427" s="4">
        <v>307</v>
      </c>
      <c r="DY427">
        <v>1</v>
      </c>
      <c r="DZ427" s="4">
        <v>312</v>
      </c>
      <c r="EA427">
        <v>1</v>
      </c>
      <c r="EB427" s="4">
        <v>317</v>
      </c>
      <c r="EC427">
        <v>1</v>
      </c>
      <c r="ED427" s="4">
        <v>321</v>
      </c>
      <c r="EE427">
        <v>1</v>
      </c>
      <c r="EF427" s="4">
        <v>326</v>
      </c>
      <c r="EG427">
        <v>1</v>
      </c>
      <c r="EH427" s="4">
        <v>328</v>
      </c>
      <c r="EI427">
        <v>1</v>
      </c>
      <c r="EJ427" s="4">
        <v>333</v>
      </c>
      <c r="EK427">
        <v>1</v>
      </c>
    </row>
    <row r="428" spans="1:141" x14ac:dyDescent="0.2">
      <c r="A428" t="str">
        <f>HYPERLINK("http://exon.niaid.nih.gov/transcriptome/C_felis/S1/links/cf/cf-contig_334.txt","cf-contig_334")</f>
        <v>cf-contig_334</v>
      </c>
      <c r="B428">
        <v>1</v>
      </c>
      <c r="C428" s="10" t="s">
        <v>4600</v>
      </c>
      <c r="D428">
        <v>1</v>
      </c>
      <c r="E428" t="str">
        <f>HYPERLINK("http://exon.niaid.nih.gov/transcriptome/C_felis/S1/links/cf/cf-5-36-asb-334.txt","Contig-334")</f>
        <v>Contig-334</v>
      </c>
      <c r="F428" t="str">
        <f>HYPERLINK("http://exon.niaid.nih.gov/transcriptome/C_felis/S1/links/cf/cf-5-36-334-CLU.txt","Contig334")</f>
        <v>Contig334</v>
      </c>
      <c r="G428" t="str">
        <f>HYPERLINK("http://exon.niaid.nih.gov/transcriptome/C_felis/S1/links/cf/cf-5-36-334-qual.txt","33.6")</f>
        <v>33.6</v>
      </c>
      <c r="H428">
        <v>1.6</v>
      </c>
      <c r="I428">
        <v>64.5</v>
      </c>
      <c r="J428">
        <v>105</v>
      </c>
      <c r="K428" t="s">
        <v>12</v>
      </c>
      <c r="L428">
        <v>1</v>
      </c>
      <c r="M428" t="s">
        <v>347</v>
      </c>
      <c r="N428">
        <v>105</v>
      </c>
      <c r="O428">
        <v>124</v>
      </c>
      <c r="P428">
        <v>96</v>
      </c>
      <c r="Q428" t="s">
        <v>1154</v>
      </c>
      <c r="R428">
        <v>3</v>
      </c>
      <c r="S428" s="7" t="s">
        <v>4585</v>
      </c>
      <c r="U428">
        <v>1</v>
      </c>
      <c r="V428" s="4">
        <v>269</v>
      </c>
      <c r="W428">
        <v>1</v>
      </c>
      <c r="X428" s="4">
        <v>275</v>
      </c>
      <c r="Y428">
        <v>1</v>
      </c>
      <c r="Z428" s="4">
        <v>274</v>
      </c>
      <c r="AA428">
        <v>1</v>
      </c>
      <c r="AB428" s="4" t="str">
        <f>HYPERLINK("http://exon.niaid.nih.gov/transcriptome/C_felis/S1/links/XC-ASB/cf-contig_334-XC-ASB.txt","XC-contig_218")</f>
        <v>XC-contig_218</v>
      </c>
      <c r="AC428">
        <v>1</v>
      </c>
      <c r="AD428" s="10" t="s">
        <v>4600</v>
      </c>
      <c r="AE428" t="s">
        <v>4601</v>
      </c>
      <c r="AI428" s="4" t="s">
        <v>42</v>
      </c>
      <c r="AJ428" t="s">
        <v>42</v>
      </c>
      <c r="AK428" t="s">
        <v>42</v>
      </c>
      <c r="AL428" t="s">
        <v>42</v>
      </c>
      <c r="AM428" t="s">
        <v>42</v>
      </c>
      <c r="AN428" t="s">
        <v>42</v>
      </c>
      <c r="AO428" t="s">
        <v>42</v>
      </c>
      <c r="AP428" t="s">
        <v>42</v>
      </c>
      <c r="AQ428" t="s">
        <v>42</v>
      </c>
      <c r="AR428" t="s">
        <v>42</v>
      </c>
      <c r="AS428" t="s">
        <v>42</v>
      </c>
      <c r="AT428" t="s">
        <v>42</v>
      </c>
      <c r="AU428" t="s">
        <v>42</v>
      </c>
      <c r="AV428" t="s">
        <v>42</v>
      </c>
      <c r="AW428" t="s">
        <v>42</v>
      </c>
      <c r="AX428" t="s">
        <v>42</v>
      </c>
      <c r="AY428" t="s">
        <v>42</v>
      </c>
      <c r="AZ428" t="s">
        <v>42</v>
      </c>
      <c r="BA428" s="4" t="s">
        <v>42</v>
      </c>
      <c r="BB428" t="s">
        <v>42</v>
      </c>
      <c r="BC428" t="s">
        <v>42</v>
      </c>
      <c r="BD428" t="s">
        <v>42</v>
      </c>
      <c r="BE428" t="s">
        <v>42</v>
      </c>
      <c r="BF428" t="s">
        <v>42</v>
      </c>
      <c r="BG428" t="s">
        <v>42</v>
      </c>
      <c r="BH428" t="s">
        <v>42</v>
      </c>
      <c r="BI428" t="s">
        <v>42</v>
      </c>
      <c r="BJ428" t="s">
        <v>42</v>
      </c>
      <c r="BK428" t="s">
        <v>42</v>
      </c>
      <c r="BL428" t="s">
        <v>42</v>
      </c>
      <c r="BM428" t="s">
        <v>42</v>
      </c>
      <c r="BN428" t="s">
        <v>42</v>
      </c>
      <c r="BO428" t="s">
        <v>42</v>
      </c>
      <c r="BP428" t="s">
        <v>42</v>
      </c>
      <c r="BQ428" t="s">
        <v>42</v>
      </c>
      <c r="BR428" t="s">
        <v>42</v>
      </c>
      <c r="BS428" s="4" t="s">
        <v>42</v>
      </c>
      <c r="BT428" t="s">
        <v>42</v>
      </c>
      <c r="BU428" t="s">
        <v>42</v>
      </c>
      <c r="BV428" s="4" t="s">
        <v>42</v>
      </c>
      <c r="BW428" t="s">
        <v>42</v>
      </c>
      <c r="BX428" t="s">
        <v>42</v>
      </c>
      <c r="BY428" t="s">
        <v>42</v>
      </c>
      <c r="BZ428" t="s">
        <v>42</v>
      </c>
      <c r="CA428" t="s">
        <v>42</v>
      </c>
      <c r="CB428" t="s">
        <v>42</v>
      </c>
      <c r="CC428" t="s">
        <v>42</v>
      </c>
      <c r="CD428" t="s">
        <v>42</v>
      </c>
      <c r="CE428" t="s">
        <v>42</v>
      </c>
      <c r="CF428" t="s">
        <v>42</v>
      </c>
      <c r="CG428" t="s">
        <v>42</v>
      </c>
      <c r="CH428" t="s">
        <v>42</v>
      </c>
      <c r="CI428" t="s">
        <v>42</v>
      </c>
      <c r="CJ428" t="s">
        <v>42</v>
      </c>
      <c r="CK428" t="s">
        <v>42</v>
      </c>
      <c r="CL428" t="s">
        <v>42</v>
      </c>
      <c r="CM428" t="s">
        <v>42</v>
      </c>
      <c r="CN428" t="s">
        <v>42</v>
      </c>
      <c r="CO428" t="s">
        <v>42</v>
      </c>
      <c r="CP428" t="s">
        <v>42</v>
      </c>
      <c r="CQ428" t="s">
        <v>42</v>
      </c>
      <c r="CR428" t="s">
        <v>42</v>
      </c>
      <c r="CS428" s="4" t="str">
        <f>HYPERLINK("http://exon.niaid.nih.gov/transcriptome/C_felis/S1/links/KOG/cf-contig_334-KOG.txt","Predicted G-protein coupled receptor")</f>
        <v>Predicted G-protein coupled receptor</v>
      </c>
      <c r="CT428" t="str">
        <f>HYPERLINK("http://www.ncbi.nlm.nih.gov/COG/grace/shokog.cgi?KOG2417","6.4")</f>
        <v>6.4</v>
      </c>
      <c r="CU428" t="s">
        <v>1780</v>
      </c>
      <c r="CV428" s="4" t="str">
        <f>HYPERLINK("http://exon.niaid.nih.gov/transcriptome/C_felis/S1/links/PFAM/cf-contig_334-PFAM.txt","Defensin_1")</f>
        <v>Defensin_1</v>
      </c>
      <c r="CW428" t="str">
        <f>HYPERLINK("http://pfam.sanger.ac.uk/family?acc=PF00323","6.1")</f>
        <v>6.1</v>
      </c>
      <c r="CX428" s="4" t="str">
        <f>HYPERLINK("http://exon.niaid.nih.gov/transcriptome/C_felis/S1/links/SMART/cf-contig_334-SMART.txt","FGF")</f>
        <v>FGF</v>
      </c>
      <c r="CY428" t="str">
        <f>HYPERLINK("http://smart.embl-heidelberg.de/smart/do_annotation.pl?DOMAIN=FGF&amp;BLAST=DUMMY","1.3")</f>
        <v>1.3</v>
      </c>
      <c r="CZ428" s="4" t="s">
        <v>42</v>
      </c>
      <c r="DA428" t="s">
        <v>42</v>
      </c>
      <c r="DB428" t="s">
        <v>42</v>
      </c>
      <c r="DC428" t="s">
        <v>42</v>
      </c>
      <c r="DD428" t="s">
        <v>42</v>
      </c>
      <c r="DE428" t="s">
        <v>42</v>
      </c>
      <c r="DF428" t="s">
        <v>42</v>
      </c>
      <c r="DG428" t="s">
        <v>42</v>
      </c>
      <c r="DH428" s="4" t="s">
        <v>42</v>
      </c>
      <c r="DI428" t="s">
        <v>42</v>
      </c>
      <c r="DJ428" s="4" t="s">
        <v>42</v>
      </c>
      <c r="DK428" t="s">
        <v>42</v>
      </c>
      <c r="DL428" s="4">
        <v>269</v>
      </c>
      <c r="DM428">
        <v>1</v>
      </c>
      <c r="DN428" s="4">
        <v>275</v>
      </c>
      <c r="DO428">
        <v>1</v>
      </c>
      <c r="DP428" s="4">
        <v>274</v>
      </c>
      <c r="DQ428">
        <v>1</v>
      </c>
      <c r="DR428" s="4">
        <v>283</v>
      </c>
      <c r="DS428">
        <v>1</v>
      </c>
      <c r="DT428" s="4">
        <v>293</v>
      </c>
      <c r="DU428">
        <v>1</v>
      </c>
      <c r="DV428" s="4">
        <v>305</v>
      </c>
      <c r="DW428">
        <v>1</v>
      </c>
      <c r="DX428" s="4">
        <v>308</v>
      </c>
      <c r="DY428">
        <v>1</v>
      </c>
      <c r="DZ428" s="4">
        <v>313</v>
      </c>
      <c r="EA428">
        <v>1</v>
      </c>
      <c r="EB428" s="4">
        <v>318</v>
      </c>
      <c r="EC428">
        <v>1</v>
      </c>
      <c r="ED428" s="4">
        <v>322</v>
      </c>
      <c r="EE428">
        <v>1</v>
      </c>
      <c r="EF428" s="4">
        <v>327</v>
      </c>
      <c r="EG428">
        <v>1</v>
      </c>
      <c r="EH428" s="4">
        <v>329</v>
      </c>
      <c r="EI428">
        <v>1</v>
      </c>
      <c r="EJ428" s="4">
        <v>334</v>
      </c>
      <c r="EK428">
        <v>1</v>
      </c>
    </row>
    <row r="429" spans="1:141" x14ac:dyDescent="0.2">
      <c r="A429" t="str">
        <f>HYPERLINK("http://exon.niaid.nih.gov/transcriptome/C_felis/S1/links/cf/cf-contig_335.txt","cf-contig_335")</f>
        <v>cf-contig_335</v>
      </c>
      <c r="B429">
        <v>1</v>
      </c>
      <c r="C429" s="10" t="s">
        <v>4600</v>
      </c>
      <c r="D429">
        <v>1</v>
      </c>
      <c r="E429" t="str">
        <f>HYPERLINK("http://exon.niaid.nih.gov/transcriptome/C_felis/S1/links/cf/cf-5-36-asb-335.txt","Contig-335")</f>
        <v>Contig-335</v>
      </c>
      <c r="F429" t="str">
        <f>HYPERLINK("http://exon.niaid.nih.gov/transcriptome/C_felis/S1/links/cf/cf-5-36-335-CLU.txt","Contig335")</f>
        <v>Contig335</v>
      </c>
      <c r="G429" t="str">
        <f>HYPERLINK("http://exon.niaid.nih.gov/transcriptome/C_felis/S1/links/cf/cf-5-36-335-qual.txt","28.1")</f>
        <v>28.1</v>
      </c>
      <c r="H429">
        <v>1.8</v>
      </c>
      <c r="I429">
        <v>62.8</v>
      </c>
      <c r="J429">
        <v>94</v>
      </c>
      <c r="K429" t="s">
        <v>12</v>
      </c>
      <c r="L429">
        <v>1</v>
      </c>
      <c r="M429" t="s">
        <v>348</v>
      </c>
      <c r="N429">
        <v>94</v>
      </c>
      <c r="O429">
        <v>113</v>
      </c>
      <c r="P429">
        <v>63</v>
      </c>
      <c r="Q429" t="s">
        <v>1155</v>
      </c>
      <c r="R429">
        <v>3</v>
      </c>
      <c r="S429" s="7" t="s">
        <v>4585</v>
      </c>
      <c r="U429">
        <v>1</v>
      </c>
      <c r="V429" s="4">
        <v>270</v>
      </c>
      <c r="W429">
        <v>1</v>
      </c>
      <c r="X429" s="4">
        <v>276</v>
      </c>
      <c r="Y429">
        <v>1</v>
      </c>
      <c r="Z429" s="4">
        <v>275</v>
      </c>
      <c r="AA429">
        <v>1</v>
      </c>
      <c r="AB429" s="4" t="str">
        <f>HYPERLINK("http://exon.niaid.nih.gov/transcriptome/C_felis/S1/links/XC-ASB/cf-contig_335-XC-ASB.txt","XC-contig_236")</f>
        <v>XC-contig_236</v>
      </c>
      <c r="AC429">
        <v>3.2</v>
      </c>
      <c r="AD429" s="10" t="s">
        <v>4600</v>
      </c>
      <c r="AE429" t="s">
        <v>4601</v>
      </c>
      <c r="AI429" s="4" t="s">
        <v>42</v>
      </c>
      <c r="AJ429" t="s">
        <v>42</v>
      </c>
      <c r="AK429" t="s">
        <v>42</v>
      </c>
      <c r="AL429" t="s">
        <v>42</v>
      </c>
      <c r="AM429" t="s">
        <v>42</v>
      </c>
      <c r="AN429" t="s">
        <v>42</v>
      </c>
      <c r="AO429" t="s">
        <v>42</v>
      </c>
      <c r="AP429" t="s">
        <v>42</v>
      </c>
      <c r="AQ429" t="s">
        <v>42</v>
      </c>
      <c r="AR429" t="s">
        <v>42</v>
      </c>
      <c r="AS429" t="s">
        <v>42</v>
      </c>
      <c r="AT429" t="s">
        <v>42</v>
      </c>
      <c r="AU429" t="s">
        <v>42</v>
      </c>
      <c r="AV429" t="s">
        <v>42</v>
      </c>
      <c r="AW429" t="s">
        <v>42</v>
      </c>
      <c r="AX429" t="s">
        <v>42</v>
      </c>
      <c r="AY429" t="s">
        <v>42</v>
      </c>
      <c r="AZ429" t="s">
        <v>42</v>
      </c>
      <c r="BA429" s="4" t="str">
        <f>HYPERLINK("http://exon.niaid.nih.gov/transcriptome/C_felis/S1/links/SWISSP/cf-contig_335-SWISSP.txt","Protein SEY1")</f>
        <v>Protein SEY1</v>
      </c>
      <c r="BB429" t="str">
        <f>HYPERLINK("http://www.uniprot.org/uniprot/A7TJY3","91")</f>
        <v>91</v>
      </c>
      <c r="BC429" t="s">
        <v>2867</v>
      </c>
      <c r="BD429">
        <v>25.8</v>
      </c>
      <c r="BE429">
        <v>28</v>
      </c>
      <c r="BF429">
        <v>780</v>
      </c>
      <c r="BG429">
        <v>36</v>
      </c>
      <c r="BH429">
        <v>4</v>
      </c>
      <c r="BI429">
        <v>19</v>
      </c>
      <c r="BJ429">
        <v>0</v>
      </c>
      <c r="BK429">
        <v>254</v>
      </c>
      <c r="BL429">
        <v>4</v>
      </c>
      <c r="BM429">
        <v>1</v>
      </c>
      <c r="BN429">
        <v>1</v>
      </c>
      <c r="BO429" t="s">
        <v>12</v>
      </c>
      <c r="BP429">
        <v>7.1429999999999998</v>
      </c>
      <c r="BQ429" t="s">
        <v>1676</v>
      </c>
      <c r="BR429" t="s">
        <v>2868</v>
      </c>
      <c r="BS429" s="4" t="str">
        <f>HYPERLINK("http://exon.niaid.nih.gov/transcriptome/C_felis/S1/links/CDD/cf-contig_335-CDD.txt","PLN02899")</f>
        <v>PLN02899</v>
      </c>
      <c r="BT429" t="str">
        <f>HYPERLINK("http://www.ncbi.nlm.nih.gov/Structure/cdd/cddsrv.cgi?uid=PLN02899&amp;version=v4.0","3.7")</f>
        <v>3.7</v>
      </c>
      <c r="BU429" t="s">
        <v>2869</v>
      </c>
      <c r="BV429" s="4" t="s">
        <v>42</v>
      </c>
      <c r="BW429" t="s">
        <v>42</v>
      </c>
      <c r="BX429" t="s">
        <v>42</v>
      </c>
      <c r="BY429" t="s">
        <v>42</v>
      </c>
      <c r="BZ429" t="s">
        <v>42</v>
      </c>
      <c r="CA429" t="s">
        <v>42</v>
      </c>
      <c r="CB429" t="s">
        <v>42</v>
      </c>
      <c r="CC429" t="s">
        <v>42</v>
      </c>
      <c r="CD429" t="s">
        <v>42</v>
      </c>
      <c r="CE429" t="s">
        <v>42</v>
      </c>
      <c r="CF429" t="s">
        <v>42</v>
      </c>
      <c r="CG429" t="s">
        <v>42</v>
      </c>
      <c r="CH429" t="s">
        <v>42</v>
      </c>
      <c r="CI429" t="s">
        <v>42</v>
      </c>
      <c r="CJ429" t="s">
        <v>42</v>
      </c>
      <c r="CK429" t="s">
        <v>42</v>
      </c>
      <c r="CL429" t="s">
        <v>42</v>
      </c>
      <c r="CM429" t="s">
        <v>42</v>
      </c>
      <c r="CN429" t="s">
        <v>42</v>
      </c>
      <c r="CO429" t="s">
        <v>42</v>
      </c>
      <c r="CP429" t="s">
        <v>42</v>
      </c>
      <c r="CQ429" t="s">
        <v>42</v>
      </c>
      <c r="CR429" t="s">
        <v>42</v>
      </c>
      <c r="CS429" s="4" t="s">
        <v>42</v>
      </c>
      <c r="CT429" t="s">
        <v>42</v>
      </c>
      <c r="CU429" t="s">
        <v>42</v>
      </c>
      <c r="CV429" s="4" t="str">
        <f>HYPERLINK("http://exon.niaid.nih.gov/transcriptome/C_felis/S1/links/PFAM/cf-contig_335-PFAM.txt","Agro_virD5")</f>
        <v>Agro_virD5</v>
      </c>
      <c r="CW429" t="str">
        <f>HYPERLINK("http://pfam.sanger.ac.uk/family?acc=PF04730","9.7")</f>
        <v>9.7</v>
      </c>
      <c r="CX429" s="4" t="str">
        <f>HYPERLINK("http://exon.niaid.nih.gov/transcriptome/C_felis/S1/links/SMART/cf-contig_335-SMART.txt","Agro_virD5")</f>
        <v>Agro_virD5</v>
      </c>
      <c r="CY429" t="str">
        <f>HYPERLINK("http://smart.embl-heidelberg.de/smart/do_annotation.pl?DOMAIN=Agro_virD5&amp;BLAST=DUMMY","0.54")</f>
        <v>0.54</v>
      </c>
      <c r="CZ429" s="4" t="s">
        <v>42</v>
      </c>
      <c r="DA429" t="s">
        <v>42</v>
      </c>
      <c r="DB429" t="s">
        <v>42</v>
      </c>
      <c r="DC429" t="s">
        <v>42</v>
      </c>
      <c r="DD429" t="s">
        <v>42</v>
      </c>
      <c r="DE429" t="s">
        <v>42</v>
      </c>
      <c r="DF429" t="s">
        <v>42</v>
      </c>
      <c r="DG429" t="s">
        <v>42</v>
      </c>
      <c r="DH429" s="4" t="s">
        <v>42</v>
      </c>
      <c r="DI429" t="s">
        <v>42</v>
      </c>
      <c r="DJ429" s="4" t="s">
        <v>42</v>
      </c>
      <c r="DK429" t="s">
        <v>42</v>
      </c>
      <c r="DL429" s="4">
        <v>270</v>
      </c>
      <c r="DM429">
        <v>1</v>
      </c>
      <c r="DN429" s="4">
        <v>276</v>
      </c>
      <c r="DO429">
        <v>1</v>
      </c>
      <c r="DP429" s="4">
        <v>275</v>
      </c>
      <c r="DQ429">
        <v>1</v>
      </c>
      <c r="DR429" s="4">
        <v>284</v>
      </c>
      <c r="DS429">
        <v>1</v>
      </c>
      <c r="DT429" s="4">
        <v>294</v>
      </c>
      <c r="DU429">
        <v>1</v>
      </c>
      <c r="DV429" s="4">
        <v>306</v>
      </c>
      <c r="DW429">
        <v>1</v>
      </c>
      <c r="DX429" s="4">
        <v>309</v>
      </c>
      <c r="DY429">
        <v>1</v>
      </c>
      <c r="DZ429" s="4">
        <v>314</v>
      </c>
      <c r="EA429">
        <v>1</v>
      </c>
      <c r="EB429" s="4">
        <v>319</v>
      </c>
      <c r="EC429">
        <v>1</v>
      </c>
      <c r="ED429" s="4">
        <v>323</v>
      </c>
      <c r="EE429">
        <v>1</v>
      </c>
      <c r="EF429" s="4">
        <v>328</v>
      </c>
      <c r="EG429">
        <v>1</v>
      </c>
      <c r="EH429" s="4">
        <v>330</v>
      </c>
      <c r="EI429">
        <v>1</v>
      </c>
      <c r="EJ429" s="4">
        <v>335</v>
      </c>
      <c r="EK429">
        <v>1</v>
      </c>
    </row>
    <row r="430" spans="1:141" x14ac:dyDescent="0.2">
      <c r="A430" t="str">
        <f>HYPERLINK("http://exon.niaid.nih.gov/transcriptome/C_felis/S1/links/cf/cf-contig_336.txt","cf-contig_336")</f>
        <v>cf-contig_336</v>
      </c>
      <c r="B430">
        <v>1</v>
      </c>
      <c r="C430" s="10" t="s">
        <v>4600</v>
      </c>
      <c r="D430">
        <v>1</v>
      </c>
      <c r="E430" t="str">
        <f>HYPERLINK("http://exon.niaid.nih.gov/transcriptome/C_felis/S1/links/cf/cf-5-36-asb-336.txt","Contig-336")</f>
        <v>Contig-336</v>
      </c>
      <c r="F430" t="str">
        <f>HYPERLINK("http://exon.niaid.nih.gov/transcriptome/C_felis/S1/links/cf/cf-5-36-336-CLU.txt","Contig336")</f>
        <v>Contig336</v>
      </c>
      <c r="G430" t="str">
        <f>HYPERLINK("http://exon.niaid.nih.gov/transcriptome/C_felis/S1/links/cf/cf-5-36-336-qual.txt","30.2")</f>
        <v>30.2</v>
      </c>
      <c r="H430" t="s">
        <v>11</v>
      </c>
      <c r="I430">
        <v>56.9</v>
      </c>
      <c r="J430">
        <v>104</v>
      </c>
      <c r="K430" t="s">
        <v>12</v>
      </c>
      <c r="L430">
        <v>1</v>
      </c>
      <c r="M430" t="s">
        <v>349</v>
      </c>
      <c r="N430">
        <v>104</v>
      </c>
      <c r="O430">
        <v>123</v>
      </c>
      <c r="P430">
        <v>93</v>
      </c>
      <c r="Q430" t="s">
        <v>1156</v>
      </c>
      <c r="R430">
        <v>1</v>
      </c>
      <c r="S430" s="7" t="s">
        <v>4585</v>
      </c>
      <c r="U430">
        <v>1</v>
      </c>
      <c r="V430" s="4">
        <v>271</v>
      </c>
      <c r="W430">
        <v>1</v>
      </c>
      <c r="X430" s="4">
        <v>277</v>
      </c>
      <c r="Y430">
        <v>1</v>
      </c>
      <c r="Z430" s="4">
        <v>276</v>
      </c>
      <c r="AA430">
        <v>1</v>
      </c>
      <c r="AB430" s="4" t="str">
        <f>HYPERLINK("http://exon.niaid.nih.gov/transcriptome/C_felis/S1/links/XC-ASB/cf-contig_336-XC-ASB.txt","XC-contig_196")</f>
        <v>XC-contig_196</v>
      </c>
      <c r="AC430">
        <v>2.7</v>
      </c>
      <c r="AD430" s="10" t="s">
        <v>4600</v>
      </c>
      <c r="AE430" t="s">
        <v>4601</v>
      </c>
      <c r="AI430" s="4" t="s">
        <v>42</v>
      </c>
      <c r="AJ430" t="s">
        <v>42</v>
      </c>
      <c r="AK430" t="s">
        <v>42</v>
      </c>
      <c r="AL430" t="s">
        <v>42</v>
      </c>
      <c r="AM430" t="s">
        <v>42</v>
      </c>
      <c r="AN430" t="s">
        <v>42</v>
      </c>
      <c r="AO430" t="s">
        <v>42</v>
      </c>
      <c r="AP430" t="s">
        <v>42</v>
      </c>
      <c r="AQ430" t="s">
        <v>42</v>
      </c>
      <c r="AR430" t="s">
        <v>42</v>
      </c>
      <c r="AS430" t="s">
        <v>42</v>
      </c>
      <c r="AT430" t="s">
        <v>42</v>
      </c>
      <c r="AU430" t="s">
        <v>42</v>
      </c>
      <c r="AV430" t="s">
        <v>42</v>
      </c>
      <c r="AW430" t="s">
        <v>42</v>
      </c>
      <c r="AX430" t="s">
        <v>42</v>
      </c>
      <c r="AY430" t="s">
        <v>42</v>
      </c>
      <c r="AZ430" t="s">
        <v>42</v>
      </c>
      <c r="BA430" s="4" t="str">
        <f>HYPERLINK("http://exon.niaid.nih.gov/transcriptome/C_felis/S1/links/SWISSP/cf-contig_336-SWISSP.txt","Glycoprotein U47")</f>
        <v>Glycoprotein U47</v>
      </c>
      <c r="BB430" t="str">
        <f>HYPERLINK("http://www.uniprot.org/uniprot/P52549","53")</f>
        <v>53</v>
      </c>
      <c r="BC430" t="s">
        <v>2870</v>
      </c>
      <c r="BD430">
        <v>26.6</v>
      </c>
      <c r="BE430">
        <v>23</v>
      </c>
      <c r="BF430">
        <v>738</v>
      </c>
      <c r="BG430">
        <v>45</v>
      </c>
      <c r="BH430">
        <v>3</v>
      </c>
      <c r="BI430">
        <v>13</v>
      </c>
      <c r="BJ430">
        <v>0</v>
      </c>
      <c r="BK430">
        <v>226</v>
      </c>
      <c r="BL430">
        <v>22</v>
      </c>
      <c r="BM430">
        <v>1</v>
      </c>
      <c r="BN430">
        <v>1</v>
      </c>
      <c r="BO430" t="s">
        <v>12</v>
      </c>
      <c r="BQ430" t="s">
        <v>1676</v>
      </c>
      <c r="BR430" t="s">
        <v>2871</v>
      </c>
      <c r="BS430" s="4" t="str">
        <f>HYPERLINK("http://exon.niaid.nih.gov/transcriptome/C_felis/S1/links/CDD/cf-contig_336-CDD.txt","DUF1763")</f>
        <v>DUF1763</v>
      </c>
      <c r="BT430" t="str">
        <f>HYPERLINK("http://www.ncbi.nlm.nih.gov/Structure/cdd/cddsrv.cgi?uid=pfam08575&amp;version=v4.0","2.0")</f>
        <v>2.0</v>
      </c>
      <c r="BU430" t="s">
        <v>2872</v>
      </c>
      <c r="BV430" s="4" t="s">
        <v>42</v>
      </c>
      <c r="BW430" t="s">
        <v>42</v>
      </c>
      <c r="BX430" t="s">
        <v>42</v>
      </c>
      <c r="BY430" t="s">
        <v>42</v>
      </c>
      <c r="BZ430" t="s">
        <v>42</v>
      </c>
      <c r="CA430" t="s">
        <v>42</v>
      </c>
      <c r="CB430" t="s">
        <v>42</v>
      </c>
      <c r="CC430" t="s">
        <v>42</v>
      </c>
      <c r="CD430" t="s">
        <v>42</v>
      </c>
      <c r="CE430" t="s">
        <v>42</v>
      </c>
      <c r="CF430" t="s">
        <v>42</v>
      </c>
      <c r="CG430" t="s">
        <v>42</v>
      </c>
      <c r="CH430" t="s">
        <v>42</v>
      </c>
      <c r="CI430" t="s">
        <v>42</v>
      </c>
      <c r="CJ430" t="s">
        <v>42</v>
      </c>
      <c r="CK430" t="s">
        <v>42</v>
      </c>
      <c r="CL430" t="s">
        <v>42</v>
      </c>
      <c r="CM430" t="s">
        <v>42</v>
      </c>
      <c r="CN430" t="s">
        <v>42</v>
      </c>
      <c r="CO430" t="s">
        <v>42</v>
      </c>
      <c r="CP430" t="s">
        <v>42</v>
      </c>
      <c r="CQ430" t="s">
        <v>42</v>
      </c>
      <c r="CR430" t="s">
        <v>42</v>
      </c>
      <c r="CS430" s="4" t="str">
        <f>HYPERLINK("http://exon.niaid.nih.gov/transcriptome/C_felis/S1/links/KOG/cf-contig_336-KOG.txt","Acetyl-CoA carboxylase")</f>
        <v>Acetyl-CoA carboxylase</v>
      </c>
      <c r="CT430" t="str">
        <f>HYPERLINK("http://www.ncbi.nlm.nih.gov/COG/grace/shokog.cgi?KOG0368","6.5")</f>
        <v>6.5</v>
      </c>
      <c r="CU430" t="s">
        <v>1761</v>
      </c>
      <c r="CV430" s="4" t="str">
        <f>HYPERLINK("http://exon.niaid.nih.gov/transcriptome/C_felis/S1/links/PFAM/cf-contig_336-PFAM.txt","DUF1763")</f>
        <v>DUF1763</v>
      </c>
      <c r="CW430" t="str">
        <f>HYPERLINK("http://pfam.sanger.ac.uk/family?acc=PF08575","0.43")</f>
        <v>0.43</v>
      </c>
      <c r="CX430" s="4" t="str">
        <f>HYPERLINK("http://exon.niaid.nih.gov/transcriptome/C_felis/S1/links/SMART/cf-contig_336-SMART.txt","EFG_IV")</f>
        <v>EFG_IV</v>
      </c>
      <c r="CY430" t="str">
        <f>HYPERLINK("http://smart.embl-heidelberg.de/smart/do_annotation.pl?DOMAIN=EFG_IV&amp;BLAST=DUMMY","0.95")</f>
        <v>0.95</v>
      </c>
      <c r="CZ430" s="4" t="s">
        <v>42</v>
      </c>
      <c r="DA430" t="s">
        <v>42</v>
      </c>
      <c r="DB430" t="s">
        <v>42</v>
      </c>
      <c r="DC430" t="s">
        <v>42</v>
      </c>
      <c r="DD430" t="s">
        <v>42</v>
      </c>
      <c r="DE430" t="s">
        <v>42</v>
      </c>
      <c r="DF430" t="s">
        <v>42</v>
      </c>
      <c r="DG430" t="s">
        <v>42</v>
      </c>
      <c r="DH430" s="4" t="s">
        <v>42</v>
      </c>
      <c r="DI430" t="s">
        <v>42</v>
      </c>
      <c r="DJ430" s="4" t="s">
        <v>42</v>
      </c>
      <c r="DK430" t="s">
        <v>42</v>
      </c>
      <c r="DL430" s="4">
        <v>271</v>
      </c>
      <c r="DM430">
        <v>1</v>
      </c>
      <c r="DN430" s="4">
        <v>277</v>
      </c>
      <c r="DO430">
        <v>1</v>
      </c>
      <c r="DP430" s="4">
        <v>276</v>
      </c>
      <c r="DQ430">
        <v>1</v>
      </c>
      <c r="DR430" s="4">
        <v>285</v>
      </c>
      <c r="DS430">
        <v>1</v>
      </c>
      <c r="DT430" s="4">
        <v>295</v>
      </c>
      <c r="DU430">
        <v>1</v>
      </c>
      <c r="DV430" s="4">
        <v>307</v>
      </c>
      <c r="DW430">
        <v>1</v>
      </c>
      <c r="DX430" s="4">
        <v>310</v>
      </c>
      <c r="DY430">
        <v>1</v>
      </c>
      <c r="DZ430" s="4">
        <v>315</v>
      </c>
      <c r="EA430">
        <v>1</v>
      </c>
      <c r="EB430" s="4">
        <v>320</v>
      </c>
      <c r="EC430">
        <v>1</v>
      </c>
      <c r="ED430" s="4">
        <v>324</v>
      </c>
      <c r="EE430">
        <v>1</v>
      </c>
      <c r="EF430" s="4">
        <v>329</v>
      </c>
      <c r="EG430">
        <v>1</v>
      </c>
      <c r="EH430" s="4">
        <v>331</v>
      </c>
      <c r="EI430">
        <v>1</v>
      </c>
      <c r="EJ430" s="4">
        <v>336</v>
      </c>
      <c r="EK430">
        <v>1</v>
      </c>
    </row>
    <row r="431" spans="1:141" x14ac:dyDescent="0.2">
      <c r="A431" t="str">
        <f>HYPERLINK("http://exon.niaid.nih.gov/transcriptome/C_felis/S1/links/cf/cf-contig_339.txt","cf-contig_339")</f>
        <v>cf-contig_339</v>
      </c>
      <c r="B431">
        <v>1</v>
      </c>
      <c r="C431" s="10" t="s">
        <v>4600</v>
      </c>
      <c r="D431">
        <v>1</v>
      </c>
      <c r="E431" t="str">
        <f>HYPERLINK("http://exon.niaid.nih.gov/transcriptome/C_felis/S1/links/cf/cf-5-36-asb-339.txt","Contig-339")</f>
        <v>Contig-339</v>
      </c>
      <c r="F431" t="str">
        <f>HYPERLINK("http://exon.niaid.nih.gov/transcriptome/C_felis/S1/links/cf/cf-5-36-339-CLU.txt","Contig339")</f>
        <v>Contig339</v>
      </c>
      <c r="G431" t="str">
        <f>HYPERLINK("http://exon.niaid.nih.gov/transcriptome/C_felis/S1/links/cf/cf-5-36-339-qual.txt","48.2")</f>
        <v>48.2</v>
      </c>
      <c r="H431" t="s">
        <v>11</v>
      </c>
      <c r="I431">
        <v>71.3</v>
      </c>
      <c r="J431">
        <v>145</v>
      </c>
      <c r="K431" t="s">
        <v>12</v>
      </c>
      <c r="L431">
        <v>1</v>
      </c>
      <c r="M431" t="s">
        <v>352</v>
      </c>
      <c r="N431">
        <v>145</v>
      </c>
      <c r="O431">
        <v>164</v>
      </c>
      <c r="P431">
        <v>81</v>
      </c>
      <c r="Q431" t="s">
        <v>1159</v>
      </c>
      <c r="R431">
        <v>3</v>
      </c>
      <c r="S431" s="7" t="s">
        <v>4585</v>
      </c>
      <c r="U431">
        <v>1</v>
      </c>
      <c r="V431" s="4">
        <v>273</v>
      </c>
      <c r="W431">
        <v>1</v>
      </c>
      <c r="X431" s="4">
        <v>279</v>
      </c>
      <c r="Y431">
        <v>1</v>
      </c>
      <c r="Z431" s="4">
        <v>278</v>
      </c>
      <c r="AA431">
        <v>1</v>
      </c>
      <c r="AB431" s="4" t="str">
        <f>HYPERLINK("http://exon.niaid.nih.gov/transcriptome/C_felis/S1/links/XC-ASB/cf-contig_339-XC-ASB.txt","XC-contig_132")</f>
        <v>XC-contig_132</v>
      </c>
      <c r="AC431">
        <v>0.11</v>
      </c>
      <c r="AD431" s="10" t="s">
        <v>4600</v>
      </c>
      <c r="AE431" t="s">
        <v>4601</v>
      </c>
      <c r="AI431" s="4" t="s">
        <v>42</v>
      </c>
      <c r="AJ431" t="s">
        <v>42</v>
      </c>
      <c r="AK431" t="s">
        <v>42</v>
      </c>
      <c r="AL431" t="s">
        <v>42</v>
      </c>
      <c r="AM431" t="s">
        <v>42</v>
      </c>
      <c r="AN431" t="s">
        <v>42</v>
      </c>
      <c r="AO431" t="s">
        <v>42</v>
      </c>
      <c r="AP431" t="s">
        <v>42</v>
      </c>
      <c r="AQ431" t="s">
        <v>42</v>
      </c>
      <c r="AR431" t="s">
        <v>42</v>
      </c>
      <c r="AS431" t="s">
        <v>42</v>
      </c>
      <c r="AT431" t="s">
        <v>42</v>
      </c>
      <c r="AU431" t="s">
        <v>42</v>
      </c>
      <c r="AV431" t="s">
        <v>42</v>
      </c>
      <c r="AW431" t="s">
        <v>42</v>
      </c>
      <c r="AX431" t="s">
        <v>42</v>
      </c>
      <c r="AY431" t="s">
        <v>42</v>
      </c>
      <c r="AZ431" t="s">
        <v>42</v>
      </c>
      <c r="BA431" s="4" t="str">
        <f>HYPERLINK("http://exon.niaid.nih.gov/transcriptome/C_felis/S1/links/SWISSP/cf-contig_339-SWISSP.txt","Olfactory receptor 4C45")</f>
        <v>Olfactory receptor 4C45</v>
      </c>
      <c r="BB431" t="str">
        <f>HYPERLINK("http://www.uniprot.org/uniprot/A6NMZ5","31")</f>
        <v>31</v>
      </c>
      <c r="BC431" t="s">
        <v>2879</v>
      </c>
      <c r="BD431">
        <v>27.3</v>
      </c>
      <c r="BE431">
        <v>34</v>
      </c>
      <c r="BF431">
        <v>311</v>
      </c>
      <c r="BG431">
        <v>34</v>
      </c>
      <c r="BH431">
        <v>11</v>
      </c>
      <c r="BI431">
        <v>23</v>
      </c>
      <c r="BJ431">
        <v>0</v>
      </c>
      <c r="BK431">
        <v>20</v>
      </c>
      <c r="BL431">
        <v>13</v>
      </c>
      <c r="BM431">
        <v>1</v>
      </c>
      <c r="BN431">
        <v>-3</v>
      </c>
      <c r="BO431" t="s">
        <v>12</v>
      </c>
      <c r="BP431">
        <v>5.8819999999999997</v>
      </c>
      <c r="BQ431" t="s">
        <v>1666</v>
      </c>
      <c r="BR431" t="s">
        <v>1690</v>
      </c>
      <c r="BS431" s="4" t="str">
        <f>HYPERLINK("http://exon.niaid.nih.gov/transcriptome/C_felis/S1/links/CDD/cf-contig_339-CDD.txt","DUF986")</f>
        <v>DUF986</v>
      </c>
      <c r="BT431" t="str">
        <f>HYPERLINK("http://www.ncbi.nlm.nih.gov/Structure/cdd/cddsrv.cgi?uid=pfam06173&amp;version=v4.0","1.1")</f>
        <v>1.1</v>
      </c>
      <c r="BU431" t="s">
        <v>2880</v>
      </c>
      <c r="BV431" s="4" t="s">
        <v>42</v>
      </c>
      <c r="BW431" t="s">
        <v>42</v>
      </c>
      <c r="BX431" t="s">
        <v>42</v>
      </c>
      <c r="BY431" t="s">
        <v>42</v>
      </c>
      <c r="BZ431" t="s">
        <v>42</v>
      </c>
      <c r="CA431" t="s">
        <v>42</v>
      </c>
      <c r="CB431" t="s">
        <v>42</v>
      </c>
      <c r="CC431" t="s">
        <v>42</v>
      </c>
      <c r="CD431" t="s">
        <v>42</v>
      </c>
      <c r="CE431" t="s">
        <v>42</v>
      </c>
      <c r="CF431" t="s">
        <v>42</v>
      </c>
      <c r="CG431" t="s">
        <v>42</v>
      </c>
      <c r="CH431" t="s">
        <v>42</v>
      </c>
      <c r="CI431" t="s">
        <v>42</v>
      </c>
      <c r="CJ431" t="s">
        <v>42</v>
      </c>
      <c r="CK431" t="s">
        <v>42</v>
      </c>
      <c r="CL431" t="s">
        <v>42</v>
      </c>
      <c r="CM431" t="s">
        <v>42</v>
      </c>
      <c r="CN431" t="s">
        <v>42</v>
      </c>
      <c r="CO431" t="s">
        <v>42</v>
      </c>
      <c r="CP431" t="s">
        <v>42</v>
      </c>
      <c r="CQ431" t="s">
        <v>42</v>
      </c>
      <c r="CR431" t="s">
        <v>42</v>
      </c>
      <c r="CS431" s="4" t="str">
        <f>HYPERLINK("http://exon.niaid.nih.gov/transcriptome/C_felis/S1/links/KOG/cf-contig_339-KOG.txt","Uncharacterized conserved protein")</f>
        <v>Uncharacterized conserved protein</v>
      </c>
      <c r="CT431" t="str">
        <f>HYPERLINK("http://www.ncbi.nlm.nih.gov/COG/grace/shokog.cgi?KOG1884","1.4")</f>
        <v>1.4</v>
      </c>
      <c r="CU431" t="s">
        <v>1711</v>
      </c>
      <c r="CV431" s="4" t="str">
        <f>HYPERLINK("http://exon.niaid.nih.gov/transcriptome/C_felis/S1/links/PFAM/cf-contig_339-PFAM.txt","DUF986")</f>
        <v>DUF986</v>
      </c>
      <c r="CW431" t="str">
        <f>HYPERLINK("http://pfam.sanger.ac.uk/family?acc=PF06173","0.23")</f>
        <v>0.23</v>
      </c>
      <c r="CX431" s="4" t="str">
        <f>HYPERLINK("http://exon.niaid.nih.gov/transcriptome/C_felis/S1/links/SMART/cf-contig_339-SMART.txt","PSN")</f>
        <v>PSN</v>
      </c>
      <c r="CY431" t="str">
        <f>HYPERLINK("http://smart.embl-heidelberg.de/smart/do_annotation.pl?DOMAIN=PSN&amp;BLAST=DUMMY","0.29")</f>
        <v>0.29</v>
      </c>
      <c r="CZ431" s="4" t="s">
        <v>42</v>
      </c>
      <c r="DA431" t="s">
        <v>42</v>
      </c>
      <c r="DB431" t="s">
        <v>42</v>
      </c>
      <c r="DC431" t="s">
        <v>42</v>
      </c>
      <c r="DD431" t="s">
        <v>42</v>
      </c>
      <c r="DE431" t="s">
        <v>42</v>
      </c>
      <c r="DF431" t="s">
        <v>42</v>
      </c>
      <c r="DG431" t="s">
        <v>42</v>
      </c>
      <c r="DH431" s="4" t="s">
        <v>42</v>
      </c>
      <c r="DI431" t="s">
        <v>42</v>
      </c>
      <c r="DJ431" s="4" t="s">
        <v>42</v>
      </c>
      <c r="DK431" t="s">
        <v>42</v>
      </c>
      <c r="DL431" s="4">
        <v>273</v>
      </c>
      <c r="DM431">
        <v>1</v>
      </c>
      <c r="DN431" s="4">
        <v>279</v>
      </c>
      <c r="DO431">
        <v>1</v>
      </c>
      <c r="DP431" s="4">
        <v>278</v>
      </c>
      <c r="DQ431">
        <v>1</v>
      </c>
      <c r="DR431" s="4">
        <v>287</v>
      </c>
      <c r="DS431">
        <v>1</v>
      </c>
      <c r="DT431" s="4">
        <v>297</v>
      </c>
      <c r="DU431">
        <v>1</v>
      </c>
      <c r="DV431" s="4">
        <v>310</v>
      </c>
      <c r="DW431">
        <v>1</v>
      </c>
      <c r="DX431" s="4">
        <v>313</v>
      </c>
      <c r="DY431">
        <v>1</v>
      </c>
      <c r="DZ431" s="4">
        <v>318</v>
      </c>
      <c r="EA431">
        <v>1</v>
      </c>
      <c r="EB431" s="4">
        <v>323</v>
      </c>
      <c r="EC431">
        <v>1</v>
      </c>
      <c r="ED431" s="4">
        <v>327</v>
      </c>
      <c r="EE431">
        <v>1</v>
      </c>
      <c r="EF431" s="4">
        <v>332</v>
      </c>
      <c r="EG431">
        <v>1</v>
      </c>
      <c r="EH431" s="4">
        <v>334</v>
      </c>
      <c r="EI431">
        <v>1</v>
      </c>
      <c r="EJ431" s="4">
        <v>339</v>
      </c>
      <c r="EK431">
        <v>1</v>
      </c>
    </row>
    <row r="432" spans="1:141" x14ac:dyDescent="0.2">
      <c r="A432" t="str">
        <f>HYPERLINK("http://exon.niaid.nih.gov/transcriptome/C_felis/S1/links/cf/cf-contig_340.txt","cf-contig_340")</f>
        <v>cf-contig_340</v>
      </c>
      <c r="B432">
        <v>1</v>
      </c>
      <c r="C432" s="10" t="s">
        <v>4600</v>
      </c>
      <c r="D432">
        <v>1</v>
      </c>
      <c r="E432" t="str">
        <f>HYPERLINK("http://exon.niaid.nih.gov/transcriptome/C_felis/S1/links/cf/cf-5-36-asb-340.txt","Contig-340")</f>
        <v>Contig-340</v>
      </c>
      <c r="F432" t="str">
        <f>HYPERLINK("http://exon.niaid.nih.gov/transcriptome/C_felis/S1/links/cf/cf-5-36-340-CLU.txt","Contig340")</f>
        <v>Contig340</v>
      </c>
      <c r="G432" t="str">
        <f>HYPERLINK("http://exon.niaid.nih.gov/transcriptome/C_felis/S1/links/cf/cf-5-36-340-qual.txt","27.3")</f>
        <v>27.3</v>
      </c>
      <c r="H432">
        <v>2.1</v>
      </c>
      <c r="I432">
        <v>61.9</v>
      </c>
      <c r="J432">
        <v>78</v>
      </c>
      <c r="K432" t="s">
        <v>12</v>
      </c>
      <c r="L432">
        <v>1</v>
      </c>
      <c r="M432" t="s">
        <v>353</v>
      </c>
      <c r="N432">
        <v>78</v>
      </c>
      <c r="O432">
        <v>97</v>
      </c>
      <c r="P432">
        <v>96</v>
      </c>
      <c r="Q432" t="s">
        <v>1160</v>
      </c>
      <c r="R432">
        <v>1</v>
      </c>
      <c r="S432" s="7" t="s">
        <v>4585</v>
      </c>
      <c r="U432">
        <v>1</v>
      </c>
      <c r="V432" s="4">
        <f>HYPERLINK("http://exon.niaid.nih.gov/transcriptome/C_felis/S1/links/cluster/cf-5-36-asb30-50-Id-CLU69.txt", 69)</f>
        <v>69</v>
      </c>
      <c r="W432">
        <f>HYPERLINK("http://exon.niaid.nih.gov/transcriptome/C_felis/S1/links/cluster/cf-5-36-asb30-50-Id-CLTL69.txt", 2)</f>
        <v>2</v>
      </c>
      <c r="X432" s="4">
        <f>HYPERLINK("http://exon.niaid.nih.gov/transcriptome/C_felis/S1/links/cluster/cf-5-36-asb35-50-Id-CLU61.txt", 61)</f>
        <v>61</v>
      </c>
      <c r="Y432">
        <f>HYPERLINK("http://exon.niaid.nih.gov/transcriptome/C_felis/S1/links/cluster/cf-5-36-asb35-50-Id-CLTL61.txt", 2)</f>
        <v>2</v>
      </c>
      <c r="Z432" s="4">
        <f>HYPERLINK("http://exon.niaid.nih.gov/transcriptome/C_felis/S1/links/cluster/cf-5-36-asb40-50-Id-CLU58.txt", 58)</f>
        <v>58</v>
      </c>
      <c r="AA432">
        <f>HYPERLINK("http://exon.niaid.nih.gov/transcriptome/C_felis/S1/links/cluster/cf-5-36-asb40-50-Id-CLTL58.txt", 2)</f>
        <v>2</v>
      </c>
      <c r="AB432" s="4" t="str">
        <f>HYPERLINK("http://exon.niaid.nih.gov/transcriptome/C_felis/S1/links/XC-ASB/cf-contig_340-XC-ASB.txt","XC-contig_100")</f>
        <v>XC-contig_100</v>
      </c>
      <c r="AC432">
        <v>0.46</v>
      </c>
      <c r="AD432" s="10" t="s">
        <v>4600</v>
      </c>
      <c r="AE432" t="s">
        <v>4601</v>
      </c>
      <c r="AI432" s="4" t="s">
        <v>42</v>
      </c>
      <c r="AJ432" t="s">
        <v>42</v>
      </c>
      <c r="AK432" t="s">
        <v>42</v>
      </c>
      <c r="AL432" t="s">
        <v>42</v>
      </c>
      <c r="AM432" t="s">
        <v>42</v>
      </c>
      <c r="AN432" t="s">
        <v>42</v>
      </c>
      <c r="AO432" t="s">
        <v>42</v>
      </c>
      <c r="AP432" t="s">
        <v>42</v>
      </c>
      <c r="AQ432" t="s">
        <v>42</v>
      </c>
      <c r="AR432" t="s">
        <v>42</v>
      </c>
      <c r="AS432" t="s">
        <v>42</v>
      </c>
      <c r="AT432" t="s">
        <v>42</v>
      </c>
      <c r="AU432" t="s">
        <v>42</v>
      </c>
      <c r="AV432" t="s">
        <v>42</v>
      </c>
      <c r="AW432" t="s">
        <v>42</v>
      </c>
      <c r="AX432" t="s">
        <v>42</v>
      </c>
      <c r="AY432" t="s">
        <v>42</v>
      </c>
      <c r="AZ432" t="s">
        <v>42</v>
      </c>
      <c r="BA432" s="4" t="s">
        <v>42</v>
      </c>
      <c r="BB432" t="s">
        <v>42</v>
      </c>
      <c r="BC432" t="s">
        <v>42</v>
      </c>
      <c r="BD432" t="s">
        <v>42</v>
      </c>
      <c r="BE432" t="s">
        <v>42</v>
      </c>
      <c r="BF432" t="s">
        <v>42</v>
      </c>
      <c r="BG432" t="s">
        <v>42</v>
      </c>
      <c r="BH432" t="s">
        <v>42</v>
      </c>
      <c r="BI432" t="s">
        <v>42</v>
      </c>
      <c r="BJ432" t="s">
        <v>42</v>
      </c>
      <c r="BK432" t="s">
        <v>42</v>
      </c>
      <c r="BL432" t="s">
        <v>42</v>
      </c>
      <c r="BM432" t="s">
        <v>42</v>
      </c>
      <c r="BN432" t="s">
        <v>42</v>
      </c>
      <c r="BO432" t="s">
        <v>42</v>
      </c>
      <c r="BP432" t="s">
        <v>42</v>
      </c>
      <c r="BQ432" t="s">
        <v>42</v>
      </c>
      <c r="BR432" t="s">
        <v>42</v>
      </c>
      <c r="BS432" s="4" t="s">
        <v>42</v>
      </c>
      <c r="BT432" t="s">
        <v>42</v>
      </c>
      <c r="BU432" t="s">
        <v>42</v>
      </c>
      <c r="BV432" s="4" t="s">
        <v>42</v>
      </c>
      <c r="BW432" t="s">
        <v>42</v>
      </c>
      <c r="BX432" t="s">
        <v>42</v>
      </c>
      <c r="BY432" t="s">
        <v>42</v>
      </c>
      <c r="BZ432" t="s">
        <v>42</v>
      </c>
      <c r="CA432" t="s">
        <v>42</v>
      </c>
      <c r="CB432" t="s">
        <v>42</v>
      </c>
      <c r="CC432" t="s">
        <v>42</v>
      </c>
      <c r="CD432" t="s">
        <v>42</v>
      </c>
      <c r="CE432" t="s">
        <v>42</v>
      </c>
      <c r="CF432" t="s">
        <v>42</v>
      </c>
      <c r="CG432" t="s">
        <v>42</v>
      </c>
      <c r="CH432" t="s">
        <v>42</v>
      </c>
      <c r="CI432" t="s">
        <v>42</v>
      </c>
      <c r="CJ432" t="s">
        <v>42</v>
      </c>
      <c r="CK432" t="s">
        <v>42</v>
      </c>
      <c r="CL432" t="s">
        <v>42</v>
      </c>
      <c r="CM432" t="s">
        <v>42</v>
      </c>
      <c r="CN432" t="s">
        <v>42</v>
      </c>
      <c r="CO432" t="s">
        <v>42</v>
      </c>
      <c r="CP432" t="s">
        <v>42</v>
      </c>
      <c r="CQ432" t="s">
        <v>42</v>
      </c>
      <c r="CR432" t="s">
        <v>42</v>
      </c>
      <c r="CS432" s="4" t="s">
        <v>42</v>
      </c>
      <c r="CT432" t="s">
        <v>42</v>
      </c>
      <c r="CU432" t="s">
        <v>42</v>
      </c>
      <c r="CV432" s="4" t="str">
        <f>HYPERLINK("http://exon.niaid.nih.gov/transcriptome/C_felis/S1/links/PFAM/cf-contig_340-PFAM.txt","LANC_like")</f>
        <v>LANC_like</v>
      </c>
      <c r="CW432" t="str">
        <f>HYPERLINK("http://pfam.sanger.ac.uk/family?acc=PF05147","3.6")</f>
        <v>3.6</v>
      </c>
      <c r="CX432" s="4" t="str">
        <f>HYPERLINK("http://exon.niaid.nih.gov/transcriptome/C_felis/S1/links/SMART/cf-contig_340-SMART.txt","PASTA")</f>
        <v>PASTA</v>
      </c>
      <c r="CY432" t="str">
        <f>HYPERLINK("http://smart.embl-heidelberg.de/smart/do_annotation.pl?DOMAIN=PASTA&amp;BLAST=DUMMY","2.0")</f>
        <v>2.0</v>
      </c>
      <c r="CZ432" s="4" t="s">
        <v>42</v>
      </c>
      <c r="DA432" t="s">
        <v>42</v>
      </c>
      <c r="DB432" t="s">
        <v>42</v>
      </c>
      <c r="DC432" t="s">
        <v>42</v>
      </c>
      <c r="DD432" t="s">
        <v>42</v>
      </c>
      <c r="DE432" t="s">
        <v>42</v>
      </c>
      <c r="DF432" t="s">
        <v>42</v>
      </c>
      <c r="DG432" t="s">
        <v>42</v>
      </c>
      <c r="DH432" s="4" t="s">
        <v>42</v>
      </c>
      <c r="DI432" t="s">
        <v>42</v>
      </c>
      <c r="DJ432" s="4" t="s">
        <v>42</v>
      </c>
      <c r="DK432" t="s">
        <v>42</v>
      </c>
      <c r="DL432" s="4">
        <f>HYPERLINK("http://exon.niaid.nih.gov/transcriptome/C_felis/S1/links/cluster/cf-5-36-asb30-50-Id-CLU69.txt", 69)</f>
        <v>69</v>
      </c>
      <c r="DM432">
        <f>HYPERLINK("http://exon.niaid.nih.gov/transcriptome/C_felis/S1/links/cluster/cf-5-36-asb30-50-Id-CLTL69.txt", 2)</f>
        <v>2</v>
      </c>
      <c r="DN432" s="4">
        <f>HYPERLINK("http://exon.niaid.nih.gov/transcriptome/C_felis/S1/links/cluster/cf-5-36-asb35-50-Id-CLU61.txt", 61)</f>
        <v>61</v>
      </c>
      <c r="DO432">
        <f>HYPERLINK("http://exon.niaid.nih.gov/transcriptome/C_felis/S1/links/cluster/cf-5-36-asb35-50-Id-CLTL61.txt", 2)</f>
        <v>2</v>
      </c>
      <c r="DP432" s="4">
        <f>HYPERLINK("http://exon.niaid.nih.gov/transcriptome/C_felis/S1/links/cluster/cf-5-36-asb40-50-Id-CLU58.txt", 58)</f>
        <v>58</v>
      </c>
      <c r="DQ432">
        <f>HYPERLINK("http://exon.niaid.nih.gov/transcriptome/C_felis/S1/links/cluster/cf-5-36-asb40-50-Id-CLTL58.txt", 2)</f>
        <v>2</v>
      </c>
      <c r="DR432" s="4">
        <v>288</v>
      </c>
      <c r="DS432">
        <v>1</v>
      </c>
      <c r="DT432" s="4">
        <v>298</v>
      </c>
      <c r="DU432">
        <v>1</v>
      </c>
      <c r="DV432" s="4">
        <v>311</v>
      </c>
      <c r="DW432">
        <v>1</v>
      </c>
      <c r="DX432" s="4">
        <v>314</v>
      </c>
      <c r="DY432">
        <v>1</v>
      </c>
      <c r="DZ432" s="4">
        <v>319</v>
      </c>
      <c r="EA432">
        <v>1</v>
      </c>
      <c r="EB432" s="4">
        <v>324</v>
      </c>
      <c r="EC432">
        <v>1</v>
      </c>
      <c r="ED432" s="4">
        <v>328</v>
      </c>
      <c r="EE432">
        <v>1</v>
      </c>
      <c r="EF432" s="4">
        <v>333</v>
      </c>
      <c r="EG432">
        <v>1</v>
      </c>
      <c r="EH432" s="4">
        <v>335</v>
      </c>
      <c r="EI432">
        <v>1</v>
      </c>
      <c r="EJ432" s="4">
        <v>340</v>
      </c>
      <c r="EK432">
        <v>1</v>
      </c>
    </row>
    <row r="433" spans="1:141" x14ac:dyDescent="0.2">
      <c r="A433" t="str">
        <f>HYPERLINK("http://exon.niaid.nih.gov/transcriptome/C_felis/S1/links/cf/cf-contig_344.txt","cf-contig_344")</f>
        <v>cf-contig_344</v>
      </c>
      <c r="B433">
        <v>1</v>
      </c>
      <c r="C433" s="10" t="s">
        <v>4600</v>
      </c>
      <c r="D433">
        <v>1</v>
      </c>
      <c r="E433" t="str">
        <f>HYPERLINK("http://exon.niaid.nih.gov/transcriptome/C_felis/S1/links/cf/cf-5-36-asb-344.txt","Contig-344")</f>
        <v>Contig-344</v>
      </c>
      <c r="F433" t="str">
        <f>HYPERLINK("http://exon.niaid.nih.gov/transcriptome/C_felis/S1/links/cf/cf-5-36-344-CLU.txt","Contig344")</f>
        <v>Contig344</v>
      </c>
      <c r="G433" t="str">
        <f>HYPERLINK("http://exon.niaid.nih.gov/transcriptome/C_felis/S1/links/cf/cf-5-36-344-qual.txt","39.6")</f>
        <v>39.6</v>
      </c>
      <c r="H433">
        <v>2</v>
      </c>
      <c r="I433">
        <v>69.3</v>
      </c>
      <c r="J433">
        <v>82</v>
      </c>
      <c r="K433" t="s">
        <v>12</v>
      </c>
      <c r="L433">
        <v>1</v>
      </c>
      <c r="M433" t="s">
        <v>357</v>
      </c>
      <c r="N433">
        <v>82</v>
      </c>
      <c r="O433">
        <v>101</v>
      </c>
      <c r="P433">
        <v>51</v>
      </c>
      <c r="Q433" t="s">
        <v>1164</v>
      </c>
      <c r="R433">
        <v>3</v>
      </c>
      <c r="S433" s="7" t="s">
        <v>4585</v>
      </c>
      <c r="U433">
        <v>1</v>
      </c>
      <c r="V433" s="4">
        <f>HYPERLINK("http://exon.niaid.nih.gov/transcriptome/C_felis/S1/links/cluster/cf-5-36-asb30-50-Id-CLU70.txt", 70)</f>
        <v>70</v>
      </c>
      <c r="W433">
        <f>HYPERLINK("http://exon.niaid.nih.gov/transcriptome/C_felis/S1/links/cluster/cf-5-36-asb30-50-Id-CLTL70.txt", 2)</f>
        <v>2</v>
      </c>
      <c r="X433" s="4">
        <f>HYPERLINK("http://exon.niaid.nih.gov/transcriptome/C_felis/S1/links/cluster/cf-5-36-asb35-50-Id-CLU62.txt", 62)</f>
        <v>62</v>
      </c>
      <c r="Y433">
        <f>HYPERLINK("http://exon.niaid.nih.gov/transcriptome/C_felis/S1/links/cluster/cf-5-36-asb35-50-Id-CLTL62.txt", 2)</f>
        <v>2</v>
      </c>
      <c r="Z433" s="4">
        <v>282</v>
      </c>
      <c r="AA433">
        <v>1</v>
      </c>
      <c r="AB433" s="4" t="str">
        <f>HYPERLINK("http://exon.niaid.nih.gov/transcriptome/C_felis/S1/links/XC-ASB/cf-contig_344-XC-ASB.txt","XC-contig_201")</f>
        <v>XC-contig_201</v>
      </c>
      <c r="AC433">
        <v>1.2</v>
      </c>
      <c r="AD433" s="10" t="s">
        <v>4600</v>
      </c>
      <c r="AE433" t="s">
        <v>4601</v>
      </c>
      <c r="AI433" s="4" t="s">
        <v>42</v>
      </c>
      <c r="AJ433" t="s">
        <v>42</v>
      </c>
      <c r="AK433" t="s">
        <v>42</v>
      </c>
      <c r="AL433" t="s">
        <v>42</v>
      </c>
      <c r="AM433" t="s">
        <v>42</v>
      </c>
      <c r="AN433" t="s">
        <v>42</v>
      </c>
      <c r="AO433" t="s">
        <v>42</v>
      </c>
      <c r="AP433" t="s">
        <v>42</v>
      </c>
      <c r="AQ433" t="s">
        <v>42</v>
      </c>
      <c r="AR433" t="s">
        <v>42</v>
      </c>
      <c r="AS433" t="s">
        <v>42</v>
      </c>
      <c r="AT433" t="s">
        <v>42</v>
      </c>
      <c r="AU433" t="s">
        <v>42</v>
      </c>
      <c r="AV433" t="s">
        <v>42</v>
      </c>
      <c r="AW433" t="s">
        <v>42</v>
      </c>
      <c r="AX433" t="s">
        <v>42</v>
      </c>
      <c r="AY433" t="s">
        <v>42</v>
      </c>
      <c r="AZ433" t="s">
        <v>42</v>
      </c>
      <c r="BA433" s="4" t="str">
        <f>HYPERLINK("http://exon.niaid.nih.gov/transcriptome/C_felis/S1/links/SWISSP/cf-contig_344-SWISSP.txt","Von Hippel-Lindau-like protein")</f>
        <v>Von Hippel-Lindau-like protein</v>
      </c>
      <c r="BB433" t="str">
        <f>HYPERLINK("http://www.uniprot.org/uniprot/Q6RSH7","68")</f>
        <v>68</v>
      </c>
      <c r="BC433" t="s">
        <v>2894</v>
      </c>
      <c r="BD433">
        <v>26.2</v>
      </c>
      <c r="BE433">
        <v>17</v>
      </c>
      <c r="BF433">
        <v>139</v>
      </c>
      <c r="BG433">
        <v>61</v>
      </c>
      <c r="BH433">
        <v>13</v>
      </c>
      <c r="BI433">
        <v>7</v>
      </c>
      <c r="BJ433">
        <v>0</v>
      </c>
      <c r="BK433">
        <v>69</v>
      </c>
      <c r="BL433">
        <v>27</v>
      </c>
      <c r="BM433">
        <v>1</v>
      </c>
      <c r="BN433">
        <v>-1</v>
      </c>
      <c r="BO433" t="s">
        <v>12</v>
      </c>
      <c r="BQ433" t="s">
        <v>1666</v>
      </c>
      <c r="BR433" t="s">
        <v>1690</v>
      </c>
      <c r="BS433" s="4" t="str">
        <f>HYPERLINK("http://exon.niaid.nih.gov/transcriptome/C_felis/S1/links/CDD/cf-contig_344-CDD.txt","PRK05122")</f>
        <v>PRK05122</v>
      </c>
      <c r="BT433" t="str">
        <f>HYPERLINK("http://www.ncbi.nlm.nih.gov/Structure/cdd/cddsrv.cgi?uid=PRK05122&amp;version=v4.0","2.6")</f>
        <v>2.6</v>
      </c>
      <c r="BU433" t="s">
        <v>2895</v>
      </c>
      <c r="BV433" s="4" t="s">
        <v>42</v>
      </c>
      <c r="BW433" t="s">
        <v>42</v>
      </c>
      <c r="BX433" t="s">
        <v>42</v>
      </c>
      <c r="BY433" t="s">
        <v>42</v>
      </c>
      <c r="BZ433" t="s">
        <v>42</v>
      </c>
      <c r="CA433" t="s">
        <v>42</v>
      </c>
      <c r="CB433" t="s">
        <v>42</v>
      </c>
      <c r="CC433" t="s">
        <v>42</v>
      </c>
      <c r="CD433" t="s">
        <v>42</v>
      </c>
      <c r="CE433" t="s">
        <v>42</v>
      </c>
      <c r="CF433" t="s">
        <v>42</v>
      </c>
      <c r="CG433" t="s">
        <v>42</v>
      </c>
      <c r="CH433" t="s">
        <v>42</v>
      </c>
      <c r="CI433" t="s">
        <v>42</v>
      </c>
      <c r="CJ433" t="s">
        <v>42</v>
      </c>
      <c r="CK433" t="s">
        <v>42</v>
      </c>
      <c r="CL433" t="s">
        <v>42</v>
      </c>
      <c r="CM433" t="s">
        <v>42</v>
      </c>
      <c r="CN433" t="s">
        <v>42</v>
      </c>
      <c r="CO433" t="s">
        <v>42</v>
      </c>
      <c r="CP433" t="s">
        <v>42</v>
      </c>
      <c r="CQ433" t="s">
        <v>42</v>
      </c>
      <c r="CR433" t="s">
        <v>42</v>
      </c>
      <c r="CS433" s="4" t="str">
        <f>HYPERLINK("http://exon.niaid.nih.gov/transcriptome/C_felis/S1/links/KOG/cf-contig_344-KOG.txt","Tandem pore domain K+ channel")</f>
        <v>Tandem pore domain K+ channel</v>
      </c>
      <c r="CT433" t="str">
        <f>HYPERLINK("http://www.ncbi.nlm.nih.gov/COG/grace/shokog.cgi?KOG1418","0.92")</f>
        <v>0.92</v>
      </c>
      <c r="CU433" t="s">
        <v>1681</v>
      </c>
      <c r="CV433" s="4" t="str">
        <f>HYPERLINK("http://exon.niaid.nih.gov/transcriptome/C_felis/S1/links/PFAM/cf-contig_344-PFAM.txt","Branch_AA_trans")</f>
        <v>Branch_AA_trans</v>
      </c>
      <c r="CW433" t="str">
        <f>HYPERLINK("http://pfam.sanger.ac.uk/family?acc=PF05525","2.3")</f>
        <v>2.3</v>
      </c>
      <c r="CX433" s="4" t="str">
        <f>HYPERLINK("http://exon.niaid.nih.gov/transcriptome/C_felis/S1/links/SMART/cf-contig_344-SMART.txt","H2A")</f>
        <v>H2A</v>
      </c>
      <c r="CY433" t="str">
        <f>HYPERLINK("http://smart.embl-heidelberg.de/smart/do_annotation.pl?DOMAIN=H2A&amp;BLAST=DUMMY","2.1")</f>
        <v>2.1</v>
      </c>
      <c r="CZ433" s="4" t="s">
        <v>42</v>
      </c>
      <c r="DA433" t="s">
        <v>42</v>
      </c>
      <c r="DB433" t="s">
        <v>42</v>
      </c>
      <c r="DC433" t="s">
        <v>42</v>
      </c>
      <c r="DD433" t="s">
        <v>42</v>
      </c>
      <c r="DE433" t="s">
        <v>42</v>
      </c>
      <c r="DF433" t="s">
        <v>42</v>
      </c>
      <c r="DG433" t="s">
        <v>42</v>
      </c>
      <c r="DH433" s="4" t="s">
        <v>42</v>
      </c>
      <c r="DI433" t="s">
        <v>42</v>
      </c>
      <c r="DJ433" s="4" t="s">
        <v>42</v>
      </c>
      <c r="DK433" t="s">
        <v>42</v>
      </c>
      <c r="DL433" s="4">
        <f>HYPERLINK("http://exon.niaid.nih.gov/transcriptome/C_felis/S1/links/cluster/cf-5-36-asb30-50-Id-CLU70.txt", 70)</f>
        <v>70</v>
      </c>
      <c r="DM433">
        <f>HYPERLINK("http://exon.niaid.nih.gov/transcriptome/C_felis/S1/links/cluster/cf-5-36-asb30-50-Id-CLTL70.txt", 2)</f>
        <v>2</v>
      </c>
      <c r="DN433" s="4">
        <f>HYPERLINK("http://exon.niaid.nih.gov/transcriptome/C_felis/S1/links/cluster/cf-5-36-asb35-50-Id-CLU62.txt", 62)</f>
        <v>62</v>
      </c>
      <c r="DO433">
        <f>HYPERLINK("http://exon.niaid.nih.gov/transcriptome/C_felis/S1/links/cluster/cf-5-36-asb35-50-Id-CLTL62.txt", 2)</f>
        <v>2</v>
      </c>
      <c r="DP433" s="4">
        <v>282</v>
      </c>
      <c r="DQ433">
        <v>1</v>
      </c>
      <c r="DR433" s="4">
        <v>292</v>
      </c>
      <c r="DS433">
        <v>1</v>
      </c>
      <c r="DT433" s="4">
        <v>302</v>
      </c>
      <c r="DU433">
        <v>1</v>
      </c>
      <c r="DV433" s="4">
        <v>315</v>
      </c>
      <c r="DW433">
        <v>1</v>
      </c>
      <c r="DX433" s="4">
        <v>318</v>
      </c>
      <c r="DY433">
        <v>1</v>
      </c>
      <c r="DZ433" s="4">
        <v>323</v>
      </c>
      <c r="EA433">
        <v>1</v>
      </c>
      <c r="EB433" s="4">
        <v>328</v>
      </c>
      <c r="EC433">
        <v>1</v>
      </c>
      <c r="ED433" s="4">
        <v>332</v>
      </c>
      <c r="EE433">
        <v>1</v>
      </c>
      <c r="EF433" s="4">
        <v>337</v>
      </c>
      <c r="EG433">
        <v>1</v>
      </c>
      <c r="EH433" s="4">
        <v>339</v>
      </c>
      <c r="EI433">
        <v>1</v>
      </c>
      <c r="EJ433" s="4">
        <v>344</v>
      </c>
      <c r="EK433">
        <v>1</v>
      </c>
    </row>
    <row r="434" spans="1:141" x14ac:dyDescent="0.2">
      <c r="A434" t="str">
        <f>HYPERLINK("http://exon.niaid.nih.gov/transcriptome/C_felis/S1/links/cf/cf-contig_345.txt","cf-contig_345")</f>
        <v>cf-contig_345</v>
      </c>
      <c r="B434">
        <v>1</v>
      </c>
      <c r="C434" s="10" t="s">
        <v>4600</v>
      </c>
      <c r="D434">
        <v>1</v>
      </c>
      <c r="E434" t="str">
        <f>HYPERLINK("http://exon.niaid.nih.gov/transcriptome/C_felis/S1/links/cf/cf-5-36-asb-345.txt","Contig-345")</f>
        <v>Contig-345</v>
      </c>
      <c r="F434" t="str">
        <f>HYPERLINK("http://exon.niaid.nih.gov/transcriptome/C_felis/S1/links/cf/cf-5-36-345-CLU.txt","Contig345")</f>
        <v>Contig345</v>
      </c>
      <c r="G434" t="str">
        <f>HYPERLINK("http://exon.niaid.nih.gov/transcriptome/C_felis/S1/links/cf/cf-5-36-345-qual.txt","27.4")</f>
        <v>27.4</v>
      </c>
      <c r="H434">
        <v>2.1</v>
      </c>
      <c r="I434">
        <v>47.9</v>
      </c>
      <c r="J434">
        <v>77</v>
      </c>
      <c r="K434" t="s">
        <v>12</v>
      </c>
      <c r="L434">
        <v>1</v>
      </c>
      <c r="M434" t="s">
        <v>358</v>
      </c>
      <c r="N434">
        <v>77</v>
      </c>
      <c r="O434">
        <v>96</v>
      </c>
      <c r="P434">
        <v>93</v>
      </c>
      <c r="Q434" t="s">
        <v>1165</v>
      </c>
      <c r="R434">
        <v>1</v>
      </c>
      <c r="S434" s="7" t="s">
        <v>4585</v>
      </c>
      <c r="U434">
        <v>1</v>
      </c>
      <c r="V434" s="4">
        <v>277</v>
      </c>
      <c r="W434">
        <v>1</v>
      </c>
      <c r="X434" s="4">
        <v>283</v>
      </c>
      <c r="Y434">
        <v>1</v>
      </c>
      <c r="Z434" s="4">
        <v>283</v>
      </c>
      <c r="AA434">
        <v>1</v>
      </c>
      <c r="AB434" s="4" t="str">
        <f>HYPERLINK("http://exon.niaid.nih.gov/transcriptome/C_felis/S1/links/XC-ASB/cf-contig_345-XC-ASB.txt","XC-contig_193")</f>
        <v>XC-contig_193</v>
      </c>
      <c r="AC434">
        <v>0.87</v>
      </c>
      <c r="AD434" s="10" t="s">
        <v>4600</v>
      </c>
      <c r="AE434" t="s">
        <v>4601</v>
      </c>
      <c r="AI434" s="4" t="s">
        <v>42</v>
      </c>
      <c r="AJ434" t="s">
        <v>42</v>
      </c>
      <c r="AK434" t="s">
        <v>42</v>
      </c>
      <c r="AL434" t="s">
        <v>42</v>
      </c>
      <c r="AM434" t="s">
        <v>42</v>
      </c>
      <c r="AN434" t="s">
        <v>42</v>
      </c>
      <c r="AO434" t="s">
        <v>42</v>
      </c>
      <c r="AP434" t="s">
        <v>42</v>
      </c>
      <c r="AQ434" t="s">
        <v>42</v>
      </c>
      <c r="AR434" t="s">
        <v>42</v>
      </c>
      <c r="AS434" t="s">
        <v>42</v>
      </c>
      <c r="AT434" t="s">
        <v>42</v>
      </c>
      <c r="AU434" t="s">
        <v>42</v>
      </c>
      <c r="AV434" t="s">
        <v>42</v>
      </c>
      <c r="AW434" t="s">
        <v>42</v>
      </c>
      <c r="AX434" t="s">
        <v>42</v>
      </c>
      <c r="AY434" t="s">
        <v>42</v>
      </c>
      <c r="AZ434" t="s">
        <v>42</v>
      </c>
      <c r="BA434" s="4" t="s">
        <v>42</v>
      </c>
      <c r="BB434" t="s">
        <v>42</v>
      </c>
      <c r="BC434" t="s">
        <v>42</v>
      </c>
      <c r="BD434" t="s">
        <v>42</v>
      </c>
      <c r="BE434" t="s">
        <v>42</v>
      </c>
      <c r="BF434" t="s">
        <v>42</v>
      </c>
      <c r="BG434" t="s">
        <v>42</v>
      </c>
      <c r="BH434" t="s">
        <v>42</v>
      </c>
      <c r="BI434" t="s">
        <v>42</v>
      </c>
      <c r="BJ434" t="s">
        <v>42</v>
      </c>
      <c r="BK434" t="s">
        <v>42</v>
      </c>
      <c r="BL434" t="s">
        <v>42</v>
      </c>
      <c r="BM434" t="s">
        <v>42</v>
      </c>
      <c r="BN434" t="s">
        <v>42</v>
      </c>
      <c r="BO434" t="s">
        <v>42</v>
      </c>
      <c r="BP434" t="s">
        <v>42</v>
      </c>
      <c r="BQ434" t="s">
        <v>42</v>
      </c>
      <c r="BR434" t="s">
        <v>42</v>
      </c>
      <c r="BS434" s="4" t="str">
        <f>HYPERLINK("http://exon.niaid.nih.gov/transcriptome/C_felis/S1/links/CDD/cf-contig_345-CDD.txt","PRK14083")</f>
        <v>PRK14083</v>
      </c>
      <c r="BT434" t="str">
        <f>HYPERLINK("http://www.ncbi.nlm.nih.gov/Structure/cdd/cddsrv.cgi?uid=PRK14083&amp;version=v4.0","6.2")</f>
        <v>6.2</v>
      </c>
      <c r="BU434" t="s">
        <v>2896</v>
      </c>
      <c r="BV434" s="4" t="s">
        <v>42</v>
      </c>
      <c r="BW434" t="s">
        <v>42</v>
      </c>
      <c r="BX434" t="s">
        <v>42</v>
      </c>
      <c r="BY434" t="s">
        <v>42</v>
      </c>
      <c r="BZ434" t="s">
        <v>42</v>
      </c>
      <c r="CA434" t="s">
        <v>42</v>
      </c>
      <c r="CB434" t="s">
        <v>42</v>
      </c>
      <c r="CC434" t="s">
        <v>42</v>
      </c>
      <c r="CD434" t="s">
        <v>42</v>
      </c>
      <c r="CE434" t="s">
        <v>42</v>
      </c>
      <c r="CF434" t="s">
        <v>42</v>
      </c>
      <c r="CG434" t="s">
        <v>42</v>
      </c>
      <c r="CH434" t="s">
        <v>42</v>
      </c>
      <c r="CI434" t="s">
        <v>42</v>
      </c>
      <c r="CJ434" t="s">
        <v>42</v>
      </c>
      <c r="CK434" t="s">
        <v>42</v>
      </c>
      <c r="CL434" t="s">
        <v>42</v>
      </c>
      <c r="CM434" t="s">
        <v>42</v>
      </c>
      <c r="CN434" t="s">
        <v>42</v>
      </c>
      <c r="CO434" t="s">
        <v>42</v>
      </c>
      <c r="CP434" t="s">
        <v>42</v>
      </c>
      <c r="CQ434" t="s">
        <v>42</v>
      </c>
      <c r="CR434" t="s">
        <v>42</v>
      </c>
      <c r="CS434" s="4" t="str">
        <f>HYPERLINK("http://exon.niaid.nih.gov/transcriptome/C_felis/S1/links/KOG/cf-contig_345-KOG.txt","Nidogen and related basement membrane protein proteins")</f>
        <v>Nidogen and related basement membrane protein proteins</v>
      </c>
      <c r="CT434" t="str">
        <f>HYPERLINK("http://www.ncbi.nlm.nih.gov/COG/grace/shokog.cgi?KOG1214","8.0")</f>
        <v>8.0</v>
      </c>
      <c r="CU434" t="s">
        <v>2897</v>
      </c>
      <c r="CV434" s="4" t="str">
        <f>HYPERLINK("http://exon.niaid.nih.gov/transcriptome/C_felis/S1/links/PFAM/cf-contig_345-PFAM.txt","Virul_Fac")</f>
        <v>Virul_Fac</v>
      </c>
      <c r="CW434" t="str">
        <f>HYPERLINK("http://pfam.sanger.ac.uk/family?acc=PF10139","2.1")</f>
        <v>2.1</v>
      </c>
      <c r="CX434" s="4" t="str">
        <f>HYPERLINK("http://exon.niaid.nih.gov/transcriptome/C_felis/S1/links/SMART/cf-contig_345-SMART.txt","RelA_SpoT")</f>
        <v>RelA_SpoT</v>
      </c>
      <c r="CY434" t="str">
        <f>HYPERLINK("http://smart.embl-heidelberg.de/smart/do_annotation.pl?DOMAIN=RelA_SpoT&amp;BLAST=DUMMY","1.7")</f>
        <v>1.7</v>
      </c>
      <c r="CZ434" s="4" t="s">
        <v>42</v>
      </c>
      <c r="DA434" t="s">
        <v>42</v>
      </c>
      <c r="DB434" t="s">
        <v>42</v>
      </c>
      <c r="DC434" t="s">
        <v>42</v>
      </c>
      <c r="DD434" t="s">
        <v>42</v>
      </c>
      <c r="DE434" t="s">
        <v>42</v>
      </c>
      <c r="DF434" t="s">
        <v>42</v>
      </c>
      <c r="DG434" t="s">
        <v>42</v>
      </c>
      <c r="DH434" s="4" t="s">
        <v>42</v>
      </c>
      <c r="DI434" t="s">
        <v>42</v>
      </c>
      <c r="DJ434" s="4" t="s">
        <v>42</v>
      </c>
      <c r="DK434" t="s">
        <v>42</v>
      </c>
      <c r="DL434" s="4">
        <v>277</v>
      </c>
      <c r="DM434">
        <v>1</v>
      </c>
      <c r="DN434" s="4">
        <v>283</v>
      </c>
      <c r="DO434">
        <v>1</v>
      </c>
      <c r="DP434" s="4">
        <v>283</v>
      </c>
      <c r="DQ434">
        <v>1</v>
      </c>
      <c r="DR434" s="4">
        <v>293</v>
      </c>
      <c r="DS434">
        <v>1</v>
      </c>
      <c r="DT434" s="4">
        <v>303</v>
      </c>
      <c r="DU434">
        <v>1</v>
      </c>
      <c r="DV434" s="4">
        <v>316</v>
      </c>
      <c r="DW434">
        <v>1</v>
      </c>
      <c r="DX434" s="4">
        <v>319</v>
      </c>
      <c r="DY434">
        <v>1</v>
      </c>
      <c r="DZ434" s="4">
        <v>324</v>
      </c>
      <c r="EA434">
        <v>1</v>
      </c>
      <c r="EB434" s="4">
        <v>329</v>
      </c>
      <c r="EC434">
        <v>1</v>
      </c>
      <c r="ED434" s="4">
        <v>333</v>
      </c>
      <c r="EE434">
        <v>1</v>
      </c>
      <c r="EF434" s="4">
        <v>338</v>
      </c>
      <c r="EG434">
        <v>1</v>
      </c>
      <c r="EH434" s="4">
        <v>340</v>
      </c>
      <c r="EI434">
        <v>1</v>
      </c>
      <c r="EJ434" s="4">
        <v>345</v>
      </c>
      <c r="EK434">
        <v>1</v>
      </c>
    </row>
    <row r="435" spans="1:141" x14ac:dyDescent="0.2">
      <c r="A435" t="str">
        <f>HYPERLINK("http://exon.niaid.nih.gov/transcriptome/C_felis/S1/links/cf/cf-contig_347.txt","cf-contig_347")</f>
        <v>cf-contig_347</v>
      </c>
      <c r="B435">
        <v>1</v>
      </c>
      <c r="C435" s="10" t="s">
        <v>4600</v>
      </c>
      <c r="D435">
        <v>1</v>
      </c>
      <c r="E435" t="str">
        <f>HYPERLINK("http://exon.niaid.nih.gov/transcriptome/C_felis/S1/links/cf/cf-5-36-asb-347.txt","Contig-347")</f>
        <v>Contig-347</v>
      </c>
      <c r="F435" t="str">
        <f>HYPERLINK("http://exon.niaid.nih.gov/transcriptome/C_felis/S1/links/cf/cf-5-36-347-CLU.txt","Contig347")</f>
        <v>Contig347</v>
      </c>
      <c r="G435" t="str">
        <f>HYPERLINK("http://exon.niaid.nih.gov/transcriptome/C_felis/S1/links/cf/cf-5-36-347-qual.txt","27.3")</f>
        <v>27.3</v>
      </c>
      <c r="H435" t="s">
        <v>11</v>
      </c>
      <c r="I435">
        <v>56.7</v>
      </c>
      <c r="J435">
        <v>41</v>
      </c>
      <c r="K435" t="s">
        <v>12</v>
      </c>
      <c r="L435">
        <v>1</v>
      </c>
      <c r="M435" t="s">
        <v>360</v>
      </c>
      <c r="N435">
        <v>41</v>
      </c>
      <c r="O435">
        <v>60</v>
      </c>
      <c r="P435">
        <v>57</v>
      </c>
      <c r="Q435" t="s">
        <v>1167</v>
      </c>
      <c r="R435">
        <v>2</v>
      </c>
      <c r="S435" s="7" t="s">
        <v>4585</v>
      </c>
      <c r="U435">
        <v>1</v>
      </c>
      <c r="V435" s="4">
        <v>279</v>
      </c>
      <c r="W435">
        <v>1</v>
      </c>
      <c r="X435" s="4">
        <v>285</v>
      </c>
      <c r="Y435">
        <v>1</v>
      </c>
      <c r="Z435" s="4">
        <v>285</v>
      </c>
      <c r="AA435">
        <v>1</v>
      </c>
      <c r="AB435" s="4" t="str">
        <f>HYPERLINK("http://exon.niaid.nih.gov/transcriptome/C_felis/S1/links/XC-ASB/cf-contig_347-XC-ASB.txt","XC-contig_19")</f>
        <v>XC-contig_19</v>
      </c>
      <c r="AC435">
        <v>3.5</v>
      </c>
      <c r="AD435" s="10" t="s">
        <v>4600</v>
      </c>
      <c r="AE435" t="s">
        <v>4601</v>
      </c>
      <c r="AI435" s="4" t="s">
        <v>42</v>
      </c>
      <c r="AJ435" t="s">
        <v>42</v>
      </c>
      <c r="AK435" t="s">
        <v>42</v>
      </c>
      <c r="AL435" t="s">
        <v>42</v>
      </c>
      <c r="AM435" t="s">
        <v>42</v>
      </c>
      <c r="AN435" t="s">
        <v>42</v>
      </c>
      <c r="AO435" t="s">
        <v>42</v>
      </c>
      <c r="AP435" t="s">
        <v>42</v>
      </c>
      <c r="AQ435" t="s">
        <v>42</v>
      </c>
      <c r="AR435" t="s">
        <v>42</v>
      </c>
      <c r="AS435" t="s">
        <v>42</v>
      </c>
      <c r="AT435" t="s">
        <v>42</v>
      </c>
      <c r="AU435" t="s">
        <v>42</v>
      </c>
      <c r="AV435" t="s">
        <v>42</v>
      </c>
      <c r="AW435" t="s">
        <v>42</v>
      </c>
      <c r="AX435" t="s">
        <v>42</v>
      </c>
      <c r="AY435" t="s">
        <v>42</v>
      </c>
      <c r="AZ435" t="s">
        <v>42</v>
      </c>
      <c r="BA435" s="4" t="s">
        <v>42</v>
      </c>
      <c r="BB435" t="s">
        <v>42</v>
      </c>
      <c r="BC435" t="s">
        <v>42</v>
      </c>
      <c r="BD435" t="s">
        <v>42</v>
      </c>
      <c r="BE435" t="s">
        <v>42</v>
      </c>
      <c r="BF435" t="s">
        <v>42</v>
      </c>
      <c r="BG435" t="s">
        <v>42</v>
      </c>
      <c r="BH435" t="s">
        <v>42</v>
      </c>
      <c r="BI435" t="s">
        <v>42</v>
      </c>
      <c r="BJ435" t="s">
        <v>42</v>
      </c>
      <c r="BK435" t="s">
        <v>42</v>
      </c>
      <c r="BL435" t="s">
        <v>42</v>
      </c>
      <c r="BM435" t="s">
        <v>42</v>
      </c>
      <c r="BN435" t="s">
        <v>42</v>
      </c>
      <c r="BO435" t="s">
        <v>42</v>
      </c>
      <c r="BP435" t="s">
        <v>42</v>
      </c>
      <c r="BQ435" t="s">
        <v>42</v>
      </c>
      <c r="BR435" t="s">
        <v>42</v>
      </c>
      <c r="BS435" s="4" t="s">
        <v>42</v>
      </c>
      <c r="BT435" t="s">
        <v>42</v>
      </c>
      <c r="BU435" t="s">
        <v>42</v>
      </c>
      <c r="BV435" s="4" t="s">
        <v>42</v>
      </c>
      <c r="BW435" t="s">
        <v>42</v>
      </c>
      <c r="BX435" t="s">
        <v>42</v>
      </c>
      <c r="BY435" t="s">
        <v>42</v>
      </c>
      <c r="BZ435" t="s">
        <v>42</v>
      </c>
      <c r="CA435" t="s">
        <v>42</v>
      </c>
      <c r="CB435" t="s">
        <v>42</v>
      </c>
      <c r="CC435" t="s">
        <v>42</v>
      </c>
      <c r="CD435" t="s">
        <v>42</v>
      </c>
      <c r="CE435" t="s">
        <v>42</v>
      </c>
      <c r="CF435" t="s">
        <v>42</v>
      </c>
      <c r="CG435" t="s">
        <v>42</v>
      </c>
      <c r="CH435" t="s">
        <v>42</v>
      </c>
      <c r="CI435" t="s">
        <v>42</v>
      </c>
      <c r="CJ435" t="s">
        <v>42</v>
      </c>
      <c r="CK435" t="s">
        <v>42</v>
      </c>
      <c r="CL435" t="s">
        <v>42</v>
      </c>
      <c r="CM435" t="s">
        <v>42</v>
      </c>
      <c r="CN435" t="s">
        <v>42</v>
      </c>
      <c r="CO435" t="s">
        <v>42</v>
      </c>
      <c r="CP435" t="s">
        <v>42</v>
      </c>
      <c r="CQ435" t="s">
        <v>42</v>
      </c>
      <c r="CR435" t="s">
        <v>42</v>
      </c>
      <c r="CS435" s="4" t="s">
        <v>42</v>
      </c>
      <c r="CT435" t="s">
        <v>42</v>
      </c>
      <c r="CU435" t="s">
        <v>42</v>
      </c>
      <c r="CV435" s="4" t="s">
        <v>42</v>
      </c>
      <c r="CW435" t="s">
        <v>42</v>
      </c>
      <c r="CX435" s="4" t="str">
        <f>HYPERLINK("http://exon.niaid.nih.gov/transcriptome/C_felis/S1/links/SMART/cf-contig_347-SMART.txt","CysPc")</f>
        <v>CysPc</v>
      </c>
      <c r="CY435" t="str">
        <f>HYPERLINK("http://smart.embl-heidelberg.de/smart/do_annotation.pl?DOMAIN=CysPc&amp;BLAST=DUMMY","3.4")</f>
        <v>3.4</v>
      </c>
      <c r="CZ435" s="4" t="s">
        <v>42</v>
      </c>
      <c r="DA435" t="s">
        <v>42</v>
      </c>
      <c r="DB435" t="s">
        <v>42</v>
      </c>
      <c r="DC435" t="s">
        <v>42</v>
      </c>
      <c r="DD435" t="s">
        <v>42</v>
      </c>
      <c r="DE435" t="s">
        <v>42</v>
      </c>
      <c r="DF435" t="s">
        <v>42</v>
      </c>
      <c r="DG435" t="s">
        <v>42</v>
      </c>
      <c r="DH435" s="4" t="s">
        <v>42</v>
      </c>
      <c r="DI435" t="s">
        <v>42</v>
      </c>
      <c r="DJ435" s="4" t="s">
        <v>42</v>
      </c>
      <c r="DK435" t="s">
        <v>42</v>
      </c>
      <c r="DL435" s="4">
        <v>279</v>
      </c>
      <c r="DM435">
        <v>1</v>
      </c>
      <c r="DN435" s="4">
        <v>285</v>
      </c>
      <c r="DO435">
        <v>1</v>
      </c>
      <c r="DP435" s="4">
        <v>285</v>
      </c>
      <c r="DQ435">
        <v>1</v>
      </c>
      <c r="DR435" s="4">
        <v>295</v>
      </c>
      <c r="DS435">
        <v>1</v>
      </c>
      <c r="DT435" s="4">
        <v>305</v>
      </c>
      <c r="DU435">
        <v>1</v>
      </c>
      <c r="DV435" s="4">
        <v>318</v>
      </c>
      <c r="DW435">
        <v>1</v>
      </c>
      <c r="DX435" s="4">
        <v>321</v>
      </c>
      <c r="DY435">
        <v>1</v>
      </c>
      <c r="DZ435" s="4">
        <v>326</v>
      </c>
      <c r="EA435">
        <v>1</v>
      </c>
      <c r="EB435" s="4">
        <v>331</v>
      </c>
      <c r="EC435">
        <v>1</v>
      </c>
      <c r="ED435" s="4">
        <v>335</v>
      </c>
      <c r="EE435">
        <v>1</v>
      </c>
      <c r="EF435" s="4">
        <v>340</v>
      </c>
      <c r="EG435">
        <v>1</v>
      </c>
      <c r="EH435" s="4">
        <v>342</v>
      </c>
      <c r="EI435">
        <v>1</v>
      </c>
      <c r="EJ435" s="4">
        <v>347</v>
      </c>
      <c r="EK435">
        <v>1</v>
      </c>
    </row>
    <row r="436" spans="1:141" x14ac:dyDescent="0.2">
      <c r="A436" t="str">
        <f>HYPERLINK("http://exon.niaid.nih.gov/transcriptome/C_felis/S1/links/cf/cf-contig_348.txt","cf-contig_348")</f>
        <v>cf-contig_348</v>
      </c>
      <c r="B436">
        <v>1</v>
      </c>
      <c r="C436" s="10" t="s">
        <v>4600</v>
      </c>
      <c r="D436">
        <v>1</v>
      </c>
      <c r="E436" t="str">
        <f>HYPERLINK("http://exon.niaid.nih.gov/transcriptome/C_felis/S1/links/cf/cf-5-36-asb-348.txt","Contig-348")</f>
        <v>Contig-348</v>
      </c>
      <c r="F436" t="str">
        <f>HYPERLINK("http://exon.niaid.nih.gov/transcriptome/C_felis/S1/links/cf/cf-5-36-348-CLU.txt","Contig348")</f>
        <v>Contig348</v>
      </c>
      <c r="G436" t="str">
        <f>HYPERLINK("http://exon.niaid.nih.gov/transcriptome/C_felis/S1/links/cf/cf-5-36-348-qual.txt","31.6")</f>
        <v>31.6</v>
      </c>
      <c r="H436">
        <v>3.6</v>
      </c>
      <c r="I436">
        <v>66.7</v>
      </c>
      <c r="J436">
        <v>92</v>
      </c>
      <c r="K436" t="s">
        <v>12</v>
      </c>
      <c r="L436">
        <v>1</v>
      </c>
      <c r="M436" t="s">
        <v>361</v>
      </c>
      <c r="N436">
        <v>92</v>
      </c>
      <c r="O436">
        <v>111</v>
      </c>
      <c r="P436">
        <v>90</v>
      </c>
      <c r="Q436" t="s">
        <v>1168</v>
      </c>
      <c r="R436">
        <v>1</v>
      </c>
      <c r="S436" s="7" t="s">
        <v>4585</v>
      </c>
      <c r="U436">
        <v>1</v>
      </c>
      <c r="V436" s="4">
        <v>280</v>
      </c>
      <c r="W436">
        <v>1</v>
      </c>
      <c r="X436" s="4">
        <v>286</v>
      </c>
      <c r="Y436">
        <v>1</v>
      </c>
      <c r="Z436" s="4">
        <v>286</v>
      </c>
      <c r="AA436">
        <v>1</v>
      </c>
      <c r="AB436" s="4" t="str">
        <f>HYPERLINK("http://exon.niaid.nih.gov/transcriptome/C_felis/S1/links/XC-ASB/cf-contig_348-XC-ASB.txt","XC-contig_3")</f>
        <v>XC-contig_3</v>
      </c>
      <c r="AC436">
        <v>0.17</v>
      </c>
      <c r="AD436" s="10" t="s">
        <v>4600</v>
      </c>
      <c r="AE436" t="s">
        <v>4601</v>
      </c>
      <c r="AI436" s="4" t="s">
        <v>42</v>
      </c>
      <c r="AJ436" t="s">
        <v>42</v>
      </c>
      <c r="AK436" t="s">
        <v>42</v>
      </c>
      <c r="AL436" t="s">
        <v>42</v>
      </c>
      <c r="AM436" t="s">
        <v>42</v>
      </c>
      <c r="AN436" t="s">
        <v>42</v>
      </c>
      <c r="AO436" t="s">
        <v>42</v>
      </c>
      <c r="AP436" t="s">
        <v>42</v>
      </c>
      <c r="AQ436" t="s">
        <v>42</v>
      </c>
      <c r="AR436" t="s">
        <v>42</v>
      </c>
      <c r="AS436" t="s">
        <v>42</v>
      </c>
      <c r="AT436" t="s">
        <v>42</v>
      </c>
      <c r="AU436" t="s">
        <v>42</v>
      </c>
      <c r="AV436" t="s">
        <v>42</v>
      </c>
      <c r="AW436" t="s">
        <v>42</v>
      </c>
      <c r="AX436" t="s">
        <v>42</v>
      </c>
      <c r="AY436" t="s">
        <v>42</v>
      </c>
      <c r="AZ436" t="s">
        <v>42</v>
      </c>
      <c r="BA436" s="4" t="str">
        <f>HYPERLINK("http://exon.niaid.nih.gov/transcriptome/C_felis/S1/links/SWISSP/cf-contig_348-SWISSP.txt","Na(+)/H(+) antiporter subunit A")</f>
        <v>Na(+)/H(+) antiporter subunit A</v>
      </c>
      <c r="BB436" t="str">
        <f>HYPERLINK("http://www.uniprot.org/uniprot/Q9RGZ5","53")</f>
        <v>53</v>
      </c>
      <c r="BC436" t="s">
        <v>2907</v>
      </c>
      <c r="BD436">
        <v>26.6</v>
      </c>
      <c r="BE436">
        <v>25</v>
      </c>
      <c r="BF436">
        <v>805</v>
      </c>
      <c r="BG436">
        <v>42</v>
      </c>
      <c r="BH436">
        <v>3</v>
      </c>
      <c r="BI436">
        <v>15</v>
      </c>
      <c r="BJ436">
        <v>0</v>
      </c>
      <c r="BK436">
        <v>39</v>
      </c>
      <c r="BL436">
        <v>6</v>
      </c>
      <c r="BM436">
        <v>1</v>
      </c>
      <c r="BN436">
        <v>-2</v>
      </c>
      <c r="BO436" t="s">
        <v>12</v>
      </c>
      <c r="BQ436" t="s">
        <v>1666</v>
      </c>
      <c r="BR436" t="s">
        <v>2908</v>
      </c>
      <c r="BS436" s="4" t="str">
        <f>HYPERLINK("http://exon.niaid.nih.gov/transcriptome/C_felis/S1/links/CDD/cf-contig_348-CDD.txt","PRK12645")</f>
        <v>PRK12645</v>
      </c>
      <c r="BT436" t="str">
        <f>HYPERLINK("http://www.ncbi.nlm.nih.gov/Structure/cdd/cddsrv.cgi?uid=PRK12645&amp;version=v4.0","1.6")</f>
        <v>1.6</v>
      </c>
      <c r="BU436" t="s">
        <v>2909</v>
      </c>
      <c r="BV436" s="4" t="s">
        <v>42</v>
      </c>
      <c r="BW436" t="s">
        <v>42</v>
      </c>
      <c r="BX436" t="s">
        <v>42</v>
      </c>
      <c r="BY436" t="s">
        <v>42</v>
      </c>
      <c r="BZ436" t="s">
        <v>42</v>
      </c>
      <c r="CA436" t="s">
        <v>42</v>
      </c>
      <c r="CB436" t="s">
        <v>42</v>
      </c>
      <c r="CC436" t="s">
        <v>42</v>
      </c>
      <c r="CD436" t="s">
        <v>42</v>
      </c>
      <c r="CE436" t="s">
        <v>42</v>
      </c>
      <c r="CF436" t="s">
        <v>42</v>
      </c>
      <c r="CG436" t="s">
        <v>42</v>
      </c>
      <c r="CH436" t="s">
        <v>42</v>
      </c>
      <c r="CI436" t="s">
        <v>42</v>
      </c>
      <c r="CJ436" t="s">
        <v>42</v>
      </c>
      <c r="CK436" t="s">
        <v>42</v>
      </c>
      <c r="CL436" t="s">
        <v>42</v>
      </c>
      <c r="CM436" t="s">
        <v>42</v>
      </c>
      <c r="CN436" t="s">
        <v>42</v>
      </c>
      <c r="CO436" t="s">
        <v>42</v>
      </c>
      <c r="CP436" t="s">
        <v>42</v>
      </c>
      <c r="CQ436" t="s">
        <v>42</v>
      </c>
      <c r="CR436" t="s">
        <v>42</v>
      </c>
      <c r="CS436" s="4" t="str">
        <f>HYPERLINK("http://exon.niaid.nih.gov/transcriptome/C_felis/S1/links/KOG/cf-contig_348-KOG.txt","Predicted membrane protein (patched superfamily)")</f>
        <v>Predicted membrane protein (patched superfamily)</v>
      </c>
      <c r="CT436" t="str">
        <f>HYPERLINK("http://www.ncbi.nlm.nih.gov/COG/grace/shokog.cgi?KOG1934","6.4")</f>
        <v>6.4</v>
      </c>
      <c r="CU436" t="s">
        <v>1721</v>
      </c>
      <c r="CV436" s="4" t="str">
        <f>HYPERLINK("http://exon.niaid.nih.gov/transcriptome/C_felis/S1/links/PFAM/cf-contig_348-PFAM.txt","Frag1")</f>
        <v>Frag1</v>
      </c>
      <c r="CW436" t="str">
        <f>HYPERLINK("http://pfam.sanger.ac.uk/family?acc=PF10277","0.69")</f>
        <v>0.69</v>
      </c>
      <c r="CX436" s="4" t="str">
        <f>HYPERLINK("http://exon.niaid.nih.gov/transcriptome/C_felis/S1/links/SMART/cf-contig_348-SMART.txt","WRKY")</f>
        <v>WRKY</v>
      </c>
      <c r="CY436" t="str">
        <f>HYPERLINK("http://smart.embl-heidelberg.de/smart/do_annotation.pl?DOMAIN=WRKY&amp;BLAST=DUMMY","1.1")</f>
        <v>1.1</v>
      </c>
      <c r="CZ436" s="4" t="s">
        <v>42</v>
      </c>
      <c r="DA436" t="s">
        <v>42</v>
      </c>
      <c r="DB436" t="s">
        <v>42</v>
      </c>
      <c r="DC436" t="s">
        <v>42</v>
      </c>
      <c r="DD436" t="s">
        <v>42</v>
      </c>
      <c r="DE436" t="s">
        <v>42</v>
      </c>
      <c r="DF436" t="s">
        <v>42</v>
      </c>
      <c r="DG436" t="s">
        <v>42</v>
      </c>
      <c r="DH436" s="4" t="s">
        <v>42</v>
      </c>
      <c r="DI436" t="s">
        <v>42</v>
      </c>
      <c r="DJ436" s="4" t="s">
        <v>42</v>
      </c>
      <c r="DK436" t="s">
        <v>42</v>
      </c>
      <c r="DL436" s="4">
        <v>280</v>
      </c>
      <c r="DM436">
        <v>1</v>
      </c>
      <c r="DN436" s="4">
        <v>286</v>
      </c>
      <c r="DO436">
        <v>1</v>
      </c>
      <c r="DP436" s="4">
        <v>286</v>
      </c>
      <c r="DQ436">
        <v>1</v>
      </c>
      <c r="DR436" s="4">
        <v>296</v>
      </c>
      <c r="DS436">
        <v>1</v>
      </c>
      <c r="DT436" s="4">
        <v>306</v>
      </c>
      <c r="DU436">
        <v>1</v>
      </c>
      <c r="DV436" s="4">
        <v>319</v>
      </c>
      <c r="DW436">
        <v>1</v>
      </c>
      <c r="DX436" s="4">
        <v>322</v>
      </c>
      <c r="DY436">
        <v>1</v>
      </c>
      <c r="DZ436" s="4">
        <v>327</v>
      </c>
      <c r="EA436">
        <v>1</v>
      </c>
      <c r="EB436" s="4">
        <v>332</v>
      </c>
      <c r="EC436">
        <v>1</v>
      </c>
      <c r="ED436" s="4">
        <v>336</v>
      </c>
      <c r="EE436">
        <v>1</v>
      </c>
      <c r="EF436" s="4">
        <v>341</v>
      </c>
      <c r="EG436">
        <v>1</v>
      </c>
      <c r="EH436" s="4">
        <v>343</v>
      </c>
      <c r="EI436">
        <v>1</v>
      </c>
      <c r="EJ436" s="4">
        <v>348</v>
      </c>
      <c r="EK436">
        <v>1</v>
      </c>
    </row>
    <row r="437" spans="1:141" x14ac:dyDescent="0.2">
      <c r="A437" t="str">
        <f>HYPERLINK("http://exon.niaid.nih.gov/transcriptome/C_felis/S1/links/cf/cf-contig_350.txt","cf-contig_350")</f>
        <v>cf-contig_350</v>
      </c>
      <c r="B437">
        <v>1</v>
      </c>
      <c r="C437" s="10" t="s">
        <v>4600</v>
      </c>
      <c r="D437">
        <v>1</v>
      </c>
      <c r="E437" t="str">
        <f>HYPERLINK("http://exon.niaid.nih.gov/transcriptome/C_felis/S1/links/cf/cf-5-36-asb-350.txt","Contig-350")</f>
        <v>Contig-350</v>
      </c>
      <c r="F437" t="str">
        <f>HYPERLINK("http://exon.niaid.nih.gov/transcriptome/C_felis/S1/links/cf/cf-5-36-350-CLU.txt","Contig350")</f>
        <v>Contig350</v>
      </c>
      <c r="G437" t="str">
        <f>HYPERLINK("http://exon.niaid.nih.gov/transcriptome/C_felis/S1/links/cf/cf-5-36-350-qual.txt","26.1")</f>
        <v>26.1</v>
      </c>
      <c r="H437" t="s">
        <v>11</v>
      </c>
      <c r="I437">
        <v>61.3</v>
      </c>
      <c r="J437">
        <v>56</v>
      </c>
      <c r="K437" t="s">
        <v>12</v>
      </c>
      <c r="L437">
        <v>1</v>
      </c>
      <c r="M437" t="s">
        <v>363</v>
      </c>
      <c r="N437">
        <v>56</v>
      </c>
      <c r="O437">
        <v>75</v>
      </c>
      <c r="P437">
        <v>48</v>
      </c>
      <c r="Q437" t="s">
        <v>1170</v>
      </c>
      <c r="R437">
        <v>1</v>
      </c>
      <c r="S437" s="7" t="s">
        <v>4585</v>
      </c>
      <c r="U437">
        <v>1</v>
      </c>
      <c r="V437" s="4">
        <f>HYPERLINK("http://exon.niaid.nih.gov/transcriptome/C_felis/S1/links/cluster/cf-5-36-asb30-50-Id-CLU26.txt", 26)</f>
        <v>26</v>
      </c>
      <c r="W437">
        <f>HYPERLINK("http://exon.niaid.nih.gov/transcriptome/C_felis/S1/links/cluster/cf-5-36-asb30-50-Id-CLTL26.txt", 3)</f>
        <v>3</v>
      </c>
      <c r="X437" s="4">
        <v>288</v>
      </c>
      <c r="Y437">
        <v>1</v>
      </c>
      <c r="Z437" s="4">
        <v>288</v>
      </c>
      <c r="AA437">
        <v>1</v>
      </c>
      <c r="AB437" s="4" t="str">
        <f>HYPERLINK("http://exon.niaid.nih.gov/transcriptome/C_felis/S1/links/XC-ASB/cf-contig_350-XC-ASB.txt","XC-contig_193")</f>
        <v>XC-contig_193</v>
      </c>
      <c r="AC437">
        <v>1.2</v>
      </c>
      <c r="AD437" s="10" t="s">
        <v>4600</v>
      </c>
      <c r="AE437" t="s">
        <v>4601</v>
      </c>
      <c r="AI437" s="4" t="s">
        <v>42</v>
      </c>
      <c r="AJ437" t="s">
        <v>42</v>
      </c>
      <c r="AK437" t="s">
        <v>42</v>
      </c>
      <c r="AL437" t="s">
        <v>42</v>
      </c>
      <c r="AM437" t="s">
        <v>42</v>
      </c>
      <c r="AN437" t="s">
        <v>42</v>
      </c>
      <c r="AO437" t="s">
        <v>42</v>
      </c>
      <c r="AP437" t="s">
        <v>42</v>
      </c>
      <c r="AQ437" t="s">
        <v>42</v>
      </c>
      <c r="AR437" t="s">
        <v>42</v>
      </c>
      <c r="AS437" t="s">
        <v>42</v>
      </c>
      <c r="AT437" t="s">
        <v>42</v>
      </c>
      <c r="AU437" t="s">
        <v>42</v>
      </c>
      <c r="AV437" t="s">
        <v>42</v>
      </c>
      <c r="AW437" t="s">
        <v>42</v>
      </c>
      <c r="AX437" t="s">
        <v>42</v>
      </c>
      <c r="AY437" t="s">
        <v>42</v>
      </c>
      <c r="AZ437" t="s">
        <v>42</v>
      </c>
      <c r="BA437" s="4" t="s">
        <v>42</v>
      </c>
      <c r="BB437" t="s">
        <v>42</v>
      </c>
      <c r="BC437" t="s">
        <v>42</v>
      </c>
      <c r="BD437" t="s">
        <v>42</v>
      </c>
      <c r="BE437" t="s">
        <v>42</v>
      </c>
      <c r="BF437" t="s">
        <v>42</v>
      </c>
      <c r="BG437" t="s">
        <v>42</v>
      </c>
      <c r="BH437" t="s">
        <v>42</v>
      </c>
      <c r="BI437" t="s">
        <v>42</v>
      </c>
      <c r="BJ437" t="s">
        <v>42</v>
      </c>
      <c r="BK437" t="s">
        <v>42</v>
      </c>
      <c r="BL437" t="s">
        <v>42</v>
      </c>
      <c r="BM437" t="s">
        <v>42</v>
      </c>
      <c r="BN437" t="s">
        <v>42</v>
      </c>
      <c r="BO437" t="s">
        <v>42</v>
      </c>
      <c r="BP437" t="s">
        <v>42</v>
      </c>
      <c r="BQ437" t="s">
        <v>42</v>
      </c>
      <c r="BR437" t="s">
        <v>42</v>
      </c>
      <c r="BS437" s="4" t="s">
        <v>42</v>
      </c>
      <c r="BT437" t="s">
        <v>42</v>
      </c>
      <c r="BU437" t="s">
        <v>42</v>
      </c>
      <c r="BV437" s="4" t="s">
        <v>42</v>
      </c>
      <c r="BW437" t="s">
        <v>42</v>
      </c>
      <c r="BX437" t="s">
        <v>42</v>
      </c>
      <c r="BY437" t="s">
        <v>42</v>
      </c>
      <c r="BZ437" t="s">
        <v>42</v>
      </c>
      <c r="CA437" t="s">
        <v>42</v>
      </c>
      <c r="CB437" t="s">
        <v>42</v>
      </c>
      <c r="CC437" t="s">
        <v>42</v>
      </c>
      <c r="CD437" t="s">
        <v>42</v>
      </c>
      <c r="CE437" t="s">
        <v>42</v>
      </c>
      <c r="CF437" t="s">
        <v>42</v>
      </c>
      <c r="CG437" t="s">
        <v>42</v>
      </c>
      <c r="CH437" t="s">
        <v>42</v>
      </c>
      <c r="CI437" t="s">
        <v>42</v>
      </c>
      <c r="CJ437" t="s">
        <v>42</v>
      </c>
      <c r="CK437" t="s">
        <v>42</v>
      </c>
      <c r="CL437" t="s">
        <v>42</v>
      </c>
      <c r="CM437" t="s">
        <v>42</v>
      </c>
      <c r="CN437" t="s">
        <v>42</v>
      </c>
      <c r="CO437" t="s">
        <v>42</v>
      </c>
      <c r="CP437" t="s">
        <v>42</v>
      </c>
      <c r="CQ437" t="s">
        <v>42</v>
      </c>
      <c r="CR437" t="s">
        <v>42</v>
      </c>
      <c r="CS437" s="4" t="s">
        <v>42</v>
      </c>
      <c r="CT437" t="s">
        <v>42</v>
      </c>
      <c r="CU437" t="s">
        <v>42</v>
      </c>
      <c r="CV437" s="4" t="str">
        <f>HYPERLINK("http://exon.niaid.nih.gov/transcriptome/C_felis/S1/links/PFAM/cf-contig_350-PFAM.txt","WzyE")</f>
        <v>WzyE</v>
      </c>
      <c r="CW437" t="str">
        <f>HYPERLINK("http://pfam.sanger.ac.uk/family?acc=PF06899","4.4")</f>
        <v>4.4</v>
      </c>
      <c r="CX437" s="4" t="str">
        <f>HYPERLINK("http://exon.niaid.nih.gov/transcriptome/C_felis/S1/links/SMART/cf-contig_350-SMART.txt","SecA_DEAD")</f>
        <v>SecA_DEAD</v>
      </c>
      <c r="CY437" t="str">
        <f>HYPERLINK("http://smart.embl-heidelberg.de/smart/do_annotation.pl?DOMAIN=SecA_DEAD&amp;BLAST=DUMMY","3.0")</f>
        <v>3.0</v>
      </c>
      <c r="CZ437" s="4" t="s">
        <v>42</v>
      </c>
      <c r="DA437" t="s">
        <v>42</v>
      </c>
      <c r="DB437" t="s">
        <v>42</v>
      </c>
      <c r="DC437" t="s">
        <v>42</v>
      </c>
      <c r="DD437" t="s">
        <v>42</v>
      </c>
      <c r="DE437" t="s">
        <v>42</v>
      </c>
      <c r="DF437" t="s">
        <v>42</v>
      </c>
      <c r="DG437" t="s">
        <v>42</v>
      </c>
      <c r="DH437" s="4" t="s">
        <v>42</v>
      </c>
      <c r="DI437" t="s">
        <v>42</v>
      </c>
      <c r="DJ437" s="4" t="s">
        <v>42</v>
      </c>
      <c r="DK437" t="s">
        <v>42</v>
      </c>
      <c r="DL437" s="4">
        <f>HYPERLINK("http://exon.niaid.nih.gov/transcriptome/C_felis/S1/links/cluster/cf-5-36-asb30-50-Id-CLU26.txt", 26)</f>
        <v>26</v>
      </c>
      <c r="DM437">
        <f>HYPERLINK("http://exon.niaid.nih.gov/transcriptome/C_felis/S1/links/cluster/cf-5-36-asb30-50-Id-CLTL26.txt", 3)</f>
        <v>3</v>
      </c>
      <c r="DN437" s="4">
        <v>288</v>
      </c>
      <c r="DO437">
        <v>1</v>
      </c>
      <c r="DP437" s="4">
        <v>288</v>
      </c>
      <c r="DQ437">
        <v>1</v>
      </c>
      <c r="DR437" s="4">
        <v>298</v>
      </c>
      <c r="DS437">
        <v>1</v>
      </c>
      <c r="DT437" s="4">
        <v>308</v>
      </c>
      <c r="DU437">
        <v>1</v>
      </c>
      <c r="DV437" s="4">
        <v>321</v>
      </c>
      <c r="DW437">
        <v>1</v>
      </c>
      <c r="DX437" s="4">
        <v>324</v>
      </c>
      <c r="DY437">
        <v>1</v>
      </c>
      <c r="DZ437" s="4">
        <v>329</v>
      </c>
      <c r="EA437">
        <v>1</v>
      </c>
      <c r="EB437" s="4">
        <v>334</v>
      </c>
      <c r="EC437">
        <v>1</v>
      </c>
      <c r="ED437" s="4">
        <v>338</v>
      </c>
      <c r="EE437">
        <v>1</v>
      </c>
      <c r="EF437" s="4">
        <v>343</v>
      </c>
      <c r="EG437">
        <v>1</v>
      </c>
      <c r="EH437" s="4">
        <v>345</v>
      </c>
      <c r="EI437">
        <v>1</v>
      </c>
      <c r="EJ437" s="4">
        <v>350</v>
      </c>
      <c r="EK437">
        <v>1</v>
      </c>
    </row>
    <row r="438" spans="1:141" x14ac:dyDescent="0.2">
      <c r="A438" t="str">
        <f>HYPERLINK("http://exon.niaid.nih.gov/transcriptome/C_felis/S1/links/cf/cf-contig_351.txt","cf-contig_351")</f>
        <v>cf-contig_351</v>
      </c>
      <c r="B438">
        <v>1</v>
      </c>
      <c r="C438" s="10" t="s">
        <v>4600</v>
      </c>
      <c r="D438">
        <v>1</v>
      </c>
      <c r="E438" t="str">
        <f>HYPERLINK("http://exon.niaid.nih.gov/transcriptome/C_felis/S1/links/cf/cf-5-36-asb-351.txt","Contig-351")</f>
        <v>Contig-351</v>
      </c>
      <c r="F438" t="str">
        <f>HYPERLINK("http://exon.niaid.nih.gov/transcriptome/C_felis/S1/links/cf/cf-5-36-351-CLU.txt","Contig351")</f>
        <v>Contig351</v>
      </c>
      <c r="G438" t="str">
        <f>HYPERLINK("http://exon.niaid.nih.gov/transcriptome/C_felis/S1/links/cf/cf-5-36-351-qual.txt","23.6")</f>
        <v>23.6</v>
      </c>
      <c r="H438" t="s">
        <v>11</v>
      </c>
      <c r="I438">
        <v>62.5</v>
      </c>
      <c r="J438">
        <v>37</v>
      </c>
      <c r="K438" t="s">
        <v>12</v>
      </c>
      <c r="L438">
        <v>1</v>
      </c>
      <c r="M438" t="s">
        <v>364</v>
      </c>
      <c r="N438">
        <v>37</v>
      </c>
      <c r="O438">
        <v>56</v>
      </c>
      <c r="P438">
        <v>54</v>
      </c>
      <c r="Q438" t="s">
        <v>1171</v>
      </c>
      <c r="R438">
        <v>1</v>
      </c>
      <c r="S438" s="7" t="s">
        <v>4585</v>
      </c>
      <c r="U438">
        <v>1</v>
      </c>
      <c r="V438" s="4">
        <v>282</v>
      </c>
      <c r="W438">
        <v>1</v>
      </c>
      <c r="X438" s="4">
        <v>289</v>
      </c>
      <c r="Y438">
        <v>1</v>
      </c>
      <c r="Z438" s="4">
        <v>289</v>
      </c>
      <c r="AA438">
        <v>1</v>
      </c>
      <c r="AB438" s="4" t="str">
        <f>HYPERLINK("http://exon.niaid.nih.gov/transcriptome/C_felis/S1/links/XC-ASB/cf-contig_351-XC-ASB.txt","XC-contig_100")</f>
        <v>XC-contig_100</v>
      </c>
      <c r="AC438">
        <v>7.7</v>
      </c>
      <c r="AD438" s="10" t="s">
        <v>4600</v>
      </c>
      <c r="AE438" t="s">
        <v>4601</v>
      </c>
      <c r="AI438" s="4" t="s">
        <v>42</v>
      </c>
      <c r="AJ438" t="s">
        <v>42</v>
      </c>
      <c r="AK438" t="s">
        <v>42</v>
      </c>
      <c r="AL438" t="s">
        <v>42</v>
      </c>
      <c r="AM438" t="s">
        <v>42</v>
      </c>
      <c r="AN438" t="s">
        <v>42</v>
      </c>
      <c r="AO438" t="s">
        <v>42</v>
      </c>
      <c r="AP438" t="s">
        <v>42</v>
      </c>
      <c r="AQ438" t="s">
        <v>42</v>
      </c>
      <c r="AR438" t="s">
        <v>42</v>
      </c>
      <c r="AS438" t="s">
        <v>42</v>
      </c>
      <c r="AT438" t="s">
        <v>42</v>
      </c>
      <c r="AU438" t="s">
        <v>42</v>
      </c>
      <c r="AV438" t="s">
        <v>42</v>
      </c>
      <c r="AW438" t="s">
        <v>42</v>
      </c>
      <c r="AX438" t="s">
        <v>42</v>
      </c>
      <c r="AY438" t="s">
        <v>42</v>
      </c>
      <c r="AZ438" t="s">
        <v>42</v>
      </c>
      <c r="BA438" s="4" t="s">
        <v>42</v>
      </c>
      <c r="BB438" t="s">
        <v>42</v>
      </c>
      <c r="BC438" t="s">
        <v>42</v>
      </c>
      <c r="BD438" t="s">
        <v>42</v>
      </c>
      <c r="BE438" t="s">
        <v>42</v>
      </c>
      <c r="BF438" t="s">
        <v>42</v>
      </c>
      <c r="BG438" t="s">
        <v>42</v>
      </c>
      <c r="BH438" t="s">
        <v>42</v>
      </c>
      <c r="BI438" t="s">
        <v>42</v>
      </c>
      <c r="BJ438" t="s">
        <v>42</v>
      </c>
      <c r="BK438" t="s">
        <v>42</v>
      </c>
      <c r="BL438" t="s">
        <v>42</v>
      </c>
      <c r="BM438" t="s">
        <v>42</v>
      </c>
      <c r="BN438" t="s">
        <v>42</v>
      </c>
      <c r="BO438" t="s">
        <v>42</v>
      </c>
      <c r="BP438" t="s">
        <v>42</v>
      </c>
      <c r="BQ438" t="s">
        <v>42</v>
      </c>
      <c r="BR438" t="s">
        <v>42</v>
      </c>
      <c r="BS438" s="4" t="s">
        <v>42</v>
      </c>
      <c r="BT438" t="s">
        <v>42</v>
      </c>
      <c r="BU438" t="s">
        <v>42</v>
      </c>
      <c r="BV438" s="4" t="s">
        <v>42</v>
      </c>
      <c r="BW438" t="s">
        <v>42</v>
      </c>
      <c r="BX438" t="s">
        <v>42</v>
      </c>
      <c r="BY438" t="s">
        <v>42</v>
      </c>
      <c r="BZ438" t="s">
        <v>42</v>
      </c>
      <c r="CA438" t="s">
        <v>42</v>
      </c>
      <c r="CB438" t="s">
        <v>42</v>
      </c>
      <c r="CC438" t="s">
        <v>42</v>
      </c>
      <c r="CD438" t="s">
        <v>42</v>
      </c>
      <c r="CE438" t="s">
        <v>42</v>
      </c>
      <c r="CF438" t="s">
        <v>42</v>
      </c>
      <c r="CG438" t="s">
        <v>42</v>
      </c>
      <c r="CH438" t="s">
        <v>42</v>
      </c>
      <c r="CI438" t="s">
        <v>42</v>
      </c>
      <c r="CJ438" t="s">
        <v>42</v>
      </c>
      <c r="CK438" t="s">
        <v>42</v>
      </c>
      <c r="CL438" t="s">
        <v>42</v>
      </c>
      <c r="CM438" t="s">
        <v>42</v>
      </c>
      <c r="CN438" t="s">
        <v>42</v>
      </c>
      <c r="CO438" t="s">
        <v>42</v>
      </c>
      <c r="CP438" t="s">
        <v>42</v>
      </c>
      <c r="CQ438" t="s">
        <v>42</v>
      </c>
      <c r="CR438" t="s">
        <v>42</v>
      </c>
      <c r="CS438" s="4" t="s">
        <v>42</v>
      </c>
      <c r="CT438" t="s">
        <v>42</v>
      </c>
      <c r="CU438" t="s">
        <v>42</v>
      </c>
      <c r="CV438" s="4" t="s">
        <v>42</v>
      </c>
      <c r="CW438" t="s">
        <v>42</v>
      </c>
      <c r="CX438" s="4" t="str">
        <f>HYPERLINK("http://exon.niaid.nih.gov/transcriptome/C_felis/S1/links/SMART/cf-contig_351-SMART.txt","CPDc")</f>
        <v>CPDc</v>
      </c>
      <c r="CY438" t="str">
        <f>HYPERLINK("http://smart.embl-heidelberg.de/smart/do_annotation.pl?DOMAIN=CPDc&amp;BLAST=DUMMY","3.5")</f>
        <v>3.5</v>
      </c>
      <c r="CZ438" s="4" t="s">
        <v>42</v>
      </c>
      <c r="DA438" t="s">
        <v>42</v>
      </c>
      <c r="DB438" t="s">
        <v>42</v>
      </c>
      <c r="DC438" t="s">
        <v>42</v>
      </c>
      <c r="DD438" t="s">
        <v>42</v>
      </c>
      <c r="DE438" t="s">
        <v>42</v>
      </c>
      <c r="DF438" t="s">
        <v>42</v>
      </c>
      <c r="DG438" t="s">
        <v>42</v>
      </c>
      <c r="DH438" s="4" t="s">
        <v>42</v>
      </c>
      <c r="DI438" t="s">
        <v>42</v>
      </c>
      <c r="DJ438" s="4" t="s">
        <v>42</v>
      </c>
      <c r="DK438" t="s">
        <v>42</v>
      </c>
      <c r="DL438" s="4">
        <v>282</v>
      </c>
      <c r="DM438">
        <v>1</v>
      </c>
      <c r="DN438" s="4">
        <v>289</v>
      </c>
      <c r="DO438">
        <v>1</v>
      </c>
      <c r="DP438" s="4">
        <v>289</v>
      </c>
      <c r="DQ438">
        <v>1</v>
      </c>
      <c r="DR438" s="4">
        <v>299</v>
      </c>
      <c r="DS438">
        <v>1</v>
      </c>
      <c r="DT438" s="4">
        <v>309</v>
      </c>
      <c r="DU438">
        <v>1</v>
      </c>
      <c r="DV438" s="4">
        <v>322</v>
      </c>
      <c r="DW438">
        <v>1</v>
      </c>
      <c r="DX438" s="4">
        <v>325</v>
      </c>
      <c r="DY438">
        <v>1</v>
      </c>
      <c r="DZ438" s="4">
        <v>330</v>
      </c>
      <c r="EA438">
        <v>1</v>
      </c>
      <c r="EB438" s="4">
        <v>335</v>
      </c>
      <c r="EC438">
        <v>1</v>
      </c>
      <c r="ED438" s="4">
        <v>339</v>
      </c>
      <c r="EE438">
        <v>1</v>
      </c>
      <c r="EF438" s="4">
        <v>344</v>
      </c>
      <c r="EG438">
        <v>1</v>
      </c>
      <c r="EH438" s="4">
        <v>346</v>
      </c>
      <c r="EI438">
        <v>1</v>
      </c>
      <c r="EJ438" s="4">
        <v>351</v>
      </c>
      <c r="EK438">
        <v>1</v>
      </c>
    </row>
    <row r="439" spans="1:141" x14ac:dyDescent="0.2">
      <c r="A439" t="str">
        <f>HYPERLINK("http://exon.niaid.nih.gov/transcriptome/C_felis/S1/links/cf/cf-contig_359.txt","cf-contig_359")</f>
        <v>cf-contig_359</v>
      </c>
      <c r="B439">
        <v>1</v>
      </c>
      <c r="C439" s="10" t="s">
        <v>4600</v>
      </c>
      <c r="D439">
        <v>1</v>
      </c>
      <c r="E439" t="str">
        <f>HYPERLINK("http://exon.niaid.nih.gov/transcriptome/C_felis/S1/links/cf/cf-5-36-asb-359.txt","Contig-359")</f>
        <v>Contig-359</v>
      </c>
      <c r="F439" t="str">
        <f>HYPERLINK("http://exon.niaid.nih.gov/transcriptome/C_felis/S1/links/cf/cf-5-36-359-CLU.txt","Contig359")</f>
        <v>Contig359</v>
      </c>
      <c r="G439" t="str">
        <f>HYPERLINK("http://exon.niaid.nih.gov/transcriptome/C_felis/S1/links/cf/cf-5-36-359-qual.txt","51.2")</f>
        <v>51.2</v>
      </c>
      <c r="H439">
        <v>0.9</v>
      </c>
      <c r="I439">
        <v>73.7</v>
      </c>
      <c r="J439">
        <v>95</v>
      </c>
      <c r="K439" t="s">
        <v>12</v>
      </c>
      <c r="L439">
        <v>1</v>
      </c>
      <c r="M439" t="s">
        <v>372</v>
      </c>
      <c r="N439">
        <v>95</v>
      </c>
      <c r="O439">
        <v>114</v>
      </c>
      <c r="P439">
        <v>63</v>
      </c>
      <c r="Q439" t="s">
        <v>1179</v>
      </c>
      <c r="R439">
        <v>1</v>
      </c>
      <c r="S439" s="7" t="s">
        <v>4585</v>
      </c>
      <c r="U439">
        <v>1</v>
      </c>
      <c r="V439" s="4">
        <v>289</v>
      </c>
      <c r="W439">
        <v>1</v>
      </c>
      <c r="X439" s="4">
        <v>296</v>
      </c>
      <c r="Y439">
        <v>1</v>
      </c>
      <c r="Z439" s="4">
        <v>297</v>
      </c>
      <c r="AA439">
        <v>1</v>
      </c>
      <c r="AB439" s="4" t="str">
        <f>HYPERLINK("http://exon.niaid.nih.gov/transcriptome/C_felis/S1/links/XC-ASB/cf-contig_359-XC-ASB.txt","XC-contig_46")</f>
        <v>XC-contig_46</v>
      </c>
      <c r="AC439">
        <v>0.2</v>
      </c>
      <c r="AD439" s="10" t="s">
        <v>4600</v>
      </c>
      <c r="AE439" t="s">
        <v>4601</v>
      </c>
      <c r="AI439" s="4" t="s">
        <v>42</v>
      </c>
      <c r="AJ439" t="s">
        <v>42</v>
      </c>
      <c r="AK439" t="s">
        <v>42</v>
      </c>
      <c r="AL439" t="s">
        <v>42</v>
      </c>
      <c r="AM439" t="s">
        <v>42</v>
      </c>
      <c r="AN439" t="s">
        <v>42</v>
      </c>
      <c r="AO439" t="s">
        <v>42</v>
      </c>
      <c r="AP439" t="s">
        <v>42</v>
      </c>
      <c r="AQ439" t="s">
        <v>42</v>
      </c>
      <c r="AR439" t="s">
        <v>42</v>
      </c>
      <c r="AS439" t="s">
        <v>42</v>
      </c>
      <c r="AT439" t="s">
        <v>42</v>
      </c>
      <c r="AU439" t="s">
        <v>42</v>
      </c>
      <c r="AV439" t="s">
        <v>42</v>
      </c>
      <c r="AW439" t="s">
        <v>42</v>
      </c>
      <c r="AX439" t="s">
        <v>42</v>
      </c>
      <c r="AY439" t="s">
        <v>42</v>
      </c>
      <c r="AZ439" t="s">
        <v>42</v>
      </c>
      <c r="BA439" s="4" t="str">
        <f>HYPERLINK("http://exon.niaid.nih.gov/transcriptome/C_felis/S1/links/SWISSP/cf-contig_359-SWISSP.txt","Ubiquitin-conjugating enzyme variant MMS2")</f>
        <v>Ubiquitin-conjugating enzyme variant MMS2</v>
      </c>
      <c r="BB439" t="str">
        <f>HYPERLINK("http://www.uniprot.org/uniprot/P53152","69")</f>
        <v>69</v>
      </c>
      <c r="BC439" t="s">
        <v>2936</v>
      </c>
      <c r="BD439">
        <v>26.2</v>
      </c>
      <c r="BE439">
        <v>26</v>
      </c>
      <c r="BF439">
        <v>137</v>
      </c>
      <c r="BG439">
        <v>44</v>
      </c>
      <c r="BH439">
        <v>20</v>
      </c>
      <c r="BI439">
        <v>15</v>
      </c>
      <c r="BJ439">
        <v>0</v>
      </c>
      <c r="BK439">
        <v>68</v>
      </c>
      <c r="BL439">
        <v>13</v>
      </c>
      <c r="BM439">
        <v>1</v>
      </c>
      <c r="BN439">
        <v>-1</v>
      </c>
      <c r="BO439" t="s">
        <v>12</v>
      </c>
      <c r="BP439">
        <v>3.8460000000000001</v>
      </c>
      <c r="BQ439" t="s">
        <v>1666</v>
      </c>
      <c r="BR439" t="s">
        <v>1796</v>
      </c>
      <c r="BS439" s="4" t="str">
        <f>HYPERLINK("http://exon.niaid.nih.gov/transcriptome/C_felis/S1/links/CDD/cf-contig_359-CDD.txt","ATP6")</f>
        <v>ATP6</v>
      </c>
      <c r="BT439" t="str">
        <f>HYPERLINK("http://www.ncbi.nlm.nih.gov/Structure/cdd/cddsrv.cgi?uid=MTH00173&amp;version=v4.0","6.2")</f>
        <v>6.2</v>
      </c>
      <c r="BU439" t="s">
        <v>2937</v>
      </c>
      <c r="BV439" s="4" t="s">
        <v>42</v>
      </c>
      <c r="BW439" t="s">
        <v>42</v>
      </c>
      <c r="BX439" t="s">
        <v>42</v>
      </c>
      <c r="BY439" t="s">
        <v>42</v>
      </c>
      <c r="BZ439" t="s">
        <v>42</v>
      </c>
      <c r="CA439" t="s">
        <v>42</v>
      </c>
      <c r="CB439" t="s">
        <v>42</v>
      </c>
      <c r="CC439" t="s">
        <v>42</v>
      </c>
      <c r="CD439" t="s">
        <v>42</v>
      </c>
      <c r="CE439" t="s">
        <v>42</v>
      </c>
      <c r="CF439" t="s">
        <v>42</v>
      </c>
      <c r="CG439" t="s">
        <v>42</v>
      </c>
      <c r="CH439" t="s">
        <v>42</v>
      </c>
      <c r="CI439" t="s">
        <v>42</v>
      </c>
      <c r="CJ439" t="s">
        <v>42</v>
      </c>
      <c r="CK439" t="s">
        <v>42</v>
      </c>
      <c r="CL439" t="s">
        <v>42</v>
      </c>
      <c r="CM439" t="s">
        <v>42</v>
      </c>
      <c r="CN439" t="s">
        <v>42</v>
      </c>
      <c r="CO439" t="s">
        <v>42</v>
      </c>
      <c r="CP439" t="s">
        <v>42</v>
      </c>
      <c r="CQ439" t="s">
        <v>42</v>
      </c>
      <c r="CR439" t="s">
        <v>42</v>
      </c>
      <c r="CS439" s="4" t="s">
        <v>42</v>
      </c>
      <c r="CT439" t="s">
        <v>42</v>
      </c>
      <c r="CU439" t="s">
        <v>42</v>
      </c>
      <c r="CV439" s="4" t="s">
        <v>42</v>
      </c>
      <c r="CW439" t="s">
        <v>42</v>
      </c>
      <c r="CX439" s="4" t="str">
        <f>HYPERLINK("http://exon.niaid.nih.gov/transcriptome/C_felis/S1/links/SMART/cf-contig_359-SMART.txt","FYRC")</f>
        <v>FYRC</v>
      </c>
      <c r="CY439" t="str">
        <f>HYPERLINK("http://smart.embl-heidelberg.de/smart/do_annotation.pl?DOMAIN=FYRC&amp;BLAST=DUMMY","1.4")</f>
        <v>1.4</v>
      </c>
      <c r="CZ439" s="4" t="s">
        <v>42</v>
      </c>
      <c r="DA439" t="s">
        <v>42</v>
      </c>
      <c r="DB439" t="s">
        <v>42</v>
      </c>
      <c r="DC439" t="s">
        <v>42</v>
      </c>
      <c r="DD439" t="s">
        <v>42</v>
      </c>
      <c r="DE439" t="s">
        <v>42</v>
      </c>
      <c r="DF439" t="s">
        <v>42</v>
      </c>
      <c r="DG439" t="s">
        <v>42</v>
      </c>
      <c r="DH439" s="4" t="s">
        <v>42</v>
      </c>
      <c r="DI439" t="s">
        <v>42</v>
      </c>
      <c r="DJ439" s="4" t="s">
        <v>42</v>
      </c>
      <c r="DK439" t="s">
        <v>42</v>
      </c>
      <c r="DL439" s="4">
        <v>289</v>
      </c>
      <c r="DM439">
        <v>1</v>
      </c>
      <c r="DN439" s="4">
        <v>296</v>
      </c>
      <c r="DO439">
        <v>1</v>
      </c>
      <c r="DP439" s="4">
        <v>297</v>
      </c>
      <c r="DQ439">
        <v>1</v>
      </c>
      <c r="DR439" s="4">
        <v>307</v>
      </c>
      <c r="DS439">
        <v>1</v>
      </c>
      <c r="DT439" s="4">
        <v>317</v>
      </c>
      <c r="DU439">
        <v>1</v>
      </c>
      <c r="DV439" s="4">
        <v>330</v>
      </c>
      <c r="DW439">
        <v>1</v>
      </c>
      <c r="DX439" s="4">
        <v>333</v>
      </c>
      <c r="DY439">
        <v>1</v>
      </c>
      <c r="DZ439" s="4">
        <v>338</v>
      </c>
      <c r="EA439">
        <v>1</v>
      </c>
      <c r="EB439" s="4">
        <v>343</v>
      </c>
      <c r="EC439">
        <v>1</v>
      </c>
      <c r="ED439" s="4">
        <v>347</v>
      </c>
      <c r="EE439">
        <v>1</v>
      </c>
      <c r="EF439" s="4">
        <v>352</v>
      </c>
      <c r="EG439">
        <v>1</v>
      </c>
      <c r="EH439" s="4">
        <v>354</v>
      </c>
      <c r="EI439">
        <v>1</v>
      </c>
      <c r="EJ439" s="4">
        <v>359</v>
      </c>
      <c r="EK439">
        <v>1</v>
      </c>
    </row>
    <row r="440" spans="1:141" x14ac:dyDescent="0.2">
      <c r="A440" t="str">
        <f>HYPERLINK("http://exon.niaid.nih.gov/transcriptome/C_felis/S1/links/cf/cf-contig_360.txt","cf-contig_360")</f>
        <v>cf-contig_360</v>
      </c>
      <c r="B440">
        <v>1</v>
      </c>
      <c r="C440" s="10" t="s">
        <v>4600</v>
      </c>
      <c r="D440">
        <v>1</v>
      </c>
      <c r="E440" t="str">
        <f>HYPERLINK("http://exon.niaid.nih.gov/transcriptome/C_felis/S1/links/cf/cf-5-36-asb-360.txt","Contig-360")</f>
        <v>Contig-360</v>
      </c>
      <c r="F440" t="str">
        <f>HYPERLINK("http://exon.niaid.nih.gov/transcriptome/C_felis/S1/links/cf/cf-5-36-360-CLU.txt","Contig360")</f>
        <v>Contig360</v>
      </c>
      <c r="G440" t="str">
        <f>HYPERLINK("http://exon.niaid.nih.gov/transcriptome/C_felis/S1/links/cf/cf-5-36-360-qual.txt","28.7")</f>
        <v>28.7</v>
      </c>
      <c r="H440" t="s">
        <v>11</v>
      </c>
      <c r="I440">
        <v>55.7</v>
      </c>
      <c r="J440">
        <v>60</v>
      </c>
      <c r="K440" t="s">
        <v>12</v>
      </c>
      <c r="L440">
        <v>1</v>
      </c>
      <c r="M440" t="s">
        <v>373</v>
      </c>
      <c r="N440">
        <v>60</v>
      </c>
      <c r="O440">
        <v>79</v>
      </c>
      <c r="P440">
        <v>54</v>
      </c>
      <c r="Q440" t="s">
        <v>1180</v>
      </c>
      <c r="R440">
        <v>1</v>
      </c>
      <c r="S440" s="7" t="s">
        <v>4585</v>
      </c>
      <c r="U440">
        <v>1</v>
      </c>
      <c r="V440" s="4">
        <f>HYPERLINK("http://exon.niaid.nih.gov/transcriptome/C_felis/S1/links/cluster/cf-5-36-asb30-50-Id-CLU5.txt", 5)</f>
        <v>5</v>
      </c>
      <c r="W440">
        <f>HYPERLINK("http://exon.niaid.nih.gov/transcriptome/C_felis/S1/links/cluster/cf-5-36-asb30-50-Id-CLTL5.txt", 5)</f>
        <v>5</v>
      </c>
      <c r="X440" s="4">
        <f>HYPERLINK("http://exon.niaid.nih.gov/transcriptome/C_felis/S1/links/cluster/cf-5-36-asb35-50-Id-CLU5.txt", 5)</f>
        <v>5</v>
      </c>
      <c r="Y440">
        <f>HYPERLINK("http://exon.niaid.nih.gov/transcriptome/C_felis/S1/links/cluster/cf-5-36-asb35-50-Id-CLTL5.txt", 5)</f>
        <v>5</v>
      </c>
      <c r="Z440" s="4">
        <f>HYPERLINK("http://exon.niaid.nih.gov/transcriptome/C_felis/S1/links/cluster/cf-5-36-asb40-50-Id-CLU10.txt", 10)</f>
        <v>10</v>
      </c>
      <c r="AA440">
        <f>HYPERLINK("http://exon.niaid.nih.gov/transcriptome/C_felis/S1/links/cluster/cf-5-36-asb40-50-Id-CLTL10.txt", 4)</f>
        <v>4</v>
      </c>
      <c r="AB440" s="4" t="str">
        <f>HYPERLINK("http://exon.niaid.nih.gov/transcriptome/C_felis/S1/links/XC-ASB/cf-contig_360-XC-ASB.txt","XC-contig_41")</f>
        <v>XC-contig_41</v>
      </c>
      <c r="AC440">
        <v>0.35</v>
      </c>
      <c r="AD440" s="10" t="s">
        <v>4600</v>
      </c>
      <c r="AE440" t="s">
        <v>4601</v>
      </c>
      <c r="AI440" s="4" t="s">
        <v>42</v>
      </c>
      <c r="AJ440" t="s">
        <v>42</v>
      </c>
      <c r="AK440" t="s">
        <v>42</v>
      </c>
      <c r="AL440" t="s">
        <v>42</v>
      </c>
      <c r="AM440" t="s">
        <v>42</v>
      </c>
      <c r="AN440" t="s">
        <v>42</v>
      </c>
      <c r="AO440" t="s">
        <v>42</v>
      </c>
      <c r="AP440" t="s">
        <v>42</v>
      </c>
      <c r="AQ440" t="s">
        <v>42</v>
      </c>
      <c r="AR440" t="s">
        <v>42</v>
      </c>
      <c r="AS440" t="s">
        <v>42</v>
      </c>
      <c r="AT440" t="s">
        <v>42</v>
      </c>
      <c r="AU440" t="s">
        <v>42</v>
      </c>
      <c r="AV440" t="s">
        <v>42</v>
      </c>
      <c r="AW440" t="s">
        <v>42</v>
      </c>
      <c r="AX440" t="s">
        <v>42</v>
      </c>
      <c r="AY440" t="s">
        <v>42</v>
      </c>
      <c r="AZ440" t="s">
        <v>42</v>
      </c>
      <c r="BA440" s="4" t="s">
        <v>42</v>
      </c>
      <c r="BB440" t="s">
        <v>42</v>
      </c>
      <c r="BC440" t="s">
        <v>42</v>
      </c>
      <c r="BD440" t="s">
        <v>42</v>
      </c>
      <c r="BE440" t="s">
        <v>42</v>
      </c>
      <c r="BF440" t="s">
        <v>42</v>
      </c>
      <c r="BG440" t="s">
        <v>42</v>
      </c>
      <c r="BH440" t="s">
        <v>42</v>
      </c>
      <c r="BI440" t="s">
        <v>42</v>
      </c>
      <c r="BJ440" t="s">
        <v>42</v>
      </c>
      <c r="BK440" t="s">
        <v>42</v>
      </c>
      <c r="BL440" t="s">
        <v>42</v>
      </c>
      <c r="BM440" t="s">
        <v>42</v>
      </c>
      <c r="BN440" t="s">
        <v>42</v>
      </c>
      <c r="BO440" t="s">
        <v>42</v>
      </c>
      <c r="BP440" t="s">
        <v>42</v>
      </c>
      <c r="BQ440" t="s">
        <v>42</v>
      </c>
      <c r="BR440" t="s">
        <v>42</v>
      </c>
      <c r="BS440" s="4" t="str">
        <f>HYPERLINK("http://exon.niaid.nih.gov/transcriptome/C_felis/S1/links/CDD/cf-contig_360-CDD.txt","PRK05054")</f>
        <v>PRK05054</v>
      </c>
      <c r="BT440" t="str">
        <f>HYPERLINK("http://www.ncbi.nlm.nih.gov/Structure/cdd/cddsrv.cgi?uid=PRK05054&amp;version=v4.0","6.4")</f>
        <v>6.4</v>
      </c>
      <c r="BU440" t="s">
        <v>2938</v>
      </c>
      <c r="BV440" s="4" t="s">
        <v>42</v>
      </c>
      <c r="BW440" t="s">
        <v>42</v>
      </c>
      <c r="BX440" t="s">
        <v>42</v>
      </c>
      <c r="BY440" t="s">
        <v>42</v>
      </c>
      <c r="BZ440" t="s">
        <v>42</v>
      </c>
      <c r="CA440" t="s">
        <v>42</v>
      </c>
      <c r="CB440" t="s">
        <v>42</v>
      </c>
      <c r="CC440" t="s">
        <v>42</v>
      </c>
      <c r="CD440" t="s">
        <v>42</v>
      </c>
      <c r="CE440" t="s">
        <v>42</v>
      </c>
      <c r="CF440" t="s">
        <v>42</v>
      </c>
      <c r="CG440" t="s">
        <v>42</v>
      </c>
      <c r="CH440" t="s">
        <v>42</v>
      </c>
      <c r="CI440" t="s">
        <v>42</v>
      </c>
      <c r="CJ440" t="s">
        <v>42</v>
      </c>
      <c r="CK440" t="s">
        <v>42</v>
      </c>
      <c r="CL440" t="s">
        <v>42</v>
      </c>
      <c r="CM440" t="s">
        <v>42</v>
      </c>
      <c r="CN440" t="s">
        <v>42</v>
      </c>
      <c r="CO440" t="s">
        <v>42</v>
      </c>
      <c r="CP440" t="s">
        <v>42</v>
      </c>
      <c r="CQ440" t="s">
        <v>42</v>
      </c>
      <c r="CR440" t="s">
        <v>42</v>
      </c>
      <c r="CS440" s="4" t="s">
        <v>42</v>
      </c>
      <c r="CT440" t="s">
        <v>42</v>
      </c>
      <c r="CU440" t="s">
        <v>42</v>
      </c>
      <c r="CV440" s="4" t="str">
        <f>HYPERLINK("http://exon.niaid.nih.gov/transcriptome/C_felis/S1/links/PFAM/cf-contig_360-PFAM.txt","DUF3186")</f>
        <v>DUF3186</v>
      </c>
      <c r="CW440" t="str">
        <f>HYPERLINK("http://pfam.sanger.ac.uk/family?acc=PF11382","7.1")</f>
        <v>7.1</v>
      </c>
      <c r="CX440" s="4" t="str">
        <f>HYPERLINK("http://exon.niaid.nih.gov/transcriptome/C_felis/S1/links/SMART/cf-contig_360-SMART.txt","Prim-Pol")</f>
        <v>Prim-Pol</v>
      </c>
      <c r="CY440" t="str">
        <f>HYPERLINK("http://smart.embl-heidelberg.de/smart/do_annotation.pl?DOMAIN=Prim-Pol&amp;BLAST=DUMMY","2.0")</f>
        <v>2.0</v>
      </c>
      <c r="CZ440" s="4" t="s">
        <v>42</v>
      </c>
      <c r="DA440" t="s">
        <v>42</v>
      </c>
      <c r="DB440" t="s">
        <v>42</v>
      </c>
      <c r="DC440" t="s">
        <v>42</v>
      </c>
      <c r="DD440" t="s">
        <v>42</v>
      </c>
      <c r="DE440" t="s">
        <v>42</v>
      </c>
      <c r="DF440" t="s">
        <v>42</v>
      </c>
      <c r="DG440" t="s">
        <v>42</v>
      </c>
      <c r="DH440" s="4" t="s">
        <v>42</v>
      </c>
      <c r="DI440" t="s">
        <v>42</v>
      </c>
      <c r="DJ440" s="4" t="s">
        <v>42</v>
      </c>
      <c r="DK440" t="s">
        <v>42</v>
      </c>
      <c r="DL440" s="4">
        <f>HYPERLINK("http://exon.niaid.nih.gov/transcriptome/C_felis/S1/links/cluster/cf-5-36-asb30-50-Id-CLU5.txt", 5)</f>
        <v>5</v>
      </c>
      <c r="DM440">
        <f>HYPERLINK("http://exon.niaid.nih.gov/transcriptome/C_felis/S1/links/cluster/cf-5-36-asb30-50-Id-CLTL5.txt", 5)</f>
        <v>5</v>
      </c>
      <c r="DN440" s="4">
        <f>HYPERLINK("http://exon.niaid.nih.gov/transcriptome/C_felis/S1/links/cluster/cf-5-36-asb35-50-Id-CLU5.txt", 5)</f>
        <v>5</v>
      </c>
      <c r="DO440">
        <f>HYPERLINK("http://exon.niaid.nih.gov/transcriptome/C_felis/S1/links/cluster/cf-5-36-asb35-50-Id-CLTL5.txt", 5)</f>
        <v>5</v>
      </c>
      <c r="DP440" s="4">
        <f>HYPERLINK("http://exon.niaid.nih.gov/transcriptome/C_felis/S1/links/cluster/cf-5-36-asb40-50-Id-CLU10.txt", 10)</f>
        <v>10</v>
      </c>
      <c r="DQ440">
        <f>HYPERLINK("http://exon.niaid.nih.gov/transcriptome/C_felis/S1/links/cluster/cf-5-36-asb40-50-Id-CLTL10.txt", 4)</f>
        <v>4</v>
      </c>
      <c r="DR440" s="4">
        <v>308</v>
      </c>
      <c r="DS440">
        <v>1</v>
      </c>
      <c r="DT440" s="4">
        <v>318</v>
      </c>
      <c r="DU440">
        <v>1</v>
      </c>
      <c r="DV440" s="4">
        <v>331</v>
      </c>
      <c r="DW440">
        <v>1</v>
      </c>
      <c r="DX440" s="4">
        <v>334</v>
      </c>
      <c r="DY440">
        <v>1</v>
      </c>
      <c r="DZ440" s="4">
        <v>339</v>
      </c>
      <c r="EA440">
        <v>1</v>
      </c>
      <c r="EB440" s="4">
        <v>344</v>
      </c>
      <c r="EC440">
        <v>1</v>
      </c>
      <c r="ED440" s="4">
        <v>348</v>
      </c>
      <c r="EE440">
        <v>1</v>
      </c>
      <c r="EF440" s="4">
        <v>353</v>
      </c>
      <c r="EG440">
        <v>1</v>
      </c>
      <c r="EH440" s="4">
        <v>355</v>
      </c>
      <c r="EI440">
        <v>1</v>
      </c>
      <c r="EJ440" s="4">
        <v>360</v>
      </c>
      <c r="EK440">
        <v>1</v>
      </c>
    </row>
    <row r="441" spans="1:141" x14ac:dyDescent="0.2">
      <c r="A441" t="str">
        <f>HYPERLINK("http://exon.niaid.nih.gov/transcriptome/C_felis/S1/links/cf/cf-contig_362.txt","cf-contig_362")</f>
        <v>cf-contig_362</v>
      </c>
      <c r="B441">
        <v>1</v>
      </c>
      <c r="C441" s="10" t="s">
        <v>4600</v>
      </c>
      <c r="D441">
        <v>1</v>
      </c>
      <c r="E441" t="str">
        <f>HYPERLINK("http://exon.niaid.nih.gov/transcriptome/C_felis/S1/links/cf/cf-5-36-asb-362.txt","Contig-362")</f>
        <v>Contig-362</v>
      </c>
      <c r="F441" t="str">
        <f>HYPERLINK("http://exon.niaid.nih.gov/transcriptome/C_felis/S1/links/cf/cf-5-36-362-CLU.txt","Contig362")</f>
        <v>Contig362</v>
      </c>
      <c r="G441" t="str">
        <f>HYPERLINK("http://exon.niaid.nih.gov/transcriptome/C_felis/S1/links/cf/cf-5-36-362-qual.txt","26.4")</f>
        <v>26.4</v>
      </c>
      <c r="H441" t="s">
        <v>11</v>
      </c>
      <c r="I441">
        <v>54.4</v>
      </c>
      <c r="J441">
        <v>38</v>
      </c>
      <c r="K441" t="s">
        <v>12</v>
      </c>
      <c r="L441">
        <v>1</v>
      </c>
      <c r="M441" t="s">
        <v>375</v>
      </c>
      <c r="N441">
        <v>38</v>
      </c>
      <c r="O441">
        <v>57</v>
      </c>
      <c r="P441">
        <v>54</v>
      </c>
      <c r="Q441" t="s">
        <v>1182</v>
      </c>
      <c r="R441">
        <v>2</v>
      </c>
      <c r="S441" s="7" t="s">
        <v>4585</v>
      </c>
      <c r="U441">
        <v>1</v>
      </c>
      <c r="V441" s="4">
        <v>291</v>
      </c>
      <c r="W441">
        <v>1</v>
      </c>
      <c r="X441" s="4">
        <v>298</v>
      </c>
      <c r="Y441">
        <v>1</v>
      </c>
      <c r="Z441" s="4">
        <v>299</v>
      </c>
      <c r="AA441">
        <v>1</v>
      </c>
      <c r="AB441" s="4" t="str">
        <f>HYPERLINK("http://exon.niaid.nih.gov/transcriptome/C_felis/S1/links/XC-ASB/cf-contig_362-XC-ASB.txt","XC-contig_25")</f>
        <v>XC-contig_25</v>
      </c>
      <c r="AC441">
        <v>2.2000000000000002</v>
      </c>
      <c r="AD441" s="10" t="s">
        <v>4600</v>
      </c>
      <c r="AE441" t="s">
        <v>4601</v>
      </c>
      <c r="AI441" s="4" t="s">
        <v>42</v>
      </c>
      <c r="AJ441" t="s">
        <v>42</v>
      </c>
      <c r="AK441" t="s">
        <v>42</v>
      </c>
      <c r="AL441" t="s">
        <v>42</v>
      </c>
      <c r="AM441" t="s">
        <v>42</v>
      </c>
      <c r="AN441" t="s">
        <v>42</v>
      </c>
      <c r="AO441" t="s">
        <v>42</v>
      </c>
      <c r="AP441" t="s">
        <v>42</v>
      </c>
      <c r="AQ441" t="s">
        <v>42</v>
      </c>
      <c r="AR441" t="s">
        <v>42</v>
      </c>
      <c r="AS441" t="s">
        <v>42</v>
      </c>
      <c r="AT441" t="s">
        <v>42</v>
      </c>
      <c r="AU441" t="s">
        <v>42</v>
      </c>
      <c r="AV441" t="s">
        <v>42</v>
      </c>
      <c r="AW441" t="s">
        <v>42</v>
      </c>
      <c r="AX441" t="s">
        <v>42</v>
      </c>
      <c r="AY441" t="s">
        <v>42</v>
      </c>
      <c r="AZ441" t="s">
        <v>42</v>
      </c>
      <c r="BA441" s="4" t="s">
        <v>42</v>
      </c>
      <c r="BB441" t="s">
        <v>42</v>
      </c>
      <c r="BC441" t="s">
        <v>42</v>
      </c>
      <c r="BD441" t="s">
        <v>42</v>
      </c>
      <c r="BE441" t="s">
        <v>42</v>
      </c>
      <c r="BF441" t="s">
        <v>42</v>
      </c>
      <c r="BG441" t="s">
        <v>42</v>
      </c>
      <c r="BH441" t="s">
        <v>42</v>
      </c>
      <c r="BI441" t="s">
        <v>42</v>
      </c>
      <c r="BJ441" t="s">
        <v>42</v>
      </c>
      <c r="BK441" t="s">
        <v>42</v>
      </c>
      <c r="BL441" t="s">
        <v>42</v>
      </c>
      <c r="BM441" t="s">
        <v>42</v>
      </c>
      <c r="BN441" t="s">
        <v>42</v>
      </c>
      <c r="BO441" t="s">
        <v>42</v>
      </c>
      <c r="BP441" t="s">
        <v>42</v>
      </c>
      <c r="BQ441" t="s">
        <v>42</v>
      </c>
      <c r="BR441" t="s">
        <v>42</v>
      </c>
      <c r="BS441" s="4" t="s">
        <v>42</v>
      </c>
      <c r="BT441" t="s">
        <v>42</v>
      </c>
      <c r="BU441" t="s">
        <v>42</v>
      </c>
      <c r="BV441" s="4" t="s">
        <v>42</v>
      </c>
      <c r="BW441" t="s">
        <v>42</v>
      </c>
      <c r="BX441" t="s">
        <v>42</v>
      </c>
      <c r="BY441" t="s">
        <v>42</v>
      </c>
      <c r="BZ441" t="s">
        <v>42</v>
      </c>
      <c r="CA441" t="s">
        <v>42</v>
      </c>
      <c r="CB441" t="s">
        <v>42</v>
      </c>
      <c r="CC441" t="s">
        <v>42</v>
      </c>
      <c r="CD441" t="s">
        <v>42</v>
      </c>
      <c r="CE441" t="s">
        <v>42</v>
      </c>
      <c r="CF441" t="s">
        <v>42</v>
      </c>
      <c r="CG441" t="s">
        <v>42</v>
      </c>
      <c r="CH441" t="s">
        <v>42</v>
      </c>
      <c r="CI441" t="s">
        <v>42</v>
      </c>
      <c r="CJ441" t="s">
        <v>42</v>
      </c>
      <c r="CK441" t="s">
        <v>42</v>
      </c>
      <c r="CL441" t="s">
        <v>42</v>
      </c>
      <c r="CM441" t="s">
        <v>42</v>
      </c>
      <c r="CN441" t="s">
        <v>42</v>
      </c>
      <c r="CO441" t="s">
        <v>42</v>
      </c>
      <c r="CP441" t="s">
        <v>42</v>
      </c>
      <c r="CQ441" t="s">
        <v>42</v>
      </c>
      <c r="CR441" t="s">
        <v>42</v>
      </c>
      <c r="CS441" s="4" t="s">
        <v>42</v>
      </c>
      <c r="CT441" t="s">
        <v>42</v>
      </c>
      <c r="CU441" t="s">
        <v>42</v>
      </c>
      <c r="CV441" s="4" t="s">
        <v>42</v>
      </c>
      <c r="CW441" t="s">
        <v>42</v>
      </c>
      <c r="CX441" s="4" t="str">
        <f>HYPERLINK("http://exon.niaid.nih.gov/transcriptome/C_felis/S1/links/SMART/cf-contig_362-SMART.txt","Alpha_L_fucos")</f>
        <v>Alpha_L_fucos</v>
      </c>
      <c r="CY441" t="str">
        <f>HYPERLINK("http://smart.embl-heidelberg.de/smart/do_annotation.pl?DOMAIN=Alpha_L_fucos&amp;BLAST=DUMMY","7.5")</f>
        <v>7.5</v>
      </c>
      <c r="CZ441" s="4" t="s">
        <v>42</v>
      </c>
      <c r="DA441" t="s">
        <v>42</v>
      </c>
      <c r="DB441" t="s">
        <v>42</v>
      </c>
      <c r="DC441" t="s">
        <v>42</v>
      </c>
      <c r="DD441" t="s">
        <v>42</v>
      </c>
      <c r="DE441" t="s">
        <v>42</v>
      </c>
      <c r="DF441" t="s">
        <v>42</v>
      </c>
      <c r="DG441" t="s">
        <v>42</v>
      </c>
      <c r="DH441" s="4" t="s">
        <v>42</v>
      </c>
      <c r="DI441" t="s">
        <v>42</v>
      </c>
      <c r="DJ441" s="4" t="s">
        <v>42</v>
      </c>
      <c r="DK441" t="s">
        <v>42</v>
      </c>
      <c r="DL441" s="4">
        <v>291</v>
      </c>
      <c r="DM441">
        <v>1</v>
      </c>
      <c r="DN441" s="4">
        <v>298</v>
      </c>
      <c r="DO441">
        <v>1</v>
      </c>
      <c r="DP441" s="4">
        <v>299</v>
      </c>
      <c r="DQ441">
        <v>1</v>
      </c>
      <c r="DR441" s="4">
        <v>310</v>
      </c>
      <c r="DS441">
        <v>1</v>
      </c>
      <c r="DT441" s="4">
        <v>320</v>
      </c>
      <c r="DU441">
        <v>1</v>
      </c>
      <c r="DV441" s="4">
        <v>333</v>
      </c>
      <c r="DW441">
        <v>1</v>
      </c>
      <c r="DX441" s="4">
        <v>336</v>
      </c>
      <c r="DY441">
        <v>1</v>
      </c>
      <c r="DZ441" s="4">
        <v>341</v>
      </c>
      <c r="EA441">
        <v>1</v>
      </c>
      <c r="EB441" s="4">
        <v>346</v>
      </c>
      <c r="EC441">
        <v>1</v>
      </c>
      <c r="ED441" s="4">
        <v>350</v>
      </c>
      <c r="EE441">
        <v>1</v>
      </c>
      <c r="EF441" s="4">
        <v>355</v>
      </c>
      <c r="EG441">
        <v>1</v>
      </c>
      <c r="EH441" s="4">
        <v>357</v>
      </c>
      <c r="EI441">
        <v>1</v>
      </c>
      <c r="EJ441" s="4">
        <v>362</v>
      </c>
      <c r="EK441">
        <v>1</v>
      </c>
    </row>
    <row r="442" spans="1:141" x14ac:dyDescent="0.2">
      <c r="A442" t="str">
        <f>HYPERLINK("http://exon.niaid.nih.gov/transcriptome/C_felis/S1/links/cf/cf-contig_365.txt","cf-contig_365")</f>
        <v>cf-contig_365</v>
      </c>
      <c r="B442">
        <v>1</v>
      </c>
      <c r="C442" s="10" t="s">
        <v>4600</v>
      </c>
      <c r="D442">
        <v>1</v>
      </c>
      <c r="E442" t="str">
        <f>HYPERLINK("http://exon.niaid.nih.gov/transcriptome/C_felis/S1/links/cf/cf-5-36-asb-365.txt","Contig-365")</f>
        <v>Contig-365</v>
      </c>
      <c r="F442" t="str">
        <f>HYPERLINK("http://exon.niaid.nih.gov/transcriptome/C_felis/S1/links/cf/cf-5-36-365-CLU.txt","Contig365")</f>
        <v>Contig365</v>
      </c>
      <c r="G442" t="str">
        <f>HYPERLINK("http://exon.niaid.nih.gov/transcriptome/C_felis/S1/links/cf/cf-5-36-365-qual.txt","40.4")</f>
        <v>40.4</v>
      </c>
      <c r="H442">
        <v>1.3</v>
      </c>
      <c r="I442">
        <v>76.3</v>
      </c>
      <c r="J442">
        <v>57</v>
      </c>
      <c r="K442" t="s">
        <v>12</v>
      </c>
      <c r="L442">
        <v>1</v>
      </c>
      <c r="M442" t="s">
        <v>378</v>
      </c>
      <c r="N442">
        <v>57</v>
      </c>
      <c r="O442">
        <v>76</v>
      </c>
      <c r="P442">
        <v>69</v>
      </c>
      <c r="Q442" t="s">
        <v>1185</v>
      </c>
      <c r="R442">
        <v>3</v>
      </c>
      <c r="S442" s="7" t="s">
        <v>4585</v>
      </c>
      <c r="U442">
        <v>1</v>
      </c>
      <c r="V442" s="4">
        <v>294</v>
      </c>
      <c r="W442">
        <v>1</v>
      </c>
      <c r="X442" s="4">
        <v>301</v>
      </c>
      <c r="Y442">
        <v>1</v>
      </c>
      <c r="Z442" s="4">
        <v>302</v>
      </c>
      <c r="AA442">
        <v>1</v>
      </c>
      <c r="AB442" s="4" t="str">
        <f>HYPERLINK("http://exon.niaid.nih.gov/transcriptome/C_felis/S1/links/XC-ASB/cf-contig_365-XC-ASB.txt","XC-contig_149")</f>
        <v>XC-contig_149</v>
      </c>
      <c r="AC442">
        <v>0.91</v>
      </c>
      <c r="AD442" s="10" t="s">
        <v>4600</v>
      </c>
      <c r="AE442" t="s">
        <v>4601</v>
      </c>
      <c r="AI442" s="4" t="s">
        <v>42</v>
      </c>
      <c r="AJ442" t="s">
        <v>42</v>
      </c>
      <c r="AK442" t="s">
        <v>42</v>
      </c>
      <c r="AL442" t="s">
        <v>42</v>
      </c>
      <c r="AM442" t="s">
        <v>42</v>
      </c>
      <c r="AN442" t="s">
        <v>42</v>
      </c>
      <c r="AO442" t="s">
        <v>42</v>
      </c>
      <c r="AP442" t="s">
        <v>42</v>
      </c>
      <c r="AQ442" t="s">
        <v>42</v>
      </c>
      <c r="AR442" t="s">
        <v>42</v>
      </c>
      <c r="AS442" t="s">
        <v>42</v>
      </c>
      <c r="AT442" t="s">
        <v>42</v>
      </c>
      <c r="AU442" t="s">
        <v>42</v>
      </c>
      <c r="AV442" t="s">
        <v>42</v>
      </c>
      <c r="AW442" t="s">
        <v>42</v>
      </c>
      <c r="AX442" t="s">
        <v>42</v>
      </c>
      <c r="AY442" t="s">
        <v>42</v>
      </c>
      <c r="AZ442" t="s">
        <v>42</v>
      </c>
      <c r="BA442" s="4" t="s">
        <v>42</v>
      </c>
      <c r="BB442" t="s">
        <v>42</v>
      </c>
      <c r="BC442" t="s">
        <v>42</v>
      </c>
      <c r="BD442" t="s">
        <v>42</v>
      </c>
      <c r="BE442" t="s">
        <v>42</v>
      </c>
      <c r="BF442" t="s">
        <v>42</v>
      </c>
      <c r="BG442" t="s">
        <v>42</v>
      </c>
      <c r="BH442" t="s">
        <v>42</v>
      </c>
      <c r="BI442" t="s">
        <v>42</v>
      </c>
      <c r="BJ442" t="s">
        <v>42</v>
      </c>
      <c r="BK442" t="s">
        <v>42</v>
      </c>
      <c r="BL442" t="s">
        <v>42</v>
      </c>
      <c r="BM442" t="s">
        <v>42</v>
      </c>
      <c r="BN442" t="s">
        <v>42</v>
      </c>
      <c r="BO442" t="s">
        <v>42</v>
      </c>
      <c r="BP442" t="s">
        <v>42</v>
      </c>
      <c r="BQ442" t="s">
        <v>42</v>
      </c>
      <c r="BR442" t="s">
        <v>42</v>
      </c>
      <c r="BS442" s="4" t="s">
        <v>42</v>
      </c>
      <c r="BT442" t="s">
        <v>42</v>
      </c>
      <c r="BU442" t="s">
        <v>42</v>
      </c>
      <c r="BV442" s="4" t="s">
        <v>42</v>
      </c>
      <c r="BW442" t="s">
        <v>42</v>
      </c>
      <c r="BX442" t="s">
        <v>42</v>
      </c>
      <c r="BY442" t="s">
        <v>42</v>
      </c>
      <c r="BZ442" t="s">
        <v>42</v>
      </c>
      <c r="CA442" t="s">
        <v>42</v>
      </c>
      <c r="CB442" t="s">
        <v>42</v>
      </c>
      <c r="CC442" t="s">
        <v>42</v>
      </c>
      <c r="CD442" t="s">
        <v>42</v>
      </c>
      <c r="CE442" t="s">
        <v>42</v>
      </c>
      <c r="CF442" t="s">
        <v>42</v>
      </c>
      <c r="CG442" t="s">
        <v>42</v>
      </c>
      <c r="CH442" t="s">
        <v>42</v>
      </c>
      <c r="CI442" t="s">
        <v>42</v>
      </c>
      <c r="CJ442" t="s">
        <v>42</v>
      </c>
      <c r="CK442" t="s">
        <v>42</v>
      </c>
      <c r="CL442" t="s">
        <v>42</v>
      </c>
      <c r="CM442" t="s">
        <v>42</v>
      </c>
      <c r="CN442" t="s">
        <v>42</v>
      </c>
      <c r="CO442" t="s">
        <v>42</v>
      </c>
      <c r="CP442" t="s">
        <v>42</v>
      </c>
      <c r="CQ442" t="s">
        <v>42</v>
      </c>
      <c r="CR442" t="s">
        <v>42</v>
      </c>
      <c r="CS442" s="4" t="s">
        <v>42</v>
      </c>
      <c r="CT442" t="s">
        <v>42</v>
      </c>
      <c r="CU442" t="s">
        <v>42</v>
      </c>
      <c r="CV442" s="4" t="str">
        <f>HYPERLINK("http://exon.niaid.nih.gov/transcriptome/C_felis/S1/links/PFAM/cf-contig_365-PFAM.txt","Herpes_UL79")</f>
        <v>Herpes_UL79</v>
      </c>
      <c r="CW442" t="str">
        <f>HYPERLINK("http://pfam.sanger.ac.uk/family?acc=PF03049","5.1")</f>
        <v>5.1</v>
      </c>
      <c r="CX442" s="4" t="str">
        <f>HYPERLINK("http://exon.niaid.nih.gov/transcriptome/C_felis/S1/links/SMART/cf-contig_365-SMART.txt","THAP")</f>
        <v>THAP</v>
      </c>
      <c r="CY442" t="str">
        <f>HYPERLINK("http://smart.embl-heidelberg.de/smart/do_annotation.pl?DOMAIN=THAP&amp;BLAST=DUMMY","4.1")</f>
        <v>4.1</v>
      </c>
      <c r="CZ442" s="4" t="s">
        <v>42</v>
      </c>
      <c r="DA442" t="s">
        <v>42</v>
      </c>
      <c r="DB442" t="s">
        <v>42</v>
      </c>
      <c r="DC442" t="s">
        <v>42</v>
      </c>
      <c r="DD442" t="s">
        <v>42</v>
      </c>
      <c r="DE442" t="s">
        <v>42</v>
      </c>
      <c r="DF442" t="s">
        <v>42</v>
      </c>
      <c r="DG442" t="s">
        <v>42</v>
      </c>
      <c r="DH442" s="4" t="s">
        <v>42</v>
      </c>
      <c r="DI442" t="s">
        <v>42</v>
      </c>
      <c r="DJ442" s="4" t="s">
        <v>42</v>
      </c>
      <c r="DK442" t="s">
        <v>42</v>
      </c>
      <c r="DL442" s="4">
        <v>294</v>
      </c>
      <c r="DM442">
        <v>1</v>
      </c>
      <c r="DN442" s="4">
        <v>301</v>
      </c>
      <c r="DO442">
        <v>1</v>
      </c>
      <c r="DP442" s="4">
        <v>302</v>
      </c>
      <c r="DQ442">
        <v>1</v>
      </c>
      <c r="DR442" s="4">
        <v>313</v>
      </c>
      <c r="DS442">
        <v>1</v>
      </c>
      <c r="DT442" s="4">
        <v>323</v>
      </c>
      <c r="DU442">
        <v>1</v>
      </c>
      <c r="DV442" s="4">
        <v>336</v>
      </c>
      <c r="DW442">
        <v>1</v>
      </c>
      <c r="DX442" s="4">
        <v>339</v>
      </c>
      <c r="DY442">
        <v>1</v>
      </c>
      <c r="DZ442" s="4">
        <v>344</v>
      </c>
      <c r="EA442">
        <v>1</v>
      </c>
      <c r="EB442" s="4">
        <v>349</v>
      </c>
      <c r="EC442">
        <v>1</v>
      </c>
      <c r="ED442" s="4">
        <v>353</v>
      </c>
      <c r="EE442">
        <v>1</v>
      </c>
      <c r="EF442" s="4">
        <v>358</v>
      </c>
      <c r="EG442">
        <v>1</v>
      </c>
      <c r="EH442" s="4">
        <v>360</v>
      </c>
      <c r="EI442">
        <v>1</v>
      </c>
      <c r="EJ442" s="4">
        <v>365</v>
      </c>
      <c r="EK442">
        <v>1</v>
      </c>
    </row>
    <row r="443" spans="1:141" x14ac:dyDescent="0.2">
      <c r="A443" t="str">
        <f>HYPERLINK("http://exon.niaid.nih.gov/transcriptome/C_felis/S1/links/cf/cf-contig_372.txt","cf-contig_372")</f>
        <v>cf-contig_372</v>
      </c>
      <c r="B443">
        <v>1</v>
      </c>
      <c r="C443" s="10" t="s">
        <v>4600</v>
      </c>
      <c r="D443">
        <v>1</v>
      </c>
      <c r="E443" t="str">
        <f>HYPERLINK("http://exon.niaid.nih.gov/transcriptome/C_felis/S1/links/cf/cf-5-36-asb-372.txt","Contig-372")</f>
        <v>Contig-372</v>
      </c>
      <c r="F443" t="str">
        <f>HYPERLINK("http://exon.niaid.nih.gov/transcriptome/C_felis/S1/links/cf/cf-5-36-372-CLU.txt","Contig372")</f>
        <v>Contig372</v>
      </c>
      <c r="G443" t="str">
        <f>HYPERLINK("http://exon.niaid.nih.gov/transcriptome/C_felis/S1/links/cf/cf-5-36-372-qual.txt","51.7")</f>
        <v>51.7</v>
      </c>
      <c r="H443" t="s">
        <v>11</v>
      </c>
      <c r="I443">
        <v>77.400000000000006</v>
      </c>
      <c r="J443">
        <v>105</v>
      </c>
      <c r="K443" t="s">
        <v>12</v>
      </c>
      <c r="L443">
        <v>1</v>
      </c>
      <c r="M443" t="s">
        <v>385</v>
      </c>
      <c r="N443">
        <v>105</v>
      </c>
      <c r="O443">
        <v>124</v>
      </c>
      <c r="P443">
        <v>96</v>
      </c>
      <c r="Q443" t="s">
        <v>1192</v>
      </c>
      <c r="R443">
        <v>1</v>
      </c>
      <c r="S443" s="7" t="s">
        <v>4585</v>
      </c>
      <c r="U443">
        <v>1</v>
      </c>
      <c r="V443" s="4">
        <v>301</v>
      </c>
      <c r="W443">
        <v>1</v>
      </c>
      <c r="X443" s="4">
        <v>308</v>
      </c>
      <c r="Y443">
        <v>1</v>
      </c>
      <c r="Z443" s="4">
        <v>309</v>
      </c>
      <c r="AA443">
        <v>1</v>
      </c>
      <c r="AB443" s="4" t="str">
        <f>HYPERLINK("http://exon.niaid.nih.gov/transcriptome/C_felis/S1/links/XC-ASB/cf-contig_372-XC-ASB.txt","XC-contig_132")</f>
        <v>XC-contig_132</v>
      </c>
      <c r="AC443">
        <v>3.4000000000000002E-2</v>
      </c>
      <c r="AD443" s="10" t="s">
        <v>4600</v>
      </c>
      <c r="AE443" t="s">
        <v>4601</v>
      </c>
      <c r="AI443" s="4" t="s">
        <v>42</v>
      </c>
      <c r="AJ443" t="s">
        <v>42</v>
      </c>
      <c r="AK443" t="s">
        <v>42</v>
      </c>
      <c r="AL443" t="s">
        <v>42</v>
      </c>
      <c r="AM443" t="s">
        <v>42</v>
      </c>
      <c r="AN443" t="s">
        <v>42</v>
      </c>
      <c r="AO443" t="s">
        <v>42</v>
      </c>
      <c r="AP443" t="s">
        <v>42</v>
      </c>
      <c r="AQ443" t="s">
        <v>42</v>
      </c>
      <c r="AR443" t="s">
        <v>42</v>
      </c>
      <c r="AS443" t="s">
        <v>42</v>
      </c>
      <c r="AT443" t="s">
        <v>42</v>
      </c>
      <c r="AU443" t="s">
        <v>42</v>
      </c>
      <c r="AV443" t="s">
        <v>42</v>
      </c>
      <c r="AW443" t="s">
        <v>42</v>
      </c>
      <c r="AX443" t="s">
        <v>42</v>
      </c>
      <c r="AY443" t="s">
        <v>42</v>
      </c>
      <c r="AZ443" t="s">
        <v>42</v>
      </c>
      <c r="BA443" s="4" t="str">
        <f>HYPERLINK("http://exon.niaid.nih.gov/transcriptome/C_felis/S1/links/SWISSP/cf-contig_372-SWISSP.txt","Isoleucyl-tRNA synthetase")</f>
        <v>Isoleucyl-tRNA synthetase</v>
      </c>
      <c r="BB443" t="str">
        <f>HYPERLINK("http://www.uniprot.org/uniprot/Q057X9","31")</f>
        <v>31</v>
      </c>
      <c r="BC443" t="s">
        <v>2378</v>
      </c>
      <c r="BD443">
        <v>27.3</v>
      </c>
      <c r="BE443">
        <v>23</v>
      </c>
      <c r="BF443">
        <v>941</v>
      </c>
      <c r="BG443">
        <v>37</v>
      </c>
      <c r="BH443">
        <v>3</v>
      </c>
      <c r="BI443">
        <v>15</v>
      </c>
      <c r="BJ443">
        <v>0</v>
      </c>
      <c r="BK443">
        <v>851</v>
      </c>
      <c r="BL443">
        <v>33</v>
      </c>
      <c r="BM443">
        <v>1</v>
      </c>
      <c r="BN443">
        <v>-3</v>
      </c>
      <c r="BO443" t="s">
        <v>12</v>
      </c>
      <c r="BQ443" t="s">
        <v>1666</v>
      </c>
      <c r="BR443" t="s">
        <v>2379</v>
      </c>
      <c r="BS443" s="4" t="str">
        <f>HYPERLINK("http://exon.niaid.nih.gov/transcriptome/C_felis/S1/links/CDD/cf-contig_372-CDD.txt","COG3202")</f>
        <v>COG3202</v>
      </c>
      <c r="BT443" t="str">
        <f>HYPERLINK("http://www.ncbi.nlm.nih.gov/Structure/cdd/cddsrv.cgi?uid=COG3202&amp;version=v4.0","1.9")</f>
        <v>1.9</v>
      </c>
      <c r="BU443" t="s">
        <v>2985</v>
      </c>
      <c r="BV443" s="4" t="s">
        <v>42</v>
      </c>
      <c r="BW443" t="s">
        <v>42</v>
      </c>
      <c r="BX443" t="s">
        <v>42</v>
      </c>
      <c r="BY443" t="s">
        <v>42</v>
      </c>
      <c r="BZ443" t="s">
        <v>42</v>
      </c>
      <c r="CA443" t="s">
        <v>42</v>
      </c>
      <c r="CB443" t="s">
        <v>42</v>
      </c>
      <c r="CC443" t="s">
        <v>42</v>
      </c>
      <c r="CD443" t="s">
        <v>42</v>
      </c>
      <c r="CE443" t="s">
        <v>42</v>
      </c>
      <c r="CF443" t="s">
        <v>42</v>
      </c>
      <c r="CG443" t="s">
        <v>42</v>
      </c>
      <c r="CH443" t="s">
        <v>42</v>
      </c>
      <c r="CI443" t="s">
        <v>42</v>
      </c>
      <c r="CJ443" t="s">
        <v>42</v>
      </c>
      <c r="CK443" t="s">
        <v>42</v>
      </c>
      <c r="CL443" t="s">
        <v>42</v>
      </c>
      <c r="CM443" t="s">
        <v>42</v>
      </c>
      <c r="CN443" t="s">
        <v>42</v>
      </c>
      <c r="CO443" t="s">
        <v>42</v>
      </c>
      <c r="CP443" t="s">
        <v>42</v>
      </c>
      <c r="CQ443" t="s">
        <v>42</v>
      </c>
      <c r="CR443" t="s">
        <v>42</v>
      </c>
      <c r="CS443" s="4" t="str">
        <f>HYPERLINK("http://exon.niaid.nih.gov/transcriptome/C_felis/S1/links/KOG/cf-contig_372-KOG.txt","Uncharacterized conserved protein")</f>
        <v>Uncharacterized conserved protein</v>
      </c>
      <c r="CT443" t="str">
        <f>HYPERLINK("http://www.ncbi.nlm.nih.gov/COG/grace/shokog.cgi?KOG1134","8.1")</f>
        <v>8.1</v>
      </c>
      <c r="CU443" t="s">
        <v>1721</v>
      </c>
      <c r="CV443" s="4" t="str">
        <f>HYPERLINK("http://exon.niaid.nih.gov/transcriptome/C_felis/S1/links/PFAM/cf-contig_372-PFAM.txt","DUF221")</f>
        <v>DUF221</v>
      </c>
      <c r="CW443" t="str">
        <f>HYPERLINK("http://pfam.sanger.ac.uk/family?acc=PF02714","0.64")</f>
        <v>0.64</v>
      </c>
      <c r="CX443" s="4" t="str">
        <f>HYPERLINK("http://exon.niaid.nih.gov/transcriptome/C_felis/S1/links/SMART/cf-contig_372-SMART.txt","Brr6_like_C_C")</f>
        <v>Brr6_like_C_C</v>
      </c>
      <c r="CY443" t="str">
        <f>HYPERLINK("http://smart.embl-heidelberg.de/smart/do_annotation.pl?DOMAIN=Brr6_like_C_C&amp;BLAST=DUMMY","0.045")</f>
        <v>0.045</v>
      </c>
      <c r="CZ443" s="4" t="s">
        <v>42</v>
      </c>
      <c r="DA443" t="s">
        <v>42</v>
      </c>
      <c r="DB443" t="s">
        <v>42</v>
      </c>
      <c r="DC443" t="s">
        <v>42</v>
      </c>
      <c r="DD443" t="s">
        <v>42</v>
      </c>
      <c r="DE443" t="s">
        <v>42</v>
      </c>
      <c r="DF443" t="s">
        <v>42</v>
      </c>
      <c r="DG443" t="s">
        <v>42</v>
      </c>
      <c r="DH443" s="4" t="s">
        <v>42</v>
      </c>
      <c r="DI443" t="s">
        <v>42</v>
      </c>
      <c r="DJ443" s="4" t="s">
        <v>42</v>
      </c>
      <c r="DK443" t="s">
        <v>42</v>
      </c>
      <c r="DL443" s="4">
        <v>301</v>
      </c>
      <c r="DM443">
        <v>1</v>
      </c>
      <c r="DN443" s="4">
        <v>308</v>
      </c>
      <c r="DO443">
        <v>1</v>
      </c>
      <c r="DP443" s="4">
        <v>309</v>
      </c>
      <c r="DQ443">
        <v>1</v>
      </c>
      <c r="DR443" s="4">
        <v>320</v>
      </c>
      <c r="DS443">
        <v>1</v>
      </c>
      <c r="DT443" s="4">
        <v>330</v>
      </c>
      <c r="DU443">
        <v>1</v>
      </c>
      <c r="DV443" s="4">
        <v>343</v>
      </c>
      <c r="DW443">
        <v>1</v>
      </c>
      <c r="DX443" s="4">
        <v>346</v>
      </c>
      <c r="DY443">
        <v>1</v>
      </c>
      <c r="DZ443" s="4">
        <v>351</v>
      </c>
      <c r="EA443">
        <v>1</v>
      </c>
      <c r="EB443" s="4">
        <v>356</v>
      </c>
      <c r="EC443">
        <v>1</v>
      </c>
      <c r="ED443" s="4">
        <v>360</v>
      </c>
      <c r="EE443">
        <v>1</v>
      </c>
      <c r="EF443" s="4">
        <v>365</v>
      </c>
      <c r="EG443">
        <v>1</v>
      </c>
      <c r="EH443" s="4">
        <v>367</v>
      </c>
      <c r="EI443">
        <v>1</v>
      </c>
      <c r="EJ443" s="4">
        <v>372</v>
      </c>
      <c r="EK443">
        <v>1</v>
      </c>
    </row>
    <row r="444" spans="1:141" x14ac:dyDescent="0.2">
      <c r="A444" t="str">
        <f>HYPERLINK("http://exon.niaid.nih.gov/transcriptome/C_felis/S1/links/cf/cf-contig_380.txt","cf-contig_380")</f>
        <v>cf-contig_380</v>
      </c>
      <c r="B444">
        <v>1</v>
      </c>
      <c r="C444" s="10" t="s">
        <v>4600</v>
      </c>
      <c r="D444">
        <v>1</v>
      </c>
      <c r="E444" t="str">
        <f>HYPERLINK("http://exon.niaid.nih.gov/transcriptome/C_felis/S1/links/cf/cf-5-36-asb-380.txt","Contig-380")</f>
        <v>Contig-380</v>
      </c>
      <c r="F444" t="str">
        <f>HYPERLINK("http://exon.niaid.nih.gov/transcriptome/C_felis/S1/links/cf/cf-5-36-380-CLU.txt","Contig380")</f>
        <v>Contig380</v>
      </c>
      <c r="G444" t="str">
        <f>HYPERLINK("http://exon.niaid.nih.gov/transcriptome/C_felis/S1/links/cf/cf-5-36-380-qual.txt","44.3")</f>
        <v>44.3</v>
      </c>
      <c r="H444">
        <v>0.8</v>
      </c>
      <c r="I444">
        <v>70.3</v>
      </c>
      <c r="J444">
        <v>109</v>
      </c>
      <c r="K444" t="s">
        <v>12</v>
      </c>
      <c r="L444">
        <v>1</v>
      </c>
      <c r="M444" t="s">
        <v>393</v>
      </c>
      <c r="N444">
        <v>109</v>
      </c>
      <c r="O444">
        <v>128</v>
      </c>
      <c r="P444">
        <v>87</v>
      </c>
      <c r="Q444" t="s">
        <v>1200</v>
      </c>
      <c r="R444">
        <v>3</v>
      </c>
      <c r="S444" s="7" t="s">
        <v>4585</v>
      </c>
      <c r="U444">
        <v>1</v>
      </c>
      <c r="V444" s="4">
        <v>309</v>
      </c>
      <c r="W444">
        <v>1</v>
      </c>
      <c r="X444" s="4">
        <v>316</v>
      </c>
      <c r="Y444">
        <v>1</v>
      </c>
      <c r="Z444" s="4">
        <v>317</v>
      </c>
      <c r="AA444">
        <v>1</v>
      </c>
      <c r="AB444" s="4" t="str">
        <f>HYPERLINK("http://exon.niaid.nih.gov/transcriptome/C_felis/S1/links/XC-ASB/cf-contig_380-XC-ASB.txt","XC-contig_122")</f>
        <v>XC-contig_122</v>
      </c>
      <c r="AC444">
        <v>9.2999999999999999E-2</v>
      </c>
      <c r="AD444" s="10" t="s">
        <v>4600</v>
      </c>
      <c r="AE444" t="s">
        <v>4601</v>
      </c>
      <c r="AI444" s="4" t="s">
        <v>42</v>
      </c>
      <c r="AJ444" t="s">
        <v>42</v>
      </c>
      <c r="AK444" t="s">
        <v>42</v>
      </c>
      <c r="AL444" t="s">
        <v>42</v>
      </c>
      <c r="AM444" t="s">
        <v>42</v>
      </c>
      <c r="AN444" t="s">
        <v>42</v>
      </c>
      <c r="AO444" t="s">
        <v>42</v>
      </c>
      <c r="AP444" t="s">
        <v>42</v>
      </c>
      <c r="AQ444" t="s">
        <v>42</v>
      </c>
      <c r="AR444" t="s">
        <v>42</v>
      </c>
      <c r="AS444" t="s">
        <v>42</v>
      </c>
      <c r="AT444" t="s">
        <v>42</v>
      </c>
      <c r="AU444" t="s">
        <v>42</v>
      </c>
      <c r="AV444" t="s">
        <v>42</v>
      </c>
      <c r="AW444" t="s">
        <v>42</v>
      </c>
      <c r="AX444" t="s">
        <v>42</v>
      </c>
      <c r="AY444" t="s">
        <v>42</v>
      </c>
      <c r="AZ444" t="s">
        <v>42</v>
      </c>
      <c r="BA444" s="4" t="str">
        <f>HYPERLINK("http://exon.niaid.nih.gov/transcriptome/C_felis/S1/links/SWISSP/cf-contig_380-SWISSP.txt","Transmembrane protein 239")</f>
        <v>Transmembrane protein 239</v>
      </c>
      <c r="BB444" t="str">
        <f>HYPERLINK("http://www.uniprot.org/uniprot/Q8WW34","90")</f>
        <v>90</v>
      </c>
      <c r="BC444" t="s">
        <v>3016</v>
      </c>
      <c r="BD444">
        <v>25.8</v>
      </c>
      <c r="BE444">
        <v>23</v>
      </c>
      <c r="BF444">
        <v>152</v>
      </c>
      <c r="BG444">
        <v>45</v>
      </c>
      <c r="BH444">
        <v>16</v>
      </c>
      <c r="BI444">
        <v>13</v>
      </c>
      <c r="BJ444">
        <v>0</v>
      </c>
      <c r="BK444">
        <v>71</v>
      </c>
      <c r="BL444">
        <v>24</v>
      </c>
      <c r="BM444">
        <v>1</v>
      </c>
      <c r="BN444">
        <v>-1</v>
      </c>
      <c r="BO444" t="s">
        <v>12</v>
      </c>
      <c r="BQ444" t="s">
        <v>1666</v>
      </c>
      <c r="BR444" t="s">
        <v>1690</v>
      </c>
      <c r="BS444" s="4" t="str">
        <f>HYPERLINK("http://exon.niaid.nih.gov/transcriptome/C_felis/S1/links/CDD/cf-contig_380-CDD.txt","DUF2222")</f>
        <v>DUF2222</v>
      </c>
      <c r="BT444" t="str">
        <f>HYPERLINK("http://www.ncbi.nlm.nih.gov/Structure/cdd/cddsrv.cgi?uid=pfam09984&amp;version=v4.0","7.9")</f>
        <v>7.9</v>
      </c>
      <c r="BU444" t="s">
        <v>3017</v>
      </c>
      <c r="BV444" s="4" t="s">
        <v>42</v>
      </c>
      <c r="BW444" t="s">
        <v>42</v>
      </c>
      <c r="BX444" t="s">
        <v>42</v>
      </c>
      <c r="BY444" t="s">
        <v>42</v>
      </c>
      <c r="BZ444" t="s">
        <v>42</v>
      </c>
      <c r="CA444" t="s">
        <v>42</v>
      </c>
      <c r="CB444" t="s">
        <v>42</v>
      </c>
      <c r="CC444" t="s">
        <v>42</v>
      </c>
      <c r="CD444" t="s">
        <v>42</v>
      </c>
      <c r="CE444" t="s">
        <v>42</v>
      </c>
      <c r="CF444" t="s">
        <v>42</v>
      </c>
      <c r="CG444" t="s">
        <v>42</v>
      </c>
      <c r="CH444" t="s">
        <v>42</v>
      </c>
      <c r="CI444" t="s">
        <v>42</v>
      </c>
      <c r="CJ444" t="s">
        <v>42</v>
      </c>
      <c r="CK444" t="s">
        <v>42</v>
      </c>
      <c r="CL444" t="s">
        <v>42</v>
      </c>
      <c r="CM444" t="s">
        <v>42</v>
      </c>
      <c r="CN444" t="s">
        <v>42</v>
      </c>
      <c r="CO444" t="s">
        <v>42</v>
      </c>
      <c r="CP444" t="s">
        <v>42</v>
      </c>
      <c r="CQ444" t="s">
        <v>42</v>
      </c>
      <c r="CR444" t="s">
        <v>42</v>
      </c>
      <c r="CS444" s="4" t="str">
        <f>HYPERLINK("http://exon.niaid.nih.gov/transcriptome/C_felis/S1/links/KOG/cf-contig_380-KOG.txt","Sexual differentiation process protein ISP4")</f>
        <v>Sexual differentiation process protein ISP4</v>
      </c>
      <c r="CT444" t="str">
        <f>HYPERLINK("http://www.ncbi.nlm.nih.gov/COG/grace/shokog.cgi?KOG2262","3.6")</f>
        <v>3.6</v>
      </c>
      <c r="CU444" t="s">
        <v>1780</v>
      </c>
      <c r="CV444" s="4" t="str">
        <f>HYPERLINK("http://exon.niaid.nih.gov/transcriptome/C_felis/S1/links/PFAM/cf-contig_380-PFAM.txt","DUF2222")</f>
        <v>DUF2222</v>
      </c>
      <c r="CW444" t="str">
        <f>HYPERLINK("http://pfam.sanger.ac.uk/family?acc=PF09984","1.6")</f>
        <v>1.6</v>
      </c>
      <c r="CX444" s="4" t="str">
        <f>HYPERLINK("http://exon.niaid.nih.gov/transcriptome/C_felis/S1/links/SMART/cf-contig_380-SMART.txt","Amb_all")</f>
        <v>Amb_all</v>
      </c>
      <c r="CY444" t="str">
        <f>HYPERLINK("http://smart.embl-heidelberg.de/smart/do_annotation.pl?DOMAIN=Amb_all&amp;BLAST=DUMMY","0.63")</f>
        <v>0.63</v>
      </c>
      <c r="CZ444" s="4" t="s">
        <v>42</v>
      </c>
      <c r="DA444" t="s">
        <v>42</v>
      </c>
      <c r="DB444" t="s">
        <v>42</v>
      </c>
      <c r="DC444" t="s">
        <v>42</v>
      </c>
      <c r="DD444" t="s">
        <v>42</v>
      </c>
      <c r="DE444" t="s">
        <v>42</v>
      </c>
      <c r="DF444" t="s">
        <v>42</v>
      </c>
      <c r="DG444" t="s">
        <v>42</v>
      </c>
      <c r="DH444" s="4" t="s">
        <v>42</v>
      </c>
      <c r="DI444" t="s">
        <v>42</v>
      </c>
      <c r="DJ444" s="4" t="s">
        <v>42</v>
      </c>
      <c r="DK444" t="s">
        <v>42</v>
      </c>
      <c r="DL444" s="4">
        <v>309</v>
      </c>
      <c r="DM444">
        <v>1</v>
      </c>
      <c r="DN444" s="4">
        <v>316</v>
      </c>
      <c r="DO444">
        <v>1</v>
      </c>
      <c r="DP444" s="4">
        <v>317</v>
      </c>
      <c r="DQ444">
        <v>1</v>
      </c>
      <c r="DR444" s="4">
        <v>328</v>
      </c>
      <c r="DS444">
        <v>1</v>
      </c>
      <c r="DT444" s="4">
        <v>338</v>
      </c>
      <c r="DU444">
        <v>1</v>
      </c>
      <c r="DV444" s="4">
        <v>351</v>
      </c>
      <c r="DW444">
        <v>1</v>
      </c>
      <c r="DX444" s="4">
        <v>354</v>
      </c>
      <c r="DY444">
        <v>1</v>
      </c>
      <c r="DZ444" s="4">
        <v>359</v>
      </c>
      <c r="EA444">
        <v>1</v>
      </c>
      <c r="EB444" s="4">
        <v>364</v>
      </c>
      <c r="EC444">
        <v>1</v>
      </c>
      <c r="ED444" s="4">
        <v>368</v>
      </c>
      <c r="EE444">
        <v>1</v>
      </c>
      <c r="EF444" s="4">
        <v>373</v>
      </c>
      <c r="EG444">
        <v>1</v>
      </c>
      <c r="EH444" s="4">
        <v>375</v>
      </c>
      <c r="EI444">
        <v>1</v>
      </c>
      <c r="EJ444" s="4">
        <v>380</v>
      </c>
      <c r="EK444">
        <v>1</v>
      </c>
    </row>
    <row r="445" spans="1:141" x14ac:dyDescent="0.2">
      <c r="A445" t="str">
        <f>HYPERLINK("http://exon.niaid.nih.gov/transcriptome/C_felis/S1/links/cf/cf-contig_386.txt","cf-contig_386")</f>
        <v>cf-contig_386</v>
      </c>
      <c r="B445">
        <v>1</v>
      </c>
      <c r="C445" s="10" t="s">
        <v>4600</v>
      </c>
      <c r="D445">
        <v>1</v>
      </c>
      <c r="E445" t="str">
        <f>HYPERLINK("http://exon.niaid.nih.gov/transcriptome/C_felis/S1/links/cf/cf-5-36-asb-386.txt","Contig-386")</f>
        <v>Contig-386</v>
      </c>
      <c r="F445" t="str">
        <f>HYPERLINK("http://exon.niaid.nih.gov/transcriptome/C_felis/S1/links/cf/cf-5-36-386-CLU.txt","Contig386")</f>
        <v>Contig386</v>
      </c>
      <c r="G445" t="str">
        <f>HYPERLINK("http://exon.niaid.nih.gov/transcriptome/C_felis/S1/links/cf/cf-5-36-386-qual.txt","36.")</f>
        <v>36.</v>
      </c>
      <c r="H445">
        <v>3</v>
      </c>
      <c r="I445">
        <v>69.3</v>
      </c>
      <c r="J445">
        <v>82</v>
      </c>
      <c r="K445" t="s">
        <v>12</v>
      </c>
      <c r="L445">
        <v>1</v>
      </c>
      <c r="M445" t="s">
        <v>399</v>
      </c>
      <c r="N445">
        <v>82</v>
      </c>
      <c r="O445">
        <v>101</v>
      </c>
      <c r="P445">
        <v>96</v>
      </c>
      <c r="Q445" t="s">
        <v>1206</v>
      </c>
      <c r="R445">
        <v>3</v>
      </c>
      <c r="S445" s="7" t="s">
        <v>4585</v>
      </c>
      <c r="U445">
        <v>1</v>
      </c>
      <c r="V445" s="4">
        <v>314</v>
      </c>
      <c r="W445">
        <v>1</v>
      </c>
      <c r="X445" s="4">
        <v>322</v>
      </c>
      <c r="Y445">
        <v>1</v>
      </c>
      <c r="Z445" s="4">
        <v>323</v>
      </c>
      <c r="AA445">
        <v>1</v>
      </c>
      <c r="AB445" s="4" t="str">
        <f>HYPERLINK("http://exon.niaid.nih.gov/transcriptome/C_felis/S1/links/XC-ASB/cf-contig_386-XC-ASB.txt","XC-contig_96")</f>
        <v>XC-contig_96</v>
      </c>
      <c r="AC445">
        <v>2.2000000000000002</v>
      </c>
      <c r="AD445" s="10" t="s">
        <v>4600</v>
      </c>
      <c r="AE445" t="s">
        <v>4601</v>
      </c>
      <c r="AI445" s="4" t="s">
        <v>42</v>
      </c>
      <c r="AJ445" t="s">
        <v>42</v>
      </c>
      <c r="AK445" t="s">
        <v>42</v>
      </c>
      <c r="AL445" t="s">
        <v>42</v>
      </c>
      <c r="AM445" t="s">
        <v>42</v>
      </c>
      <c r="AN445" t="s">
        <v>42</v>
      </c>
      <c r="AO445" t="s">
        <v>42</v>
      </c>
      <c r="AP445" t="s">
        <v>42</v>
      </c>
      <c r="AQ445" t="s">
        <v>42</v>
      </c>
      <c r="AR445" t="s">
        <v>42</v>
      </c>
      <c r="AS445" t="s">
        <v>42</v>
      </c>
      <c r="AT445" t="s">
        <v>42</v>
      </c>
      <c r="AU445" t="s">
        <v>42</v>
      </c>
      <c r="AV445" t="s">
        <v>42</v>
      </c>
      <c r="AW445" t="s">
        <v>42</v>
      </c>
      <c r="AX445" t="s">
        <v>42</v>
      </c>
      <c r="AY445" t="s">
        <v>42</v>
      </c>
      <c r="AZ445" t="s">
        <v>42</v>
      </c>
      <c r="BA445" s="4" t="s">
        <v>42</v>
      </c>
      <c r="BB445" t="s">
        <v>42</v>
      </c>
      <c r="BC445" t="s">
        <v>42</v>
      </c>
      <c r="BD445" t="s">
        <v>42</v>
      </c>
      <c r="BE445" t="s">
        <v>42</v>
      </c>
      <c r="BF445" t="s">
        <v>42</v>
      </c>
      <c r="BG445" t="s">
        <v>42</v>
      </c>
      <c r="BH445" t="s">
        <v>42</v>
      </c>
      <c r="BI445" t="s">
        <v>42</v>
      </c>
      <c r="BJ445" t="s">
        <v>42</v>
      </c>
      <c r="BK445" t="s">
        <v>42</v>
      </c>
      <c r="BL445" t="s">
        <v>42</v>
      </c>
      <c r="BM445" t="s">
        <v>42</v>
      </c>
      <c r="BN445" t="s">
        <v>42</v>
      </c>
      <c r="BO445" t="s">
        <v>42</v>
      </c>
      <c r="BP445" t="s">
        <v>42</v>
      </c>
      <c r="BQ445" t="s">
        <v>42</v>
      </c>
      <c r="BR445" t="s">
        <v>42</v>
      </c>
      <c r="BS445" s="4" t="s">
        <v>42</v>
      </c>
      <c r="BT445" t="s">
        <v>42</v>
      </c>
      <c r="BU445" t="s">
        <v>42</v>
      </c>
      <c r="BV445" s="4" t="s">
        <v>42</v>
      </c>
      <c r="BW445" t="s">
        <v>42</v>
      </c>
      <c r="BX445" t="s">
        <v>42</v>
      </c>
      <c r="BY445" t="s">
        <v>42</v>
      </c>
      <c r="BZ445" t="s">
        <v>42</v>
      </c>
      <c r="CA445" t="s">
        <v>42</v>
      </c>
      <c r="CB445" t="s">
        <v>42</v>
      </c>
      <c r="CC445" t="s">
        <v>42</v>
      </c>
      <c r="CD445" t="s">
        <v>42</v>
      </c>
      <c r="CE445" t="s">
        <v>42</v>
      </c>
      <c r="CF445" t="s">
        <v>42</v>
      </c>
      <c r="CG445" t="s">
        <v>42</v>
      </c>
      <c r="CH445" t="s">
        <v>42</v>
      </c>
      <c r="CI445" t="s">
        <v>42</v>
      </c>
      <c r="CJ445" t="s">
        <v>42</v>
      </c>
      <c r="CK445" t="s">
        <v>42</v>
      </c>
      <c r="CL445" t="s">
        <v>42</v>
      </c>
      <c r="CM445" t="s">
        <v>42</v>
      </c>
      <c r="CN445" t="s">
        <v>42</v>
      </c>
      <c r="CO445" t="s">
        <v>42</v>
      </c>
      <c r="CP445" t="s">
        <v>42</v>
      </c>
      <c r="CQ445" t="s">
        <v>42</v>
      </c>
      <c r="CR445" t="s">
        <v>42</v>
      </c>
      <c r="CS445" s="4" t="str">
        <f>HYPERLINK("http://exon.niaid.nih.gov/transcriptome/C_felis/S1/links/KOG/cf-contig_386-KOG.txt","Cyclic nucleotide-gated cation channel CNGA1-3 and related proteins")</f>
        <v>Cyclic nucleotide-gated cation channel CNGA1-3 and related proteins</v>
      </c>
      <c r="CT445" t="str">
        <f>HYPERLINK("http://www.ncbi.nlm.nih.gov/COG/grace/shokog.cgi?KOG0500","3.3")</f>
        <v>3.3</v>
      </c>
      <c r="CU445" t="s">
        <v>1702</v>
      </c>
      <c r="CV445" s="4" t="str">
        <f>HYPERLINK("http://exon.niaid.nih.gov/transcriptome/C_felis/S1/links/PFAM/cf-contig_386-PFAM.txt","DUF1574")</f>
        <v>DUF1574</v>
      </c>
      <c r="CW445" t="str">
        <f>HYPERLINK("http://pfam.sanger.ac.uk/family?acc=PF07611","7.2")</f>
        <v>7.2</v>
      </c>
      <c r="CX445" s="4" t="str">
        <f>HYPERLINK("http://exon.niaid.nih.gov/transcriptome/C_felis/S1/links/SMART/cf-contig_386-SMART.txt","RRM")</f>
        <v>RRM</v>
      </c>
      <c r="CY445" t="str">
        <f>HYPERLINK("http://smart.embl-heidelberg.de/smart/do_annotation.pl?DOMAIN=RRM&amp;BLAST=DUMMY","3.0")</f>
        <v>3.0</v>
      </c>
      <c r="CZ445" s="4" t="s">
        <v>42</v>
      </c>
      <c r="DA445" t="s">
        <v>42</v>
      </c>
      <c r="DB445" t="s">
        <v>42</v>
      </c>
      <c r="DC445" t="s">
        <v>42</v>
      </c>
      <c r="DD445" t="s">
        <v>42</v>
      </c>
      <c r="DE445" t="s">
        <v>42</v>
      </c>
      <c r="DF445" t="s">
        <v>42</v>
      </c>
      <c r="DG445" t="s">
        <v>42</v>
      </c>
      <c r="DH445" s="4" t="s">
        <v>42</v>
      </c>
      <c r="DI445" t="s">
        <v>42</v>
      </c>
      <c r="DJ445" s="4" t="s">
        <v>42</v>
      </c>
      <c r="DK445" t="s">
        <v>42</v>
      </c>
      <c r="DL445" s="4">
        <v>314</v>
      </c>
      <c r="DM445">
        <v>1</v>
      </c>
      <c r="DN445" s="4">
        <v>322</v>
      </c>
      <c r="DO445">
        <v>1</v>
      </c>
      <c r="DP445" s="4">
        <v>323</v>
      </c>
      <c r="DQ445">
        <v>1</v>
      </c>
      <c r="DR445" s="4">
        <v>334</v>
      </c>
      <c r="DS445">
        <v>1</v>
      </c>
      <c r="DT445" s="4">
        <v>344</v>
      </c>
      <c r="DU445">
        <v>1</v>
      </c>
      <c r="DV445" s="4">
        <v>357</v>
      </c>
      <c r="DW445">
        <v>1</v>
      </c>
      <c r="DX445" s="4">
        <v>360</v>
      </c>
      <c r="DY445">
        <v>1</v>
      </c>
      <c r="DZ445" s="4">
        <v>365</v>
      </c>
      <c r="EA445">
        <v>1</v>
      </c>
      <c r="EB445" s="4">
        <v>370</v>
      </c>
      <c r="EC445">
        <v>1</v>
      </c>
      <c r="ED445" s="4">
        <v>374</v>
      </c>
      <c r="EE445">
        <v>1</v>
      </c>
      <c r="EF445" s="4">
        <v>379</v>
      </c>
      <c r="EG445">
        <v>1</v>
      </c>
      <c r="EH445" s="4">
        <v>381</v>
      </c>
      <c r="EI445">
        <v>1</v>
      </c>
      <c r="EJ445" s="4">
        <v>386</v>
      </c>
      <c r="EK445">
        <v>1</v>
      </c>
    </row>
    <row r="446" spans="1:141" x14ac:dyDescent="0.2">
      <c r="A446" t="str">
        <f>HYPERLINK("http://exon.niaid.nih.gov/transcriptome/C_felis/S1/links/cf/cf-contig_391.txt","cf-contig_391")</f>
        <v>cf-contig_391</v>
      </c>
      <c r="B446">
        <v>1</v>
      </c>
      <c r="C446" s="10" t="s">
        <v>4600</v>
      </c>
      <c r="D446">
        <v>1</v>
      </c>
      <c r="E446" t="str">
        <f>HYPERLINK("http://exon.niaid.nih.gov/transcriptome/C_felis/S1/links/cf/cf-5-36-asb-391.txt","Contig-391")</f>
        <v>Contig-391</v>
      </c>
      <c r="F446" t="str">
        <f>HYPERLINK("http://exon.niaid.nih.gov/transcriptome/C_felis/S1/links/cf/cf-5-36-391-CLU.txt","Contig391")</f>
        <v>Contig391</v>
      </c>
      <c r="G446" t="str">
        <f>HYPERLINK("http://exon.niaid.nih.gov/transcriptome/C_felis/S1/links/cf/cf-5-36-391-qual.txt","39.7")</f>
        <v>39.7</v>
      </c>
      <c r="H446" t="s">
        <v>11</v>
      </c>
      <c r="I446">
        <v>78</v>
      </c>
      <c r="J446">
        <v>40</v>
      </c>
      <c r="K446" t="s">
        <v>12</v>
      </c>
      <c r="L446">
        <v>1</v>
      </c>
      <c r="M446" t="s">
        <v>404</v>
      </c>
      <c r="N446">
        <v>40</v>
      </c>
      <c r="O446">
        <v>59</v>
      </c>
      <c r="P446">
        <v>54</v>
      </c>
      <c r="Q446" t="s">
        <v>1211</v>
      </c>
      <c r="R446">
        <v>2</v>
      </c>
      <c r="S446" s="7" t="s">
        <v>4585</v>
      </c>
      <c r="U446">
        <v>1</v>
      </c>
      <c r="V446" s="4">
        <v>319</v>
      </c>
      <c r="W446">
        <v>1</v>
      </c>
      <c r="X446" s="4">
        <v>327</v>
      </c>
      <c r="Y446">
        <v>1</v>
      </c>
      <c r="Z446" s="4">
        <v>328</v>
      </c>
      <c r="AA446">
        <v>1</v>
      </c>
      <c r="AB446" s="4" t="str">
        <f>HYPERLINK("http://exon.niaid.nih.gov/transcriptome/C_felis/S1/links/XC-ASB/cf-contig_391-XC-ASB.txt","XC-contig_121")</f>
        <v>XC-contig_121</v>
      </c>
      <c r="AC446">
        <v>0.32</v>
      </c>
      <c r="AD446" s="10" t="s">
        <v>4600</v>
      </c>
      <c r="AE446" t="s">
        <v>4601</v>
      </c>
      <c r="AI446" s="4" t="s">
        <v>42</v>
      </c>
      <c r="AJ446" t="s">
        <v>42</v>
      </c>
      <c r="AK446" t="s">
        <v>42</v>
      </c>
      <c r="AL446" t="s">
        <v>42</v>
      </c>
      <c r="AM446" t="s">
        <v>42</v>
      </c>
      <c r="AN446" t="s">
        <v>42</v>
      </c>
      <c r="AO446" t="s">
        <v>42</v>
      </c>
      <c r="AP446" t="s">
        <v>42</v>
      </c>
      <c r="AQ446" t="s">
        <v>42</v>
      </c>
      <c r="AR446" t="s">
        <v>42</v>
      </c>
      <c r="AS446" t="s">
        <v>42</v>
      </c>
      <c r="AT446" t="s">
        <v>42</v>
      </c>
      <c r="AU446" t="s">
        <v>42</v>
      </c>
      <c r="AV446" t="s">
        <v>42</v>
      </c>
      <c r="AW446" t="s">
        <v>42</v>
      </c>
      <c r="AX446" t="s">
        <v>42</v>
      </c>
      <c r="AY446" t="s">
        <v>42</v>
      </c>
      <c r="AZ446" t="s">
        <v>42</v>
      </c>
      <c r="BA446" s="4" t="s">
        <v>42</v>
      </c>
      <c r="BB446" t="s">
        <v>42</v>
      </c>
      <c r="BC446" t="s">
        <v>42</v>
      </c>
      <c r="BD446" t="s">
        <v>42</v>
      </c>
      <c r="BE446" t="s">
        <v>42</v>
      </c>
      <c r="BF446" t="s">
        <v>42</v>
      </c>
      <c r="BG446" t="s">
        <v>42</v>
      </c>
      <c r="BH446" t="s">
        <v>42</v>
      </c>
      <c r="BI446" t="s">
        <v>42</v>
      </c>
      <c r="BJ446" t="s">
        <v>42</v>
      </c>
      <c r="BK446" t="s">
        <v>42</v>
      </c>
      <c r="BL446" t="s">
        <v>42</v>
      </c>
      <c r="BM446" t="s">
        <v>42</v>
      </c>
      <c r="BN446" t="s">
        <v>42</v>
      </c>
      <c r="BO446" t="s">
        <v>42</v>
      </c>
      <c r="BP446" t="s">
        <v>42</v>
      </c>
      <c r="BQ446" t="s">
        <v>42</v>
      </c>
      <c r="BR446" t="s">
        <v>42</v>
      </c>
      <c r="BS446" s="4" t="s">
        <v>42</v>
      </c>
      <c r="BT446" t="s">
        <v>42</v>
      </c>
      <c r="BU446" t="s">
        <v>42</v>
      </c>
      <c r="BV446" s="4" t="s">
        <v>42</v>
      </c>
      <c r="BW446" t="s">
        <v>42</v>
      </c>
      <c r="BX446" t="s">
        <v>42</v>
      </c>
      <c r="BY446" t="s">
        <v>42</v>
      </c>
      <c r="BZ446" t="s">
        <v>42</v>
      </c>
      <c r="CA446" t="s">
        <v>42</v>
      </c>
      <c r="CB446" t="s">
        <v>42</v>
      </c>
      <c r="CC446" t="s">
        <v>42</v>
      </c>
      <c r="CD446" t="s">
        <v>42</v>
      </c>
      <c r="CE446" t="s">
        <v>42</v>
      </c>
      <c r="CF446" t="s">
        <v>42</v>
      </c>
      <c r="CG446" t="s">
        <v>42</v>
      </c>
      <c r="CH446" t="s">
        <v>42</v>
      </c>
      <c r="CI446" t="s">
        <v>42</v>
      </c>
      <c r="CJ446" t="s">
        <v>42</v>
      </c>
      <c r="CK446" t="s">
        <v>42</v>
      </c>
      <c r="CL446" t="s">
        <v>42</v>
      </c>
      <c r="CM446" t="s">
        <v>42</v>
      </c>
      <c r="CN446" t="s">
        <v>42</v>
      </c>
      <c r="CO446" t="s">
        <v>42</v>
      </c>
      <c r="CP446" t="s">
        <v>42</v>
      </c>
      <c r="CQ446" t="s">
        <v>42</v>
      </c>
      <c r="CR446" t="s">
        <v>42</v>
      </c>
      <c r="CS446" s="4" t="s">
        <v>42</v>
      </c>
      <c r="CT446" t="s">
        <v>42</v>
      </c>
      <c r="CU446" t="s">
        <v>42</v>
      </c>
      <c r="CV446" s="4" t="s">
        <v>42</v>
      </c>
      <c r="CW446" t="s">
        <v>42</v>
      </c>
      <c r="CX446" s="4" t="s">
        <v>42</v>
      </c>
      <c r="CY446" t="s">
        <v>42</v>
      </c>
      <c r="CZ446" s="4" t="s">
        <v>42</v>
      </c>
      <c r="DA446" t="s">
        <v>42</v>
      </c>
      <c r="DB446" t="s">
        <v>42</v>
      </c>
      <c r="DC446" t="s">
        <v>42</v>
      </c>
      <c r="DD446" t="s">
        <v>42</v>
      </c>
      <c r="DE446" t="s">
        <v>42</v>
      </c>
      <c r="DF446" t="s">
        <v>42</v>
      </c>
      <c r="DG446" t="s">
        <v>42</v>
      </c>
      <c r="DH446" s="4" t="s">
        <v>42</v>
      </c>
      <c r="DI446" t="s">
        <v>42</v>
      </c>
      <c r="DJ446" s="4" t="s">
        <v>42</v>
      </c>
      <c r="DK446" t="s">
        <v>42</v>
      </c>
      <c r="DL446" s="4">
        <v>319</v>
      </c>
      <c r="DM446">
        <v>1</v>
      </c>
      <c r="DN446" s="4">
        <v>327</v>
      </c>
      <c r="DO446">
        <v>1</v>
      </c>
      <c r="DP446" s="4">
        <v>328</v>
      </c>
      <c r="DQ446">
        <v>1</v>
      </c>
      <c r="DR446" s="4">
        <v>339</v>
      </c>
      <c r="DS446">
        <v>1</v>
      </c>
      <c r="DT446" s="4">
        <v>349</v>
      </c>
      <c r="DU446">
        <v>1</v>
      </c>
      <c r="DV446" s="4">
        <v>362</v>
      </c>
      <c r="DW446">
        <v>1</v>
      </c>
      <c r="DX446" s="4">
        <v>365</v>
      </c>
      <c r="DY446">
        <v>1</v>
      </c>
      <c r="DZ446" s="4">
        <v>370</v>
      </c>
      <c r="EA446">
        <v>1</v>
      </c>
      <c r="EB446" s="4">
        <v>375</v>
      </c>
      <c r="EC446">
        <v>1</v>
      </c>
      <c r="ED446" s="4">
        <v>379</v>
      </c>
      <c r="EE446">
        <v>1</v>
      </c>
      <c r="EF446" s="4">
        <v>384</v>
      </c>
      <c r="EG446">
        <v>1</v>
      </c>
      <c r="EH446" s="4">
        <v>386</v>
      </c>
      <c r="EI446">
        <v>1</v>
      </c>
      <c r="EJ446" s="4">
        <v>391</v>
      </c>
      <c r="EK446">
        <v>1</v>
      </c>
    </row>
    <row r="447" spans="1:141" x14ac:dyDescent="0.2">
      <c r="A447" t="str">
        <f>HYPERLINK("http://exon.niaid.nih.gov/transcriptome/C_felis/S1/links/cf/cf-contig_395.txt","cf-contig_395")</f>
        <v>cf-contig_395</v>
      </c>
      <c r="B447">
        <v>1</v>
      </c>
      <c r="C447" s="10" t="s">
        <v>4600</v>
      </c>
      <c r="D447">
        <v>1</v>
      </c>
      <c r="E447" t="str">
        <f>HYPERLINK("http://exon.niaid.nih.gov/transcriptome/C_felis/S1/links/cf/cf-5-36-asb-395.txt","Contig-395")</f>
        <v>Contig-395</v>
      </c>
      <c r="F447" t="str">
        <f>HYPERLINK("http://exon.niaid.nih.gov/transcriptome/C_felis/S1/links/cf/cf-5-36-395-CLU.txt","Contig395")</f>
        <v>Contig395</v>
      </c>
      <c r="G447" t="str">
        <f>HYPERLINK("http://exon.niaid.nih.gov/transcriptome/C_felis/S1/links/cf/cf-5-36-395-qual.txt","47.8")</f>
        <v>47.8</v>
      </c>
      <c r="H447" t="s">
        <v>11</v>
      </c>
      <c r="I447">
        <v>76.2</v>
      </c>
      <c r="J447">
        <v>86</v>
      </c>
      <c r="K447" t="s">
        <v>12</v>
      </c>
      <c r="L447">
        <v>1</v>
      </c>
      <c r="M447" t="s">
        <v>408</v>
      </c>
      <c r="N447">
        <v>86</v>
      </c>
      <c r="O447">
        <v>105</v>
      </c>
      <c r="P447">
        <v>102</v>
      </c>
      <c r="Q447" t="s">
        <v>1215</v>
      </c>
      <c r="R447">
        <v>2</v>
      </c>
      <c r="S447" s="7" t="s">
        <v>4585</v>
      </c>
      <c r="U447">
        <v>1</v>
      </c>
      <c r="V447" s="4">
        <v>322</v>
      </c>
      <c r="W447">
        <v>1</v>
      </c>
      <c r="X447" s="4">
        <v>330</v>
      </c>
      <c r="Y447">
        <v>1</v>
      </c>
      <c r="Z447" s="4">
        <v>331</v>
      </c>
      <c r="AA447">
        <v>1</v>
      </c>
      <c r="AB447" s="4" t="str">
        <f>HYPERLINK("http://exon.niaid.nih.gov/transcriptome/C_felis/S1/links/XC-ASB/cf-contig_395-XC-ASB.txt","XC-contig_40")</f>
        <v>XC-contig_40</v>
      </c>
      <c r="AC447">
        <v>0.3</v>
      </c>
      <c r="AD447" s="10" t="s">
        <v>4600</v>
      </c>
      <c r="AE447" t="s">
        <v>4601</v>
      </c>
      <c r="AI447" s="4" t="s">
        <v>42</v>
      </c>
      <c r="AJ447" t="s">
        <v>42</v>
      </c>
      <c r="AK447" t="s">
        <v>42</v>
      </c>
      <c r="AL447" t="s">
        <v>42</v>
      </c>
      <c r="AM447" t="s">
        <v>42</v>
      </c>
      <c r="AN447" t="s">
        <v>42</v>
      </c>
      <c r="AO447" t="s">
        <v>42</v>
      </c>
      <c r="AP447" t="s">
        <v>42</v>
      </c>
      <c r="AQ447" t="s">
        <v>42</v>
      </c>
      <c r="AR447" t="s">
        <v>42</v>
      </c>
      <c r="AS447" t="s">
        <v>42</v>
      </c>
      <c r="AT447" t="s">
        <v>42</v>
      </c>
      <c r="AU447" t="s">
        <v>42</v>
      </c>
      <c r="AV447" t="s">
        <v>42</v>
      </c>
      <c r="AW447" t="s">
        <v>42</v>
      </c>
      <c r="AX447" t="s">
        <v>42</v>
      </c>
      <c r="AY447" t="s">
        <v>42</v>
      </c>
      <c r="AZ447" t="s">
        <v>42</v>
      </c>
      <c r="BA447" s="4" t="s">
        <v>42</v>
      </c>
      <c r="BB447" t="s">
        <v>42</v>
      </c>
      <c r="BC447" t="s">
        <v>42</v>
      </c>
      <c r="BD447" t="s">
        <v>42</v>
      </c>
      <c r="BE447" t="s">
        <v>42</v>
      </c>
      <c r="BF447" t="s">
        <v>42</v>
      </c>
      <c r="BG447" t="s">
        <v>42</v>
      </c>
      <c r="BH447" t="s">
        <v>42</v>
      </c>
      <c r="BI447" t="s">
        <v>42</v>
      </c>
      <c r="BJ447" t="s">
        <v>42</v>
      </c>
      <c r="BK447" t="s">
        <v>42</v>
      </c>
      <c r="BL447" t="s">
        <v>42</v>
      </c>
      <c r="BM447" t="s">
        <v>42</v>
      </c>
      <c r="BN447" t="s">
        <v>42</v>
      </c>
      <c r="BO447" t="s">
        <v>42</v>
      </c>
      <c r="BP447" t="s">
        <v>42</v>
      </c>
      <c r="BQ447" t="s">
        <v>42</v>
      </c>
      <c r="BR447" t="s">
        <v>42</v>
      </c>
      <c r="BS447" s="4" t="str">
        <f>HYPERLINK("http://exon.niaid.nih.gov/transcriptome/C_felis/S1/links/CDD/cf-contig_395-CDD.txt","PHA03010")</f>
        <v>PHA03010</v>
      </c>
      <c r="BT447" t="str">
        <f>HYPERLINK("http://www.ncbi.nlm.nih.gov/Structure/cdd/cddsrv.cgi?uid=PHA03010&amp;version=v4.0","5.6")</f>
        <v>5.6</v>
      </c>
      <c r="BU447" t="s">
        <v>3070</v>
      </c>
      <c r="BV447" s="4" t="s">
        <v>42</v>
      </c>
      <c r="BW447" t="s">
        <v>42</v>
      </c>
      <c r="BX447" t="s">
        <v>42</v>
      </c>
      <c r="BY447" t="s">
        <v>42</v>
      </c>
      <c r="BZ447" t="s">
        <v>42</v>
      </c>
      <c r="CA447" t="s">
        <v>42</v>
      </c>
      <c r="CB447" t="s">
        <v>42</v>
      </c>
      <c r="CC447" t="s">
        <v>42</v>
      </c>
      <c r="CD447" t="s">
        <v>42</v>
      </c>
      <c r="CE447" t="s">
        <v>42</v>
      </c>
      <c r="CF447" t="s">
        <v>42</v>
      </c>
      <c r="CG447" t="s">
        <v>42</v>
      </c>
      <c r="CH447" t="s">
        <v>42</v>
      </c>
      <c r="CI447" t="s">
        <v>42</v>
      </c>
      <c r="CJ447" t="s">
        <v>42</v>
      </c>
      <c r="CK447" t="s">
        <v>42</v>
      </c>
      <c r="CL447" t="s">
        <v>42</v>
      </c>
      <c r="CM447" t="s">
        <v>42</v>
      </c>
      <c r="CN447" t="s">
        <v>42</v>
      </c>
      <c r="CO447" t="s">
        <v>42</v>
      </c>
      <c r="CP447" t="s">
        <v>42</v>
      </c>
      <c r="CQ447" t="s">
        <v>42</v>
      </c>
      <c r="CR447" t="s">
        <v>42</v>
      </c>
      <c r="CS447" s="4" t="str">
        <f>HYPERLINK("http://exon.niaid.nih.gov/transcriptome/C_felis/S1/links/KOG/cf-contig_395-KOG.txt","Uncharacterized conserved protein, contains TBC, SH3 and RUN domains")</f>
        <v>Uncharacterized conserved protein, contains TBC, SH3 and RUN domains</v>
      </c>
      <c r="CT447" t="str">
        <f>HYPERLINK("http://www.ncbi.nlm.nih.gov/COG/grace/shokog.cgi?KOG2222","4.8")</f>
        <v>4.8</v>
      </c>
      <c r="CU447" t="s">
        <v>3071</v>
      </c>
      <c r="CV447" s="4" t="str">
        <f>HYPERLINK("http://exon.niaid.nih.gov/transcriptome/C_felis/S1/links/PFAM/cf-contig_395-PFAM.txt","rpo30_N")</f>
        <v>rpo30_N</v>
      </c>
      <c r="CW447" t="str">
        <f>HYPERLINK("http://pfam.sanger.ac.uk/family?acc=PF12410","2.0")</f>
        <v>2.0</v>
      </c>
      <c r="CX447" s="4" t="str">
        <f>HYPERLINK("http://exon.niaid.nih.gov/transcriptome/C_felis/S1/links/SMART/cf-contig_395-SMART.txt","CBM_25")</f>
        <v>CBM_25</v>
      </c>
      <c r="CY447" t="str">
        <f>HYPERLINK("http://smart.embl-heidelberg.de/smart/do_annotation.pl?DOMAIN=CBM_25&amp;BLAST=DUMMY","0.96")</f>
        <v>0.96</v>
      </c>
      <c r="CZ447" s="4" t="s">
        <v>42</v>
      </c>
      <c r="DA447" t="s">
        <v>42</v>
      </c>
      <c r="DB447" t="s">
        <v>42</v>
      </c>
      <c r="DC447" t="s">
        <v>42</v>
      </c>
      <c r="DD447" t="s">
        <v>42</v>
      </c>
      <c r="DE447" t="s">
        <v>42</v>
      </c>
      <c r="DF447" t="s">
        <v>42</v>
      </c>
      <c r="DG447" t="s">
        <v>42</v>
      </c>
      <c r="DH447" s="4" t="s">
        <v>42</v>
      </c>
      <c r="DI447" t="s">
        <v>42</v>
      </c>
      <c r="DJ447" s="4" t="s">
        <v>42</v>
      </c>
      <c r="DK447" t="s">
        <v>42</v>
      </c>
      <c r="DL447" s="4">
        <v>322</v>
      </c>
      <c r="DM447">
        <v>1</v>
      </c>
      <c r="DN447" s="4">
        <v>330</v>
      </c>
      <c r="DO447">
        <v>1</v>
      </c>
      <c r="DP447" s="4">
        <v>331</v>
      </c>
      <c r="DQ447">
        <v>1</v>
      </c>
      <c r="DR447" s="4">
        <v>342</v>
      </c>
      <c r="DS447">
        <v>1</v>
      </c>
      <c r="DT447" s="4">
        <v>352</v>
      </c>
      <c r="DU447">
        <v>1</v>
      </c>
      <c r="DV447" s="4">
        <v>365</v>
      </c>
      <c r="DW447">
        <v>1</v>
      </c>
      <c r="DX447" s="4">
        <v>368</v>
      </c>
      <c r="DY447">
        <v>1</v>
      </c>
      <c r="DZ447" s="4">
        <v>373</v>
      </c>
      <c r="EA447">
        <v>1</v>
      </c>
      <c r="EB447" s="4">
        <v>378</v>
      </c>
      <c r="EC447">
        <v>1</v>
      </c>
      <c r="ED447" s="4">
        <v>382</v>
      </c>
      <c r="EE447">
        <v>1</v>
      </c>
      <c r="EF447" s="4">
        <v>387</v>
      </c>
      <c r="EG447">
        <v>1</v>
      </c>
      <c r="EH447" s="4">
        <v>389</v>
      </c>
      <c r="EI447">
        <v>1</v>
      </c>
      <c r="EJ447" s="4">
        <v>395</v>
      </c>
      <c r="EK447">
        <v>1</v>
      </c>
    </row>
    <row r="448" spans="1:141" x14ac:dyDescent="0.2">
      <c r="A448" t="str">
        <f>HYPERLINK("http://exon.niaid.nih.gov/transcriptome/C_felis/S1/links/cf/cf-contig_397.txt","cf-contig_397")</f>
        <v>cf-contig_397</v>
      </c>
      <c r="B448">
        <v>1</v>
      </c>
      <c r="C448" s="10" t="s">
        <v>4600</v>
      </c>
      <c r="D448">
        <v>1</v>
      </c>
      <c r="E448" t="str">
        <f>HYPERLINK("http://exon.niaid.nih.gov/transcriptome/C_felis/S1/links/cf/cf-5-36-asb-397.txt","Contig-397")</f>
        <v>Contig-397</v>
      </c>
      <c r="F448" t="str">
        <f>HYPERLINK("http://exon.niaid.nih.gov/transcriptome/C_felis/S1/links/cf/cf-5-36-397-CLU.txt","Contig397")</f>
        <v>Contig397</v>
      </c>
      <c r="G448" t="str">
        <f>HYPERLINK("http://exon.niaid.nih.gov/transcriptome/C_felis/S1/links/cf/cf-5-36-397-qual.txt","31.8")</f>
        <v>31.8</v>
      </c>
      <c r="H448">
        <v>3.5</v>
      </c>
      <c r="I448">
        <v>65.2</v>
      </c>
      <c r="J448">
        <v>96</v>
      </c>
      <c r="K448" t="s">
        <v>12</v>
      </c>
      <c r="L448">
        <v>1</v>
      </c>
      <c r="M448" t="s">
        <v>410</v>
      </c>
      <c r="N448">
        <v>96</v>
      </c>
      <c r="O448">
        <v>115</v>
      </c>
      <c r="P448">
        <v>81</v>
      </c>
      <c r="Q448" t="s">
        <v>1217</v>
      </c>
      <c r="R448">
        <v>1</v>
      </c>
      <c r="S448" s="7" t="s">
        <v>4585</v>
      </c>
      <c r="U448">
        <v>1</v>
      </c>
      <c r="V448" s="4">
        <v>324</v>
      </c>
      <c r="W448">
        <v>1</v>
      </c>
      <c r="X448" s="4">
        <v>332</v>
      </c>
      <c r="Y448">
        <v>1</v>
      </c>
      <c r="Z448" s="4">
        <v>333</v>
      </c>
      <c r="AA448">
        <v>1</v>
      </c>
      <c r="AB448" s="4" t="str">
        <f>HYPERLINK("http://exon.niaid.nih.gov/transcriptome/C_felis/S1/links/XC-ASB/cf-contig_397-XC-ASB.txt","XC-contig_26")</f>
        <v>XC-contig_26</v>
      </c>
      <c r="AC448">
        <v>0.26</v>
      </c>
      <c r="AD448" s="10" t="s">
        <v>4600</v>
      </c>
      <c r="AE448" t="s">
        <v>4601</v>
      </c>
      <c r="AI448" s="4" t="s">
        <v>42</v>
      </c>
      <c r="AJ448" t="s">
        <v>42</v>
      </c>
      <c r="AK448" t="s">
        <v>42</v>
      </c>
      <c r="AL448" t="s">
        <v>42</v>
      </c>
      <c r="AM448" t="s">
        <v>42</v>
      </c>
      <c r="AN448" t="s">
        <v>42</v>
      </c>
      <c r="AO448" t="s">
        <v>42</v>
      </c>
      <c r="AP448" t="s">
        <v>42</v>
      </c>
      <c r="AQ448" t="s">
        <v>42</v>
      </c>
      <c r="AR448" t="s">
        <v>42</v>
      </c>
      <c r="AS448" t="s">
        <v>42</v>
      </c>
      <c r="AT448" t="s">
        <v>42</v>
      </c>
      <c r="AU448" t="s">
        <v>42</v>
      </c>
      <c r="AV448" t="s">
        <v>42</v>
      </c>
      <c r="AW448" t="s">
        <v>42</v>
      </c>
      <c r="AX448" t="s">
        <v>42</v>
      </c>
      <c r="AY448" t="s">
        <v>42</v>
      </c>
      <c r="AZ448" t="s">
        <v>42</v>
      </c>
      <c r="BA448" s="4" t="str">
        <f>HYPERLINK("http://exon.niaid.nih.gov/transcriptome/C_felis/S1/links/SWISSP/cf-contig_397-SWISSP.txt","Reverse gyrase")</f>
        <v>Reverse gyrase</v>
      </c>
      <c r="BB448" t="str">
        <f>HYPERLINK("http://www.uniprot.org/uniprot/Q6F598","41")</f>
        <v>41</v>
      </c>
      <c r="BC448" t="s">
        <v>3075</v>
      </c>
      <c r="BD448">
        <v>26.9</v>
      </c>
      <c r="BE448">
        <v>19</v>
      </c>
      <c r="BF448">
        <v>1711</v>
      </c>
      <c r="BG448">
        <v>45</v>
      </c>
      <c r="BH448">
        <v>1</v>
      </c>
      <c r="BI448">
        <v>11</v>
      </c>
      <c r="BJ448">
        <v>0</v>
      </c>
      <c r="BK448">
        <v>48</v>
      </c>
      <c r="BL448">
        <v>13</v>
      </c>
      <c r="BM448">
        <v>1</v>
      </c>
      <c r="BN448">
        <v>1</v>
      </c>
      <c r="BO448" t="s">
        <v>12</v>
      </c>
      <c r="BQ448" t="s">
        <v>1676</v>
      </c>
      <c r="BR448" t="s">
        <v>3076</v>
      </c>
      <c r="BS448" s="4" t="str">
        <f>HYPERLINK("http://exon.niaid.nih.gov/transcriptome/C_felis/S1/links/CDD/cf-contig_397-CDD.txt","DUF2626")</f>
        <v>DUF2626</v>
      </c>
      <c r="BT448" t="str">
        <f>HYPERLINK("http://www.ncbi.nlm.nih.gov/Structure/cdd/cddsrv.cgi?uid=pfam11117&amp;version=v4.0","5.0")</f>
        <v>5.0</v>
      </c>
      <c r="BU448" t="s">
        <v>3077</v>
      </c>
      <c r="BV448" s="4" t="s">
        <v>42</v>
      </c>
      <c r="BW448" t="s">
        <v>42</v>
      </c>
      <c r="BX448" t="s">
        <v>42</v>
      </c>
      <c r="BY448" t="s">
        <v>42</v>
      </c>
      <c r="BZ448" t="s">
        <v>42</v>
      </c>
      <c r="CA448" t="s">
        <v>42</v>
      </c>
      <c r="CB448" t="s">
        <v>42</v>
      </c>
      <c r="CC448" t="s">
        <v>42</v>
      </c>
      <c r="CD448" t="s">
        <v>42</v>
      </c>
      <c r="CE448" t="s">
        <v>42</v>
      </c>
      <c r="CF448" t="s">
        <v>42</v>
      </c>
      <c r="CG448" t="s">
        <v>42</v>
      </c>
      <c r="CH448" t="s">
        <v>42</v>
      </c>
      <c r="CI448" t="s">
        <v>42</v>
      </c>
      <c r="CJ448" t="s">
        <v>42</v>
      </c>
      <c r="CK448" t="s">
        <v>42</v>
      </c>
      <c r="CL448" t="s">
        <v>42</v>
      </c>
      <c r="CM448" t="s">
        <v>42</v>
      </c>
      <c r="CN448" t="s">
        <v>42</v>
      </c>
      <c r="CO448" t="s">
        <v>42</v>
      </c>
      <c r="CP448" t="s">
        <v>42</v>
      </c>
      <c r="CQ448" t="s">
        <v>42</v>
      </c>
      <c r="CR448" t="s">
        <v>42</v>
      </c>
      <c r="CS448" s="4" t="str">
        <f>HYPERLINK("http://exon.niaid.nih.gov/transcriptome/C_felis/S1/links/KOG/cf-contig_397-KOG.txt","Glycosyltransferase")</f>
        <v>Glycosyltransferase</v>
      </c>
      <c r="CT448" t="str">
        <f>HYPERLINK("http://www.ncbi.nlm.nih.gov/COG/grace/shokog.cgi?KOG2788","1.2")</f>
        <v>1.2</v>
      </c>
      <c r="CU448" t="s">
        <v>1823</v>
      </c>
      <c r="CV448" s="4" t="str">
        <f>HYPERLINK("http://exon.niaid.nih.gov/transcriptome/C_felis/S1/links/PFAM/cf-contig_397-PFAM.txt","DUF2626")</f>
        <v>DUF2626</v>
      </c>
      <c r="CW448" t="str">
        <f>HYPERLINK("http://pfam.sanger.ac.uk/family?acc=PF11117","1.1")</f>
        <v>1.1</v>
      </c>
      <c r="CX448" s="4" t="str">
        <f>HYPERLINK("http://exon.niaid.nih.gov/transcriptome/C_felis/S1/links/SMART/cf-contig_397-SMART.txt","UBA_e1_C")</f>
        <v>UBA_e1_C</v>
      </c>
      <c r="CY448" t="str">
        <f>HYPERLINK("http://smart.embl-heidelberg.de/smart/do_annotation.pl?DOMAIN=UBA_e1_C&amp;BLAST=DUMMY","0.75")</f>
        <v>0.75</v>
      </c>
      <c r="CZ448" s="4" t="s">
        <v>42</v>
      </c>
      <c r="DA448" t="s">
        <v>42</v>
      </c>
      <c r="DB448" t="s">
        <v>42</v>
      </c>
      <c r="DC448" t="s">
        <v>42</v>
      </c>
      <c r="DD448" t="s">
        <v>42</v>
      </c>
      <c r="DE448" t="s">
        <v>42</v>
      </c>
      <c r="DF448" t="s">
        <v>42</v>
      </c>
      <c r="DG448" t="s">
        <v>42</v>
      </c>
      <c r="DH448" s="4" t="s">
        <v>42</v>
      </c>
      <c r="DI448" t="s">
        <v>42</v>
      </c>
      <c r="DJ448" s="4" t="s">
        <v>42</v>
      </c>
      <c r="DK448" t="s">
        <v>42</v>
      </c>
      <c r="DL448" s="4">
        <v>324</v>
      </c>
      <c r="DM448">
        <v>1</v>
      </c>
      <c r="DN448" s="4">
        <v>332</v>
      </c>
      <c r="DO448">
        <v>1</v>
      </c>
      <c r="DP448" s="4">
        <v>333</v>
      </c>
      <c r="DQ448">
        <v>1</v>
      </c>
      <c r="DR448" s="4">
        <v>344</v>
      </c>
      <c r="DS448">
        <v>1</v>
      </c>
      <c r="DT448" s="4">
        <v>354</v>
      </c>
      <c r="DU448">
        <v>1</v>
      </c>
      <c r="DV448" s="4">
        <v>367</v>
      </c>
      <c r="DW448">
        <v>1</v>
      </c>
      <c r="DX448" s="4">
        <v>370</v>
      </c>
      <c r="DY448">
        <v>1</v>
      </c>
      <c r="DZ448" s="4">
        <v>375</v>
      </c>
      <c r="EA448">
        <v>1</v>
      </c>
      <c r="EB448" s="4">
        <v>380</v>
      </c>
      <c r="EC448">
        <v>1</v>
      </c>
      <c r="ED448" s="4">
        <v>384</v>
      </c>
      <c r="EE448">
        <v>1</v>
      </c>
      <c r="EF448" s="4">
        <v>389</v>
      </c>
      <c r="EG448">
        <v>1</v>
      </c>
      <c r="EH448" s="4">
        <v>391</v>
      </c>
      <c r="EI448">
        <v>1</v>
      </c>
      <c r="EJ448" s="4">
        <v>397</v>
      </c>
      <c r="EK448">
        <v>1</v>
      </c>
    </row>
    <row r="449" spans="1:141" x14ac:dyDescent="0.2">
      <c r="A449" t="str">
        <f>HYPERLINK("http://exon.niaid.nih.gov/transcriptome/C_felis/S1/links/cf/cf-contig_408.txt","cf-contig_408")</f>
        <v>cf-contig_408</v>
      </c>
      <c r="B449">
        <v>1</v>
      </c>
      <c r="C449" s="10" t="s">
        <v>4600</v>
      </c>
      <c r="D449">
        <v>1</v>
      </c>
      <c r="E449" t="str">
        <f>HYPERLINK("http://exon.niaid.nih.gov/transcriptome/C_felis/S1/links/cf/cf-5-36-asb-408.txt","Contig-408")</f>
        <v>Contig-408</v>
      </c>
      <c r="F449" t="str">
        <f>HYPERLINK("http://exon.niaid.nih.gov/transcriptome/C_felis/S1/links/cf/cf-5-36-408-CLU.txt","Contig408")</f>
        <v>Contig408</v>
      </c>
      <c r="G449" t="str">
        <f>HYPERLINK("http://exon.niaid.nih.gov/transcriptome/C_felis/S1/links/cf/cf-5-36-408-qual.txt","64.9")</f>
        <v>64.9</v>
      </c>
      <c r="H449" t="s">
        <v>11</v>
      </c>
      <c r="I449">
        <v>90.7</v>
      </c>
      <c r="J449">
        <v>78</v>
      </c>
      <c r="K449" t="s">
        <v>12</v>
      </c>
      <c r="L449">
        <v>1</v>
      </c>
      <c r="M449" t="s">
        <v>421</v>
      </c>
      <c r="N449">
        <v>78</v>
      </c>
      <c r="O449">
        <v>97</v>
      </c>
      <c r="P449">
        <v>39</v>
      </c>
      <c r="Q449" t="s">
        <v>1228</v>
      </c>
      <c r="R449">
        <v>3</v>
      </c>
      <c r="S449" s="7" t="s">
        <v>4585</v>
      </c>
      <c r="U449">
        <v>1</v>
      </c>
      <c r="V449" s="4">
        <v>334</v>
      </c>
      <c r="W449">
        <v>1</v>
      </c>
      <c r="X449" s="4">
        <v>342</v>
      </c>
      <c r="Y449">
        <v>1</v>
      </c>
      <c r="Z449" s="4">
        <v>343</v>
      </c>
      <c r="AA449">
        <v>1</v>
      </c>
      <c r="AB449" s="4" t="str">
        <f>HYPERLINK("http://exon.niaid.nih.gov/transcriptome/C_felis/S1/links/XC-ASB/cf-contig_408-XC-ASB.txt","XC-contig_150")</f>
        <v>XC-contig_150</v>
      </c>
      <c r="AC449">
        <v>0.13</v>
      </c>
      <c r="AD449" s="10" t="s">
        <v>4600</v>
      </c>
      <c r="AE449" t="s">
        <v>4601</v>
      </c>
      <c r="AI449" s="4" t="s">
        <v>42</v>
      </c>
      <c r="AJ449" t="s">
        <v>42</v>
      </c>
      <c r="AK449" t="s">
        <v>42</v>
      </c>
      <c r="AL449" t="s">
        <v>42</v>
      </c>
      <c r="AM449" t="s">
        <v>42</v>
      </c>
      <c r="AN449" t="s">
        <v>42</v>
      </c>
      <c r="AO449" t="s">
        <v>42</v>
      </c>
      <c r="AP449" t="s">
        <v>42</v>
      </c>
      <c r="AQ449" t="s">
        <v>42</v>
      </c>
      <c r="AR449" t="s">
        <v>42</v>
      </c>
      <c r="AS449" t="s">
        <v>42</v>
      </c>
      <c r="AT449" t="s">
        <v>42</v>
      </c>
      <c r="AU449" t="s">
        <v>42</v>
      </c>
      <c r="AV449" t="s">
        <v>42</v>
      </c>
      <c r="AW449" t="s">
        <v>42</v>
      </c>
      <c r="AX449" t="s">
        <v>42</v>
      </c>
      <c r="AY449" t="s">
        <v>42</v>
      </c>
      <c r="AZ449" t="s">
        <v>42</v>
      </c>
      <c r="BA449" s="4" t="str">
        <f>HYPERLINK("http://exon.niaid.nih.gov/transcriptome/C_felis/S1/links/SWISSP/cf-contig_408-SWISSP.txt","Putative two-component response regulator-like APRR4")</f>
        <v>Putative two-component response regulator-like APRR4</v>
      </c>
      <c r="BB449" t="str">
        <f>HYPERLINK("http://www.uniprot.org/uniprot/Q9FJ16","52")</f>
        <v>52</v>
      </c>
      <c r="BC449" t="s">
        <v>3115</v>
      </c>
      <c r="BD449">
        <v>26.6</v>
      </c>
      <c r="BE449">
        <v>22</v>
      </c>
      <c r="BF449">
        <v>292</v>
      </c>
      <c r="BG449">
        <v>47</v>
      </c>
      <c r="BH449">
        <v>8</v>
      </c>
      <c r="BI449">
        <v>12</v>
      </c>
      <c r="BJ449">
        <v>1</v>
      </c>
      <c r="BK449">
        <v>270</v>
      </c>
      <c r="BL449">
        <v>12</v>
      </c>
      <c r="BM449">
        <v>1</v>
      </c>
      <c r="BN449">
        <v>-3</v>
      </c>
      <c r="BO449" t="s">
        <v>12</v>
      </c>
      <c r="BP449">
        <v>4.5449999999999999</v>
      </c>
      <c r="BQ449" t="s">
        <v>1666</v>
      </c>
      <c r="BR449" t="s">
        <v>1714</v>
      </c>
      <c r="BS449" s="4" t="str">
        <f>HYPERLINK("http://exon.niaid.nih.gov/transcriptome/C_felis/S1/links/CDD/cf-contig_408-CDD.txt","PHA02845")</f>
        <v>PHA02845</v>
      </c>
      <c r="BT449" t="str">
        <f>HYPERLINK("http://www.ncbi.nlm.nih.gov/Structure/cdd/cddsrv.cgi?uid=PHA02845&amp;version=v4.0","1.5")</f>
        <v>1.5</v>
      </c>
      <c r="BU449" t="s">
        <v>3116</v>
      </c>
      <c r="BV449" s="4" t="s">
        <v>42</v>
      </c>
      <c r="BW449" t="s">
        <v>42</v>
      </c>
      <c r="BX449" t="s">
        <v>42</v>
      </c>
      <c r="BY449" t="s">
        <v>42</v>
      </c>
      <c r="BZ449" t="s">
        <v>42</v>
      </c>
      <c r="CA449" t="s">
        <v>42</v>
      </c>
      <c r="CB449" t="s">
        <v>42</v>
      </c>
      <c r="CC449" t="s">
        <v>42</v>
      </c>
      <c r="CD449" t="s">
        <v>42</v>
      </c>
      <c r="CE449" t="s">
        <v>42</v>
      </c>
      <c r="CF449" t="s">
        <v>42</v>
      </c>
      <c r="CG449" t="s">
        <v>42</v>
      </c>
      <c r="CH449" t="s">
        <v>42</v>
      </c>
      <c r="CI449" t="s">
        <v>42</v>
      </c>
      <c r="CJ449" t="s">
        <v>42</v>
      </c>
      <c r="CK449" t="s">
        <v>42</v>
      </c>
      <c r="CL449" t="s">
        <v>42</v>
      </c>
      <c r="CM449" t="s">
        <v>42</v>
      </c>
      <c r="CN449" t="s">
        <v>42</v>
      </c>
      <c r="CO449" t="s">
        <v>42</v>
      </c>
      <c r="CP449" t="s">
        <v>42</v>
      </c>
      <c r="CQ449" t="s">
        <v>42</v>
      </c>
      <c r="CR449" t="s">
        <v>42</v>
      </c>
      <c r="CS449" s="4" t="s">
        <v>42</v>
      </c>
      <c r="CT449" t="s">
        <v>42</v>
      </c>
      <c r="CU449" t="s">
        <v>42</v>
      </c>
      <c r="CV449" s="4" t="str">
        <f>HYPERLINK("http://exon.niaid.nih.gov/transcriptome/C_felis/S1/links/PFAM/cf-contig_408-PFAM.txt","Reticulon")</f>
        <v>Reticulon</v>
      </c>
      <c r="CW449" t="str">
        <f>HYPERLINK("http://pfam.sanger.ac.uk/family?acc=PF02453","1.1")</f>
        <v>1.1</v>
      </c>
      <c r="CX449" s="4" t="str">
        <f>HYPERLINK("http://exon.niaid.nih.gov/transcriptome/C_felis/S1/links/SMART/cf-contig_408-SMART.txt","AgrB")</f>
        <v>AgrB</v>
      </c>
      <c r="CY449" t="str">
        <f>HYPERLINK("http://smart.embl-heidelberg.de/smart/do_annotation.pl?DOMAIN=AgrB&amp;BLAST=DUMMY","0.83")</f>
        <v>0.83</v>
      </c>
      <c r="CZ449" s="4" t="s">
        <v>42</v>
      </c>
      <c r="DA449" t="s">
        <v>42</v>
      </c>
      <c r="DB449" t="s">
        <v>42</v>
      </c>
      <c r="DC449" t="s">
        <v>42</v>
      </c>
      <c r="DD449" t="s">
        <v>42</v>
      </c>
      <c r="DE449" t="s">
        <v>42</v>
      </c>
      <c r="DF449" t="s">
        <v>42</v>
      </c>
      <c r="DG449" t="s">
        <v>42</v>
      </c>
      <c r="DH449" s="4" t="s">
        <v>42</v>
      </c>
      <c r="DI449" t="s">
        <v>42</v>
      </c>
      <c r="DJ449" s="4" t="s">
        <v>42</v>
      </c>
      <c r="DK449" t="s">
        <v>42</v>
      </c>
      <c r="DL449" s="4">
        <v>334</v>
      </c>
      <c r="DM449">
        <v>1</v>
      </c>
      <c r="DN449" s="4">
        <v>342</v>
      </c>
      <c r="DO449">
        <v>1</v>
      </c>
      <c r="DP449" s="4">
        <v>343</v>
      </c>
      <c r="DQ449">
        <v>1</v>
      </c>
      <c r="DR449" s="4">
        <v>354</v>
      </c>
      <c r="DS449">
        <v>1</v>
      </c>
      <c r="DT449" s="4">
        <v>364</v>
      </c>
      <c r="DU449">
        <v>1</v>
      </c>
      <c r="DV449" s="4">
        <v>377</v>
      </c>
      <c r="DW449">
        <v>1</v>
      </c>
      <c r="DX449" s="4">
        <v>380</v>
      </c>
      <c r="DY449">
        <v>1</v>
      </c>
      <c r="DZ449" s="4">
        <v>385</v>
      </c>
      <c r="EA449">
        <v>1</v>
      </c>
      <c r="EB449" s="4">
        <v>390</v>
      </c>
      <c r="EC449">
        <v>1</v>
      </c>
      <c r="ED449" s="4">
        <v>394</v>
      </c>
      <c r="EE449">
        <v>1</v>
      </c>
      <c r="EF449" s="4">
        <v>399</v>
      </c>
      <c r="EG449">
        <v>1</v>
      </c>
      <c r="EH449" s="4">
        <v>402</v>
      </c>
      <c r="EI449">
        <v>1</v>
      </c>
      <c r="EJ449" s="4">
        <v>408</v>
      </c>
      <c r="EK449">
        <v>1</v>
      </c>
    </row>
    <row r="450" spans="1:141" x14ac:dyDescent="0.2">
      <c r="A450" t="str">
        <f>HYPERLINK("http://exon.niaid.nih.gov/transcriptome/C_felis/S1/links/cf/cf-contig_410.txt","cf-contig_410")</f>
        <v>cf-contig_410</v>
      </c>
      <c r="B450">
        <v>1</v>
      </c>
      <c r="C450" s="10" t="s">
        <v>4600</v>
      </c>
      <c r="D450">
        <v>1</v>
      </c>
      <c r="E450" t="str">
        <f>HYPERLINK("http://exon.niaid.nih.gov/transcriptome/C_felis/S1/links/cf/cf-5-36-asb-410.txt","Contig-410")</f>
        <v>Contig-410</v>
      </c>
      <c r="F450" t="str">
        <f>HYPERLINK("http://exon.niaid.nih.gov/transcriptome/C_felis/S1/links/cf/cf-5-36-410-CLU.txt","Contig410")</f>
        <v>Contig410</v>
      </c>
      <c r="G450" t="str">
        <f>HYPERLINK("http://exon.niaid.nih.gov/transcriptome/C_felis/S1/links/cf/cf-5-36-410-qual.txt","27.6")</f>
        <v>27.6</v>
      </c>
      <c r="H450">
        <v>3.5</v>
      </c>
      <c r="I450">
        <v>60.5</v>
      </c>
      <c r="J450">
        <v>67</v>
      </c>
      <c r="K450" t="s">
        <v>12</v>
      </c>
      <c r="L450">
        <v>1</v>
      </c>
      <c r="M450" t="s">
        <v>423</v>
      </c>
      <c r="N450">
        <v>67</v>
      </c>
      <c r="O450">
        <v>86</v>
      </c>
      <c r="P450">
        <v>48</v>
      </c>
      <c r="Q450" t="s">
        <v>1230</v>
      </c>
      <c r="R450">
        <v>1</v>
      </c>
      <c r="S450" s="7" t="s">
        <v>4585</v>
      </c>
      <c r="U450">
        <v>1</v>
      </c>
      <c r="V450" s="4">
        <f>HYPERLINK("http://exon.niaid.nih.gov/transcriptome/C_felis/S1/links/cluster/cf-5-36-asb30-50-Id-CLU12.txt", 12)</f>
        <v>12</v>
      </c>
      <c r="W450">
        <f>HYPERLINK("http://exon.niaid.nih.gov/transcriptome/C_felis/S1/links/cluster/cf-5-36-asb30-50-Id-CLTL12.txt", 4)</f>
        <v>4</v>
      </c>
      <c r="X450" s="4">
        <f>HYPERLINK("http://exon.niaid.nih.gov/transcriptome/C_felis/S1/links/cluster/cf-5-36-asb35-50-Id-CLU38.txt", 38)</f>
        <v>38</v>
      </c>
      <c r="Y450">
        <f>HYPERLINK("http://exon.niaid.nih.gov/transcriptome/C_felis/S1/links/cluster/cf-5-36-asb35-50-Id-CLTL38.txt", 2)</f>
        <v>2</v>
      </c>
      <c r="Z450" s="4">
        <v>345</v>
      </c>
      <c r="AA450">
        <v>1</v>
      </c>
      <c r="AB450" s="4" t="str">
        <f>HYPERLINK("http://exon.niaid.nih.gov/transcriptome/C_felis/S1/links/XC-ASB/cf-contig_410-XC-ASB.txt","XC-contig_45")</f>
        <v>XC-contig_45</v>
      </c>
      <c r="AC450">
        <v>2.2999999999999998</v>
      </c>
      <c r="AD450" s="10" t="s">
        <v>4600</v>
      </c>
      <c r="AE450" t="s">
        <v>4601</v>
      </c>
      <c r="AI450" s="4" t="s">
        <v>42</v>
      </c>
      <c r="AJ450" t="s">
        <v>42</v>
      </c>
      <c r="AK450" t="s">
        <v>42</v>
      </c>
      <c r="AL450" t="s">
        <v>42</v>
      </c>
      <c r="AM450" t="s">
        <v>42</v>
      </c>
      <c r="AN450" t="s">
        <v>42</v>
      </c>
      <c r="AO450" t="s">
        <v>42</v>
      </c>
      <c r="AP450" t="s">
        <v>42</v>
      </c>
      <c r="AQ450" t="s">
        <v>42</v>
      </c>
      <c r="AR450" t="s">
        <v>42</v>
      </c>
      <c r="AS450" t="s">
        <v>42</v>
      </c>
      <c r="AT450" t="s">
        <v>42</v>
      </c>
      <c r="AU450" t="s">
        <v>42</v>
      </c>
      <c r="AV450" t="s">
        <v>42</v>
      </c>
      <c r="AW450" t="s">
        <v>42</v>
      </c>
      <c r="AX450" t="s">
        <v>42</v>
      </c>
      <c r="AY450" t="s">
        <v>42</v>
      </c>
      <c r="AZ450" t="s">
        <v>42</v>
      </c>
      <c r="BA450" s="4" t="s">
        <v>42</v>
      </c>
      <c r="BB450" t="s">
        <v>42</v>
      </c>
      <c r="BC450" t="s">
        <v>42</v>
      </c>
      <c r="BD450" t="s">
        <v>42</v>
      </c>
      <c r="BE450" t="s">
        <v>42</v>
      </c>
      <c r="BF450" t="s">
        <v>42</v>
      </c>
      <c r="BG450" t="s">
        <v>42</v>
      </c>
      <c r="BH450" t="s">
        <v>42</v>
      </c>
      <c r="BI450" t="s">
        <v>42</v>
      </c>
      <c r="BJ450" t="s">
        <v>42</v>
      </c>
      <c r="BK450" t="s">
        <v>42</v>
      </c>
      <c r="BL450" t="s">
        <v>42</v>
      </c>
      <c r="BM450" t="s">
        <v>42</v>
      </c>
      <c r="BN450" t="s">
        <v>42</v>
      </c>
      <c r="BO450" t="s">
        <v>42</v>
      </c>
      <c r="BP450" t="s">
        <v>42</v>
      </c>
      <c r="BQ450" t="s">
        <v>42</v>
      </c>
      <c r="BR450" t="s">
        <v>42</v>
      </c>
      <c r="BS450" s="4" t="s">
        <v>42</v>
      </c>
      <c r="BT450" t="s">
        <v>42</v>
      </c>
      <c r="BU450" t="s">
        <v>42</v>
      </c>
      <c r="BV450" s="4" t="s">
        <v>42</v>
      </c>
      <c r="BW450" t="s">
        <v>42</v>
      </c>
      <c r="BX450" t="s">
        <v>42</v>
      </c>
      <c r="BY450" t="s">
        <v>42</v>
      </c>
      <c r="BZ450" t="s">
        <v>42</v>
      </c>
      <c r="CA450" t="s">
        <v>42</v>
      </c>
      <c r="CB450" t="s">
        <v>42</v>
      </c>
      <c r="CC450" t="s">
        <v>42</v>
      </c>
      <c r="CD450" t="s">
        <v>42</v>
      </c>
      <c r="CE450" t="s">
        <v>42</v>
      </c>
      <c r="CF450" t="s">
        <v>42</v>
      </c>
      <c r="CG450" t="s">
        <v>42</v>
      </c>
      <c r="CH450" t="s">
        <v>42</v>
      </c>
      <c r="CI450" t="s">
        <v>42</v>
      </c>
      <c r="CJ450" t="s">
        <v>42</v>
      </c>
      <c r="CK450" t="s">
        <v>42</v>
      </c>
      <c r="CL450" t="s">
        <v>42</v>
      </c>
      <c r="CM450" t="s">
        <v>42</v>
      </c>
      <c r="CN450" t="s">
        <v>42</v>
      </c>
      <c r="CO450" t="s">
        <v>42</v>
      </c>
      <c r="CP450" t="s">
        <v>42</v>
      </c>
      <c r="CQ450" t="s">
        <v>42</v>
      </c>
      <c r="CR450" t="s">
        <v>42</v>
      </c>
      <c r="CS450" s="4" t="s">
        <v>42</v>
      </c>
      <c r="CT450" t="s">
        <v>42</v>
      </c>
      <c r="CU450" t="s">
        <v>42</v>
      </c>
      <c r="CV450" s="4" t="str">
        <f>HYPERLINK("http://exon.niaid.nih.gov/transcriptome/C_felis/S1/links/PFAM/cf-contig_410-PFAM.txt","DUF58")</f>
        <v>DUF58</v>
      </c>
      <c r="CW450" t="str">
        <f>HYPERLINK("http://pfam.sanger.ac.uk/family?acc=PF01882","3.7")</f>
        <v>3.7</v>
      </c>
      <c r="CX450" s="4" t="str">
        <f>HYPERLINK("http://exon.niaid.nih.gov/transcriptome/C_felis/S1/links/SMART/cf-contig_410-SMART.txt","RPOLA_N")</f>
        <v>RPOLA_N</v>
      </c>
      <c r="CY450" t="str">
        <f>HYPERLINK("http://smart.embl-heidelberg.de/smart/do_annotation.pl?DOMAIN=RPOLA_N&amp;BLAST=DUMMY","0.80")</f>
        <v>0.80</v>
      </c>
      <c r="CZ450" s="4" t="s">
        <v>42</v>
      </c>
      <c r="DA450" t="s">
        <v>42</v>
      </c>
      <c r="DB450" t="s">
        <v>42</v>
      </c>
      <c r="DC450" t="s">
        <v>42</v>
      </c>
      <c r="DD450" t="s">
        <v>42</v>
      </c>
      <c r="DE450" t="s">
        <v>42</v>
      </c>
      <c r="DF450" t="s">
        <v>42</v>
      </c>
      <c r="DG450" t="s">
        <v>42</v>
      </c>
      <c r="DH450" s="4" t="s">
        <v>42</v>
      </c>
      <c r="DI450" t="s">
        <v>42</v>
      </c>
      <c r="DJ450" s="4" t="s">
        <v>42</v>
      </c>
      <c r="DK450" t="s">
        <v>42</v>
      </c>
      <c r="DL450" s="4">
        <f>HYPERLINK("http://exon.niaid.nih.gov/transcriptome/C_felis/S1/links/cluster/cf-5-36-asb30-50-Id-CLU12.txt", 12)</f>
        <v>12</v>
      </c>
      <c r="DM450">
        <f>HYPERLINK("http://exon.niaid.nih.gov/transcriptome/C_felis/S1/links/cluster/cf-5-36-asb30-50-Id-CLTL12.txt", 4)</f>
        <v>4</v>
      </c>
      <c r="DN450" s="4">
        <f>HYPERLINK("http://exon.niaid.nih.gov/transcriptome/C_felis/S1/links/cluster/cf-5-36-asb35-50-Id-CLU38.txt", 38)</f>
        <v>38</v>
      </c>
      <c r="DO450">
        <f>HYPERLINK("http://exon.niaid.nih.gov/transcriptome/C_felis/S1/links/cluster/cf-5-36-asb35-50-Id-CLTL38.txt", 2)</f>
        <v>2</v>
      </c>
      <c r="DP450" s="4">
        <v>345</v>
      </c>
      <c r="DQ450">
        <v>1</v>
      </c>
      <c r="DR450" s="4">
        <v>356</v>
      </c>
      <c r="DS450">
        <v>1</v>
      </c>
      <c r="DT450" s="4">
        <v>366</v>
      </c>
      <c r="DU450">
        <v>1</v>
      </c>
      <c r="DV450" s="4">
        <v>379</v>
      </c>
      <c r="DW450">
        <v>1</v>
      </c>
      <c r="DX450" s="4">
        <v>382</v>
      </c>
      <c r="DY450">
        <v>1</v>
      </c>
      <c r="DZ450" s="4">
        <v>387</v>
      </c>
      <c r="EA450">
        <v>1</v>
      </c>
      <c r="EB450" s="4">
        <v>392</v>
      </c>
      <c r="EC450">
        <v>1</v>
      </c>
      <c r="ED450" s="4">
        <v>396</v>
      </c>
      <c r="EE450">
        <v>1</v>
      </c>
      <c r="EF450" s="4">
        <v>401</v>
      </c>
      <c r="EG450">
        <v>1</v>
      </c>
      <c r="EH450" s="4">
        <v>404</v>
      </c>
      <c r="EI450">
        <v>1</v>
      </c>
      <c r="EJ450" s="4">
        <v>410</v>
      </c>
      <c r="EK450">
        <v>1</v>
      </c>
    </row>
    <row r="451" spans="1:141" x14ac:dyDescent="0.2">
      <c r="A451" t="str">
        <f>HYPERLINK("http://exon.niaid.nih.gov/transcriptome/C_felis/S1/links/cf/cf-contig_441.txt","cf-contig_441")</f>
        <v>cf-contig_441</v>
      </c>
      <c r="B451">
        <v>1</v>
      </c>
      <c r="C451" s="10" t="s">
        <v>4600</v>
      </c>
      <c r="D451">
        <v>1</v>
      </c>
      <c r="E451" t="str">
        <f>HYPERLINK("http://exon.niaid.nih.gov/transcriptome/C_felis/S1/links/cf/cf-5-36-asb-441.txt","Contig-441")</f>
        <v>Contig-441</v>
      </c>
      <c r="F451" t="str">
        <f>HYPERLINK("http://exon.niaid.nih.gov/transcriptome/C_felis/S1/links/cf/cf-5-36-441-CLU.txt","Contig441")</f>
        <v>Contig441</v>
      </c>
      <c r="G451" t="str">
        <f>HYPERLINK("http://exon.niaid.nih.gov/transcriptome/C_felis/S1/links/cf/cf-5-36-441-qual.txt","58.3")</f>
        <v>58.3</v>
      </c>
      <c r="H451" t="s">
        <v>11</v>
      </c>
      <c r="I451">
        <v>74.2</v>
      </c>
      <c r="J451">
        <v>101</v>
      </c>
      <c r="K451" t="s">
        <v>12</v>
      </c>
      <c r="L451">
        <v>1</v>
      </c>
      <c r="M451" t="s">
        <v>454</v>
      </c>
      <c r="N451">
        <v>101</v>
      </c>
      <c r="O451">
        <v>120</v>
      </c>
      <c r="P451">
        <v>87</v>
      </c>
      <c r="Q451" t="s">
        <v>1260</v>
      </c>
      <c r="R451">
        <v>3</v>
      </c>
      <c r="S451" s="7" t="s">
        <v>4585</v>
      </c>
      <c r="U451">
        <v>1</v>
      </c>
      <c r="V451" s="4">
        <v>357</v>
      </c>
      <c r="W451">
        <v>1</v>
      </c>
      <c r="X451" s="4">
        <v>366</v>
      </c>
      <c r="Y451">
        <v>1</v>
      </c>
      <c r="Z451" s="4">
        <v>371</v>
      </c>
      <c r="AA451">
        <v>1</v>
      </c>
      <c r="AB451" s="4" t="str">
        <f>HYPERLINK("http://exon.niaid.nih.gov/transcriptome/C_felis/S1/links/XC-ASB/cf-contig_441-XC-ASB.txt","XC-contig_60")</f>
        <v>XC-contig_60</v>
      </c>
      <c r="AC451">
        <v>0.15</v>
      </c>
      <c r="AD451" s="10" t="s">
        <v>4600</v>
      </c>
      <c r="AE451" t="s">
        <v>4601</v>
      </c>
      <c r="AI451" s="4" t="s">
        <v>42</v>
      </c>
      <c r="AJ451" t="s">
        <v>42</v>
      </c>
      <c r="AK451" t="s">
        <v>42</v>
      </c>
      <c r="AL451" t="s">
        <v>42</v>
      </c>
      <c r="AM451" t="s">
        <v>42</v>
      </c>
      <c r="AN451" t="s">
        <v>42</v>
      </c>
      <c r="AO451" t="s">
        <v>42</v>
      </c>
      <c r="AP451" t="s">
        <v>42</v>
      </c>
      <c r="AQ451" t="s">
        <v>42</v>
      </c>
      <c r="AR451" t="s">
        <v>42</v>
      </c>
      <c r="AS451" t="s">
        <v>42</v>
      </c>
      <c r="AT451" t="s">
        <v>42</v>
      </c>
      <c r="AU451" t="s">
        <v>42</v>
      </c>
      <c r="AV451" t="s">
        <v>42</v>
      </c>
      <c r="AW451" t="s">
        <v>42</v>
      </c>
      <c r="AX451" t="s">
        <v>42</v>
      </c>
      <c r="AY451" t="s">
        <v>42</v>
      </c>
      <c r="AZ451" t="s">
        <v>42</v>
      </c>
      <c r="BA451" s="4" t="str">
        <f>HYPERLINK("http://exon.niaid.nih.gov/transcriptome/C_felis/S1/links/SWISSP/cf-contig_441-SWISSP.txt","Eukaryotic translation initiation factor 3 subunit C")</f>
        <v>Eukaryotic translation initiation factor 3 subunit C</v>
      </c>
      <c r="BB451" t="str">
        <f>HYPERLINK("http://www.uniprot.org/uniprot/Q2U0Q9","40")</f>
        <v>40</v>
      </c>
      <c r="BC451" t="s">
        <v>3255</v>
      </c>
      <c r="BD451">
        <v>26.9</v>
      </c>
      <c r="BE451">
        <v>29</v>
      </c>
      <c r="BF451">
        <v>861</v>
      </c>
      <c r="BG451">
        <v>58</v>
      </c>
      <c r="BH451">
        <v>3</v>
      </c>
      <c r="BI451">
        <v>13</v>
      </c>
      <c r="BJ451">
        <v>1</v>
      </c>
      <c r="BK451">
        <v>284</v>
      </c>
      <c r="BL451">
        <v>10</v>
      </c>
      <c r="BM451">
        <v>1</v>
      </c>
      <c r="BN451">
        <v>-1</v>
      </c>
      <c r="BO451" t="s">
        <v>12</v>
      </c>
      <c r="BP451">
        <v>3.448</v>
      </c>
      <c r="BQ451" t="s">
        <v>1666</v>
      </c>
      <c r="BR451" t="s">
        <v>3256</v>
      </c>
      <c r="BS451" s="4" t="str">
        <f>HYPERLINK("http://exon.niaid.nih.gov/transcriptome/C_felis/S1/links/CDD/cf-contig_441-CDD.txt","PHA02855")</f>
        <v>PHA02855</v>
      </c>
      <c r="BT451" t="str">
        <f>HYPERLINK("http://www.ncbi.nlm.nih.gov/Structure/cdd/cddsrv.cgi?uid=PHA02855&amp;version=v4.0","0.62")</f>
        <v>0.62</v>
      </c>
      <c r="BU451" t="s">
        <v>3257</v>
      </c>
      <c r="BV451" s="4" t="s">
        <v>42</v>
      </c>
      <c r="BW451" t="s">
        <v>42</v>
      </c>
      <c r="BX451" t="s">
        <v>42</v>
      </c>
      <c r="BY451" t="s">
        <v>42</v>
      </c>
      <c r="BZ451" t="s">
        <v>42</v>
      </c>
      <c r="CA451" t="s">
        <v>42</v>
      </c>
      <c r="CB451" t="s">
        <v>42</v>
      </c>
      <c r="CC451" t="s">
        <v>42</v>
      </c>
      <c r="CD451" t="s">
        <v>42</v>
      </c>
      <c r="CE451" t="s">
        <v>42</v>
      </c>
      <c r="CF451" t="s">
        <v>42</v>
      </c>
      <c r="CG451" t="s">
        <v>42</v>
      </c>
      <c r="CH451" t="s">
        <v>42</v>
      </c>
      <c r="CI451" t="s">
        <v>42</v>
      </c>
      <c r="CJ451" t="s">
        <v>42</v>
      </c>
      <c r="CK451" t="s">
        <v>42</v>
      </c>
      <c r="CL451" t="s">
        <v>42</v>
      </c>
      <c r="CM451" t="s">
        <v>42</v>
      </c>
      <c r="CN451" t="s">
        <v>42</v>
      </c>
      <c r="CO451" t="s">
        <v>42</v>
      </c>
      <c r="CP451" t="s">
        <v>42</v>
      </c>
      <c r="CQ451" t="s">
        <v>42</v>
      </c>
      <c r="CR451" t="s">
        <v>42</v>
      </c>
      <c r="CS451" s="4" t="str">
        <f>HYPERLINK("http://exon.niaid.nih.gov/transcriptome/C_felis/S1/links/KOG/cf-contig_441-KOG.txt","Predicted membrane protein")</f>
        <v>Predicted membrane protein</v>
      </c>
      <c r="CT451" t="str">
        <f>HYPERLINK("http://www.ncbi.nlm.nih.gov/COG/grace/shokog.cgi?KOG2568","9.4")</f>
        <v>9.4</v>
      </c>
      <c r="CU451" t="s">
        <v>1711</v>
      </c>
      <c r="CV451" s="4" t="str">
        <f>HYPERLINK("http://exon.niaid.nih.gov/transcriptome/C_felis/S1/links/PFAM/cf-contig_441-PFAM.txt","NAD-GH")</f>
        <v>NAD-GH</v>
      </c>
      <c r="CW451" t="str">
        <f>HYPERLINK("http://pfam.sanger.ac.uk/family?acc=PF10712","1.5")</f>
        <v>1.5</v>
      </c>
      <c r="CX451" s="4" t="str">
        <f>HYPERLINK("http://exon.niaid.nih.gov/transcriptome/C_felis/S1/links/SMART/cf-contig_441-SMART.txt","RanBD")</f>
        <v>RanBD</v>
      </c>
      <c r="CY451" t="str">
        <f>HYPERLINK("http://smart.embl-heidelberg.de/smart/do_annotation.pl?DOMAIN=RanBD&amp;BLAST=DUMMY","0.76")</f>
        <v>0.76</v>
      </c>
      <c r="CZ451" s="4" t="s">
        <v>42</v>
      </c>
      <c r="DA451" t="s">
        <v>42</v>
      </c>
      <c r="DB451" t="s">
        <v>42</v>
      </c>
      <c r="DC451" t="s">
        <v>42</v>
      </c>
      <c r="DD451" t="s">
        <v>42</v>
      </c>
      <c r="DE451" t="s">
        <v>42</v>
      </c>
      <c r="DF451" t="s">
        <v>42</v>
      </c>
      <c r="DG451" t="s">
        <v>42</v>
      </c>
      <c r="DH451" s="4" t="s">
        <v>42</v>
      </c>
      <c r="DI451" t="s">
        <v>42</v>
      </c>
      <c r="DJ451" s="4" t="s">
        <v>42</v>
      </c>
      <c r="DK451" t="s">
        <v>42</v>
      </c>
      <c r="DL451" s="4">
        <v>357</v>
      </c>
      <c r="DM451">
        <v>1</v>
      </c>
      <c r="DN451" s="4">
        <v>366</v>
      </c>
      <c r="DO451">
        <v>1</v>
      </c>
      <c r="DP451" s="4">
        <v>371</v>
      </c>
      <c r="DQ451">
        <v>1</v>
      </c>
      <c r="DR451" s="4">
        <v>385</v>
      </c>
      <c r="DS451">
        <v>1</v>
      </c>
      <c r="DT451" s="4">
        <v>395</v>
      </c>
      <c r="DU451">
        <v>1</v>
      </c>
      <c r="DV451" s="4">
        <v>409</v>
      </c>
      <c r="DW451">
        <v>1</v>
      </c>
      <c r="DX451" s="4">
        <v>412</v>
      </c>
      <c r="DY451">
        <v>1</v>
      </c>
      <c r="DZ451" s="4">
        <v>417</v>
      </c>
      <c r="EA451">
        <v>1</v>
      </c>
      <c r="EB451" s="4">
        <v>422</v>
      </c>
      <c r="EC451">
        <v>1</v>
      </c>
      <c r="ED451" s="4">
        <v>426</v>
      </c>
      <c r="EE451">
        <v>1</v>
      </c>
      <c r="EF451" s="4">
        <v>431</v>
      </c>
      <c r="EG451">
        <v>1</v>
      </c>
      <c r="EH451" s="4">
        <v>435</v>
      </c>
      <c r="EI451">
        <v>1</v>
      </c>
      <c r="EJ451" s="4">
        <v>441</v>
      </c>
      <c r="EK451">
        <v>1</v>
      </c>
    </row>
    <row r="452" spans="1:141" x14ac:dyDescent="0.2">
      <c r="A452" t="str">
        <f>HYPERLINK("http://exon.niaid.nih.gov/transcriptome/C_felis/S1/links/cf/cf-contig_450.txt","cf-contig_450")</f>
        <v>cf-contig_450</v>
      </c>
      <c r="B452">
        <v>1</v>
      </c>
      <c r="C452" s="10" t="s">
        <v>4600</v>
      </c>
      <c r="D452">
        <v>1</v>
      </c>
      <c r="E452" t="str">
        <f>HYPERLINK("http://exon.niaid.nih.gov/transcriptome/C_felis/S1/links/cf/cf-5-36-asb-450.txt","Contig-450")</f>
        <v>Contig-450</v>
      </c>
      <c r="F452" t="str">
        <f>HYPERLINK("http://exon.niaid.nih.gov/transcriptome/C_felis/S1/links/cf/cf-5-36-450-CLU.txt","Contig450")</f>
        <v>Contig450</v>
      </c>
      <c r="G452" t="str">
        <f>HYPERLINK("http://exon.niaid.nih.gov/transcriptome/C_felis/S1/links/cf/cf-5-36-450-qual.txt","33.")</f>
        <v>33.</v>
      </c>
      <c r="H452" t="s">
        <v>11</v>
      </c>
      <c r="I452">
        <v>83.5</v>
      </c>
      <c r="J452">
        <v>66</v>
      </c>
      <c r="K452" t="s">
        <v>12</v>
      </c>
      <c r="L452">
        <v>1</v>
      </c>
      <c r="M452" t="s">
        <v>463</v>
      </c>
      <c r="N452">
        <v>66</v>
      </c>
      <c r="O452">
        <v>85</v>
      </c>
      <c r="P452">
        <v>42</v>
      </c>
      <c r="Q452" t="s">
        <v>1269</v>
      </c>
      <c r="R452">
        <v>3</v>
      </c>
      <c r="S452" s="7" t="s">
        <v>4585</v>
      </c>
      <c r="U452">
        <v>1</v>
      </c>
      <c r="V452" s="4">
        <v>364</v>
      </c>
      <c r="W452">
        <v>1</v>
      </c>
      <c r="X452" s="4">
        <v>373</v>
      </c>
      <c r="Y452">
        <v>1</v>
      </c>
      <c r="Z452" s="4">
        <v>378</v>
      </c>
      <c r="AA452">
        <v>1</v>
      </c>
      <c r="AB452" s="4" t="str">
        <f>HYPERLINK("http://exon.niaid.nih.gov/transcriptome/C_felis/S1/links/XC-ASB/cf-contig_450-XC-ASB.txt","XC-contig_160")</f>
        <v>XC-contig_160</v>
      </c>
      <c r="AC452">
        <v>0.47</v>
      </c>
      <c r="AD452" s="10" t="s">
        <v>4600</v>
      </c>
      <c r="AE452" t="s">
        <v>4601</v>
      </c>
      <c r="AI452" s="4" t="s">
        <v>42</v>
      </c>
      <c r="AJ452" t="s">
        <v>42</v>
      </c>
      <c r="AK452" t="s">
        <v>42</v>
      </c>
      <c r="AL452" t="s">
        <v>42</v>
      </c>
      <c r="AM452" t="s">
        <v>42</v>
      </c>
      <c r="AN452" t="s">
        <v>42</v>
      </c>
      <c r="AO452" t="s">
        <v>42</v>
      </c>
      <c r="AP452" t="s">
        <v>42</v>
      </c>
      <c r="AQ452" t="s">
        <v>42</v>
      </c>
      <c r="AR452" t="s">
        <v>42</v>
      </c>
      <c r="AS452" t="s">
        <v>42</v>
      </c>
      <c r="AT452" t="s">
        <v>42</v>
      </c>
      <c r="AU452" t="s">
        <v>42</v>
      </c>
      <c r="AV452" t="s">
        <v>42</v>
      </c>
      <c r="AW452" t="s">
        <v>42</v>
      </c>
      <c r="AX452" t="s">
        <v>42</v>
      </c>
      <c r="AY452" t="s">
        <v>42</v>
      </c>
      <c r="AZ452" t="s">
        <v>42</v>
      </c>
      <c r="BA452" s="4" t="str">
        <f>HYPERLINK("http://exon.niaid.nih.gov/transcriptome/C_felis/S1/links/SWISSP/cf-contig_450-SWISSP.txt","Protein ycf2")</f>
        <v>Protein ycf2</v>
      </c>
      <c r="BB452" t="str">
        <f>HYPERLINK("http://www.uniprot.org/uniprot/P61243","90")</f>
        <v>90</v>
      </c>
      <c r="BC452" t="s">
        <v>1943</v>
      </c>
      <c r="BD452">
        <v>25.8</v>
      </c>
      <c r="BE452">
        <v>16</v>
      </c>
      <c r="BF452">
        <v>2259</v>
      </c>
      <c r="BG452">
        <v>58</v>
      </c>
      <c r="BH452">
        <v>1</v>
      </c>
      <c r="BI452">
        <v>7</v>
      </c>
      <c r="BJ452">
        <v>0</v>
      </c>
      <c r="BK452">
        <v>237</v>
      </c>
      <c r="BL452">
        <v>15</v>
      </c>
      <c r="BM452">
        <v>1</v>
      </c>
      <c r="BN452">
        <v>3</v>
      </c>
      <c r="BO452" t="s">
        <v>12</v>
      </c>
      <c r="BP452">
        <v>6.25</v>
      </c>
      <c r="BQ452" t="s">
        <v>1676</v>
      </c>
      <c r="BR452" t="s">
        <v>1944</v>
      </c>
      <c r="BS452" s="4" t="str">
        <f>HYPERLINK("http://exon.niaid.nih.gov/transcriptome/C_felis/S1/links/CDD/cf-contig_450-CDD.txt","Baculo_helicase")</f>
        <v>Baculo_helicase</v>
      </c>
      <c r="BT452" t="str">
        <f>HYPERLINK("http://www.ncbi.nlm.nih.gov/Structure/cdd/cddsrv.cgi?uid=pfam04735&amp;version=v4.0","7.5")</f>
        <v>7.5</v>
      </c>
      <c r="BU452" t="s">
        <v>3292</v>
      </c>
      <c r="BV452" s="4" t="s">
        <v>42</v>
      </c>
      <c r="BW452" t="s">
        <v>42</v>
      </c>
      <c r="BX452" t="s">
        <v>42</v>
      </c>
      <c r="BY452" t="s">
        <v>42</v>
      </c>
      <c r="BZ452" t="s">
        <v>42</v>
      </c>
      <c r="CA452" t="s">
        <v>42</v>
      </c>
      <c r="CB452" t="s">
        <v>42</v>
      </c>
      <c r="CC452" t="s">
        <v>42</v>
      </c>
      <c r="CD452" t="s">
        <v>42</v>
      </c>
      <c r="CE452" t="s">
        <v>42</v>
      </c>
      <c r="CF452" t="s">
        <v>42</v>
      </c>
      <c r="CG452" t="s">
        <v>42</v>
      </c>
      <c r="CH452" t="s">
        <v>42</v>
      </c>
      <c r="CI452" t="s">
        <v>42</v>
      </c>
      <c r="CJ452" t="s">
        <v>42</v>
      </c>
      <c r="CK452" t="s">
        <v>42</v>
      </c>
      <c r="CL452" t="s">
        <v>42</v>
      </c>
      <c r="CM452" t="s">
        <v>42</v>
      </c>
      <c r="CN452" t="s">
        <v>42</v>
      </c>
      <c r="CO452" t="s">
        <v>42</v>
      </c>
      <c r="CP452" t="s">
        <v>42</v>
      </c>
      <c r="CQ452" t="s">
        <v>42</v>
      </c>
      <c r="CR452" t="s">
        <v>42</v>
      </c>
      <c r="CS452" s="4" t="s">
        <v>42</v>
      </c>
      <c r="CT452" t="s">
        <v>42</v>
      </c>
      <c r="CU452" t="s">
        <v>42</v>
      </c>
      <c r="CV452" s="4" t="str">
        <f>HYPERLINK("http://exon.niaid.nih.gov/transcriptome/C_felis/S1/links/PFAM/cf-contig_450-PFAM.txt","Baculo_helicase")</f>
        <v>Baculo_helicase</v>
      </c>
      <c r="CW452" t="str">
        <f>HYPERLINK("http://pfam.sanger.ac.uk/family?acc=PF04735","1.6")</f>
        <v>1.6</v>
      </c>
      <c r="CX452" s="4" t="str">
        <f>HYPERLINK("http://exon.niaid.nih.gov/transcriptome/C_felis/S1/links/SMART/cf-contig_450-SMART.txt","Cation_ATPase_N")</f>
        <v>Cation_ATPase_N</v>
      </c>
      <c r="CY452" t="str">
        <f>HYPERLINK("http://smart.embl-heidelberg.de/smart/do_annotation.pl?DOMAIN=Cation_ATPase_N&amp;BLAST=DUMMY","3.5")</f>
        <v>3.5</v>
      </c>
      <c r="CZ452" s="4" t="s">
        <v>42</v>
      </c>
      <c r="DA452" t="s">
        <v>42</v>
      </c>
      <c r="DB452" t="s">
        <v>42</v>
      </c>
      <c r="DC452" t="s">
        <v>42</v>
      </c>
      <c r="DD452" t="s">
        <v>42</v>
      </c>
      <c r="DE452" t="s">
        <v>42</v>
      </c>
      <c r="DF452" t="s">
        <v>42</v>
      </c>
      <c r="DG452" t="s">
        <v>42</v>
      </c>
      <c r="DH452" s="4" t="s">
        <v>42</v>
      </c>
      <c r="DI452" t="s">
        <v>42</v>
      </c>
      <c r="DJ452" s="4" t="s">
        <v>42</v>
      </c>
      <c r="DK452" t="s">
        <v>42</v>
      </c>
      <c r="DL452" s="4">
        <v>364</v>
      </c>
      <c r="DM452">
        <v>1</v>
      </c>
      <c r="DN452" s="4">
        <v>373</v>
      </c>
      <c r="DO452">
        <v>1</v>
      </c>
      <c r="DP452" s="4">
        <v>378</v>
      </c>
      <c r="DQ452">
        <v>1</v>
      </c>
      <c r="DR452" s="4">
        <v>393</v>
      </c>
      <c r="DS452">
        <v>1</v>
      </c>
      <c r="DT452" s="4">
        <v>403</v>
      </c>
      <c r="DU452">
        <v>1</v>
      </c>
      <c r="DV452" s="4">
        <v>417</v>
      </c>
      <c r="DW452">
        <v>1</v>
      </c>
      <c r="DX452" s="4">
        <v>420</v>
      </c>
      <c r="DY452">
        <v>1</v>
      </c>
      <c r="DZ452" s="4">
        <v>425</v>
      </c>
      <c r="EA452">
        <v>1</v>
      </c>
      <c r="EB452" s="4">
        <v>430</v>
      </c>
      <c r="EC452">
        <v>1</v>
      </c>
      <c r="ED452" s="4">
        <v>434</v>
      </c>
      <c r="EE452">
        <v>1</v>
      </c>
      <c r="EF452" s="4">
        <v>439</v>
      </c>
      <c r="EG452">
        <v>1</v>
      </c>
      <c r="EH452" s="4">
        <v>444</v>
      </c>
      <c r="EI452">
        <v>1</v>
      </c>
      <c r="EJ452" s="4">
        <v>450</v>
      </c>
      <c r="EK452">
        <v>1</v>
      </c>
    </row>
    <row r="453" spans="1:141" x14ac:dyDescent="0.2">
      <c r="A453" t="str">
        <f>HYPERLINK("http://exon.niaid.nih.gov/transcriptome/C_felis/S1/links/cf/cf-contig_471.txt","cf-contig_471")</f>
        <v>cf-contig_471</v>
      </c>
      <c r="B453">
        <v>1</v>
      </c>
      <c r="C453" s="10" t="s">
        <v>4600</v>
      </c>
      <c r="D453">
        <v>1</v>
      </c>
      <c r="E453" t="str">
        <f>HYPERLINK("http://exon.niaid.nih.gov/transcriptome/C_felis/S1/links/cf/cf-5-36-asb-471.txt","Contig-471")</f>
        <v>Contig-471</v>
      </c>
      <c r="F453" t="str">
        <f>HYPERLINK("http://exon.niaid.nih.gov/transcriptome/C_felis/S1/links/cf/cf-5-36-471-CLU.txt","Contig471")</f>
        <v>Contig471</v>
      </c>
      <c r="G453" t="str">
        <f>HYPERLINK("http://exon.niaid.nih.gov/transcriptome/C_felis/S1/links/cf/cf-5-36-471-qual.txt","47.2")</f>
        <v>47.2</v>
      </c>
      <c r="H453">
        <v>2.4</v>
      </c>
      <c r="I453">
        <v>65.400000000000006</v>
      </c>
      <c r="J453">
        <v>108</v>
      </c>
      <c r="K453" t="s">
        <v>12</v>
      </c>
      <c r="L453">
        <v>1</v>
      </c>
      <c r="M453" t="s">
        <v>484</v>
      </c>
      <c r="N453">
        <v>108</v>
      </c>
      <c r="O453">
        <v>127</v>
      </c>
      <c r="P453">
        <v>78</v>
      </c>
      <c r="Q453" t="s">
        <v>1290</v>
      </c>
      <c r="R453">
        <v>2</v>
      </c>
      <c r="S453" s="7" t="s">
        <v>4585</v>
      </c>
      <c r="U453">
        <v>1</v>
      </c>
      <c r="V453" s="4">
        <f>HYPERLINK("http://exon.niaid.nih.gov/transcriptome/C_felis/S1/links/cluster/cf-5-36-asb30-50-Id-CLU68.txt", 68)</f>
        <v>68</v>
      </c>
      <c r="W453">
        <f>HYPERLINK("http://exon.niaid.nih.gov/transcriptome/C_felis/S1/links/cluster/cf-5-36-asb30-50-Id-CLTL68.txt", 2)</f>
        <v>2</v>
      </c>
      <c r="X453" s="4">
        <f>HYPERLINK("http://exon.niaid.nih.gov/transcriptome/C_felis/S1/links/cluster/cf-5-36-asb35-50-Id-CLU60.txt", 60)</f>
        <v>60</v>
      </c>
      <c r="Y453">
        <f>HYPERLINK("http://exon.niaid.nih.gov/transcriptome/C_felis/S1/links/cluster/cf-5-36-asb35-50-Id-CLTL60.txt", 2)</f>
        <v>2</v>
      </c>
      <c r="Z453" s="4">
        <f>HYPERLINK("http://exon.niaid.nih.gov/transcriptome/C_felis/S1/links/cluster/cf-5-36-asb40-50-Id-CLU57.txt", 57)</f>
        <v>57</v>
      </c>
      <c r="AA453">
        <f>HYPERLINK("http://exon.niaid.nih.gov/transcriptome/C_felis/S1/links/cluster/cf-5-36-asb40-50-Id-CLTL57.txt", 2)</f>
        <v>2</v>
      </c>
      <c r="AB453" s="4" t="str">
        <f>HYPERLINK("http://exon.niaid.nih.gov/transcriptome/C_felis/S1/links/XC-ASB/cf-contig_471-XC-ASB.txt","XC-contig_129")</f>
        <v>XC-contig_129</v>
      </c>
      <c r="AC453">
        <v>0.63</v>
      </c>
      <c r="AD453" s="10" t="s">
        <v>4600</v>
      </c>
      <c r="AE453" t="s">
        <v>4601</v>
      </c>
      <c r="AI453" s="4" t="s">
        <v>42</v>
      </c>
      <c r="AJ453" t="s">
        <v>42</v>
      </c>
      <c r="AK453" t="s">
        <v>42</v>
      </c>
      <c r="AL453" t="s">
        <v>42</v>
      </c>
      <c r="AM453" t="s">
        <v>42</v>
      </c>
      <c r="AN453" t="s">
        <v>42</v>
      </c>
      <c r="AO453" t="s">
        <v>42</v>
      </c>
      <c r="AP453" t="s">
        <v>42</v>
      </c>
      <c r="AQ453" t="s">
        <v>42</v>
      </c>
      <c r="AR453" t="s">
        <v>42</v>
      </c>
      <c r="AS453" t="s">
        <v>42</v>
      </c>
      <c r="AT453" t="s">
        <v>42</v>
      </c>
      <c r="AU453" t="s">
        <v>42</v>
      </c>
      <c r="AV453" t="s">
        <v>42</v>
      </c>
      <c r="AW453" t="s">
        <v>42</v>
      </c>
      <c r="AX453" t="s">
        <v>42</v>
      </c>
      <c r="AY453" t="s">
        <v>42</v>
      </c>
      <c r="AZ453" t="s">
        <v>42</v>
      </c>
      <c r="BA453" s="4" t="str">
        <f>HYPERLINK("http://exon.niaid.nih.gov/transcriptome/C_felis/S1/links/SWISSP/cf-contig_471-SWISSP.txt","Odorant receptor Or2")</f>
        <v>Odorant receptor Or2</v>
      </c>
      <c r="BB453" t="str">
        <f>HYPERLINK("http://www.uniprot.org/uniprot/Q8WTE6","90")</f>
        <v>90</v>
      </c>
      <c r="BC453" t="s">
        <v>3382</v>
      </c>
      <c r="BD453">
        <v>25.8</v>
      </c>
      <c r="BE453">
        <v>26</v>
      </c>
      <c r="BF453">
        <v>378</v>
      </c>
      <c r="BG453">
        <v>40</v>
      </c>
      <c r="BH453">
        <v>7</v>
      </c>
      <c r="BI453">
        <v>16</v>
      </c>
      <c r="BJ453">
        <v>0</v>
      </c>
      <c r="BK453">
        <v>149</v>
      </c>
      <c r="BL453">
        <v>14</v>
      </c>
      <c r="BM453">
        <v>1</v>
      </c>
      <c r="BN453">
        <v>2</v>
      </c>
      <c r="BO453" t="s">
        <v>12</v>
      </c>
      <c r="BP453">
        <v>3.8460000000000001</v>
      </c>
      <c r="BQ453" t="s">
        <v>1676</v>
      </c>
      <c r="BR453" t="s">
        <v>2117</v>
      </c>
      <c r="BS453" s="4" t="str">
        <f>HYPERLINK("http://exon.niaid.nih.gov/transcriptome/C_felis/S1/links/CDD/cf-contig_471-CDD.txt","frsA")</f>
        <v>frsA</v>
      </c>
      <c r="BT453" t="str">
        <f>HYPERLINK("http://www.ncbi.nlm.nih.gov/Structure/cdd/cddsrv.cgi?uid=PRK05077&amp;version=v4.0","7.2")</f>
        <v>7.2</v>
      </c>
      <c r="BU453" t="s">
        <v>3383</v>
      </c>
      <c r="BV453" s="4" t="s">
        <v>42</v>
      </c>
      <c r="BW453" t="s">
        <v>42</v>
      </c>
      <c r="BX453" t="s">
        <v>42</v>
      </c>
      <c r="BY453" t="s">
        <v>42</v>
      </c>
      <c r="BZ453" t="s">
        <v>42</v>
      </c>
      <c r="CA453" t="s">
        <v>42</v>
      </c>
      <c r="CB453" t="s">
        <v>42</v>
      </c>
      <c r="CC453" t="s">
        <v>42</v>
      </c>
      <c r="CD453" t="s">
        <v>42</v>
      </c>
      <c r="CE453" t="s">
        <v>42</v>
      </c>
      <c r="CF453" t="s">
        <v>42</v>
      </c>
      <c r="CG453" t="s">
        <v>42</v>
      </c>
      <c r="CH453" t="s">
        <v>42</v>
      </c>
      <c r="CI453" t="s">
        <v>42</v>
      </c>
      <c r="CJ453" t="s">
        <v>42</v>
      </c>
      <c r="CK453" t="s">
        <v>42</v>
      </c>
      <c r="CL453" t="s">
        <v>42</v>
      </c>
      <c r="CM453" t="s">
        <v>42</v>
      </c>
      <c r="CN453" t="s">
        <v>42</v>
      </c>
      <c r="CO453" t="s">
        <v>42</v>
      </c>
      <c r="CP453" t="s">
        <v>42</v>
      </c>
      <c r="CQ453" t="s">
        <v>42</v>
      </c>
      <c r="CR453" t="s">
        <v>42</v>
      </c>
      <c r="CS453" s="4" t="s">
        <v>42</v>
      </c>
      <c r="CT453" t="s">
        <v>42</v>
      </c>
      <c r="CU453" t="s">
        <v>42</v>
      </c>
      <c r="CV453" s="4" t="str">
        <f>HYPERLINK("http://exon.niaid.nih.gov/transcriptome/C_felis/S1/links/PFAM/cf-contig_471-PFAM.txt","FSA_C")</f>
        <v>FSA_C</v>
      </c>
      <c r="CW453" t="str">
        <f>HYPERLINK("http://pfam.sanger.ac.uk/family?acc=PF10479","3.4")</f>
        <v>3.4</v>
      </c>
      <c r="CX453" s="4" t="str">
        <f>HYPERLINK("http://exon.niaid.nih.gov/transcriptome/C_felis/S1/links/SMART/cf-contig_471-SMART.txt","PLEC")</f>
        <v>PLEC</v>
      </c>
      <c r="CY453" t="str">
        <f>HYPERLINK("http://smart.embl-heidelberg.de/smart/do_annotation.pl?DOMAIN=PLEC&amp;BLAST=DUMMY","0.26")</f>
        <v>0.26</v>
      </c>
      <c r="CZ453" s="4" t="s">
        <v>42</v>
      </c>
      <c r="DA453" t="s">
        <v>42</v>
      </c>
      <c r="DB453" t="s">
        <v>42</v>
      </c>
      <c r="DC453" t="s">
        <v>42</v>
      </c>
      <c r="DD453" t="s">
        <v>42</v>
      </c>
      <c r="DE453" t="s">
        <v>42</v>
      </c>
      <c r="DF453" t="s">
        <v>42</v>
      </c>
      <c r="DG453" t="s">
        <v>42</v>
      </c>
      <c r="DH453" s="4" t="s">
        <v>42</v>
      </c>
      <c r="DI453" t="s">
        <v>42</v>
      </c>
      <c r="DJ453" s="4" t="s">
        <v>42</v>
      </c>
      <c r="DK453" t="s">
        <v>42</v>
      </c>
      <c r="DL453" s="4">
        <f>HYPERLINK("http://exon.niaid.nih.gov/transcriptome/C_felis/S1/links/cluster/cf-5-36-asb30-50-Id-CLU68.txt", 68)</f>
        <v>68</v>
      </c>
      <c r="DM453">
        <f>HYPERLINK("http://exon.niaid.nih.gov/transcriptome/C_felis/S1/links/cluster/cf-5-36-asb30-50-Id-CLTL68.txt", 2)</f>
        <v>2</v>
      </c>
      <c r="DN453" s="4">
        <f>HYPERLINK("http://exon.niaid.nih.gov/transcriptome/C_felis/S1/links/cluster/cf-5-36-asb35-50-Id-CLU60.txt", 60)</f>
        <v>60</v>
      </c>
      <c r="DO453">
        <f>HYPERLINK("http://exon.niaid.nih.gov/transcriptome/C_felis/S1/links/cluster/cf-5-36-asb35-50-Id-CLTL60.txt", 2)</f>
        <v>2</v>
      </c>
      <c r="DP453" s="4">
        <f>HYPERLINK("http://exon.niaid.nih.gov/transcriptome/C_felis/S1/links/cluster/cf-5-36-asb40-50-Id-CLU57.txt", 57)</f>
        <v>57</v>
      </c>
      <c r="DQ453">
        <f>HYPERLINK("http://exon.niaid.nih.gov/transcriptome/C_felis/S1/links/cluster/cf-5-36-asb40-50-Id-CLTL57.txt", 2)</f>
        <v>2</v>
      </c>
      <c r="DR453" s="4">
        <f>HYPERLINK("http://exon.niaid.nih.gov/transcriptome/C_felis/S1/links/cluster/cf-5-36-asb45-50-Id-CLU48.txt", 48)</f>
        <v>48</v>
      </c>
      <c r="DS453">
        <f>HYPERLINK("http://exon.niaid.nih.gov/transcriptome/C_felis/S1/links/cluster/cf-5-36-asb45-50-Id-CLTL48.txt", 2)</f>
        <v>2</v>
      </c>
      <c r="DT453" s="4">
        <f>HYPERLINK("http://exon.niaid.nih.gov/transcriptome/C_felis/S1/links/cluster/cf-5-36-asb50-50-Id-CLU40.txt", 40)</f>
        <v>40</v>
      </c>
      <c r="DU453">
        <f>HYPERLINK("http://exon.niaid.nih.gov/transcriptome/C_felis/S1/links/cluster/cf-5-36-asb50-50-Id-CLTL40.txt", 2)</f>
        <v>2</v>
      </c>
      <c r="DV453" s="4">
        <f>HYPERLINK("http://exon.niaid.nih.gov/transcriptome/C_felis/S1/links/cluster/cf-5-36-asb55-50-Id-CLU37.txt", 37)</f>
        <v>37</v>
      </c>
      <c r="DW453">
        <f>HYPERLINK("http://exon.niaid.nih.gov/transcriptome/C_felis/S1/links/cluster/cf-5-36-asb55-50-Id-CLTL37.txt", 2)</f>
        <v>2</v>
      </c>
      <c r="DX453" s="4">
        <v>439</v>
      </c>
      <c r="DY453">
        <v>1</v>
      </c>
      <c r="DZ453" s="4">
        <v>445</v>
      </c>
      <c r="EA453">
        <v>1</v>
      </c>
      <c r="EB453" s="4">
        <v>450</v>
      </c>
      <c r="EC453">
        <v>1</v>
      </c>
      <c r="ED453" s="4">
        <v>454</v>
      </c>
      <c r="EE453">
        <v>1</v>
      </c>
      <c r="EF453" s="4">
        <v>459</v>
      </c>
      <c r="EG453">
        <v>1</v>
      </c>
      <c r="EH453" s="4">
        <v>465</v>
      </c>
      <c r="EI453">
        <v>1</v>
      </c>
      <c r="EJ453" s="4">
        <v>471</v>
      </c>
      <c r="EK453">
        <v>1</v>
      </c>
    </row>
    <row r="454" spans="1:141" x14ac:dyDescent="0.2">
      <c r="A454" t="str">
        <f>HYPERLINK("http://exon.niaid.nih.gov/transcriptome/C_felis/S1/links/cf/cf-contig_478.txt","cf-contig_478")</f>
        <v>cf-contig_478</v>
      </c>
      <c r="B454">
        <v>1</v>
      </c>
      <c r="C454" s="10" t="s">
        <v>4600</v>
      </c>
      <c r="D454">
        <v>1</v>
      </c>
      <c r="E454" t="str">
        <f>HYPERLINK("http://exon.niaid.nih.gov/transcriptome/C_felis/S1/links/cf/cf-5-36-asb-478.txt","Contig-478")</f>
        <v>Contig-478</v>
      </c>
      <c r="F454" t="str">
        <f>HYPERLINK("http://exon.niaid.nih.gov/transcriptome/C_felis/S1/links/cf/cf-5-36-478-CLU.txt","Contig478")</f>
        <v>Contig478</v>
      </c>
      <c r="G454" t="str">
        <f>HYPERLINK("http://exon.niaid.nih.gov/transcriptome/C_felis/S1/links/cf/cf-5-36-478-qual.txt","25.4")</f>
        <v>25.4</v>
      </c>
      <c r="H454">
        <v>1.7</v>
      </c>
      <c r="I454">
        <v>51.7</v>
      </c>
      <c r="J454">
        <v>41</v>
      </c>
      <c r="K454" t="s">
        <v>12</v>
      </c>
      <c r="L454">
        <v>1</v>
      </c>
      <c r="M454" t="s">
        <v>491</v>
      </c>
      <c r="N454">
        <v>41</v>
      </c>
      <c r="O454">
        <v>60</v>
      </c>
      <c r="P454">
        <v>57</v>
      </c>
      <c r="Q454" t="s">
        <v>1297</v>
      </c>
      <c r="R454">
        <v>1</v>
      </c>
      <c r="S454" s="7" t="s">
        <v>4585</v>
      </c>
      <c r="U454">
        <v>1</v>
      </c>
      <c r="V454" s="4">
        <f>HYPERLINK("http://exon.niaid.nih.gov/transcriptome/C_felis/S1/links/cluster/cf-5-36-asb30-50-Id-CLU5.txt", 5)</f>
        <v>5</v>
      </c>
      <c r="W454">
        <f>HYPERLINK("http://exon.niaid.nih.gov/transcriptome/C_felis/S1/links/cluster/cf-5-36-asb30-50-Id-CLTL5.txt", 5)</f>
        <v>5</v>
      </c>
      <c r="X454" s="4">
        <f>HYPERLINK("http://exon.niaid.nih.gov/transcriptome/C_felis/S1/links/cluster/cf-5-36-asb35-50-Id-CLU5.txt", 5)</f>
        <v>5</v>
      </c>
      <c r="Y454">
        <f>HYPERLINK("http://exon.niaid.nih.gov/transcriptome/C_felis/S1/links/cluster/cf-5-36-asb35-50-Id-CLTL5.txt", 5)</f>
        <v>5</v>
      </c>
      <c r="Z454" s="4">
        <f>HYPERLINK("http://exon.niaid.nih.gov/transcriptome/C_felis/S1/links/cluster/cf-5-36-asb40-50-Id-CLU10.txt", 10)</f>
        <v>10</v>
      </c>
      <c r="AA454">
        <f>HYPERLINK("http://exon.niaid.nih.gov/transcriptome/C_felis/S1/links/cluster/cf-5-36-asb40-50-Id-CLTL10.txt", 4)</f>
        <v>4</v>
      </c>
      <c r="AB454" s="4" t="str">
        <f>HYPERLINK("http://exon.niaid.nih.gov/transcriptome/C_felis/S1/links/XC-ASB/cf-contig_478-XC-ASB.txt","XC-contig_243")</f>
        <v>XC-contig_243</v>
      </c>
      <c r="AC454">
        <v>3.6</v>
      </c>
      <c r="AD454" s="10" t="s">
        <v>4600</v>
      </c>
      <c r="AE454" t="s">
        <v>4601</v>
      </c>
      <c r="AI454" s="4" t="s">
        <v>42</v>
      </c>
      <c r="AJ454" t="s">
        <v>42</v>
      </c>
      <c r="AK454" t="s">
        <v>42</v>
      </c>
      <c r="AL454" t="s">
        <v>42</v>
      </c>
      <c r="AM454" t="s">
        <v>42</v>
      </c>
      <c r="AN454" t="s">
        <v>42</v>
      </c>
      <c r="AO454" t="s">
        <v>42</v>
      </c>
      <c r="AP454" t="s">
        <v>42</v>
      </c>
      <c r="AQ454" t="s">
        <v>42</v>
      </c>
      <c r="AR454" t="s">
        <v>42</v>
      </c>
      <c r="AS454" t="s">
        <v>42</v>
      </c>
      <c r="AT454" t="s">
        <v>42</v>
      </c>
      <c r="AU454" t="s">
        <v>42</v>
      </c>
      <c r="AV454" t="s">
        <v>42</v>
      </c>
      <c r="AW454" t="s">
        <v>42</v>
      </c>
      <c r="AX454" t="s">
        <v>42</v>
      </c>
      <c r="AY454" t="s">
        <v>42</v>
      </c>
      <c r="AZ454" t="s">
        <v>42</v>
      </c>
      <c r="BA454" s="4" t="str">
        <f>HYPERLINK("http://exon.niaid.nih.gov/transcriptome/C_felis/S1/links/SWISSP/cf-contig_478-SWISSP.txt","Zinc finger protein C11D3.17")</f>
        <v>Zinc finger protein C11D3.17</v>
      </c>
      <c r="BB454" t="str">
        <f>HYPERLINK("http://www.uniprot.org/uniprot/Q10096","90")</f>
        <v>90</v>
      </c>
      <c r="BC454" t="s">
        <v>3414</v>
      </c>
      <c r="BD454">
        <v>25.4</v>
      </c>
      <c r="BE454">
        <v>8</v>
      </c>
      <c r="BF454">
        <v>585</v>
      </c>
      <c r="BG454">
        <v>100</v>
      </c>
      <c r="BH454">
        <v>2</v>
      </c>
      <c r="BI454">
        <v>0</v>
      </c>
      <c r="BJ454">
        <v>0</v>
      </c>
      <c r="BK454">
        <v>570</v>
      </c>
      <c r="BL454">
        <v>3</v>
      </c>
      <c r="BM454">
        <v>1</v>
      </c>
      <c r="BN454">
        <v>3</v>
      </c>
      <c r="BO454" t="s">
        <v>12</v>
      </c>
      <c r="BQ454" t="s">
        <v>1676</v>
      </c>
      <c r="BR454" t="s">
        <v>1695</v>
      </c>
      <c r="BS454" s="4" t="s">
        <v>42</v>
      </c>
      <c r="BT454" t="s">
        <v>42</v>
      </c>
      <c r="BU454" t="s">
        <v>42</v>
      </c>
      <c r="BV454" s="4" t="s">
        <v>42</v>
      </c>
      <c r="BW454" t="s">
        <v>42</v>
      </c>
      <c r="BX454" t="s">
        <v>42</v>
      </c>
      <c r="BY454" t="s">
        <v>42</v>
      </c>
      <c r="BZ454" t="s">
        <v>42</v>
      </c>
      <c r="CA454" t="s">
        <v>42</v>
      </c>
      <c r="CB454" t="s">
        <v>42</v>
      </c>
      <c r="CC454" t="s">
        <v>42</v>
      </c>
      <c r="CD454" t="s">
        <v>42</v>
      </c>
      <c r="CE454" t="s">
        <v>42</v>
      </c>
      <c r="CF454" t="s">
        <v>42</v>
      </c>
      <c r="CG454" t="s">
        <v>42</v>
      </c>
      <c r="CH454" t="s">
        <v>42</v>
      </c>
      <c r="CI454" t="s">
        <v>42</v>
      </c>
      <c r="CJ454" t="s">
        <v>42</v>
      </c>
      <c r="CK454" t="s">
        <v>42</v>
      </c>
      <c r="CL454" t="s">
        <v>42</v>
      </c>
      <c r="CM454" t="s">
        <v>42</v>
      </c>
      <c r="CN454" t="s">
        <v>42</v>
      </c>
      <c r="CO454" t="s">
        <v>42</v>
      </c>
      <c r="CP454" t="s">
        <v>42</v>
      </c>
      <c r="CQ454" t="s">
        <v>42</v>
      </c>
      <c r="CR454" t="s">
        <v>42</v>
      </c>
      <c r="CS454" s="4" t="s">
        <v>42</v>
      </c>
      <c r="CT454" t="s">
        <v>42</v>
      </c>
      <c r="CU454" t="s">
        <v>42</v>
      </c>
      <c r="CV454" s="4" t="s">
        <v>42</v>
      </c>
      <c r="CW454" t="s">
        <v>42</v>
      </c>
      <c r="CX454" s="4" t="str">
        <f>HYPERLINK("http://exon.niaid.nih.gov/transcriptome/C_felis/S1/links/SMART/cf-contig_478-SMART.txt","HA2")</f>
        <v>HA2</v>
      </c>
      <c r="CY454" t="str">
        <f>HYPERLINK("http://smart.embl-heidelberg.de/smart/do_annotation.pl?DOMAIN=HA2&amp;BLAST=DUMMY","1.2")</f>
        <v>1.2</v>
      </c>
      <c r="CZ454" s="4" t="s">
        <v>42</v>
      </c>
      <c r="DA454" t="s">
        <v>42</v>
      </c>
      <c r="DB454" t="s">
        <v>42</v>
      </c>
      <c r="DC454" t="s">
        <v>42</v>
      </c>
      <c r="DD454" t="s">
        <v>42</v>
      </c>
      <c r="DE454" t="s">
        <v>42</v>
      </c>
      <c r="DF454" t="s">
        <v>42</v>
      </c>
      <c r="DG454" t="s">
        <v>42</v>
      </c>
      <c r="DH454" s="4" t="s">
        <v>42</v>
      </c>
      <c r="DI454" t="s">
        <v>42</v>
      </c>
      <c r="DJ454" s="4" t="s">
        <v>42</v>
      </c>
      <c r="DK454" t="s">
        <v>42</v>
      </c>
      <c r="DL454" s="4">
        <f>HYPERLINK("http://exon.niaid.nih.gov/transcriptome/C_felis/S1/links/cluster/cf-5-36-asb30-50-Id-CLU5.txt", 5)</f>
        <v>5</v>
      </c>
      <c r="DM454">
        <f>HYPERLINK("http://exon.niaid.nih.gov/transcriptome/C_felis/S1/links/cluster/cf-5-36-asb30-50-Id-CLTL5.txt", 5)</f>
        <v>5</v>
      </c>
      <c r="DN454" s="4">
        <f>HYPERLINK("http://exon.niaid.nih.gov/transcriptome/C_felis/S1/links/cluster/cf-5-36-asb35-50-Id-CLU5.txt", 5)</f>
        <v>5</v>
      </c>
      <c r="DO454">
        <f>HYPERLINK("http://exon.niaid.nih.gov/transcriptome/C_felis/S1/links/cluster/cf-5-36-asb35-50-Id-CLTL5.txt", 5)</f>
        <v>5</v>
      </c>
      <c r="DP454" s="4">
        <f>HYPERLINK("http://exon.niaid.nih.gov/transcriptome/C_felis/S1/links/cluster/cf-5-36-asb40-50-Id-CLU10.txt", 10)</f>
        <v>10</v>
      </c>
      <c r="DQ454">
        <f>HYPERLINK("http://exon.niaid.nih.gov/transcriptome/C_felis/S1/links/cluster/cf-5-36-asb40-50-Id-CLTL10.txt", 4)</f>
        <v>4</v>
      </c>
      <c r="DR454" s="4">
        <f>HYPERLINK("http://exon.niaid.nih.gov/transcriptome/C_felis/S1/links/cluster/cf-5-36-asb45-50-Id-CLU16.txt", 16)</f>
        <v>16</v>
      </c>
      <c r="DS454">
        <f>HYPERLINK("http://exon.niaid.nih.gov/transcriptome/C_felis/S1/links/cluster/cf-5-36-asb45-50-Id-CLTL16.txt", 3)</f>
        <v>3</v>
      </c>
      <c r="DT454" s="4">
        <f>HYPERLINK("http://exon.niaid.nih.gov/transcriptome/C_felis/S1/links/cluster/cf-5-36-asb50-50-Id-CLU12.txt", 12)</f>
        <v>12</v>
      </c>
      <c r="DU454">
        <f>HYPERLINK("http://exon.niaid.nih.gov/transcriptome/C_felis/S1/links/cluster/cf-5-36-asb50-50-Id-CLTL12.txt", 3)</f>
        <v>3</v>
      </c>
      <c r="DV454" s="4">
        <f>HYPERLINK("http://exon.niaid.nih.gov/transcriptome/C_felis/S1/links/cluster/cf-5-36-asb55-50-Id-CLU11.txt", 11)</f>
        <v>11</v>
      </c>
      <c r="DW454">
        <f>HYPERLINK("http://exon.niaid.nih.gov/transcriptome/C_felis/S1/links/cluster/cf-5-36-asb55-50-Id-CLTL11.txt", 3)</f>
        <v>3</v>
      </c>
      <c r="DX454" s="4">
        <f>HYPERLINK("http://exon.niaid.nih.gov/transcriptome/C_felis/S1/links/cluster/cf-5-36-asb60-50-Id-CLU9.txt", 9)</f>
        <v>9</v>
      </c>
      <c r="DY454">
        <f>HYPERLINK("http://exon.niaid.nih.gov/transcriptome/C_felis/S1/links/cluster/cf-5-36-asb60-50-Id-CLTL9.txt", 3)</f>
        <v>3</v>
      </c>
      <c r="DZ454" s="4">
        <v>452</v>
      </c>
      <c r="EA454">
        <v>1</v>
      </c>
      <c r="EB454" s="4">
        <v>457</v>
      </c>
      <c r="EC454">
        <v>1</v>
      </c>
      <c r="ED454" s="4">
        <v>461</v>
      </c>
      <c r="EE454">
        <v>1</v>
      </c>
      <c r="EF454" s="4">
        <v>466</v>
      </c>
      <c r="EG454">
        <v>1</v>
      </c>
      <c r="EH454" s="4">
        <v>472</v>
      </c>
      <c r="EI454">
        <v>1</v>
      </c>
      <c r="EJ454" s="4">
        <v>478</v>
      </c>
      <c r="EK454">
        <v>1</v>
      </c>
    </row>
    <row r="455" spans="1:141" x14ac:dyDescent="0.2">
      <c r="A455" t="str">
        <f>HYPERLINK("http://exon.niaid.nih.gov/transcriptome/C_felis/S1/links/cf/cf-contig_480.txt","cf-contig_480")</f>
        <v>cf-contig_480</v>
      </c>
      <c r="B455">
        <v>1</v>
      </c>
      <c r="C455" s="10" t="s">
        <v>4600</v>
      </c>
      <c r="D455">
        <v>1</v>
      </c>
      <c r="E455" t="str">
        <f>HYPERLINK("http://exon.niaid.nih.gov/transcriptome/C_felis/S1/links/cf/cf-5-36-asb-480.txt","Contig-480")</f>
        <v>Contig-480</v>
      </c>
      <c r="F455" t="str">
        <f>HYPERLINK("http://exon.niaid.nih.gov/transcriptome/C_felis/S1/links/cf/cf-5-36-480-CLU.txt","Contig480")</f>
        <v>Contig480</v>
      </c>
      <c r="G455" t="str">
        <f>HYPERLINK("http://exon.niaid.nih.gov/transcriptome/C_felis/S1/links/cf/cf-5-36-480-qual.txt","57.7")</f>
        <v>57.7</v>
      </c>
      <c r="H455" t="s">
        <v>11</v>
      </c>
      <c r="I455">
        <v>77.3</v>
      </c>
      <c r="J455">
        <v>100</v>
      </c>
      <c r="K455" t="s">
        <v>12</v>
      </c>
      <c r="L455">
        <v>1</v>
      </c>
      <c r="M455" t="s">
        <v>493</v>
      </c>
      <c r="N455">
        <v>100</v>
      </c>
      <c r="O455">
        <v>119</v>
      </c>
      <c r="P455">
        <v>84</v>
      </c>
      <c r="Q455" t="s">
        <v>1299</v>
      </c>
      <c r="R455">
        <v>3</v>
      </c>
      <c r="S455" s="7" t="s">
        <v>4585</v>
      </c>
      <c r="U455">
        <v>1</v>
      </c>
      <c r="V455" s="4">
        <v>390</v>
      </c>
      <c r="W455">
        <v>1</v>
      </c>
      <c r="X455" s="4">
        <v>399</v>
      </c>
      <c r="Y455">
        <v>1</v>
      </c>
      <c r="Z455" s="4">
        <v>404</v>
      </c>
      <c r="AA455">
        <v>1</v>
      </c>
      <c r="AB455" s="4" t="str">
        <f>HYPERLINK("http://exon.niaid.nih.gov/transcriptome/C_felis/S1/links/XC-ASB/cf-contig_480-XC-ASB.txt","XC-contig_139")</f>
        <v>XC-contig_139</v>
      </c>
      <c r="AC455">
        <v>0.11</v>
      </c>
      <c r="AD455" s="10" t="s">
        <v>4600</v>
      </c>
      <c r="AE455" t="s">
        <v>4601</v>
      </c>
      <c r="AI455" s="4" t="s">
        <v>42</v>
      </c>
      <c r="AJ455" t="s">
        <v>42</v>
      </c>
      <c r="AK455" t="s">
        <v>42</v>
      </c>
      <c r="AL455" t="s">
        <v>42</v>
      </c>
      <c r="AM455" t="s">
        <v>42</v>
      </c>
      <c r="AN455" t="s">
        <v>42</v>
      </c>
      <c r="AO455" t="s">
        <v>42</v>
      </c>
      <c r="AP455" t="s">
        <v>42</v>
      </c>
      <c r="AQ455" t="s">
        <v>42</v>
      </c>
      <c r="AR455" t="s">
        <v>42</v>
      </c>
      <c r="AS455" t="s">
        <v>42</v>
      </c>
      <c r="AT455" t="s">
        <v>42</v>
      </c>
      <c r="AU455" t="s">
        <v>42</v>
      </c>
      <c r="AV455" t="s">
        <v>42</v>
      </c>
      <c r="AW455" t="s">
        <v>42</v>
      </c>
      <c r="AX455" t="s">
        <v>42</v>
      </c>
      <c r="AY455" t="s">
        <v>42</v>
      </c>
      <c r="AZ455" t="s">
        <v>42</v>
      </c>
      <c r="BA455" s="4" t="str">
        <f>HYPERLINK("http://exon.niaid.nih.gov/transcriptome/C_felis/S1/links/SWISSP/cf-contig_480-SWISSP.txt","Cytochrome c oxidase subunit 1")</f>
        <v>Cytochrome c oxidase subunit 1</v>
      </c>
      <c r="BB455" t="str">
        <f>HYPERLINK("http://www.uniprot.org/uniprot/P24893","31")</f>
        <v>31</v>
      </c>
      <c r="BC455" t="s">
        <v>3417</v>
      </c>
      <c r="BD455">
        <v>27.3</v>
      </c>
      <c r="BE455">
        <v>29</v>
      </c>
      <c r="BF455">
        <v>525</v>
      </c>
      <c r="BG455">
        <v>46</v>
      </c>
      <c r="BH455">
        <v>6</v>
      </c>
      <c r="BI455">
        <v>16</v>
      </c>
      <c r="BJ455">
        <v>0</v>
      </c>
      <c r="BK455">
        <v>40</v>
      </c>
      <c r="BL455">
        <v>6</v>
      </c>
      <c r="BM455">
        <v>1</v>
      </c>
      <c r="BN455">
        <v>3</v>
      </c>
      <c r="BO455" t="s">
        <v>12</v>
      </c>
      <c r="BP455">
        <v>3.448</v>
      </c>
      <c r="BQ455" t="s">
        <v>1676</v>
      </c>
      <c r="BR455" t="s">
        <v>1735</v>
      </c>
      <c r="BS455" s="4" t="str">
        <f>HYPERLINK("http://exon.niaid.nih.gov/transcriptome/C_felis/S1/links/CDD/cf-contig_480-CDD.txt","COX1")</f>
        <v>COX1</v>
      </c>
      <c r="BT455" t="str">
        <f>HYPERLINK("http://www.ncbi.nlm.nih.gov/Structure/cdd/cddsrv.cgi?uid=MTH00223&amp;version=v4.0","0.62")</f>
        <v>0.62</v>
      </c>
      <c r="BU455" t="s">
        <v>3418</v>
      </c>
      <c r="BV455" s="4" t="s">
        <v>42</v>
      </c>
      <c r="BW455" t="s">
        <v>42</v>
      </c>
      <c r="BX455" t="s">
        <v>42</v>
      </c>
      <c r="BY455" t="s">
        <v>42</v>
      </c>
      <c r="BZ455" t="s">
        <v>42</v>
      </c>
      <c r="CA455" t="s">
        <v>42</v>
      </c>
      <c r="CB455" t="s">
        <v>42</v>
      </c>
      <c r="CC455" t="s">
        <v>42</v>
      </c>
      <c r="CD455" t="s">
        <v>42</v>
      </c>
      <c r="CE455" t="s">
        <v>42</v>
      </c>
      <c r="CF455" t="s">
        <v>42</v>
      </c>
      <c r="CG455" t="s">
        <v>42</v>
      </c>
      <c r="CH455" t="s">
        <v>42</v>
      </c>
      <c r="CI455" t="s">
        <v>42</v>
      </c>
      <c r="CJ455" t="s">
        <v>42</v>
      </c>
      <c r="CK455" t="s">
        <v>42</v>
      </c>
      <c r="CL455" t="s">
        <v>42</v>
      </c>
      <c r="CM455" t="s">
        <v>42</v>
      </c>
      <c r="CN455" t="s">
        <v>42</v>
      </c>
      <c r="CO455" t="s">
        <v>42</v>
      </c>
      <c r="CP455" t="s">
        <v>42</v>
      </c>
      <c r="CQ455" t="s">
        <v>42</v>
      </c>
      <c r="CR455" t="s">
        <v>42</v>
      </c>
      <c r="CS455" s="4" t="str">
        <f>HYPERLINK("http://exon.niaid.nih.gov/transcriptome/C_felis/S1/links/KOG/cf-contig_480-KOG.txt","60s ribosomal protein L23")</f>
        <v>60s ribosomal protein L23</v>
      </c>
      <c r="CT455" t="str">
        <f>HYPERLINK("http://www.ncbi.nlm.nih.gov/COG/grace/shokog.cgi?KOG1751","2.8")</f>
        <v>2.8</v>
      </c>
      <c r="CU455" t="s">
        <v>1707</v>
      </c>
      <c r="CV455" s="4" t="str">
        <f>HYPERLINK("http://exon.niaid.nih.gov/transcriptome/C_felis/S1/links/PFAM/cf-contig_480-PFAM.txt","Cut8")</f>
        <v>Cut8</v>
      </c>
      <c r="CW455" t="str">
        <f>HYPERLINK("http://pfam.sanger.ac.uk/family?acc=PF08559","0.99")</f>
        <v>0.99</v>
      </c>
      <c r="CX455" s="4" t="str">
        <f>HYPERLINK("http://exon.niaid.nih.gov/transcriptome/C_felis/S1/links/SMART/cf-contig_480-SMART.txt","Beach")</f>
        <v>Beach</v>
      </c>
      <c r="CY455" t="str">
        <f>HYPERLINK("http://smart.embl-heidelberg.de/smart/do_annotation.pl?DOMAIN=Beach&amp;BLAST=DUMMY","1.6")</f>
        <v>1.6</v>
      </c>
      <c r="CZ455" s="4" t="s">
        <v>42</v>
      </c>
      <c r="DA455" t="s">
        <v>42</v>
      </c>
      <c r="DB455" t="s">
        <v>42</v>
      </c>
      <c r="DC455" t="s">
        <v>42</v>
      </c>
      <c r="DD455" t="s">
        <v>42</v>
      </c>
      <c r="DE455" t="s">
        <v>42</v>
      </c>
      <c r="DF455" t="s">
        <v>42</v>
      </c>
      <c r="DG455" t="s">
        <v>42</v>
      </c>
      <c r="DH455" s="4" t="s">
        <v>42</v>
      </c>
      <c r="DI455" t="s">
        <v>42</v>
      </c>
      <c r="DJ455" s="4" t="s">
        <v>42</v>
      </c>
      <c r="DK455" t="s">
        <v>42</v>
      </c>
      <c r="DL455" s="4">
        <v>390</v>
      </c>
      <c r="DM455">
        <v>1</v>
      </c>
      <c r="DN455" s="4">
        <v>399</v>
      </c>
      <c r="DO455">
        <v>1</v>
      </c>
      <c r="DP455" s="4">
        <v>404</v>
      </c>
      <c r="DQ455">
        <v>1</v>
      </c>
      <c r="DR455" s="4">
        <v>419</v>
      </c>
      <c r="DS455">
        <v>1</v>
      </c>
      <c r="DT455" s="4">
        <v>429</v>
      </c>
      <c r="DU455">
        <v>1</v>
      </c>
      <c r="DV455" s="4">
        <v>443</v>
      </c>
      <c r="DW455">
        <v>1</v>
      </c>
      <c r="DX455" s="4">
        <v>447</v>
      </c>
      <c r="DY455">
        <v>1</v>
      </c>
      <c r="DZ455" s="4">
        <v>454</v>
      </c>
      <c r="EA455">
        <v>1</v>
      </c>
      <c r="EB455" s="4">
        <v>459</v>
      </c>
      <c r="EC455">
        <v>1</v>
      </c>
      <c r="ED455" s="4">
        <v>463</v>
      </c>
      <c r="EE455">
        <v>1</v>
      </c>
      <c r="EF455" s="4">
        <v>468</v>
      </c>
      <c r="EG455">
        <v>1</v>
      </c>
      <c r="EH455" s="4">
        <v>474</v>
      </c>
      <c r="EI455">
        <v>1</v>
      </c>
      <c r="EJ455" s="4">
        <v>480</v>
      </c>
      <c r="EK455">
        <v>1</v>
      </c>
    </row>
    <row r="456" spans="1:141" x14ac:dyDescent="0.2">
      <c r="A456" t="str">
        <f>HYPERLINK("http://exon.niaid.nih.gov/transcriptome/C_felis/S1/links/cf/cf-contig_486.txt","cf-contig_486")</f>
        <v>cf-contig_486</v>
      </c>
      <c r="B456">
        <v>1</v>
      </c>
      <c r="C456" s="10" t="s">
        <v>4600</v>
      </c>
      <c r="D456">
        <v>1</v>
      </c>
      <c r="E456" t="str">
        <f>HYPERLINK("http://exon.niaid.nih.gov/transcriptome/C_felis/S1/links/cf/cf-5-36-asb-486.txt","Contig-486")</f>
        <v>Contig-486</v>
      </c>
      <c r="F456" t="str">
        <f>HYPERLINK("http://exon.niaid.nih.gov/transcriptome/C_felis/S1/links/cf/cf-5-36-486-CLU.txt","Contig486")</f>
        <v>Contig486</v>
      </c>
      <c r="G456" t="str">
        <f>HYPERLINK("http://exon.niaid.nih.gov/transcriptome/C_felis/S1/links/cf/cf-5-36-486-qual.txt","27.5")</f>
        <v>27.5</v>
      </c>
      <c r="H456">
        <v>1.8</v>
      </c>
      <c r="I456">
        <v>66.7</v>
      </c>
      <c r="J456">
        <v>95</v>
      </c>
      <c r="K456" t="s">
        <v>12</v>
      </c>
      <c r="L456">
        <v>1</v>
      </c>
      <c r="M456" t="s">
        <v>499</v>
      </c>
      <c r="N456">
        <v>95</v>
      </c>
      <c r="O456">
        <v>114</v>
      </c>
      <c r="P456">
        <v>66</v>
      </c>
      <c r="Q456" t="s">
        <v>1305</v>
      </c>
      <c r="R456">
        <v>2</v>
      </c>
      <c r="S456" s="7" t="s">
        <v>4585</v>
      </c>
      <c r="U456">
        <v>1</v>
      </c>
      <c r="V456" s="4">
        <v>396</v>
      </c>
      <c r="W456">
        <v>1</v>
      </c>
      <c r="X456" s="4">
        <v>405</v>
      </c>
      <c r="Y456">
        <v>1</v>
      </c>
      <c r="Z456" s="4">
        <v>410</v>
      </c>
      <c r="AA456">
        <v>1</v>
      </c>
      <c r="AB456" s="4" t="str">
        <f>HYPERLINK("http://exon.niaid.nih.gov/transcriptome/C_felis/S1/links/XC-ASB/cf-contig_486-XC-ASB.txt","XC-contig_133")</f>
        <v>XC-contig_133</v>
      </c>
      <c r="AC456">
        <v>0.66</v>
      </c>
      <c r="AD456" s="10" t="s">
        <v>4600</v>
      </c>
      <c r="AE456" t="s">
        <v>4601</v>
      </c>
      <c r="AI456" s="4" t="s">
        <v>42</v>
      </c>
      <c r="AJ456" t="s">
        <v>42</v>
      </c>
      <c r="AK456" t="s">
        <v>42</v>
      </c>
      <c r="AL456" t="s">
        <v>42</v>
      </c>
      <c r="AM456" t="s">
        <v>42</v>
      </c>
      <c r="AN456" t="s">
        <v>42</v>
      </c>
      <c r="AO456" t="s">
        <v>42</v>
      </c>
      <c r="AP456" t="s">
        <v>42</v>
      </c>
      <c r="AQ456" t="s">
        <v>42</v>
      </c>
      <c r="AR456" t="s">
        <v>42</v>
      </c>
      <c r="AS456" t="s">
        <v>42</v>
      </c>
      <c r="AT456" t="s">
        <v>42</v>
      </c>
      <c r="AU456" t="s">
        <v>42</v>
      </c>
      <c r="AV456" t="s">
        <v>42</v>
      </c>
      <c r="AW456" t="s">
        <v>42</v>
      </c>
      <c r="AX456" t="s">
        <v>42</v>
      </c>
      <c r="AY456" t="s">
        <v>42</v>
      </c>
      <c r="AZ456" t="s">
        <v>42</v>
      </c>
      <c r="BA456" s="4" t="str">
        <f>HYPERLINK("http://exon.niaid.nih.gov/transcriptome/C_felis/S1/links/SWISSP/cf-contig_486-SWISSP.txt","Protein A21")</f>
        <v>Protein A21</v>
      </c>
      <c r="BB456" t="str">
        <f>HYPERLINK("http://www.uniprot.org/uniprot/P33844","41")</f>
        <v>41</v>
      </c>
      <c r="BC456" t="s">
        <v>3436</v>
      </c>
      <c r="BD456">
        <v>26.9</v>
      </c>
      <c r="BE456">
        <v>22</v>
      </c>
      <c r="BF456">
        <v>117</v>
      </c>
      <c r="BG456">
        <v>47</v>
      </c>
      <c r="BH456">
        <v>20</v>
      </c>
      <c r="BI456">
        <v>12</v>
      </c>
      <c r="BJ456">
        <v>0</v>
      </c>
      <c r="BK456">
        <v>4</v>
      </c>
      <c r="BL456">
        <v>12</v>
      </c>
      <c r="BM456">
        <v>1</v>
      </c>
      <c r="BN456">
        <v>-2</v>
      </c>
      <c r="BO456" t="s">
        <v>12</v>
      </c>
      <c r="BQ456" t="s">
        <v>1666</v>
      </c>
      <c r="BR456" t="s">
        <v>3437</v>
      </c>
      <c r="BS456" s="4" t="str">
        <f>HYPERLINK("http://exon.niaid.nih.gov/transcriptome/C_felis/S1/links/CDD/cf-contig_486-CDD.txt","PHA03045")</f>
        <v>PHA03045</v>
      </c>
      <c r="BT456" t="str">
        <f>HYPERLINK("http://www.ncbi.nlm.nih.gov/Structure/cdd/cddsrv.cgi?uid=PHA03045&amp;version=v4.0","0.14")</f>
        <v>0.14</v>
      </c>
      <c r="BU456" t="s">
        <v>3438</v>
      </c>
      <c r="BV456" s="4" t="s">
        <v>42</v>
      </c>
      <c r="BW456" t="s">
        <v>42</v>
      </c>
      <c r="BX456" t="s">
        <v>42</v>
      </c>
      <c r="BY456" t="s">
        <v>42</v>
      </c>
      <c r="BZ456" t="s">
        <v>42</v>
      </c>
      <c r="CA456" t="s">
        <v>42</v>
      </c>
      <c r="CB456" t="s">
        <v>42</v>
      </c>
      <c r="CC456" t="s">
        <v>42</v>
      </c>
      <c r="CD456" t="s">
        <v>42</v>
      </c>
      <c r="CE456" t="s">
        <v>42</v>
      </c>
      <c r="CF456" t="s">
        <v>42</v>
      </c>
      <c r="CG456" t="s">
        <v>42</v>
      </c>
      <c r="CH456" t="s">
        <v>42</v>
      </c>
      <c r="CI456" t="s">
        <v>42</v>
      </c>
      <c r="CJ456" t="s">
        <v>42</v>
      </c>
      <c r="CK456" t="s">
        <v>42</v>
      </c>
      <c r="CL456" t="s">
        <v>42</v>
      </c>
      <c r="CM456" t="s">
        <v>42</v>
      </c>
      <c r="CN456" t="s">
        <v>42</v>
      </c>
      <c r="CO456" t="s">
        <v>42</v>
      </c>
      <c r="CP456" t="s">
        <v>42</v>
      </c>
      <c r="CQ456" t="s">
        <v>42</v>
      </c>
      <c r="CR456" t="s">
        <v>42</v>
      </c>
      <c r="CS456" s="4" t="s">
        <v>42</v>
      </c>
      <c r="CT456" t="s">
        <v>42</v>
      </c>
      <c r="CU456" t="s">
        <v>42</v>
      </c>
      <c r="CV456" s="4" t="str">
        <f>HYPERLINK("http://exon.niaid.nih.gov/transcriptome/C_felis/S1/links/PFAM/cf-contig_486-PFAM.txt","Pox_A21")</f>
        <v>Pox_A21</v>
      </c>
      <c r="CW456" t="str">
        <f>HYPERLINK("http://pfam.sanger.ac.uk/family?acc=PF05323","0.043")</f>
        <v>0.043</v>
      </c>
      <c r="CX456" s="4" t="str">
        <f>HYPERLINK("http://exon.niaid.nih.gov/transcriptome/C_felis/S1/links/SMART/cf-contig_486-SMART.txt","YccV-like")</f>
        <v>YccV-like</v>
      </c>
      <c r="CY456" t="str">
        <f>HYPERLINK("http://smart.embl-heidelberg.de/smart/do_annotation.pl?DOMAIN=YccV-like&amp;BLAST=DUMMY","1.4")</f>
        <v>1.4</v>
      </c>
      <c r="CZ456" s="4" t="s">
        <v>42</v>
      </c>
      <c r="DA456" t="s">
        <v>42</v>
      </c>
      <c r="DB456" t="s">
        <v>42</v>
      </c>
      <c r="DC456" t="s">
        <v>42</v>
      </c>
      <c r="DD456" t="s">
        <v>42</v>
      </c>
      <c r="DE456" t="s">
        <v>42</v>
      </c>
      <c r="DF456" t="s">
        <v>42</v>
      </c>
      <c r="DG456" t="s">
        <v>42</v>
      </c>
      <c r="DH456" s="4" t="s">
        <v>42</v>
      </c>
      <c r="DI456" t="s">
        <v>42</v>
      </c>
      <c r="DJ456" s="4" t="s">
        <v>42</v>
      </c>
      <c r="DK456" t="s">
        <v>42</v>
      </c>
      <c r="DL456" s="4">
        <v>396</v>
      </c>
      <c r="DM456">
        <v>1</v>
      </c>
      <c r="DN456" s="4">
        <v>405</v>
      </c>
      <c r="DO456">
        <v>1</v>
      </c>
      <c r="DP456" s="4">
        <v>410</v>
      </c>
      <c r="DQ456">
        <v>1</v>
      </c>
      <c r="DR456" s="4">
        <v>425</v>
      </c>
      <c r="DS456">
        <v>1</v>
      </c>
      <c r="DT456" s="4">
        <v>435</v>
      </c>
      <c r="DU456">
        <v>1</v>
      </c>
      <c r="DV456" s="4">
        <v>449</v>
      </c>
      <c r="DW456">
        <v>1</v>
      </c>
      <c r="DX456" s="4">
        <v>453</v>
      </c>
      <c r="DY456">
        <v>1</v>
      </c>
      <c r="DZ456" s="4">
        <v>460</v>
      </c>
      <c r="EA456">
        <v>1</v>
      </c>
      <c r="EB456" s="4">
        <v>465</v>
      </c>
      <c r="EC456">
        <v>1</v>
      </c>
      <c r="ED456" s="4">
        <v>469</v>
      </c>
      <c r="EE456">
        <v>1</v>
      </c>
      <c r="EF456" s="4">
        <v>474</v>
      </c>
      <c r="EG456">
        <v>1</v>
      </c>
      <c r="EH456" s="4">
        <v>480</v>
      </c>
      <c r="EI456">
        <v>1</v>
      </c>
      <c r="EJ456" s="4">
        <v>486</v>
      </c>
      <c r="EK456">
        <v>1</v>
      </c>
    </row>
    <row r="457" spans="1:141" x14ac:dyDescent="0.2">
      <c r="A457" t="str">
        <f>HYPERLINK("http://exon.niaid.nih.gov/transcriptome/C_felis/S1/links/cf/cf-contig_493.txt","cf-contig_493")</f>
        <v>cf-contig_493</v>
      </c>
      <c r="B457">
        <v>1</v>
      </c>
      <c r="C457" s="10" t="s">
        <v>4600</v>
      </c>
      <c r="D457">
        <v>1</v>
      </c>
      <c r="E457" t="str">
        <f>HYPERLINK("http://exon.niaid.nih.gov/transcriptome/C_felis/S1/links/cf/cf-5-36-asb-493.txt","Contig-493")</f>
        <v>Contig-493</v>
      </c>
      <c r="F457" t="str">
        <f>HYPERLINK("http://exon.niaid.nih.gov/transcriptome/C_felis/S1/links/cf/cf-5-36-493-CLU.txt","Contig493")</f>
        <v>Contig493</v>
      </c>
      <c r="G457" t="str">
        <f>HYPERLINK("http://exon.niaid.nih.gov/transcriptome/C_felis/S1/links/cf/cf-5-36-493-qual.txt","44.5")</f>
        <v>44.5</v>
      </c>
      <c r="H457">
        <v>2</v>
      </c>
      <c r="I457">
        <v>61.8</v>
      </c>
      <c r="J457">
        <v>83</v>
      </c>
      <c r="K457" t="s">
        <v>12</v>
      </c>
      <c r="L457">
        <v>1</v>
      </c>
      <c r="M457" t="s">
        <v>506</v>
      </c>
      <c r="N457">
        <v>83</v>
      </c>
      <c r="O457">
        <v>102</v>
      </c>
      <c r="P457">
        <v>99</v>
      </c>
      <c r="Q457" t="s">
        <v>1312</v>
      </c>
      <c r="R457">
        <v>2</v>
      </c>
      <c r="S457" s="7" t="s">
        <v>4585</v>
      </c>
      <c r="U457">
        <v>1</v>
      </c>
      <c r="V457" s="4">
        <v>401</v>
      </c>
      <c r="W457">
        <v>1</v>
      </c>
      <c r="X457" s="4">
        <v>410</v>
      </c>
      <c r="Y457">
        <v>1</v>
      </c>
      <c r="Z457" s="4">
        <v>415</v>
      </c>
      <c r="AA457">
        <v>1</v>
      </c>
      <c r="AB457" s="4" t="str">
        <f>HYPERLINK("http://exon.niaid.nih.gov/transcriptome/C_felis/S1/links/XC-ASB/cf-contig_493-XC-ASB.txt","XC-contig_72")</f>
        <v>XC-contig_72</v>
      </c>
      <c r="AC457">
        <v>0.05</v>
      </c>
      <c r="AD457" s="10" t="s">
        <v>4600</v>
      </c>
      <c r="AE457" t="s">
        <v>4601</v>
      </c>
      <c r="AI457" s="4" t="s">
        <v>42</v>
      </c>
      <c r="AJ457" t="s">
        <v>42</v>
      </c>
      <c r="AK457" t="s">
        <v>42</v>
      </c>
      <c r="AL457" t="s">
        <v>42</v>
      </c>
      <c r="AM457" t="s">
        <v>42</v>
      </c>
      <c r="AN457" t="s">
        <v>42</v>
      </c>
      <c r="AO457" t="s">
        <v>42</v>
      </c>
      <c r="AP457" t="s">
        <v>42</v>
      </c>
      <c r="AQ457" t="s">
        <v>42</v>
      </c>
      <c r="AR457" t="s">
        <v>42</v>
      </c>
      <c r="AS457" t="s">
        <v>42</v>
      </c>
      <c r="AT457" t="s">
        <v>42</v>
      </c>
      <c r="AU457" t="s">
        <v>42</v>
      </c>
      <c r="AV457" t="s">
        <v>42</v>
      </c>
      <c r="AW457" t="s">
        <v>42</v>
      </c>
      <c r="AX457" t="s">
        <v>42</v>
      </c>
      <c r="AY457" t="s">
        <v>42</v>
      </c>
      <c r="AZ457" t="s">
        <v>42</v>
      </c>
      <c r="BA457" s="4" t="s">
        <v>42</v>
      </c>
      <c r="BB457" t="s">
        <v>42</v>
      </c>
      <c r="BC457" t="s">
        <v>42</v>
      </c>
      <c r="BD457" t="s">
        <v>42</v>
      </c>
      <c r="BE457" t="s">
        <v>42</v>
      </c>
      <c r="BF457" t="s">
        <v>42</v>
      </c>
      <c r="BG457" t="s">
        <v>42</v>
      </c>
      <c r="BH457" t="s">
        <v>42</v>
      </c>
      <c r="BI457" t="s">
        <v>42</v>
      </c>
      <c r="BJ457" t="s">
        <v>42</v>
      </c>
      <c r="BK457" t="s">
        <v>42</v>
      </c>
      <c r="BL457" t="s">
        <v>42</v>
      </c>
      <c r="BM457" t="s">
        <v>42</v>
      </c>
      <c r="BN457" t="s">
        <v>42</v>
      </c>
      <c r="BO457" t="s">
        <v>42</v>
      </c>
      <c r="BP457" t="s">
        <v>42</v>
      </c>
      <c r="BQ457" t="s">
        <v>42</v>
      </c>
      <c r="BR457" t="s">
        <v>42</v>
      </c>
      <c r="BS457" s="4" t="str">
        <f>HYPERLINK("http://exon.niaid.nih.gov/transcriptome/C_felis/S1/links/CDD/cf-contig_493-CDD.txt","DNA_pack_C")</f>
        <v>DNA_pack_C</v>
      </c>
      <c r="BT457" t="str">
        <f>HYPERLINK("http://www.ncbi.nlm.nih.gov/Structure/cdd/cddsrv.cgi?uid=pfam02499&amp;version=v4.0","1.8")</f>
        <v>1.8</v>
      </c>
      <c r="BU457" t="s">
        <v>3471</v>
      </c>
      <c r="BV457" s="4" t="s">
        <v>42</v>
      </c>
      <c r="BW457" t="s">
        <v>42</v>
      </c>
      <c r="BX457" t="s">
        <v>42</v>
      </c>
      <c r="BY457" t="s">
        <v>42</v>
      </c>
      <c r="BZ457" t="s">
        <v>42</v>
      </c>
      <c r="CA457" t="s">
        <v>42</v>
      </c>
      <c r="CB457" t="s">
        <v>42</v>
      </c>
      <c r="CC457" t="s">
        <v>42</v>
      </c>
      <c r="CD457" t="s">
        <v>42</v>
      </c>
      <c r="CE457" t="s">
        <v>42</v>
      </c>
      <c r="CF457" t="s">
        <v>42</v>
      </c>
      <c r="CG457" t="s">
        <v>42</v>
      </c>
      <c r="CH457" t="s">
        <v>42</v>
      </c>
      <c r="CI457" t="s">
        <v>42</v>
      </c>
      <c r="CJ457" t="s">
        <v>42</v>
      </c>
      <c r="CK457" t="s">
        <v>42</v>
      </c>
      <c r="CL457" t="s">
        <v>42</v>
      </c>
      <c r="CM457" t="s">
        <v>42</v>
      </c>
      <c r="CN457" t="s">
        <v>42</v>
      </c>
      <c r="CO457" t="s">
        <v>42</v>
      </c>
      <c r="CP457" t="s">
        <v>42</v>
      </c>
      <c r="CQ457" t="s">
        <v>42</v>
      </c>
      <c r="CR457" t="s">
        <v>42</v>
      </c>
      <c r="CS457" s="4" t="str">
        <f>HYPERLINK("http://exon.niaid.nih.gov/transcriptome/C_felis/S1/links/KOG/cf-contig_493-KOG.txt","Multifunctional pyrimidine synthesis protein CAD (includes carbamoyl-phophate synthetase, aspartate transcarbamylase, and glutamine amidotransferase)")</f>
        <v>Multifunctional pyrimidine synthesis protein CAD (includes carbamoyl-phophate synthetase, aspartate transcarbamylase, and glutamine amidotransferase)</v>
      </c>
      <c r="CT457" t="str">
        <f>HYPERLINK("http://www.ncbi.nlm.nih.gov/COG/grace/shokog.cgi?KOG0370","10.0")</f>
        <v>10.0</v>
      </c>
      <c r="CU457" t="s">
        <v>1721</v>
      </c>
      <c r="CV457" s="4" t="str">
        <f>HYPERLINK("http://exon.niaid.nih.gov/transcriptome/C_felis/S1/links/PFAM/cf-contig_493-PFAM.txt","DNA_pack_C")</f>
        <v>DNA_pack_C</v>
      </c>
      <c r="CW457" t="str">
        <f>HYPERLINK("http://pfam.sanger.ac.uk/family?acc=PF02499","0.39")</f>
        <v>0.39</v>
      </c>
      <c r="CX457" s="4" t="str">
        <f>HYPERLINK("http://exon.niaid.nih.gov/transcriptome/C_felis/S1/links/SMART/cf-contig_493-SMART.txt","TR_FER")</f>
        <v>TR_FER</v>
      </c>
      <c r="CY457" t="str">
        <f>HYPERLINK("http://smart.embl-heidelberg.de/smart/do_annotation.pl?DOMAIN=TR_FER&amp;BLAST=DUMMY","1.3")</f>
        <v>1.3</v>
      </c>
      <c r="CZ457" s="4" t="s">
        <v>42</v>
      </c>
      <c r="DA457" t="s">
        <v>42</v>
      </c>
      <c r="DB457" t="s">
        <v>42</v>
      </c>
      <c r="DC457" t="s">
        <v>42</v>
      </c>
      <c r="DD457" t="s">
        <v>42</v>
      </c>
      <c r="DE457" t="s">
        <v>42</v>
      </c>
      <c r="DF457" t="s">
        <v>42</v>
      </c>
      <c r="DG457" t="s">
        <v>42</v>
      </c>
      <c r="DH457" s="4" t="s">
        <v>42</v>
      </c>
      <c r="DI457" t="s">
        <v>42</v>
      </c>
      <c r="DJ457" s="4" t="s">
        <v>42</v>
      </c>
      <c r="DK457" t="s">
        <v>42</v>
      </c>
      <c r="DL457" s="4">
        <v>401</v>
      </c>
      <c r="DM457">
        <v>1</v>
      </c>
      <c r="DN457" s="4">
        <v>410</v>
      </c>
      <c r="DO457">
        <v>1</v>
      </c>
      <c r="DP457" s="4">
        <v>415</v>
      </c>
      <c r="DQ457">
        <v>1</v>
      </c>
      <c r="DR457" s="4">
        <v>430</v>
      </c>
      <c r="DS457">
        <v>1</v>
      </c>
      <c r="DT457" s="4">
        <v>440</v>
      </c>
      <c r="DU457">
        <v>1</v>
      </c>
      <c r="DV457" s="4">
        <v>454</v>
      </c>
      <c r="DW457">
        <v>1</v>
      </c>
      <c r="DX457" s="4">
        <v>460</v>
      </c>
      <c r="DY457">
        <v>1</v>
      </c>
      <c r="DZ457" s="4">
        <v>467</v>
      </c>
      <c r="EA457">
        <v>1</v>
      </c>
      <c r="EB457" s="4">
        <v>472</v>
      </c>
      <c r="EC457">
        <v>1</v>
      </c>
      <c r="ED457" s="4">
        <v>476</v>
      </c>
      <c r="EE457">
        <v>1</v>
      </c>
      <c r="EF457" s="4">
        <v>481</v>
      </c>
      <c r="EG457">
        <v>1</v>
      </c>
      <c r="EH457" s="4">
        <v>487</v>
      </c>
      <c r="EI457">
        <v>1</v>
      </c>
      <c r="EJ457" s="4">
        <v>493</v>
      </c>
      <c r="EK457">
        <v>1</v>
      </c>
    </row>
    <row r="458" spans="1:141" x14ac:dyDescent="0.2">
      <c r="A458" t="str">
        <f>HYPERLINK("http://exon.niaid.nih.gov/transcriptome/C_felis/S1/links/cf/cf-contig_494.txt","cf-contig_494")</f>
        <v>cf-contig_494</v>
      </c>
      <c r="B458">
        <v>1</v>
      </c>
      <c r="C458" s="10" t="s">
        <v>4600</v>
      </c>
      <c r="D458">
        <v>1</v>
      </c>
      <c r="E458" t="str">
        <f>HYPERLINK("http://exon.niaid.nih.gov/transcriptome/C_felis/S1/links/cf/cf-5-36-asb-494.txt","Contig-494")</f>
        <v>Contig-494</v>
      </c>
      <c r="F458" t="str">
        <f>HYPERLINK("http://exon.niaid.nih.gov/transcriptome/C_felis/S1/links/cf/cf-5-36-494-CLU.txt","Contig494")</f>
        <v>Contig494</v>
      </c>
      <c r="G458" t="str">
        <f>HYPERLINK("http://exon.niaid.nih.gov/transcriptome/C_felis/S1/links/cf/cf-5-36-494-qual.txt","21.")</f>
        <v>21.</v>
      </c>
      <c r="H458">
        <v>2.1</v>
      </c>
      <c r="I458">
        <v>76</v>
      </c>
      <c r="J458">
        <v>77</v>
      </c>
      <c r="K458" t="s">
        <v>12</v>
      </c>
      <c r="L458">
        <v>1</v>
      </c>
      <c r="M458" t="s">
        <v>507</v>
      </c>
      <c r="N458">
        <v>77</v>
      </c>
      <c r="O458">
        <v>96</v>
      </c>
      <c r="P458">
        <v>66</v>
      </c>
      <c r="Q458" t="s">
        <v>1313</v>
      </c>
      <c r="R458">
        <v>1</v>
      </c>
      <c r="S458" s="7" t="s">
        <v>4585</v>
      </c>
      <c r="U458">
        <v>1</v>
      </c>
      <c r="V458" s="4">
        <v>402</v>
      </c>
      <c r="W458">
        <v>1</v>
      </c>
      <c r="X458" s="4">
        <v>411</v>
      </c>
      <c r="Y458">
        <v>1</v>
      </c>
      <c r="Z458" s="4">
        <v>416</v>
      </c>
      <c r="AA458">
        <v>1</v>
      </c>
      <c r="AB458" s="4" t="str">
        <f>HYPERLINK("http://exon.niaid.nih.gov/transcriptome/C_felis/S1/links/XC-ASB/cf-contig_494-XC-ASB.txt","XC-contig_191")</f>
        <v>XC-contig_191</v>
      </c>
      <c r="AC458">
        <v>0.34</v>
      </c>
      <c r="AD458" s="10" t="s">
        <v>4600</v>
      </c>
      <c r="AE458" t="s">
        <v>4601</v>
      </c>
      <c r="AI458" s="4" t="s">
        <v>42</v>
      </c>
      <c r="AJ458" t="s">
        <v>42</v>
      </c>
      <c r="AK458" t="s">
        <v>42</v>
      </c>
      <c r="AL458" t="s">
        <v>42</v>
      </c>
      <c r="AM458" t="s">
        <v>42</v>
      </c>
      <c r="AN458" t="s">
        <v>42</v>
      </c>
      <c r="AO458" t="s">
        <v>42</v>
      </c>
      <c r="AP458" t="s">
        <v>42</v>
      </c>
      <c r="AQ458" t="s">
        <v>42</v>
      </c>
      <c r="AR458" t="s">
        <v>42</v>
      </c>
      <c r="AS458" t="s">
        <v>42</v>
      </c>
      <c r="AT458" t="s">
        <v>42</v>
      </c>
      <c r="AU458" t="s">
        <v>42</v>
      </c>
      <c r="AV458" t="s">
        <v>42</v>
      </c>
      <c r="AW458" t="s">
        <v>42</v>
      </c>
      <c r="AX458" t="s">
        <v>42</v>
      </c>
      <c r="AY458" t="s">
        <v>42</v>
      </c>
      <c r="AZ458" t="s">
        <v>42</v>
      </c>
      <c r="BA458" s="4" t="s">
        <v>42</v>
      </c>
      <c r="BB458" t="s">
        <v>42</v>
      </c>
      <c r="BC458" t="s">
        <v>42</v>
      </c>
      <c r="BD458" t="s">
        <v>42</v>
      </c>
      <c r="BE458" t="s">
        <v>42</v>
      </c>
      <c r="BF458" t="s">
        <v>42</v>
      </c>
      <c r="BG458" t="s">
        <v>42</v>
      </c>
      <c r="BH458" t="s">
        <v>42</v>
      </c>
      <c r="BI458" t="s">
        <v>42</v>
      </c>
      <c r="BJ458" t="s">
        <v>42</v>
      </c>
      <c r="BK458" t="s">
        <v>42</v>
      </c>
      <c r="BL458" t="s">
        <v>42</v>
      </c>
      <c r="BM458" t="s">
        <v>42</v>
      </c>
      <c r="BN458" t="s">
        <v>42</v>
      </c>
      <c r="BO458" t="s">
        <v>42</v>
      </c>
      <c r="BP458" t="s">
        <v>42</v>
      </c>
      <c r="BQ458" t="s">
        <v>42</v>
      </c>
      <c r="BR458" t="s">
        <v>42</v>
      </c>
      <c r="BS458" s="4" t="str">
        <f>HYPERLINK("http://exon.niaid.nih.gov/transcriptome/C_felis/S1/links/CDD/cf-contig_494-CDD.txt","TFIID_90kDa")</f>
        <v>TFIID_90kDa</v>
      </c>
      <c r="BT458" t="str">
        <f>HYPERLINK("http://www.ncbi.nlm.nih.gov/Structure/cdd/cddsrv.cgi?uid=pfam04494&amp;version=v4.0","1.5")</f>
        <v>1.5</v>
      </c>
      <c r="BU458" t="s">
        <v>3472</v>
      </c>
      <c r="BV458" s="4" t="s">
        <v>42</v>
      </c>
      <c r="BW458" t="s">
        <v>42</v>
      </c>
      <c r="BX458" t="s">
        <v>42</v>
      </c>
      <c r="BY458" t="s">
        <v>42</v>
      </c>
      <c r="BZ458" t="s">
        <v>42</v>
      </c>
      <c r="CA458" t="s">
        <v>42</v>
      </c>
      <c r="CB458" t="s">
        <v>42</v>
      </c>
      <c r="CC458" t="s">
        <v>42</v>
      </c>
      <c r="CD458" t="s">
        <v>42</v>
      </c>
      <c r="CE458" t="s">
        <v>42</v>
      </c>
      <c r="CF458" t="s">
        <v>42</v>
      </c>
      <c r="CG458" t="s">
        <v>42</v>
      </c>
      <c r="CH458" t="s">
        <v>42</v>
      </c>
      <c r="CI458" t="s">
        <v>42</v>
      </c>
      <c r="CJ458" t="s">
        <v>42</v>
      </c>
      <c r="CK458" t="s">
        <v>42</v>
      </c>
      <c r="CL458" t="s">
        <v>42</v>
      </c>
      <c r="CM458" t="s">
        <v>42</v>
      </c>
      <c r="CN458" t="s">
        <v>42</v>
      </c>
      <c r="CO458" t="s">
        <v>42</v>
      </c>
      <c r="CP458" t="s">
        <v>42</v>
      </c>
      <c r="CQ458" t="s">
        <v>42</v>
      </c>
      <c r="CR458" t="s">
        <v>42</v>
      </c>
      <c r="CS458" s="4" t="s">
        <v>42</v>
      </c>
      <c r="CT458" t="s">
        <v>42</v>
      </c>
      <c r="CU458" t="s">
        <v>42</v>
      </c>
      <c r="CV458" s="4" t="str">
        <f>HYPERLINK("http://exon.niaid.nih.gov/transcriptome/C_felis/S1/links/PFAM/cf-contig_494-PFAM.txt","TFIID_90kDa")</f>
        <v>TFIID_90kDa</v>
      </c>
      <c r="CW458" t="str">
        <f>HYPERLINK("http://pfam.sanger.ac.uk/family?acc=PF04494","0.32")</f>
        <v>0.32</v>
      </c>
      <c r="CX458" s="4" t="str">
        <f>HYPERLINK("http://exon.niaid.nih.gov/transcriptome/C_felis/S1/links/SMART/cf-contig_494-SMART.txt","Gal-bind_lectin")</f>
        <v>Gal-bind_lectin</v>
      </c>
      <c r="CY458" t="str">
        <f>HYPERLINK("http://smart.embl-heidelberg.de/smart/do_annotation.pl?DOMAIN=Gal-bind_lectin&amp;BLAST=DUMMY","0.47")</f>
        <v>0.47</v>
      </c>
      <c r="CZ458" s="4" t="s">
        <v>42</v>
      </c>
      <c r="DA458" t="s">
        <v>42</v>
      </c>
      <c r="DB458" t="s">
        <v>42</v>
      </c>
      <c r="DC458" t="s">
        <v>42</v>
      </c>
      <c r="DD458" t="s">
        <v>42</v>
      </c>
      <c r="DE458" t="s">
        <v>42</v>
      </c>
      <c r="DF458" t="s">
        <v>42</v>
      </c>
      <c r="DG458" t="s">
        <v>42</v>
      </c>
      <c r="DH458" s="4" t="s">
        <v>42</v>
      </c>
      <c r="DI458" t="s">
        <v>42</v>
      </c>
      <c r="DJ458" s="4" t="s">
        <v>42</v>
      </c>
      <c r="DK458" t="s">
        <v>42</v>
      </c>
      <c r="DL458" s="4">
        <v>402</v>
      </c>
      <c r="DM458">
        <v>1</v>
      </c>
      <c r="DN458" s="4">
        <v>411</v>
      </c>
      <c r="DO458">
        <v>1</v>
      </c>
      <c r="DP458" s="4">
        <v>416</v>
      </c>
      <c r="DQ458">
        <v>1</v>
      </c>
      <c r="DR458" s="4">
        <v>431</v>
      </c>
      <c r="DS458">
        <v>1</v>
      </c>
      <c r="DT458" s="4">
        <v>441</v>
      </c>
      <c r="DU458">
        <v>1</v>
      </c>
      <c r="DV458" s="4">
        <v>455</v>
      </c>
      <c r="DW458">
        <v>1</v>
      </c>
      <c r="DX458" s="4">
        <v>461</v>
      </c>
      <c r="DY458">
        <v>1</v>
      </c>
      <c r="DZ458" s="4">
        <v>468</v>
      </c>
      <c r="EA458">
        <v>1</v>
      </c>
      <c r="EB458" s="4">
        <v>473</v>
      </c>
      <c r="EC458">
        <v>1</v>
      </c>
      <c r="ED458" s="4">
        <v>477</v>
      </c>
      <c r="EE458">
        <v>1</v>
      </c>
      <c r="EF458" s="4">
        <v>482</v>
      </c>
      <c r="EG458">
        <v>1</v>
      </c>
      <c r="EH458" s="4">
        <v>488</v>
      </c>
      <c r="EI458">
        <v>1</v>
      </c>
      <c r="EJ458" s="4">
        <v>494</v>
      </c>
      <c r="EK458">
        <v>1</v>
      </c>
    </row>
    <row r="459" spans="1:141" x14ac:dyDescent="0.2">
      <c r="A459" t="str">
        <f>HYPERLINK("http://exon.niaid.nih.gov/transcriptome/C_felis/S1/links/cf/cf-contig_495.txt","cf-contig_495")</f>
        <v>cf-contig_495</v>
      </c>
      <c r="B459">
        <v>1</v>
      </c>
      <c r="C459" s="10" t="s">
        <v>4600</v>
      </c>
      <c r="D459">
        <v>1</v>
      </c>
      <c r="E459" t="str">
        <f>HYPERLINK("http://exon.niaid.nih.gov/transcriptome/C_felis/S1/links/cf/cf-5-36-asb-495.txt","Contig-495")</f>
        <v>Contig-495</v>
      </c>
      <c r="F459" t="str">
        <f>HYPERLINK("http://exon.niaid.nih.gov/transcriptome/C_felis/S1/links/cf/cf-5-36-495-CLU.txt","Contig495")</f>
        <v>Contig495</v>
      </c>
      <c r="G459" t="str">
        <f>HYPERLINK("http://exon.niaid.nih.gov/transcriptome/C_felis/S1/links/cf/cf-5-36-495-qual.txt","43.1")</f>
        <v>43.1</v>
      </c>
      <c r="H459">
        <v>1</v>
      </c>
      <c r="I459">
        <v>75.2</v>
      </c>
      <c r="J459">
        <v>82</v>
      </c>
      <c r="K459" t="s">
        <v>12</v>
      </c>
      <c r="L459">
        <v>1</v>
      </c>
      <c r="M459" t="s">
        <v>508</v>
      </c>
      <c r="N459">
        <v>82</v>
      </c>
      <c r="O459">
        <v>101</v>
      </c>
      <c r="P459">
        <v>63</v>
      </c>
      <c r="Q459" t="s">
        <v>1314</v>
      </c>
      <c r="R459">
        <v>2</v>
      </c>
      <c r="S459" s="7" t="s">
        <v>4585</v>
      </c>
      <c r="U459">
        <v>1</v>
      </c>
      <c r="V459" s="4">
        <v>403</v>
      </c>
      <c r="W459">
        <v>1</v>
      </c>
      <c r="X459" s="4">
        <v>412</v>
      </c>
      <c r="Y459">
        <v>1</v>
      </c>
      <c r="Z459" s="4">
        <v>417</v>
      </c>
      <c r="AA459">
        <v>1</v>
      </c>
      <c r="AB459" s="4" t="str">
        <f>HYPERLINK("http://exon.niaid.nih.gov/transcriptome/C_felis/S1/links/XC-ASB/cf-contig_495-XC-ASB.txt","XC-contig_15")</f>
        <v>XC-contig_15</v>
      </c>
      <c r="AC459">
        <v>0.57999999999999996</v>
      </c>
      <c r="AD459" s="10" t="s">
        <v>4600</v>
      </c>
      <c r="AE459" t="s">
        <v>4601</v>
      </c>
      <c r="AI459" s="4" t="s">
        <v>42</v>
      </c>
      <c r="AJ459" t="s">
        <v>42</v>
      </c>
      <c r="AK459" t="s">
        <v>42</v>
      </c>
      <c r="AL459" t="s">
        <v>42</v>
      </c>
      <c r="AM459" t="s">
        <v>42</v>
      </c>
      <c r="AN459" t="s">
        <v>42</v>
      </c>
      <c r="AO459" t="s">
        <v>42</v>
      </c>
      <c r="AP459" t="s">
        <v>42</v>
      </c>
      <c r="AQ459" t="s">
        <v>42</v>
      </c>
      <c r="AR459" t="s">
        <v>42</v>
      </c>
      <c r="AS459" t="s">
        <v>42</v>
      </c>
      <c r="AT459" t="s">
        <v>42</v>
      </c>
      <c r="AU459" t="s">
        <v>42</v>
      </c>
      <c r="AV459" t="s">
        <v>42</v>
      </c>
      <c r="AW459" t="s">
        <v>42</v>
      </c>
      <c r="AX459" t="s">
        <v>42</v>
      </c>
      <c r="AY459" t="s">
        <v>42</v>
      </c>
      <c r="AZ459" t="s">
        <v>42</v>
      </c>
      <c r="BA459" s="4" t="s">
        <v>42</v>
      </c>
      <c r="BB459" t="s">
        <v>42</v>
      </c>
      <c r="BC459" t="s">
        <v>42</v>
      </c>
      <c r="BD459" t="s">
        <v>42</v>
      </c>
      <c r="BE459" t="s">
        <v>42</v>
      </c>
      <c r="BF459" t="s">
        <v>42</v>
      </c>
      <c r="BG459" t="s">
        <v>42</v>
      </c>
      <c r="BH459" t="s">
        <v>42</v>
      </c>
      <c r="BI459" t="s">
        <v>42</v>
      </c>
      <c r="BJ459" t="s">
        <v>42</v>
      </c>
      <c r="BK459" t="s">
        <v>42</v>
      </c>
      <c r="BL459" t="s">
        <v>42</v>
      </c>
      <c r="BM459" t="s">
        <v>42</v>
      </c>
      <c r="BN459" t="s">
        <v>42</v>
      </c>
      <c r="BO459" t="s">
        <v>42</v>
      </c>
      <c r="BP459" t="s">
        <v>42</v>
      </c>
      <c r="BQ459" t="s">
        <v>42</v>
      </c>
      <c r="BR459" t="s">
        <v>42</v>
      </c>
      <c r="BS459" s="4" t="s">
        <v>42</v>
      </c>
      <c r="BT459" t="s">
        <v>42</v>
      </c>
      <c r="BU459" t="s">
        <v>42</v>
      </c>
      <c r="BV459" s="4" t="s">
        <v>42</v>
      </c>
      <c r="BW459" t="s">
        <v>42</v>
      </c>
      <c r="BX459" t="s">
        <v>42</v>
      </c>
      <c r="BY459" t="s">
        <v>42</v>
      </c>
      <c r="BZ459" t="s">
        <v>42</v>
      </c>
      <c r="CA459" t="s">
        <v>42</v>
      </c>
      <c r="CB459" t="s">
        <v>42</v>
      </c>
      <c r="CC459" t="s">
        <v>42</v>
      </c>
      <c r="CD459" t="s">
        <v>42</v>
      </c>
      <c r="CE459" t="s">
        <v>42</v>
      </c>
      <c r="CF459" t="s">
        <v>42</v>
      </c>
      <c r="CG459" t="s">
        <v>42</v>
      </c>
      <c r="CH459" t="s">
        <v>42</v>
      </c>
      <c r="CI459" t="s">
        <v>42</v>
      </c>
      <c r="CJ459" t="s">
        <v>42</v>
      </c>
      <c r="CK459" t="s">
        <v>42</v>
      </c>
      <c r="CL459" t="s">
        <v>42</v>
      </c>
      <c r="CM459" t="s">
        <v>42</v>
      </c>
      <c r="CN459" t="s">
        <v>42</v>
      </c>
      <c r="CO459" t="s">
        <v>42</v>
      </c>
      <c r="CP459" t="s">
        <v>42</v>
      </c>
      <c r="CQ459" t="s">
        <v>42</v>
      </c>
      <c r="CR459" t="s">
        <v>42</v>
      </c>
      <c r="CS459" s="4" t="s">
        <v>42</v>
      </c>
      <c r="CT459" t="s">
        <v>42</v>
      </c>
      <c r="CU459" t="s">
        <v>42</v>
      </c>
      <c r="CV459" s="4" t="s">
        <v>42</v>
      </c>
      <c r="CW459" t="s">
        <v>42</v>
      </c>
      <c r="CX459" s="4" t="str">
        <f>HYPERLINK("http://exon.niaid.nih.gov/transcriptome/C_felis/S1/links/SMART/cf-contig_495-SMART.txt","PI3K_p85B")</f>
        <v>PI3K_p85B</v>
      </c>
      <c r="CY459" t="str">
        <f>HYPERLINK("http://smart.embl-heidelberg.de/smart/do_annotation.pl?DOMAIN=PI3K_p85B&amp;BLAST=DUMMY","1.6")</f>
        <v>1.6</v>
      </c>
      <c r="CZ459" s="4" t="s">
        <v>42</v>
      </c>
      <c r="DA459" t="s">
        <v>42</v>
      </c>
      <c r="DB459" t="s">
        <v>42</v>
      </c>
      <c r="DC459" t="s">
        <v>42</v>
      </c>
      <c r="DD459" t="s">
        <v>42</v>
      </c>
      <c r="DE459" t="s">
        <v>42</v>
      </c>
      <c r="DF459" t="s">
        <v>42</v>
      </c>
      <c r="DG459" t="s">
        <v>42</v>
      </c>
      <c r="DH459" s="4" t="s">
        <v>42</v>
      </c>
      <c r="DI459" t="s">
        <v>42</v>
      </c>
      <c r="DJ459" s="4" t="s">
        <v>42</v>
      </c>
      <c r="DK459" t="s">
        <v>42</v>
      </c>
      <c r="DL459" s="4">
        <v>403</v>
      </c>
      <c r="DM459">
        <v>1</v>
      </c>
      <c r="DN459" s="4">
        <v>412</v>
      </c>
      <c r="DO459">
        <v>1</v>
      </c>
      <c r="DP459" s="4">
        <v>417</v>
      </c>
      <c r="DQ459">
        <v>1</v>
      </c>
      <c r="DR459" s="4">
        <v>432</v>
      </c>
      <c r="DS459">
        <v>1</v>
      </c>
      <c r="DT459" s="4">
        <v>442</v>
      </c>
      <c r="DU459">
        <v>1</v>
      </c>
      <c r="DV459" s="4">
        <v>456</v>
      </c>
      <c r="DW459">
        <v>1</v>
      </c>
      <c r="DX459" s="4">
        <v>462</v>
      </c>
      <c r="DY459">
        <v>1</v>
      </c>
      <c r="DZ459" s="4">
        <v>469</v>
      </c>
      <c r="EA459">
        <v>1</v>
      </c>
      <c r="EB459" s="4">
        <v>474</v>
      </c>
      <c r="EC459">
        <v>1</v>
      </c>
      <c r="ED459" s="4">
        <v>478</v>
      </c>
      <c r="EE459">
        <v>1</v>
      </c>
      <c r="EF459" s="4">
        <v>483</v>
      </c>
      <c r="EG459">
        <v>1</v>
      </c>
      <c r="EH459" s="4">
        <v>489</v>
      </c>
      <c r="EI459">
        <v>1</v>
      </c>
      <c r="EJ459" s="4">
        <v>495</v>
      </c>
      <c r="EK459">
        <v>1</v>
      </c>
    </row>
    <row r="460" spans="1:141" x14ac:dyDescent="0.2">
      <c r="A460" t="str">
        <f>HYPERLINK("http://exon.niaid.nih.gov/transcriptome/C_felis/S1/links/cf/cf-contig_496.txt","cf-contig_496")</f>
        <v>cf-contig_496</v>
      </c>
      <c r="B460">
        <v>1</v>
      </c>
      <c r="C460" s="10" t="s">
        <v>4600</v>
      </c>
      <c r="D460">
        <v>1</v>
      </c>
      <c r="E460" t="str">
        <f>HYPERLINK("http://exon.niaid.nih.gov/transcriptome/C_felis/S1/links/cf/cf-5-36-asb-496.txt","Contig-496")</f>
        <v>Contig-496</v>
      </c>
      <c r="F460" t="str">
        <f>HYPERLINK("http://exon.niaid.nih.gov/transcriptome/C_felis/S1/links/cf/cf-5-36-496-CLU.txt","Contig496")</f>
        <v>Contig496</v>
      </c>
      <c r="G460" t="str">
        <f>HYPERLINK("http://exon.niaid.nih.gov/transcriptome/C_felis/S1/links/cf/cf-5-36-496-qual.txt","36.9")</f>
        <v>36.9</v>
      </c>
      <c r="H460">
        <v>2.1</v>
      </c>
      <c r="I460">
        <v>59.9</v>
      </c>
      <c r="J460">
        <v>123</v>
      </c>
      <c r="K460" t="s">
        <v>12</v>
      </c>
      <c r="L460">
        <v>1</v>
      </c>
      <c r="M460" t="s">
        <v>509</v>
      </c>
      <c r="N460">
        <v>123</v>
      </c>
      <c r="O460">
        <v>142</v>
      </c>
      <c r="P460">
        <v>90</v>
      </c>
      <c r="Q460" t="s">
        <v>1315</v>
      </c>
      <c r="R460">
        <v>2</v>
      </c>
      <c r="S460" s="7" t="s">
        <v>4585</v>
      </c>
      <c r="U460">
        <v>1</v>
      </c>
      <c r="V460" s="4">
        <v>404</v>
      </c>
      <c r="W460">
        <v>1</v>
      </c>
      <c r="X460" s="4">
        <v>413</v>
      </c>
      <c r="Y460">
        <v>1</v>
      </c>
      <c r="Z460" s="4">
        <v>418</v>
      </c>
      <c r="AA460">
        <v>1</v>
      </c>
      <c r="AB460" s="4" t="str">
        <f>HYPERLINK("http://exon.niaid.nih.gov/transcriptome/C_felis/S1/links/XC-ASB/cf-contig_496-XC-ASB.txt","XC-contig_132")</f>
        <v>XC-contig_132</v>
      </c>
      <c r="AC460">
        <v>0.3</v>
      </c>
      <c r="AD460" s="10" t="s">
        <v>4600</v>
      </c>
      <c r="AE460" t="s">
        <v>4601</v>
      </c>
      <c r="AI460" s="4" t="s">
        <v>42</v>
      </c>
      <c r="AJ460" t="s">
        <v>42</v>
      </c>
      <c r="AK460" t="s">
        <v>42</v>
      </c>
      <c r="AL460" t="s">
        <v>42</v>
      </c>
      <c r="AM460" t="s">
        <v>42</v>
      </c>
      <c r="AN460" t="s">
        <v>42</v>
      </c>
      <c r="AO460" t="s">
        <v>42</v>
      </c>
      <c r="AP460" t="s">
        <v>42</v>
      </c>
      <c r="AQ460" t="s">
        <v>42</v>
      </c>
      <c r="AR460" t="s">
        <v>42</v>
      </c>
      <c r="AS460" t="s">
        <v>42</v>
      </c>
      <c r="AT460" t="s">
        <v>42</v>
      </c>
      <c r="AU460" t="s">
        <v>42</v>
      </c>
      <c r="AV460" t="s">
        <v>42</v>
      </c>
      <c r="AW460" t="s">
        <v>42</v>
      </c>
      <c r="AX460" t="s">
        <v>42</v>
      </c>
      <c r="AY460" t="s">
        <v>42</v>
      </c>
      <c r="AZ460" t="s">
        <v>42</v>
      </c>
      <c r="BA460" s="4" t="s">
        <v>42</v>
      </c>
      <c r="BB460" t="s">
        <v>42</v>
      </c>
      <c r="BC460" t="s">
        <v>42</v>
      </c>
      <c r="BD460" t="s">
        <v>42</v>
      </c>
      <c r="BE460" t="s">
        <v>42</v>
      </c>
      <c r="BF460" t="s">
        <v>42</v>
      </c>
      <c r="BG460" t="s">
        <v>42</v>
      </c>
      <c r="BH460" t="s">
        <v>42</v>
      </c>
      <c r="BI460" t="s">
        <v>42</v>
      </c>
      <c r="BJ460" t="s">
        <v>42</v>
      </c>
      <c r="BK460" t="s">
        <v>42</v>
      </c>
      <c r="BL460" t="s">
        <v>42</v>
      </c>
      <c r="BM460" t="s">
        <v>42</v>
      </c>
      <c r="BN460" t="s">
        <v>42</v>
      </c>
      <c r="BO460" t="s">
        <v>42</v>
      </c>
      <c r="BP460" t="s">
        <v>42</v>
      </c>
      <c r="BQ460" t="s">
        <v>42</v>
      </c>
      <c r="BR460" t="s">
        <v>42</v>
      </c>
      <c r="BS460" s="4" t="str">
        <f>HYPERLINK("http://exon.niaid.nih.gov/transcriptome/C_felis/S1/links/CDD/cf-contig_496-CDD.txt","TAF19")</f>
        <v>TAF19</v>
      </c>
      <c r="BT460" t="str">
        <f>HYPERLINK("http://www.ncbi.nlm.nih.gov/Structure/cdd/cddsrv.cgi?uid=COG5248&amp;version=v4.0","1.3")</f>
        <v>1.3</v>
      </c>
      <c r="BU460" t="s">
        <v>3473</v>
      </c>
      <c r="BV460" s="4" t="s">
        <v>42</v>
      </c>
      <c r="BW460" t="s">
        <v>42</v>
      </c>
      <c r="BX460" t="s">
        <v>42</v>
      </c>
      <c r="BY460" t="s">
        <v>42</v>
      </c>
      <c r="BZ460" t="s">
        <v>42</v>
      </c>
      <c r="CA460" t="s">
        <v>42</v>
      </c>
      <c r="CB460" t="s">
        <v>42</v>
      </c>
      <c r="CC460" t="s">
        <v>42</v>
      </c>
      <c r="CD460" t="s">
        <v>42</v>
      </c>
      <c r="CE460" t="s">
        <v>42</v>
      </c>
      <c r="CF460" t="s">
        <v>42</v>
      </c>
      <c r="CG460" t="s">
        <v>42</v>
      </c>
      <c r="CH460" t="s">
        <v>42</v>
      </c>
      <c r="CI460" t="s">
        <v>42</v>
      </c>
      <c r="CJ460" t="s">
        <v>42</v>
      </c>
      <c r="CK460" t="s">
        <v>42</v>
      </c>
      <c r="CL460" t="s">
        <v>42</v>
      </c>
      <c r="CM460" t="s">
        <v>42</v>
      </c>
      <c r="CN460" t="s">
        <v>42</v>
      </c>
      <c r="CO460" t="s">
        <v>42</v>
      </c>
      <c r="CP460" t="s">
        <v>42</v>
      </c>
      <c r="CQ460" t="s">
        <v>42</v>
      </c>
      <c r="CR460" t="s">
        <v>42</v>
      </c>
      <c r="CS460" s="4" t="str">
        <f>HYPERLINK("http://exon.niaid.nih.gov/transcriptome/C_felis/S1/links/KOG/cf-contig_496-KOG.txt","Sodium-neurotransmitter symporter")</f>
        <v>Sodium-neurotransmitter symporter</v>
      </c>
      <c r="CT460" t="str">
        <f>HYPERLINK("http://www.ncbi.nlm.nih.gov/COG/grace/shokog.cgi?KOG3659","0.58")</f>
        <v>0.58</v>
      </c>
      <c r="CU460" t="s">
        <v>1780</v>
      </c>
      <c r="CV460" s="4" t="str">
        <f>HYPERLINK("http://exon.niaid.nih.gov/transcriptome/C_felis/S1/links/PFAM/cf-contig_496-PFAM.txt","Het-C")</f>
        <v>Het-C</v>
      </c>
      <c r="CW460" t="str">
        <f>HYPERLINK("http://pfam.sanger.ac.uk/family?acc=PF07217","0.34")</f>
        <v>0.34</v>
      </c>
      <c r="CX460" s="4" t="str">
        <f>HYPERLINK("http://exon.niaid.nih.gov/transcriptome/C_felis/S1/links/SMART/cf-contig_496-SMART.txt","RhoGAP")</f>
        <v>RhoGAP</v>
      </c>
      <c r="CY460" t="str">
        <f>HYPERLINK("http://smart.embl-heidelberg.de/smart/do_annotation.pl?DOMAIN=RhoGAP&amp;BLAST=DUMMY","0.058")</f>
        <v>0.058</v>
      </c>
      <c r="CZ460" s="4" t="s">
        <v>42</v>
      </c>
      <c r="DA460" t="s">
        <v>42</v>
      </c>
      <c r="DB460" t="s">
        <v>42</v>
      </c>
      <c r="DC460" t="s">
        <v>42</v>
      </c>
      <c r="DD460" t="s">
        <v>42</v>
      </c>
      <c r="DE460" t="s">
        <v>42</v>
      </c>
      <c r="DF460" t="s">
        <v>42</v>
      </c>
      <c r="DG460" t="s">
        <v>42</v>
      </c>
      <c r="DH460" s="4" t="s">
        <v>42</v>
      </c>
      <c r="DI460" t="s">
        <v>42</v>
      </c>
      <c r="DJ460" s="4" t="s">
        <v>42</v>
      </c>
      <c r="DK460" t="s">
        <v>42</v>
      </c>
      <c r="DL460" s="4">
        <v>404</v>
      </c>
      <c r="DM460">
        <v>1</v>
      </c>
      <c r="DN460" s="4">
        <v>413</v>
      </c>
      <c r="DO460">
        <v>1</v>
      </c>
      <c r="DP460" s="4">
        <v>418</v>
      </c>
      <c r="DQ460">
        <v>1</v>
      </c>
      <c r="DR460" s="4">
        <v>433</v>
      </c>
      <c r="DS460">
        <v>1</v>
      </c>
      <c r="DT460" s="4">
        <v>443</v>
      </c>
      <c r="DU460">
        <v>1</v>
      </c>
      <c r="DV460" s="4">
        <v>457</v>
      </c>
      <c r="DW460">
        <v>1</v>
      </c>
      <c r="DX460" s="4">
        <v>463</v>
      </c>
      <c r="DY460">
        <v>1</v>
      </c>
      <c r="DZ460" s="4">
        <v>470</v>
      </c>
      <c r="EA460">
        <v>1</v>
      </c>
      <c r="EB460" s="4">
        <v>475</v>
      </c>
      <c r="EC460">
        <v>1</v>
      </c>
      <c r="ED460" s="4">
        <v>479</v>
      </c>
      <c r="EE460">
        <v>1</v>
      </c>
      <c r="EF460" s="4">
        <v>484</v>
      </c>
      <c r="EG460">
        <v>1</v>
      </c>
      <c r="EH460" s="4">
        <v>490</v>
      </c>
      <c r="EI460">
        <v>1</v>
      </c>
      <c r="EJ460" s="4">
        <v>496</v>
      </c>
      <c r="EK460">
        <v>1</v>
      </c>
    </row>
    <row r="461" spans="1:141" x14ac:dyDescent="0.2">
      <c r="A461" t="str">
        <f>HYPERLINK("http://exon.niaid.nih.gov/transcriptome/C_felis/S1/links/cf/cf-contig_500.txt","cf-contig_500")</f>
        <v>cf-contig_500</v>
      </c>
      <c r="B461">
        <v>1</v>
      </c>
      <c r="C461" s="10" t="s">
        <v>4600</v>
      </c>
      <c r="D461">
        <v>1</v>
      </c>
      <c r="E461" t="str">
        <f>HYPERLINK("http://exon.niaid.nih.gov/transcriptome/C_felis/S1/links/cf/cf-5-36-asb-500.txt","Contig-500")</f>
        <v>Contig-500</v>
      </c>
      <c r="F461" t="str">
        <f>HYPERLINK("http://exon.niaid.nih.gov/transcriptome/C_felis/S1/links/cf/cf-5-36-500-CLU.txt","Contig500")</f>
        <v>Contig500</v>
      </c>
      <c r="G461" t="str">
        <f>HYPERLINK("http://exon.niaid.nih.gov/transcriptome/C_felis/S1/links/cf/cf-5-36-500-qual.txt","50.1")</f>
        <v>50.1</v>
      </c>
      <c r="H461">
        <v>1.1000000000000001</v>
      </c>
      <c r="I461">
        <v>70.7</v>
      </c>
      <c r="J461">
        <v>155</v>
      </c>
      <c r="K461" t="s">
        <v>12</v>
      </c>
      <c r="L461">
        <v>1</v>
      </c>
      <c r="M461" t="s">
        <v>513</v>
      </c>
      <c r="N461">
        <v>155</v>
      </c>
      <c r="O461">
        <v>174</v>
      </c>
      <c r="P461">
        <v>129</v>
      </c>
      <c r="Q461" t="s">
        <v>1319</v>
      </c>
      <c r="R461">
        <v>1</v>
      </c>
      <c r="S461" s="7" t="s">
        <v>4585</v>
      </c>
      <c r="U461">
        <v>1</v>
      </c>
      <c r="V461" s="4">
        <v>408</v>
      </c>
      <c r="W461">
        <v>1</v>
      </c>
      <c r="X461" s="4">
        <v>417</v>
      </c>
      <c r="Y461">
        <v>1</v>
      </c>
      <c r="Z461" s="4">
        <v>422</v>
      </c>
      <c r="AA461">
        <v>1</v>
      </c>
      <c r="AB461" s="4" t="str">
        <f>HYPERLINK("http://exon.niaid.nih.gov/transcriptome/C_felis/S1/links/XC-ASB/cf-contig_500-XC-ASB.txt","XC-contig_80")</f>
        <v>XC-contig_80</v>
      </c>
      <c r="AC461">
        <v>6.5000000000000002E-2</v>
      </c>
      <c r="AD461" s="10" t="s">
        <v>4600</v>
      </c>
      <c r="AE461" t="s">
        <v>4601</v>
      </c>
      <c r="AI461" s="4" t="s">
        <v>42</v>
      </c>
      <c r="AJ461" t="s">
        <v>42</v>
      </c>
      <c r="AK461" t="s">
        <v>42</v>
      </c>
      <c r="AL461" t="s">
        <v>42</v>
      </c>
      <c r="AM461" t="s">
        <v>42</v>
      </c>
      <c r="AN461" t="s">
        <v>42</v>
      </c>
      <c r="AO461" t="s">
        <v>42</v>
      </c>
      <c r="AP461" t="s">
        <v>42</v>
      </c>
      <c r="AQ461" t="s">
        <v>42</v>
      </c>
      <c r="AR461" t="s">
        <v>42</v>
      </c>
      <c r="AS461" t="s">
        <v>42</v>
      </c>
      <c r="AT461" t="s">
        <v>42</v>
      </c>
      <c r="AU461" t="s">
        <v>42</v>
      </c>
      <c r="AV461" t="s">
        <v>42</v>
      </c>
      <c r="AW461" t="s">
        <v>42</v>
      </c>
      <c r="AX461" t="s">
        <v>42</v>
      </c>
      <c r="AY461" t="s">
        <v>42</v>
      </c>
      <c r="AZ461" t="s">
        <v>42</v>
      </c>
      <c r="BA461" s="4" t="str">
        <f>HYPERLINK("http://exon.niaid.nih.gov/transcriptome/C_felis/S1/links/SWISSP/cf-contig_500-SWISSP.txt","ABC transporter C family member 8")</f>
        <v>ABC transporter C family member 8</v>
      </c>
      <c r="BB461" t="str">
        <f>HYPERLINK("http://www.uniprot.org/uniprot/Q8LGU1","14")</f>
        <v>14</v>
      </c>
      <c r="BC461" t="s">
        <v>3484</v>
      </c>
      <c r="BD461">
        <v>28.5</v>
      </c>
      <c r="BE461">
        <v>26</v>
      </c>
      <c r="BF461">
        <v>1464</v>
      </c>
      <c r="BG461">
        <v>40</v>
      </c>
      <c r="BH461">
        <v>2</v>
      </c>
      <c r="BI461">
        <v>16</v>
      </c>
      <c r="BJ461">
        <v>0</v>
      </c>
      <c r="BK461">
        <v>27</v>
      </c>
      <c r="BL461">
        <v>46</v>
      </c>
      <c r="BM461">
        <v>1</v>
      </c>
      <c r="BN461">
        <v>1</v>
      </c>
      <c r="BO461" t="s">
        <v>12</v>
      </c>
      <c r="BQ461" t="s">
        <v>1676</v>
      </c>
      <c r="BR461" t="s">
        <v>1714</v>
      </c>
      <c r="BS461" s="4" t="str">
        <f>HYPERLINK("http://exon.niaid.nih.gov/transcriptome/C_felis/S1/links/CDD/cf-contig_500-CDD.txt","7TM_GPCR_Sra")</f>
        <v>7TM_GPCR_Sra</v>
      </c>
      <c r="BT461" t="str">
        <f>HYPERLINK("http://www.ncbi.nlm.nih.gov/Structure/cdd/cddsrv.cgi?uid=pfam02117&amp;version=v4.0","0.85")</f>
        <v>0.85</v>
      </c>
      <c r="BU461" t="s">
        <v>3485</v>
      </c>
      <c r="BV461" s="4" t="s">
        <v>42</v>
      </c>
      <c r="BW461" t="s">
        <v>42</v>
      </c>
      <c r="BX461" t="s">
        <v>42</v>
      </c>
      <c r="BY461" t="s">
        <v>42</v>
      </c>
      <c r="BZ461" t="s">
        <v>42</v>
      </c>
      <c r="CA461" t="s">
        <v>42</v>
      </c>
      <c r="CB461" t="s">
        <v>42</v>
      </c>
      <c r="CC461" t="s">
        <v>42</v>
      </c>
      <c r="CD461" t="s">
        <v>42</v>
      </c>
      <c r="CE461" t="s">
        <v>42</v>
      </c>
      <c r="CF461" t="s">
        <v>42</v>
      </c>
      <c r="CG461" t="s">
        <v>42</v>
      </c>
      <c r="CH461" t="s">
        <v>42</v>
      </c>
      <c r="CI461" t="s">
        <v>42</v>
      </c>
      <c r="CJ461" t="s">
        <v>42</v>
      </c>
      <c r="CK461" t="s">
        <v>42</v>
      </c>
      <c r="CL461" t="s">
        <v>42</v>
      </c>
      <c r="CM461" t="s">
        <v>42</v>
      </c>
      <c r="CN461" t="s">
        <v>42</v>
      </c>
      <c r="CO461" t="s">
        <v>42</v>
      </c>
      <c r="CP461" t="s">
        <v>42</v>
      </c>
      <c r="CQ461" t="s">
        <v>42</v>
      </c>
      <c r="CR461" t="s">
        <v>42</v>
      </c>
      <c r="CS461" s="4" t="str">
        <f>HYPERLINK("http://exon.niaid.nih.gov/transcriptome/C_felis/S1/links/KOG/cf-contig_500-KOG.txt","Predicted glycosyltransferase")</f>
        <v>Predicted glycosyltransferase</v>
      </c>
      <c r="CT461" t="str">
        <f>HYPERLINK("http://www.ncbi.nlm.nih.gov/COG/grace/shokog.cgi?KOG3765","2.7")</f>
        <v>2.7</v>
      </c>
      <c r="CU461" t="s">
        <v>1823</v>
      </c>
      <c r="CV461" s="4" t="str">
        <f>HYPERLINK("http://exon.niaid.nih.gov/transcriptome/C_felis/S1/links/PFAM/cf-contig_500-PFAM.txt","7TM_GPCR_Sra")</f>
        <v>7TM_GPCR_Sra</v>
      </c>
      <c r="CW461" t="str">
        <f>HYPERLINK("http://pfam.sanger.ac.uk/family?acc=PF02117","0.18")</f>
        <v>0.18</v>
      </c>
      <c r="CX461" s="4" t="str">
        <f>HYPERLINK("http://exon.niaid.nih.gov/transcriptome/C_felis/S1/links/SMART/cf-contig_500-SMART.txt","CAP10")</f>
        <v>CAP10</v>
      </c>
      <c r="CY461" t="str">
        <f>HYPERLINK("http://smart.embl-heidelberg.de/smart/do_annotation.pl?DOMAIN=CAP10&amp;BLAST=DUMMY","0.026")</f>
        <v>0.026</v>
      </c>
      <c r="CZ461" s="4" t="s">
        <v>42</v>
      </c>
      <c r="DA461" t="s">
        <v>42</v>
      </c>
      <c r="DB461" t="s">
        <v>42</v>
      </c>
      <c r="DC461" t="s">
        <v>42</v>
      </c>
      <c r="DD461" t="s">
        <v>42</v>
      </c>
      <c r="DE461" t="s">
        <v>42</v>
      </c>
      <c r="DF461" t="s">
        <v>42</v>
      </c>
      <c r="DG461" t="s">
        <v>42</v>
      </c>
      <c r="DH461" s="4" t="s">
        <v>42</v>
      </c>
      <c r="DI461" t="s">
        <v>42</v>
      </c>
      <c r="DJ461" s="4" t="s">
        <v>42</v>
      </c>
      <c r="DK461" t="s">
        <v>42</v>
      </c>
      <c r="DL461" s="4">
        <v>408</v>
      </c>
      <c r="DM461">
        <v>1</v>
      </c>
      <c r="DN461" s="4">
        <v>417</v>
      </c>
      <c r="DO461">
        <v>1</v>
      </c>
      <c r="DP461" s="4">
        <v>422</v>
      </c>
      <c r="DQ461">
        <v>1</v>
      </c>
      <c r="DR461" s="4">
        <v>437</v>
      </c>
      <c r="DS461">
        <v>1</v>
      </c>
      <c r="DT461" s="4">
        <v>447</v>
      </c>
      <c r="DU461">
        <v>1</v>
      </c>
      <c r="DV461" s="4">
        <v>461</v>
      </c>
      <c r="DW461">
        <v>1</v>
      </c>
      <c r="DX461" s="4">
        <v>467</v>
      </c>
      <c r="DY461">
        <v>1</v>
      </c>
      <c r="DZ461" s="4">
        <v>474</v>
      </c>
      <c r="EA461">
        <v>1</v>
      </c>
      <c r="EB461" s="4">
        <v>479</v>
      </c>
      <c r="EC461">
        <v>1</v>
      </c>
      <c r="ED461" s="4">
        <v>483</v>
      </c>
      <c r="EE461">
        <v>1</v>
      </c>
      <c r="EF461" s="4">
        <v>488</v>
      </c>
      <c r="EG461">
        <v>1</v>
      </c>
      <c r="EH461" s="4">
        <v>494</v>
      </c>
      <c r="EI461">
        <v>1</v>
      </c>
      <c r="EJ461" s="4">
        <v>500</v>
      </c>
      <c r="EK461">
        <v>1</v>
      </c>
    </row>
    <row r="462" spans="1:141" x14ac:dyDescent="0.2">
      <c r="A462" t="str">
        <f>HYPERLINK("http://exon.niaid.nih.gov/transcriptome/C_felis/S1/links/cf/cf-contig_504.txt","cf-contig_504")</f>
        <v>cf-contig_504</v>
      </c>
      <c r="B462">
        <v>1</v>
      </c>
      <c r="C462" s="10" t="s">
        <v>4600</v>
      </c>
      <c r="D462">
        <v>1</v>
      </c>
      <c r="E462" t="str">
        <f>HYPERLINK("http://exon.niaid.nih.gov/transcriptome/C_felis/S1/links/cf/cf-5-36-asb-504.txt","Contig-504")</f>
        <v>Contig-504</v>
      </c>
      <c r="F462" t="str">
        <f>HYPERLINK("http://exon.niaid.nih.gov/transcriptome/C_felis/S1/links/cf/cf-5-36-504-CLU.txt","Contig504")</f>
        <v>Contig504</v>
      </c>
      <c r="G462" t="str">
        <f>HYPERLINK("http://exon.niaid.nih.gov/transcriptome/C_felis/S1/links/cf/cf-5-36-504-qual.txt","22.1")</f>
        <v>22.1</v>
      </c>
      <c r="H462" t="s">
        <v>11</v>
      </c>
      <c r="I462">
        <v>54.2</v>
      </c>
      <c r="J462">
        <v>40</v>
      </c>
      <c r="K462" t="s">
        <v>12</v>
      </c>
      <c r="L462">
        <v>1</v>
      </c>
      <c r="M462" t="s">
        <v>517</v>
      </c>
      <c r="N462">
        <v>40</v>
      </c>
      <c r="O462">
        <v>59</v>
      </c>
      <c r="P462">
        <v>57</v>
      </c>
      <c r="Q462" t="s">
        <v>1323</v>
      </c>
      <c r="R462">
        <v>1</v>
      </c>
      <c r="S462" s="7" t="s">
        <v>4585</v>
      </c>
      <c r="U462">
        <v>1</v>
      </c>
      <c r="V462" s="4">
        <v>412</v>
      </c>
      <c r="W462">
        <v>1</v>
      </c>
      <c r="X462" s="4">
        <v>421</v>
      </c>
      <c r="Y462">
        <v>1</v>
      </c>
      <c r="Z462" s="4">
        <v>426</v>
      </c>
      <c r="AA462">
        <v>1</v>
      </c>
      <c r="AB462" s="4" t="str">
        <f>HYPERLINK("http://exon.niaid.nih.gov/transcriptome/C_felis/S1/links/XC-ASB/cf-contig_504-XC-ASB.txt","XC-contig_51")</f>
        <v>XC-contig_51</v>
      </c>
      <c r="AC462">
        <v>2.2000000000000002</v>
      </c>
      <c r="AD462" s="10" t="s">
        <v>4600</v>
      </c>
      <c r="AE462" t="s">
        <v>4601</v>
      </c>
      <c r="AI462" s="4" t="s">
        <v>42</v>
      </c>
      <c r="AJ462" t="s">
        <v>42</v>
      </c>
      <c r="AK462" t="s">
        <v>42</v>
      </c>
      <c r="AL462" t="s">
        <v>42</v>
      </c>
      <c r="AM462" t="s">
        <v>42</v>
      </c>
      <c r="AN462" t="s">
        <v>42</v>
      </c>
      <c r="AO462" t="s">
        <v>42</v>
      </c>
      <c r="AP462" t="s">
        <v>42</v>
      </c>
      <c r="AQ462" t="s">
        <v>42</v>
      </c>
      <c r="AR462" t="s">
        <v>42</v>
      </c>
      <c r="AS462" t="s">
        <v>42</v>
      </c>
      <c r="AT462" t="s">
        <v>42</v>
      </c>
      <c r="AU462" t="s">
        <v>42</v>
      </c>
      <c r="AV462" t="s">
        <v>42</v>
      </c>
      <c r="AW462" t="s">
        <v>42</v>
      </c>
      <c r="AX462" t="s">
        <v>42</v>
      </c>
      <c r="AY462" t="s">
        <v>42</v>
      </c>
      <c r="AZ462" t="s">
        <v>42</v>
      </c>
      <c r="BA462" s="4" t="s">
        <v>42</v>
      </c>
      <c r="BB462" t="s">
        <v>42</v>
      </c>
      <c r="BC462" t="s">
        <v>42</v>
      </c>
      <c r="BD462" t="s">
        <v>42</v>
      </c>
      <c r="BE462" t="s">
        <v>42</v>
      </c>
      <c r="BF462" t="s">
        <v>42</v>
      </c>
      <c r="BG462" t="s">
        <v>42</v>
      </c>
      <c r="BH462" t="s">
        <v>42</v>
      </c>
      <c r="BI462" t="s">
        <v>42</v>
      </c>
      <c r="BJ462" t="s">
        <v>42</v>
      </c>
      <c r="BK462" t="s">
        <v>42</v>
      </c>
      <c r="BL462" t="s">
        <v>42</v>
      </c>
      <c r="BM462" t="s">
        <v>42</v>
      </c>
      <c r="BN462" t="s">
        <v>42</v>
      </c>
      <c r="BO462" t="s">
        <v>42</v>
      </c>
      <c r="BP462" t="s">
        <v>42</v>
      </c>
      <c r="BQ462" t="s">
        <v>42</v>
      </c>
      <c r="BR462" t="s">
        <v>42</v>
      </c>
      <c r="BS462" s="4" t="str">
        <f>HYPERLINK("http://exon.niaid.nih.gov/transcriptome/C_felis/S1/links/CDD/cf-contig_504-CDD.txt","ileS")</f>
        <v>ileS</v>
      </c>
      <c r="BT462" t="str">
        <f>HYPERLINK("http://www.ncbi.nlm.nih.gov/Structure/cdd/cddsrv.cgi?uid=PRK05743&amp;version=v4.0","9.6")</f>
        <v>9.6</v>
      </c>
      <c r="BU462" t="s">
        <v>3512</v>
      </c>
      <c r="BV462" s="4" t="s">
        <v>42</v>
      </c>
      <c r="BW462" t="s">
        <v>42</v>
      </c>
      <c r="BX462" t="s">
        <v>42</v>
      </c>
      <c r="BY462" t="s">
        <v>42</v>
      </c>
      <c r="BZ462" t="s">
        <v>42</v>
      </c>
      <c r="CA462" t="s">
        <v>42</v>
      </c>
      <c r="CB462" t="s">
        <v>42</v>
      </c>
      <c r="CC462" t="s">
        <v>42</v>
      </c>
      <c r="CD462" t="s">
        <v>42</v>
      </c>
      <c r="CE462" t="s">
        <v>42</v>
      </c>
      <c r="CF462" t="s">
        <v>42</v>
      </c>
      <c r="CG462" t="s">
        <v>42</v>
      </c>
      <c r="CH462" t="s">
        <v>42</v>
      </c>
      <c r="CI462" t="s">
        <v>42</v>
      </c>
      <c r="CJ462" t="s">
        <v>42</v>
      </c>
      <c r="CK462" t="s">
        <v>42</v>
      </c>
      <c r="CL462" t="s">
        <v>42</v>
      </c>
      <c r="CM462" t="s">
        <v>42</v>
      </c>
      <c r="CN462" t="s">
        <v>42</v>
      </c>
      <c r="CO462" t="s">
        <v>42</v>
      </c>
      <c r="CP462" t="s">
        <v>42</v>
      </c>
      <c r="CQ462" t="s">
        <v>42</v>
      </c>
      <c r="CR462" t="s">
        <v>42</v>
      </c>
      <c r="CS462" s="4" t="s">
        <v>42</v>
      </c>
      <c r="CT462" t="s">
        <v>42</v>
      </c>
      <c r="CU462" t="s">
        <v>42</v>
      </c>
      <c r="CV462" s="4" t="str">
        <f>HYPERLINK("http://exon.niaid.nih.gov/transcriptome/C_felis/S1/links/PFAM/cf-contig_504-PFAM.txt","TGT")</f>
        <v>TGT</v>
      </c>
      <c r="CW462" t="str">
        <f>HYPERLINK("http://pfam.sanger.ac.uk/family?acc=PF01702","6.3")</f>
        <v>6.3</v>
      </c>
      <c r="CX462" s="4" t="str">
        <f>HYPERLINK("http://exon.niaid.nih.gov/transcriptome/C_felis/S1/links/SMART/cf-contig_504-SMART.txt","PKS_KS")</f>
        <v>PKS_KS</v>
      </c>
      <c r="CY462" t="str">
        <f>HYPERLINK("http://smart.embl-heidelberg.de/smart/do_annotation.pl?DOMAIN=PKS_KS&amp;BLAST=DUMMY","3.1")</f>
        <v>3.1</v>
      </c>
      <c r="CZ462" s="4" t="s">
        <v>42</v>
      </c>
      <c r="DA462" t="s">
        <v>42</v>
      </c>
      <c r="DB462" t="s">
        <v>42</v>
      </c>
      <c r="DC462" t="s">
        <v>42</v>
      </c>
      <c r="DD462" t="s">
        <v>42</v>
      </c>
      <c r="DE462" t="s">
        <v>42</v>
      </c>
      <c r="DF462" t="s">
        <v>42</v>
      </c>
      <c r="DG462" t="s">
        <v>42</v>
      </c>
      <c r="DH462" s="4" t="s">
        <v>42</v>
      </c>
      <c r="DI462" t="s">
        <v>42</v>
      </c>
      <c r="DJ462" s="4" t="s">
        <v>42</v>
      </c>
      <c r="DK462" t="s">
        <v>42</v>
      </c>
      <c r="DL462" s="4">
        <v>412</v>
      </c>
      <c r="DM462">
        <v>1</v>
      </c>
      <c r="DN462" s="4">
        <v>421</v>
      </c>
      <c r="DO462">
        <v>1</v>
      </c>
      <c r="DP462" s="4">
        <v>426</v>
      </c>
      <c r="DQ462">
        <v>1</v>
      </c>
      <c r="DR462" s="4">
        <v>441</v>
      </c>
      <c r="DS462">
        <v>1</v>
      </c>
      <c r="DT462" s="4">
        <v>451</v>
      </c>
      <c r="DU462">
        <v>1</v>
      </c>
      <c r="DV462" s="4">
        <v>465</v>
      </c>
      <c r="DW462">
        <v>1</v>
      </c>
      <c r="DX462" s="4">
        <v>471</v>
      </c>
      <c r="DY462">
        <v>1</v>
      </c>
      <c r="DZ462" s="4">
        <v>478</v>
      </c>
      <c r="EA462">
        <v>1</v>
      </c>
      <c r="EB462" s="4">
        <v>483</v>
      </c>
      <c r="EC462">
        <v>1</v>
      </c>
      <c r="ED462" s="4">
        <v>487</v>
      </c>
      <c r="EE462">
        <v>1</v>
      </c>
      <c r="EF462" s="4">
        <v>492</v>
      </c>
      <c r="EG462">
        <v>1</v>
      </c>
      <c r="EH462" s="4">
        <v>498</v>
      </c>
      <c r="EI462">
        <v>1</v>
      </c>
      <c r="EJ462" s="4">
        <v>504</v>
      </c>
      <c r="EK462">
        <v>1</v>
      </c>
    </row>
    <row r="463" spans="1:141" x14ac:dyDescent="0.2">
      <c r="A463" t="str">
        <f>HYPERLINK("http://exon.niaid.nih.gov/transcriptome/C_felis/S1/links/cf/cf-contig_506.txt","cf-contig_506")</f>
        <v>cf-contig_506</v>
      </c>
      <c r="B463">
        <v>1</v>
      </c>
      <c r="C463" s="10" t="s">
        <v>4600</v>
      </c>
      <c r="D463">
        <v>1</v>
      </c>
      <c r="E463" t="str">
        <f>HYPERLINK("http://exon.niaid.nih.gov/transcriptome/C_felis/S1/links/cf/cf-5-36-asb-506.txt","Contig-506")</f>
        <v>Contig-506</v>
      </c>
      <c r="F463" t="str">
        <f>HYPERLINK("http://exon.niaid.nih.gov/transcriptome/C_felis/S1/links/cf/cf-5-36-506-CLU.txt","Contig506")</f>
        <v>Contig506</v>
      </c>
      <c r="G463" t="str">
        <f>HYPERLINK("http://exon.niaid.nih.gov/transcriptome/C_felis/S1/links/cf/cf-5-36-506-qual.txt","21.1")</f>
        <v>21.1</v>
      </c>
      <c r="H463">
        <v>1.6</v>
      </c>
      <c r="I463">
        <v>55.6</v>
      </c>
      <c r="J463">
        <v>44</v>
      </c>
      <c r="K463" t="s">
        <v>12</v>
      </c>
      <c r="L463">
        <v>1</v>
      </c>
      <c r="M463" t="s">
        <v>519</v>
      </c>
      <c r="N463">
        <v>44</v>
      </c>
      <c r="O463">
        <v>63</v>
      </c>
      <c r="P463">
        <v>60</v>
      </c>
      <c r="Q463" t="s">
        <v>1325</v>
      </c>
      <c r="R463">
        <v>2</v>
      </c>
      <c r="S463" s="7" t="s">
        <v>4585</v>
      </c>
      <c r="U463">
        <v>1</v>
      </c>
      <c r="V463" s="4">
        <f>HYPERLINK("http://exon.niaid.nih.gov/transcriptome/C_felis/S1/links/cluster/cf-5-36-asb30-50-Id-CLU5.txt", 5)</f>
        <v>5</v>
      </c>
      <c r="W463">
        <f>HYPERLINK("http://exon.niaid.nih.gov/transcriptome/C_felis/S1/links/cluster/cf-5-36-asb30-50-Id-CLTL5.txt", 5)</f>
        <v>5</v>
      </c>
      <c r="X463" s="4">
        <f>HYPERLINK("http://exon.niaid.nih.gov/transcriptome/C_felis/S1/links/cluster/cf-5-36-asb35-50-Id-CLU5.txt", 5)</f>
        <v>5</v>
      </c>
      <c r="Y463">
        <f>HYPERLINK("http://exon.niaid.nih.gov/transcriptome/C_felis/S1/links/cluster/cf-5-36-asb35-50-Id-CLTL5.txt", 5)</f>
        <v>5</v>
      </c>
      <c r="Z463" s="4">
        <f>HYPERLINK("http://exon.niaid.nih.gov/transcriptome/C_felis/S1/links/cluster/cf-5-36-asb40-50-Id-CLU10.txt", 10)</f>
        <v>10</v>
      </c>
      <c r="AA463">
        <f>HYPERLINK("http://exon.niaid.nih.gov/transcriptome/C_felis/S1/links/cluster/cf-5-36-asb40-50-Id-CLTL10.txt", 4)</f>
        <v>4</v>
      </c>
      <c r="AB463" s="4" t="str">
        <f>HYPERLINK("http://exon.niaid.nih.gov/transcriptome/C_felis/S1/links/XC-ASB/cf-contig_506-XC-ASB.txt","XC-contig_6")</f>
        <v>XC-contig_6</v>
      </c>
      <c r="AC463">
        <v>2.1</v>
      </c>
      <c r="AD463" s="10" t="s">
        <v>4600</v>
      </c>
      <c r="AE463" t="s">
        <v>4601</v>
      </c>
      <c r="AI463" s="4" t="s">
        <v>42</v>
      </c>
      <c r="AJ463" t="s">
        <v>42</v>
      </c>
      <c r="AK463" t="s">
        <v>42</v>
      </c>
      <c r="AL463" t="s">
        <v>42</v>
      </c>
      <c r="AM463" t="s">
        <v>42</v>
      </c>
      <c r="AN463" t="s">
        <v>42</v>
      </c>
      <c r="AO463" t="s">
        <v>42</v>
      </c>
      <c r="AP463" t="s">
        <v>42</v>
      </c>
      <c r="AQ463" t="s">
        <v>42</v>
      </c>
      <c r="AR463" t="s">
        <v>42</v>
      </c>
      <c r="AS463" t="s">
        <v>42</v>
      </c>
      <c r="AT463" t="s">
        <v>42</v>
      </c>
      <c r="AU463" t="s">
        <v>42</v>
      </c>
      <c r="AV463" t="s">
        <v>42</v>
      </c>
      <c r="AW463" t="s">
        <v>42</v>
      </c>
      <c r="AX463" t="s">
        <v>42</v>
      </c>
      <c r="AY463" t="s">
        <v>42</v>
      </c>
      <c r="AZ463" t="s">
        <v>42</v>
      </c>
      <c r="BA463" s="4" t="s">
        <v>42</v>
      </c>
      <c r="BB463" t="s">
        <v>42</v>
      </c>
      <c r="BC463" t="s">
        <v>42</v>
      </c>
      <c r="BD463" t="s">
        <v>42</v>
      </c>
      <c r="BE463" t="s">
        <v>42</v>
      </c>
      <c r="BF463" t="s">
        <v>42</v>
      </c>
      <c r="BG463" t="s">
        <v>42</v>
      </c>
      <c r="BH463" t="s">
        <v>42</v>
      </c>
      <c r="BI463" t="s">
        <v>42</v>
      </c>
      <c r="BJ463" t="s">
        <v>42</v>
      </c>
      <c r="BK463" t="s">
        <v>42</v>
      </c>
      <c r="BL463" t="s">
        <v>42</v>
      </c>
      <c r="BM463" t="s">
        <v>42</v>
      </c>
      <c r="BN463" t="s">
        <v>42</v>
      </c>
      <c r="BO463" t="s">
        <v>42</v>
      </c>
      <c r="BP463" t="s">
        <v>42</v>
      </c>
      <c r="BQ463" t="s">
        <v>42</v>
      </c>
      <c r="BR463" t="s">
        <v>42</v>
      </c>
      <c r="BS463" s="4" t="s">
        <v>42</v>
      </c>
      <c r="BT463" t="s">
        <v>42</v>
      </c>
      <c r="BU463" t="s">
        <v>42</v>
      </c>
      <c r="BV463" s="4" t="s">
        <v>42</v>
      </c>
      <c r="BW463" t="s">
        <v>42</v>
      </c>
      <c r="BX463" t="s">
        <v>42</v>
      </c>
      <c r="BY463" t="s">
        <v>42</v>
      </c>
      <c r="BZ463" t="s">
        <v>42</v>
      </c>
      <c r="CA463" t="s">
        <v>42</v>
      </c>
      <c r="CB463" t="s">
        <v>42</v>
      </c>
      <c r="CC463" t="s">
        <v>42</v>
      </c>
      <c r="CD463" t="s">
        <v>42</v>
      </c>
      <c r="CE463" t="s">
        <v>42</v>
      </c>
      <c r="CF463" t="s">
        <v>42</v>
      </c>
      <c r="CG463" t="s">
        <v>42</v>
      </c>
      <c r="CH463" t="s">
        <v>42</v>
      </c>
      <c r="CI463" t="s">
        <v>42</v>
      </c>
      <c r="CJ463" t="s">
        <v>42</v>
      </c>
      <c r="CK463" t="s">
        <v>42</v>
      </c>
      <c r="CL463" t="s">
        <v>42</v>
      </c>
      <c r="CM463" t="s">
        <v>42</v>
      </c>
      <c r="CN463" t="s">
        <v>42</v>
      </c>
      <c r="CO463" t="s">
        <v>42</v>
      </c>
      <c r="CP463" t="s">
        <v>42</v>
      </c>
      <c r="CQ463" t="s">
        <v>42</v>
      </c>
      <c r="CR463" t="s">
        <v>42</v>
      </c>
      <c r="CS463" s="4" t="s">
        <v>42</v>
      </c>
      <c r="CT463" t="s">
        <v>42</v>
      </c>
      <c r="CU463" t="s">
        <v>42</v>
      </c>
      <c r="CV463" s="4" t="str">
        <f>HYPERLINK("http://exon.niaid.nih.gov/transcriptome/C_felis/S1/links/PFAM/cf-contig_506-PFAM.txt","DUF294")</f>
        <v>DUF294</v>
      </c>
      <c r="CW463" t="str">
        <f>HYPERLINK("http://pfam.sanger.ac.uk/family?acc=PF03445","8.1")</f>
        <v>8.1</v>
      </c>
      <c r="CX463" s="4" t="str">
        <f>HYPERLINK("http://exon.niaid.nih.gov/transcriptome/C_felis/S1/links/SMART/cf-contig_506-SMART.txt","EB_dh")</f>
        <v>EB_dh</v>
      </c>
      <c r="CY463" t="str">
        <f>HYPERLINK("http://smart.embl-heidelberg.de/smart/do_annotation.pl?DOMAIN=EB_dh&amp;BLAST=DUMMY","5.6")</f>
        <v>5.6</v>
      </c>
      <c r="CZ463" s="4" t="s">
        <v>42</v>
      </c>
      <c r="DA463" t="s">
        <v>42</v>
      </c>
      <c r="DB463" t="s">
        <v>42</v>
      </c>
      <c r="DC463" t="s">
        <v>42</v>
      </c>
      <c r="DD463" t="s">
        <v>42</v>
      </c>
      <c r="DE463" t="s">
        <v>42</v>
      </c>
      <c r="DF463" t="s">
        <v>42</v>
      </c>
      <c r="DG463" t="s">
        <v>42</v>
      </c>
      <c r="DH463" s="4" t="s">
        <v>42</v>
      </c>
      <c r="DI463" t="s">
        <v>42</v>
      </c>
      <c r="DJ463" s="4" t="s">
        <v>42</v>
      </c>
      <c r="DK463" t="s">
        <v>42</v>
      </c>
      <c r="DL463" s="4">
        <f>HYPERLINK("http://exon.niaid.nih.gov/transcriptome/C_felis/S1/links/cluster/cf-5-36-asb30-50-Id-CLU5.txt", 5)</f>
        <v>5</v>
      </c>
      <c r="DM463">
        <f>HYPERLINK("http://exon.niaid.nih.gov/transcriptome/C_felis/S1/links/cluster/cf-5-36-asb30-50-Id-CLTL5.txt", 5)</f>
        <v>5</v>
      </c>
      <c r="DN463" s="4">
        <f>HYPERLINK("http://exon.niaid.nih.gov/transcriptome/C_felis/S1/links/cluster/cf-5-36-asb35-50-Id-CLU5.txt", 5)</f>
        <v>5</v>
      </c>
      <c r="DO463">
        <f>HYPERLINK("http://exon.niaid.nih.gov/transcriptome/C_felis/S1/links/cluster/cf-5-36-asb35-50-Id-CLTL5.txt", 5)</f>
        <v>5</v>
      </c>
      <c r="DP463" s="4">
        <f>HYPERLINK("http://exon.niaid.nih.gov/transcriptome/C_felis/S1/links/cluster/cf-5-36-asb40-50-Id-CLU10.txt", 10)</f>
        <v>10</v>
      </c>
      <c r="DQ463">
        <f>HYPERLINK("http://exon.niaid.nih.gov/transcriptome/C_felis/S1/links/cluster/cf-5-36-asb40-50-Id-CLTL10.txt", 4)</f>
        <v>4</v>
      </c>
      <c r="DR463" s="4">
        <f>HYPERLINK("http://exon.niaid.nih.gov/transcriptome/C_felis/S1/links/cluster/cf-5-36-asb45-50-Id-CLU16.txt", 16)</f>
        <v>16</v>
      </c>
      <c r="DS463">
        <f>HYPERLINK("http://exon.niaid.nih.gov/transcriptome/C_felis/S1/links/cluster/cf-5-36-asb45-50-Id-CLTL16.txt", 3)</f>
        <v>3</v>
      </c>
      <c r="DT463" s="4">
        <f>HYPERLINK("http://exon.niaid.nih.gov/transcriptome/C_felis/S1/links/cluster/cf-5-36-asb50-50-Id-CLU12.txt", 12)</f>
        <v>12</v>
      </c>
      <c r="DU463">
        <f>HYPERLINK("http://exon.niaid.nih.gov/transcriptome/C_felis/S1/links/cluster/cf-5-36-asb50-50-Id-CLTL12.txt", 3)</f>
        <v>3</v>
      </c>
      <c r="DV463" s="4">
        <f>HYPERLINK("http://exon.niaid.nih.gov/transcriptome/C_felis/S1/links/cluster/cf-5-36-asb55-50-Id-CLU11.txt", 11)</f>
        <v>11</v>
      </c>
      <c r="DW463">
        <f>HYPERLINK("http://exon.niaid.nih.gov/transcriptome/C_felis/S1/links/cluster/cf-5-36-asb55-50-Id-CLTL11.txt", 3)</f>
        <v>3</v>
      </c>
      <c r="DX463" s="4">
        <f>HYPERLINK("http://exon.niaid.nih.gov/transcriptome/C_felis/S1/links/cluster/cf-5-36-asb60-50-Id-CLU9.txt", 9)</f>
        <v>9</v>
      </c>
      <c r="DY463">
        <f>HYPERLINK("http://exon.niaid.nih.gov/transcriptome/C_felis/S1/links/cluster/cf-5-36-asb60-50-Id-CLTL9.txt", 3)</f>
        <v>3</v>
      </c>
      <c r="DZ463" s="4">
        <v>480</v>
      </c>
      <c r="EA463">
        <v>1</v>
      </c>
      <c r="EB463" s="4">
        <v>485</v>
      </c>
      <c r="EC463">
        <v>1</v>
      </c>
      <c r="ED463" s="4">
        <v>489</v>
      </c>
      <c r="EE463">
        <v>1</v>
      </c>
      <c r="EF463" s="4">
        <v>494</v>
      </c>
      <c r="EG463">
        <v>1</v>
      </c>
      <c r="EH463" s="4">
        <v>500</v>
      </c>
      <c r="EI463">
        <v>1</v>
      </c>
      <c r="EJ463" s="4">
        <v>506</v>
      </c>
      <c r="EK463">
        <v>1</v>
      </c>
    </row>
    <row r="464" spans="1:141" x14ac:dyDescent="0.2">
      <c r="A464" t="str">
        <f>HYPERLINK("http://exon.niaid.nih.gov/transcriptome/C_felis/S1/links/cf/cf-contig_511.txt","cf-contig_511")</f>
        <v>cf-contig_511</v>
      </c>
      <c r="B464">
        <v>1</v>
      </c>
      <c r="C464" s="10" t="s">
        <v>4600</v>
      </c>
      <c r="D464">
        <v>1</v>
      </c>
      <c r="E464" t="str">
        <f>HYPERLINK("http://exon.niaid.nih.gov/transcriptome/C_felis/S1/links/cf/cf-5-36-asb-511.txt","Contig-511")</f>
        <v>Contig-511</v>
      </c>
      <c r="F464" t="str">
        <f>HYPERLINK("http://exon.niaid.nih.gov/transcriptome/C_felis/S1/links/cf/cf-5-36-511-CLU.txt","Contig511")</f>
        <v>Contig511</v>
      </c>
      <c r="G464" t="str">
        <f>HYPERLINK("http://exon.niaid.nih.gov/transcriptome/C_felis/S1/links/cf/cf-5-36-511-qual.txt","46.")</f>
        <v>46.</v>
      </c>
      <c r="H464">
        <v>1.2</v>
      </c>
      <c r="I464">
        <v>73.5</v>
      </c>
      <c r="J464">
        <v>64</v>
      </c>
      <c r="K464" t="s">
        <v>12</v>
      </c>
      <c r="L464">
        <v>1</v>
      </c>
      <c r="M464" t="s">
        <v>524</v>
      </c>
      <c r="N464">
        <v>64</v>
      </c>
      <c r="O464">
        <v>83</v>
      </c>
      <c r="P464">
        <v>39</v>
      </c>
      <c r="Q464" t="s">
        <v>1330</v>
      </c>
      <c r="R464">
        <v>2</v>
      </c>
      <c r="S464" s="7" t="s">
        <v>4585</v>
      </c>
      <c r="U464">
        <v>1</v>
      </c>
      <c r="V464" s="4">
        <f>HYPERLINK("http://exon.niaid.nih.gov/transcriptome/C_felis/S1/links/cluster/cf-5-36-asb30-50-Id-CLU82.txt", 82)</f>
        <v>82</v>
      </c>
      <c r="W464">
        <f>HYPERLINK("http://exon.niaid.nih.gov/transcriptome/C_felis/S1/links/cluster/cf-5-36-asb30-50-Id-CLTL82.txt", 2)</f>
        <v>2</v>
      </c>
      <c r="X464" s="4">
        <f>HYPERLINK("http://exon.niaid.nih.gov/transcriptome/C_felis/S1/links/cluster/cf-5-36-asb35-50-Id-CLU74.txt", 74)</f>
        <v>74</v>
      </c>
      <c r="Y464">
        <f>HYPERLINK("http://exon.niaid.nih.gov/transcriptome/C_felis/S1/links/cluster/cf-5-36-asb35-50-Id-CLTL74.txt", 2)</f>
        <v>2</v>
      </c>
      <c r="Z464" s="4">
        <f>HYPERLINK("http://exon.niaid.nih.gov/transcriptome/C_felis/S1/links/cluster/cf-5-36-asb40-50-Id-CLU68.txt", 68)</f>
        <v>68</v>
      </c>
      <c r="AA464">
        <f>HYPERLINK("http://exon.niaid.nih.gov/transcriptome/C_felis/S1/links/cluster/cf-5-36-asb40-50-Id-CLTL68.txt", 2)</f>
        <v>2</v>
      </c>
      <c r="AB464" s="4" t="str">
        <f>HYPERLINK("http://exon.niaid.nih.gov/transcriptome/C_felis/S1/links/XC-ASB/cf-contig_511-XC-ASB.txt","XC-contig_21")</f>
        <v>XC-contig_21</v>
      </c>
      <c r="AC464">
        <v>2.2999999999999998</v>
      </c>
      <c r="AD464" s="10" t="s">
        <v>4600</v>
      </c>
      <c r="AE464" t="s">
        <v>4601</v>
      </c>
      <c r="AI464" s="4" t="s">
        <v>42</v>
      </c>
      <c r="AJ464" t="s">
        <v>42</v>
      </c>
      <c r="AK464" t="s">
        <v>42</v>
      </c>
      <c r="AL464" t="s">
        <v>42</v>
      </c>
      <c r="AM464" t="s">
        <v>42</v>
      </c>
      <c r="AN464" t="s">
        <v>42</v>
      </c>
      <c r="AO464" t="s">
        <v>42</v>
      </c>
      <c r="AP464" t="s">
        <v>42</v>
      </c>
      <c r="AQ464" t="s">
        <v>42</v>
      </c>
      <c r="AR464" t="s">
        <v>42</v>
      </c>
      <c r="AS464" t="s">
        <v>42</v>
      </c>
      <c r="AT464" t="s">
        <v>42</v>
      </c>
      <c r="AU464" t="s">
        <v>42</v>
      </c>
      <c r="AV464" t="s">
        <v>42</v>
      </c>
      <c r="AW464" t="s">
        <v>42</v>
      </c>
      <c r="AX464" t="s">
        <v>42</v>
      </c>
      <c r="AY464" t="s">
        <v>42</v>
      </c>
      <c r="AZ464" t="s">
        <v>42</v>
      </c>
      <c r="BA464" s="4" t="s">
        <v>42</v>
      </c>
      <c r="BB464" t="s">
        <v>42</v>
      </c>
      <c r="BC464" t="s">
        <v>42</v>
      </c>
      <c r="BD464" t="s">
        <v>42</v>
      </c>
      <c r="BE464" t="s">
        <v>42</v>
      </c>
      <c r="BF464" t="s">
        <v>42</v>
      </c>
      <c r="BG464" t="s">
        <v>42</v>
      </c>
      <c r="BH464" t="s">
        <v>42</v>
      </c>
      <c r="BI464" t="s">
        <v>42</v>
      </c>
      <c r="BJ464" t="s">
        <v>42</v>
      </c>
      <c r="BK464" t="s">
        <v>42</v>
      </c>
      <c r="BL464" t="s">
        <v>42</v>
      </c>
      <c r="BM464" t="s">
        <v>42</v>
      </c>
      <c r="BN464" t="s">
        <v>42</v>
      </c>
      <c r="BO464" t="s">
        <v>42</v>
      </c>
      <c r="BP464" t="s">
        <v>42</v>
      </c>
      <c r="BQ464" t="s">
        <v>42</v>
      </c>
      <c r="BR464" t="s">
        <v>42</v>
      </c>
      <c r="BS464" s="4" t="s">
        <v>42</v>
      </c>
      <c r="BT464" t="s">
        <v>42</v>
      </c>
      <c r="BU464" t="s">
        <v>42</v>
      </c>
      <c r="BV464" s="4" t="s">
        <v>42</v>
      </c>
      <c r="BW464" t="s">
        <v>42</v>
      </c>
      <c r="BX464" t="s">
        <v>42</v>
      </c>
      <c r="BY464" t="s">
        <v>42</v>
      </c>
      <c r="BZ464" t="s">
        <v>42</v>
      </c>
      <c r="CA464" t="s">
        <v>42</v>
      </c>
      <c r="CB464" t="s">
        <v>42</v>
      </c>
      <c r="CC464" t="s">
        <v>42</v>
      </c>
      <c r="CD464" t="s">
        <v>42</v>
      </c>
      <c r="CE464" t="s">
        <v>42</v>
      </c>
      <c r="CF464" t="s">
        <v>42</v>
      </c>
      <c r="CG464" t="s">
        <v>42</v>
      </c>
      <c r="CH464" t="s">
        <v>42</v>
      </c>
      <c r="CI464" t="s">
        <v>42</v>
      </c>
      <c r="CJ464" t="s">
        <v>42</v>
      </c>
      <c r="CK464" t="s">
        <v>42</v>
      </c>
      <c r="CL464" t="s">
        <v>42</v>
      </c>
      <c r="CM464" t="s">
        <v>42</v>
      </c>
      <c r="CN464" t="s">
        <v>42</v>
      </c>
      <c r="CO464" t="s">
        <v>42</v>
      </c>
      <c r="CP464" t="s">
        <v>42</v>
      </c>
      <c r="CQ464" t="s">
        <v>42</v>
      </c>
      <c r="CR464" t="s">
        <v>42</v>
      </c>
      <c r="CS464" s="4" t="s">
        <v>42</v>
      </c>
      <c r="CT464" t="s">
        <v>42</v>
      </c>
      <c r="CU464" t="s">
        <v>42</v>
      </c>
      <c r="CV464" s="4" t="s">
        <v>42</v>
      </c>
      <c r="CW464" t="s">
        <v>42</v>
      </c>
      <c r="CX464" s="4" t="str">
        <f>HYPERLINK("http://exon.niaid.nih.gov/transcriptome/C_felis/S1/links/SMART/cf-contig_511-SMART.txt","PKS_KR")</f>
        <v>PKS_KR</v>
      </c>
      <c r="CY464" t="str">
        <f>HYPERLINK("http://smart.embl-heidelberg.de/smart/do_annotation.pl?DOMAIN=PKS_KR&amp;BLAST=DUMMY","4.2")</f>
        <v>4.2</v>
      </c>
      <c r="CZ464" s="4" t="s">
        <v>42</v>
      </c>
      <c r="DA464" t="s">
        <v>42</v>
      </c>
      <c r="DB464" t="s">
        <v>42</v>
      </c>
      <c r="DC464" t="s">
        <v>42</v>
      </c>
      <c r="DD464" t="s">
        <v>42</v>
      </c>
      <c r="DE464" t="s">
        <v>42</v>
      </c>
      <c r="DF464" t="s">
        <v>42</v>
      </c>
      <c r="DG464" t="s">
        <v>42</v>
      </c>
      <c r="DH464" s="4" t="s">
        <v>42</v>
      </c>
      <c r="DI464" t="s">
        <v>42</v>
      </c>
      <c r="DJ464" s="4" t="s">
        <v>42</v>
      </c>
      <c r="DK464" t="s">
        <v>42</v>
      </c>
      <c r="DL464" s="4">
        <f>HYPERLINK("http://exon.niaid.nih.gov/transcriptome/C_felis/S1/links/cluster/cf-5-36-asb30-50-Id-CLU82.txt", 82)</f>
        <v>82</v>
      </c>
      <c r="DM464">
        <f>HYPERLINK("http://exon.niaid.nih.gov/transcriptome/C_felis/S1/links/cluster/cf-5-36-asb30-50-Id-CLTL82.txt", 2)</f>
        <v>2</v>
      </c>
      <c r="DN464" s="4">
        <f>HYPERLINK("http://exon.niaid.nih.gov/transcriptome/C_felis/S1/links/cluster/cf-5-36-asb35-50-Id-CLU74.txt", 74)</f>
        <v>74</v>
      </c>
      <c r="DO464">
        <f>HYPERLINK("http://exon.niaid.nih.gov/transcriptome/C_felis/S1/links/cluster/cf-5-36-asb35-50-Id-CLTL74.txt", 2)</f>
        <v>2</v>
      </c>
      <c r="DP464" s="4">
        <f>HYPERLINK("http://exon.niaid.nih.gov/transcriptome/C_felis/S1/links/cluster/cf-5-36-asb40-50-Id-CLU68.txt", 68)</f>
        <v>68</v>
      </c>
      <c r="DQ464">
        <f>HYPERLINK("http://exon.niaid.nih.gov/transcriptome/C_felis/S1/links/cluster/cf-5-36-asb40-50-Id-CLTL68.txt", 2)</f>
        <v>2</v>
      </c>
      <c r="DR464" s="4">
        <f>HYPERLINK("http://exon.niaid.nih.gov/transcriptome/C_felis/S1/links/cluster/cf-5-36-asb45-50-Id-CLU55.txt", 55)</f>
        <v>55</v>
      </c>
      <c r="DS464">
        <f>HYPERLINK("http://exon.niaid.nih.gov/transcriptome/C_felis/S1/links/cluster/cf-5-36-asb45-50-Id-CLTL55.txt", 2)</f>
        <v>2</v>
      </c>
      <c r="DT464" s="4">
        <v>456</v>
      </c>
      <c r="DU464">
        <v>1</v>
      </c>
      <c r="DV464" s="4">
        <v>470</v>
      </c>
      <c r="DW464">
        <v>1</v>
      </c>
      <c r="DX464" s="4">
        <v>476</v>
      </c>
      <c r="DY464">
        <v>1</v>
      </c>
      <c r="DZ464" s="4">
        <v>484</v>
      </c>
      <c r="EA464">
        <v>1</v>
      </c>
      <c r="EB464" s="4">
        <v>489</v>
      </c>
      <c r="EC464">
        <v>1</v>
      </c>
      <c r="ED464" s="4">
        <v>493</v>
      </c>
      <c r="EE464">
        <v>1</v>
      </c>
      <c r="EF464" s="4">
        <v>498</v>
      </c>
      <c r="EG464">
        <v>1</v>
      </c>
      <c r="EH464" s="4">
        <v>504</v>
      </c>
      <c r="EI464">
        <v>1</v>
      </c>
      <c r="EJ464" s="4">
        <v>511</v>
      </c>
      <c r="EK464">
        <v>1</v>
      </c>
    </row>
    <row r="465" spans="1:141" x14ac:dyDescent="0.2">
      <c r="A465" t="str">
        <f>HYPERLINK("http://exon.niaid.nih.gov/transcriptome/C_felis/S1/links/cf/cf-contig_512.txt","cf-contig_512")</f>
        <v>cf-contig_512</v>
      </c>
      <c r="B465">
        <v>1</v>
      </c>
      <c r="C465" s="10" t="s">
        <v>4600</v>
      </c>
      <c r="D465">
        <v>1</v>
      </c>
      <c r="E465" t="str">
        <f>HYPERLINK("http://exon.niaid.nih.gov/transcriptome/C_felis/S1/links/cf/cf-5-36-asb-512.txt","Contig-512")</f>
        <v>Contig-512</v>
      </c>
      <c r="F465" t="str">
        <f>HYPERLINK("http://exon.niaid.nih.gov/transcriptome/C_felis/S1/links/cf/cf-5-36-512-CLU.txt","Contig512")</f>
        <v>Contig512</v>
      </c>
      <c r="G465" t="str">
        <f>HYPERLINK("http://exon.niaid.nih.gov/transcriptome/C_felis/S1/links/cf/cf-5-36-512-qual.txt","47.2")</f>
        <v>47.2</v>
      </c>
      <c r="H465">
        <v>2.2000000000000002</v>
      </c>
      <c r="I465">
        <v>58.8</v>
      </c>
      <c r="J465">
        <v>117</v>
      </c>
      <c r="K465" t="s">
        <v>12</v>
      </c>
      <c r="L465">
        <v>1</v>
      </c>
      <c r="M465" t="s">
        <v>525</v>
      </c>
      <c r="N465">
        <v>117</v>
      </c>
      <c r="O465">
        <v>136</v>
      </c>
      <c r="P465">
        <v>99</v>
      </c>
      <c r="Q465" t="s">
        <v>1331</v>
      </c>
      <c r="R465">
        <v>3</v>
      </c>
      <c r="S465" s="7" t="s">
        <v>4585</v>
      </c>
      <c r="U465">
        <v>1</v>
      </c>
      <c r="V465" s="4">
        <v>417</v>
      </c>
      <c r="W465">
        <v>1</v>
      </c>
      <c r="X465" s="4">
        <v>426</v>
      </c>
      <c r="Y465">
        <v>1</v>
      </c>
      <c r="Z465" s="4">
        <v>431</v>
      </c>
      <c r="AA465">
        <v>1</v>
      </c>
      <c r="AB465" s="4" t="str">
        <f>HYPERLINK("http://exon.niaid.nih.gov/transcriptome/C_felis/S1/links/XC-ASB/cf-contig_512-XC-ASB.txt","XC-contig_167")</f>
        <v>XC-contig_167</v>
      </c>
      <c r="AC465">
        <v>0.27</v>
      </c>
      <c r="AD465" s="10" t="s">
        <v>4600</v>
      </c>
      <c r="AE465" t="s">
        <v>4601</v>
      </c>
      <c r="AI465" s="4" t="s">
        <v>42</v>
      </c>
      <c r="AJ465" t="s">
        <v>42</v>
      </c>
      <c r="AK465" t="s">
        <v>42</v>
      </c>
      <c r="AL465" t="s">
        <v>42</v>
      </c>
      <c r="AM465" t="s">
        <v>42</v>
      </c>
      <c r="AN465" t="s">
        <v>42</v>
      </c>
      <c r="AO465" t="s">
        <v>42</v>
      </c>
      <c r="AP465" t="s">
        <v>42</v>
      </c>
      <c r="AQ465" t="s">
        <v>42</v>
      </c>
      <c r="AR465" t="s">
        <v>42</v>
      </c>
      <c r="AS465" t="s">
        <v>42</v>
      </c>
      <c r="AT465" t="s">
        <v>42</v>
      </c>
      <c r="AU465" t="s">
        <v>42</v>
      </c>
      <c r="AV465" t="s">
        <v>42</v>
      </c>
      <c r="AW465" t="s">
        <v>42</v>
      </c>
      <c r="AX465" t="s">
        <v>42</v>
      </c>
      <c r="AY465" t="s">
        <v>42</v>
      </c>
      <c r="AZ465" t="s">
        <v>42</v>
      </c>
      <c r="BA465" s="4" t="str">
        <f>HYPERLINK("http://exon.niaid.nih.gov/transcriptome/C_felis/S1/links/SWISSP/cf-contig_512-SWISSP.txt","Forkhead box protein D4-like 6")</f>
        <v>Forkhead box protein D4-like 6</v>
      </c>
      <c r="BB465" t="str">
        <f>HYPERLINK("http://www.uniprot.org/uniprot/Q3SYB3","31")</f>
        <v>31</v>
      </c>
      <c r="BC465" t="s">
        <v>3540</v>
      </c>
      <c r="BD465">
        <v>27.3</v>
      </c>
      <c r="BE465">
        <v>22</v>
      </c>
      <c r="BF465">
        <v>417</v>
      </c>
      <c r="BG465">
        <v>43</v>
      </c>
      <c r="BH465">
        <v>6</v>
      </c>
      <c r="BI465">
        <v>13</v>
      </c>
      <c r="BJ465">
        <v>0</v>
      </c>
      <c r="BK465">
        <v>355</v>
      </c>
      <c r="BL465">
        <v>1</v>
      </c>
      <c r="BM465">
        <v>1</v>
      </c>
      <c r="BN465">
        <v>-2</v>
      </c>
      <c r="BO465" t="s">
        <v>12</v>
      </c>
      <c r="BP465">
        <v>4.5449999999999999</v>
      </c>
      <c r="BQ465" t="s">
        <v>1666</v>
      </c>
      <c r="BR465" t="s">
        <v>1690</v>
      </c>
      <c r="BS465" s="4" t="str">
        <f>HYPERLINK("http://exon.niaid.nih.gov/transcriptome/C_felis/S1/links/CDD/cf-contig_512-CDD.txt","PRK03449")</f>
        <v>PRK03449</v>
      </c>
      <c r="BT465" t="str">
        <f>HYPERLINK("http://www.ncbi.nlm.nih.gov/Structure/cdd/cddsrv.cgi?uid=PRK03449&amp;version=v4.0","1.5")</f>
        <v>1.5</v>
      </c>
      <c r="BU465" t="s">
        <v>3541</v>
      </c>
      <c r="BV465" s="4" t="s">
        <v>42</v>
      </c>
      <c r="BW465" t="s">
        <v>42</v>
      </c>
      <c r="BX465" t="s">
        <v>42</v>
      </c>
      <c r="BY465" t="s">
        <v>42</v>
      </c>
      <c r="BZ465" t="s">
        <v>42</v>
      </c>
      <c r="CA465" t="s">
        <v>42</v>
      </c>
      <c r="CB465" t="s">
        <v>42</v>
      </c>
      <c r="CC465" t="s">
        <v>42</v>
      </c>
      <c r="CD465" t="s">
        <v>42</v>
      </c>
      <c r="CE465" t="s">
        <v>42</v>
      </c>
      <c r="CF465" t="s">
        <v>42</v>
      </c>
      <c r="CG465" t="s">
        <v>42</v>
      </c>
      <c r="CH465" t="s">
        <v>42</v>
      </c>
      <c r="CI465" t="s">
        <v>42</v>
      </c>
      <c r="CJ465" t="s">
        <v>42</v>
      </c>
      <c r="CK465" t="s">
        <v>42</v>
      </c>
      <c r="CL465" t="s">
        <v>42</v>
      </c>
      <c r="CM465" t="s">
        <v>42</v>
      </c>
      <c r="CN465" t="s">
        <v>42</v>
      </c>
      <c r="CO465" t="s">
        <v>42</v>
      </c>
      <c r="CP465" t="s">
        <v>42</v>
      </c>
      <c r="CQ465" t="s">
        <v>42</v>
      </c>
      <c r="CR465" t="s">
        <v>42</v>
      </c>
      <c r="CS465" s="4" t="str">
        <f>HYPERLINK("http://exon.niaid.nih.gov/transcriptome/C_felis/S1/links/KOG/cf-contig_512-KOG.txt","Uncharacterized conserved protein (YdiU family)")</f>
        <v>Uncharacterized conserved protein (YdiU family)</v>
      </c>
      <c r="CT465" t="str">
        <f>HYPERLINK("http://www.ncbi.nlm.nih.gov/COG/grace/shokog.cgi?KOG2542","7.2")</f>
        <v>7.2</v>
      </c>
      <c r="CU465" t="s">
        <v>1711</v>
      </c>
      <c r="CV465" s="4" t="str">
        <f>HYPERLINK("http://exon.niaid.nih.gov/transcriptome/C_felis/S1/links/PFAM/cf-contig_512-PFAM.txt","DUF2424")</f>
        <v>DUF2424</v>
      </c>
      <c r="CW465" t="str">
        <f>HYPERLINK("http://pfam.sanger.ac.uk/family?acc=PF10340","2.4")</f>
        <v>2.4</v>
      </c>
      <c r="CX465" s="4" t="str">
        <f>HYPERLINK("http://exon.niaid.nih.gov/transcriptome/C_felis/S1/links/SMART/cf-contig_512-SMART.txt","RNAse_Pc")</f>
        <v>RNAse_Pc</v>
      </c>
      <c r="CY465" t="str">
        <f>HYPERLINK("http://smart.embl-heidelberg.de/smart/do_annotation.pl?DOMAIN=RNAse_Pc&amp;BLAST=DUMMY","0.51")</f>
        <v>0.51</v>
      </c>
      <c r="CZ465" s="4" t="s">
        <v>42</v>
      </c>
      <c r="DA465" t="s">
        <v>42</v>
      </c>
      <c r="DB465" t="s">
        <v>42</v>
      </c>
      <c r="DC465" t="s">
        <v>42</v>
      </c>
      <c r="DD465" t="s">
        <v>42</v>
      </c>
      <c r="DE465" t="s">
        <v>42</v>
      </c>
      <c r="DF465" t="s">
        <v>42</v>
      </c>
      <c r="DG465" t="s">
        <v>42</v>
      </c>
      <c r="DH465" s="4" t="s">
        <v>42</v>
      </c>
      <c r="DI465" t="s">
        <v>42</v>
      </c>
      <c r="DJ465" s="4" t="s">
        <v>42</v>
      </c>
      <c r="DK465" t="s">
        <v>42</v>
      </c>
      <c r="DL465" s="4">
        <v>417</v>
      </c>
      <c r="DM465">
        <v>1</v>
      </c>
      <c r="DN465" s="4">
        <v>426</v>
      </c>
      <c r="DO465">
        <v>1</v>
      </c>
      <c r="DP465" s="4">
        <v>431</v>
      </c>
      <c r="DQ465">
        <v>1</v>
      </c>
      <c r="DR465" s="4">
        <v>446</v>
      </c>
      <c r="DS465">
        <v>1</v>
      </c>
      <c r="DT465" s="4">
        <v>457</v>
      </c>
      <c r="DU465">
        <v>1</v>
      </c>
      <c r="DV465" s="4">
        <v>471</v>
      </c>
      <c r="DW465">
        <v>1</v>
      </c>
      <c r="DX465" s="4">
        <v>477</v>
      </c>
      <c r="DY465">
        <v>1</v>
      </c>
      <c r="DZ465" s="4">
        <v>485</v>
      </c>
      <c r="EA465">
        <v>1</v>
      </c>
      <c r="EB465" s="4">
        <v>490</v>
      </c>
      <c r="EC465">
        <v>1</v>
      </c>
      <c r="ED465" s="4">
        <v>494</v>
      </c>
      <c r="EE465">
        <v>1</v>
      </c>
      <c r="EF465" s="4">
        <v>499</v>
      </c>
      <c r="EG465">
        <v>1</v>
      </c>
      <c r="EH465" s="4">
        <v>505</v>
      </c>
      <c r="EI465">
        <v>1</v>
      </c>
      <c r="EJ465" s="4">
        <v>512</v>
      </c>
      <c r="EK465">
        <v>1</v>
      </c>
    </row>
    <row r="466" spans="1:141" x14ac:dyDescent="0.2">
      <c r="A466" t="str">
        <f>HYPERLINK("http://exon.niaid.nih.gov/transcriptome/C_felis/S1/links/cf/cf-contig_517.txt","cf-contig_517")</f>
        <v>cf-contig_517</v>
      </c>
      <c r="B466">
        <v>1</v>
      </c>
      <c r="C466" s="10" t="s">
        <v>4600</v>
      </c>
      <c r="D466">
        <v>1</v>
      </c>
      <c r="E466" t="str">
        <f>HYPERLINK("http://exon.niaid.nih.gov/transcriptome/C_felis/S1/links/cf/cf-5-36-asb-517.txt","Contig-517")</f>
        <v>Contig-517</v>
      </c>
      <c r="F466" t="str">
        <f>HYPERLINK("http://exon.niaid.nih.gov/transcriptome/C_felis/S1/links/cf/cf-5-36-517-CLU.txt","Contig517")</f>
        <v>Contig517</v>
      </c>
      <c r="G466" t="str">
        <f>HYPERLINK("http://exon.niaid.nih.gov/transcriptome/C_felis/S1/links/cf/cf-5-36-517-qual.txt","56.7")</f>
        <v>56.7</v>
      </c>
      <c r="H466" t="s">
        <v>11</v>
      </c>
      <c r="I466">
        <v>76.3</v>
      </c>
      <c r="J466">
        <v>205</v>
      </c>
      <c r="K466" t="s">
        <v>12</v>
      </c>
      <c r="L466">
        <v>1</v>
      </c>
      <c r="M466" t="s">
        <v>530</v>
      </c>
      <c r="N466">
        <v>205</v>
      </c>
      <c r="O466">
        <v>224</v>
      </c>
      <c r="P466">
        <v>66</v>
      </c>
      <c r="Q466" t="s">
        <v>1336</v>
      </c>
      <c r="R466">
        <v>1</v>
      </c>
      <c r="S466" s="7" t="s">
        <v>4585</v>
      </c>
      <c r="U466">
        <v>1</v>
      </c>
      <c r="V466" s="4">
        <v>422</v>
      </c>
      <c r="W466">
        <v>1</v>
      </c>
      <c r="X466" s="4">
        <v>431</v>
      </c>
      <c r="Y466">
        <v>1</v>
      </c>
      <c r="Z466" s="4">
        <v>436</v>
      </c>
      <c r="AA466">
        <v>1</v>
      </c>
      <c r="AB466" s="4" t="str">
        <f>HYPERLINK("http://exon.niaid.nih.gov/transcriptome/C_felis/S1/links/XC-ASB/cf-contig_517-XC-ASB.txt","XC-contig_45")</f>
        <v>XC-contig_45</v>
      </c>
      <c r="AC466">
        <v>0.25</v>
      </c>
      <c r="AD466" s="10" t="s">
        <v>4600</v>
      </c>
      <c r="AE466" t="s">
        <v>4601</v>
      </c>
      <c r="AI466" s="4" t="s">
        <v>42</v>
      </c>
      <c r="AJ466" t="s">
        <v>42</v>
      </c>
      <c r="AK466" t="s">
        <v>42</v>
      </c>
      <c r="AL466" t="s">
        <v>42</v>
      </c>
      <c r="AM466" t="s">
        <v>42</v>
      </c>
      <c r="AN466" t="s">
        <v>42</v>
      </c>
      <c r="AO466" t="s">
        <v>42</v>
      </c>
      <c r="AP466" t="s">
        <v>42</v>
      </c>
      <c r="AQ466" t="s">
        <v>42</v>
      </c>
      <c r="AR466" t="s">
        <v>42</v>
      </c>
      <c r="AS466" t="s">
        <v>42</v>
      </c>
      <c r="AT466" t="s">
        <v>42</v>
      </c>
      <c r="AU466" t="s">
        <v>42</v>
      </c>
      <c r="AV466" t="s">
        <v>42</v>
      </c>
      <c r="AW466" t="s">
        <v>42</v>
      </c>
      <c r="AX466" t="s">
        <v>42</v>
      </c>
      <c r="AY466" t="s">
        <v>42</v>
      </c>
      <c r="AZ466" t="s">
        <v>42</v>
      </c>
      <c r="BA466" s="4" t="str">
        <f>HYPERLINK("http://exon.niaid.nih.gov/transcriptome/C_felis/S1/links/SWISSP/cf-contig_517-SWISSP.txt","Surface presentation of antigens protein spaS")</f>
        <v>Surface presentation of antigens protein spaS</v>
      </c>
      <c r="BB466" t="str">
        <f>HYPERLINK("http://www.uniprot.org/uniprot/P0A1M9","41")</f>
        <v>41</v>
      </c>
      <c r="BC466" t="s">
        <v>3563</v>
      </c>
      <c r="BD466">
        <v>26.9</v>
      </c>
      <c r="BE466">
        <v>28</v>
      </c>
      <c r="BF466">
        <v>342</v>
      </c>
      <c r="BG466">
        <v>48</v>
      </c>
      <c r="BH466">
        <v>8</v>
      </c>
      <c r="BI466">
        <v>15</v>
      </c>
      <c r="BJ466">
        <v>1</v>
      </c>
      <c r="BK466">
        <v>181</v>
      </c>
      <c r="BL466">
        <v>56</v>
      </c>
      <c r="BM466">
        <v>1</v>
      </c>
      <c r="BN466">
        <v>2</v>
      </c>
      <c r="BO466" t="s">
        <v>12</v>
      </c>
      <c r="BP466">
        <v>3.5710000000000002</v>
      </c>
      <c r="BQ466" t="s">
        <v>1676</v>
      </c>
      <c r="BR466" t="s">
        <v>3564</v>
      </c>
      <c r="BS466" s="4" t="str">
        <f>HYPERLINK("http://exon.niaid.nih.gov/transcriptome/C_felis/S1/links/CDD/cf-contig_517-CDD.txt","ND6")</f>
        <v>ND6</v>
      </c>
      <c r="BT466" t="str">
        <f>HYPERLINK("http://www.ncbi.nlm.nih.gov/Structure/cdd/cddsrv.cgi?uid=MTH00097&amp;version=v4.0","0.58")</f>
        <v>0.58</v>
      </c>
      <c r="BU466" t="s">
        <v>3565</v>
      </c>
      <c r="BV466" s="4" t="s">
        <v>42</v>
      </c>
      <c r="BW466" t="s">
        <v>42</v>
      </c>
      <c r="BX466" t="s">
        <v>42</v>
      </c>
      <c r="BY466" t="s">
        <v>42</v>
      </c>
      <c r="BZ466" t="s">
        <v>42</v>
      </c>
      <c r="CA466" t="s">
        <v>42</v>
      </c>
      <c r="CB466" t="s">
        <v>42</v>
      </c>
      <c r="CC466" t="s">
        <v>42</v>
      </c>
      <c r="CD466" t="s">
        <v>42</v>
      </c>
      <c r="CE466" t="s">
        <v>42</v>
      </c>
      <c r="CF466" t="s">
        <v>42</v>
      </c>
      <c r="CG466" t="s">
        <v>42</v>
      </c>
      <c r="CH466" t="s">
        <v>42</v>
      </c>
      <c r="CI466" t="s">
        <v>42</v>
      </c>
      <c r="CJ466" t="s">
        <v>42</v>
      </c>
      <c r="CK466" t="s">
        <v>42</v>
      </c>
      <c r="CL466" t="s">
        <v>42</v>
      </c>
      <c r="CM466" t="s">
        <v>42</v>
      </c>
      <c r="CN466" t="s">
        <v>42</v>
      </c>
      <c r="CO466" t="s">
        <v>42</v>
      </c>
      <c r="CP466" t="s">
        <v>42</v>
      </c>
      <c r="CQ466" t="s">
        <v>42</v>
      </c>
      <c r="CR466" t="s">
        <v>42</v>
      </c>
      <c r="CS466" s="4" t="str">
        <f>HYPERLINK("http://exon.niaid.nih.gov/transcriptome/C_felis/S1/links/KOG/cf-contig_517-KOG.txt","Uncharacterized conserved protein")</f>
        <v>Uncharacterized conserved protein</v>
      </c>
      <c r="CT466" t="str">
        <f>HYPERLINK("http://www.ncbi.nlm.nih.gov/COG/grace/shokog.cgi?KOG1791","0.47")</f>
        <v>0.47</v>
      </c>
      <c r="CU466" t="s">
        <v>1711</v>
      </c>
      <c r="CV466" s="4" t="str">
        <f>HYPERLINK("http://exon.niaid.nih.gov/transcriptome/C_felis/S1/links/PFAM/cf-contig_517-PFAM.txt","MBOAT")</f>
        <v>MBOAT</v>
      </c>
      <c r="CW466" t="str">
        <f>HYPERLINK("http://pfam.sanger.ac.uk/family?acc=PF03062","0.16")</f>
        <v>0.16</v>
      </c>
      <c r="CX466" s="4" t="str">
        <f>HYPERLINK("http://exon.niaid.nih.gov/transcriptome/C_felis/S1/links/SMART/cf-contig_517-SMART.txt","AgrB")</f>
        <v>AgrB</v>
      </c>
      <c r="CY466" t="str">
        <f>HYPERLINK("http://smart.embl-heidelberg.de/smart/do_annotation.pl?DOMAIN=AgrB&amp;BLAST=DUMMY","0.11")</f>
        <v>0.11</v>
      </c>
      <c r="CZ466" s="4" t="s">
        <v>42</v>
      </c>
      <c r="DA466" t="s">
        <v>42</v>
      </c>
      <c r="DB466" t="s">
        <v>42</v>
      </c>
      <c r="DC466" t="s">
        <v>42</v>
      </c>
      <c r="DD466" t="s">
        <v>42</v>
      </c>
      <c r="DE466" t="s">
        <v>42</v>
      </c>
      <c r="DF466" t="s">
        <v>42</v>
      </c>
      <c r="DG466" t="s">
        <v>42</v>
      </c>
      <c r="DH466" s="4" t="s">
        <v>42</v>
      </c>
      <c r="DI466" t="s">
        <v>42</v>
      </c>
      <c r="DJ466" s="4" t="s">
        <v>42</v>
      </c>
      <c r="DK466" t="s">
        <v>42</v>
      </c>
      <c r="DL466" s="4">
        <v>422</v>
      </c>
      <c r="DM466">
        <v>1</v>
      </c>
      <c r="DN466" s="4">
        <v>431</v>
      </c>
      <c r="DO466">
        <v>1</v>
      </c>
      <c r="DP466" s="4">
        <v>436</v>
      </c>
      <c r="DQ466">
        <v>1</v>
      </c>
      <c r="DR466" s="4">
        <v>451</v>
      </c>
      <c r="DS466">
        <v>1</v>
      </c>
      <c r="DT466" s="4">
        <v>462</v>
      </c>
      <c r="DU466">
        <v>1</v>
      </c>
      <c r="DV466" s="4">
        <v>476</v>
      </c>
      <c r="DW466">
        <v>1</v>
      </c>
      <c r="DX466" s="4">
        <v>482</v>
      </c>
      <c r="DY466">
        <v>1</v>
      </c>
      <c r="DZ466" s="4">
        <v>490</v>
      </c>
      <c r="EA466">
        <v>1</v>
      </c>
      <c r="EB466" s="4">
        <v>495</v>
      </c>
      <c r="EC466">
        <v>1</v>
      </c>
      <c r="ED466" s="4">
        <v>499</v>
      </c>
      <c r="EE466">
        <v>1</v>
      </c>
      <c r="EF466" s="4">
        <v>504</v>
      </c>
      <c r="EG466">
        <v>1</v>
      </c>
      <c r="EH466" s="4">
        <v>510</v>
      </c>
      <c r="EI466">
        <v>1</v>
      </c>
      <c r="EJ466" s="4">
        <v>517</v>
      </c>
      <c r="EK466">
        <v>1</v>
      </c>
    </row>
    <row r="467" spans="1:141" x14ac:dyDescent="0.2">
      <c r="A467" t="str">
        <f>HYPERLINK("http://exon.niaid.nih.gov/transcriptome/C_felis/S1/links/cf/cf-contig_519.txt","cf-contig_519")</f>
        <v>cf-contig_519</v>
      </c>
      <c r="B467">
        <v>1</v>
      </c>
      <c r="C467" s="10" t="s">
        <v>4600</v>
      </c>
      <c r="D467">
        <v>1</v>
      </c>
      <c r="E467" t="str">
        <f>HYPERLINK("http://exon.niaid.nih.gov/transcriptome/C_felis/S1/links/cf/cf-5-36-asb-519.txt","Contig-519")</f>
        <v>Contig-519</v>
      </c>
      <c r="F467" t="str">
        <f>HYPERLINK("http://exon.niaid.nih.gov/transcriptome/C_felis/S1/links/cf/cf-5-36-519-CLU.txt","Contig519")</f>
        <v>Contig519</v>
      </c>
      <c r="G467" t="str">
        <f>HYPERLINK("http://exon.niaid.nih.gov/transcriptome/C_felis/S1/links/cf/cf-5-36-519-qual.txt","57.6")</f>
        <v>57.6</v>
      </c>
      <c r="H467" t="s">
        <v>11</v>
      </c>
      <c r="I467">
        <v>72</v>
      </c>
      <c r="J467">
        <v>99</v>
      </c>
      <c r="K467" t="s">
        <v>12</v>
      </c>
      <c r="L467">
        <v>1</v>
      </c>
      <c r="M467" t="s">
        <v>532</v>
      </c>
      <c r="N467">
        <v>99</v>
      </c>
      <c r="O467">
        <v>118</v>
      </c>
      <c r="P467">
        <v>96</v>
      </c>
      <c r="Q467" t="s">
        <v>1338</v>
      </c>
      <c r="R467">
        <v>1</v>
      </c>
      <c r="S467" s="7" t="s">
        <v>4585</v>
      </c>
      <c r="U467">
        <v>1</v>
      </c>
      <c r="V467" s="4">
        <v>424</v>
      </c>
      <c r="W467">
        <v>1</v>
      </c>
      <c r="X467" s="4">
        <v>433</v>
      </c>
      <c r="Y467">
        <v>1</v>
      </c>
      <c r="Z467" s="4">
        <v>438</v>
      </c>
      <c r="AA467">
        <v>1</v>
      </c>
      <c r="AB467" s="4" t="str">
        <f>HYPERLINK("http://exon.niaid.nih.gov/transcriptome/C_felis/S1/links/XC-ASB/cf-contig_519-XC-ASB.txt","XC-contig_158")</f>
        <v>XC-contig_158</v>
      </c>
      <c r="AC467">
        <v>0.2</v>
      </c>
      <c r="AD467" s="10" t="s">
        <v>4600</v>
      </c>
      <c r="AE467" t="s">
        <v>4601</v>
      </c>
      <c r="AI467" s="4" t="s">
        <v>42</v>
      </c>
      <c r="AJ467" t="s">
        <v>42</v>
      </c>
      <c r="AK467" t="s">
        <v>42</v>
      </c>
      <c r="AL467" t="s">
        <v>42</v>
      </c>
      <c r="AM467" t="s">
        <v>42</v>
      </c>
      <c r="AN467" t="s">
        <v>42</v>
      </c>
      <c r="AO467" t="s">
        <v>42</v>
      </c>
      <c r="AP467" t="s">
        <v>42</v>
      </c>
      <c r="AQ467" t="s">
        <v>42</v>
      </c>
      <c r="AR467" t="s">
        <v>42</v>
      </c>
      <c r="AS467" t="s">
        <v>42</v>
      </c>
      <c r="AT467" t="s">
        <v>42</v>
      </c>
      <c r="AU467" t="s">
        <v>42</v>
      </c>
      <c r="AV467" t="s">
        <v>42</v>
      </c>
      <c r="AW467" t="s">
        <v>42</v>
      </c>
      <c r="AX467" t="s">
        <v>42</v>
      </c>
      <c r="AY467" t="s">
        <v>42</v>
      </c>
      <c r="AZ467" t="s">
        <v>42</v>
      </c>
      <c r="BA467" s="4" t="str">
        <f>HYPERLINK("http://exon.niaid.nih.gov/transcriptome/C_felis/S1/links/SWISSP/cf-contig_519-SWISSP.txt","Inheritance of peroxisomes protein 2")</f>
        <v>Inheritance of peroxisomes protein 2</v>
      </c>
      <c r="BB467" t="str">
        <f>HYPERLINK("http://www.uniprot.org/uniprot/Q03824","69")</f>
        <v>69</v>
      </c>
      <c r="BC467" t="s">
        <v>3568</v>
      </c>
      <c r="BD467">
        <v>26.2</v>
      </c>
      <c r="BE467">
        <v>30</v>
      </c>
      <c r="BF467">
        <v>705</v>
      </c>
      <c r="BG467">
        <v>45</v>
      </c>
      <c r="BH467">
        <v>4</v>
      </c>
      <c r="BI467">
        <v>17</v>
      </c>
      <c r="BJ467">
        <v>6</v>
      </c>
      <c r="BK467">
        <v>239</v>
      </c>
      <c r="BL467">
        <v>12</v>
      </c>
      <c r="BM467">
        <v>1</v>
      </c>
      <c r="BN467">
        <v>-3</v>
      </c>
      <c r="BO467" t="s">
        <v>12</v>
      </c>
      <c r="BQ467" t="s">
        <v>1666</v>
      </c>
      <c r="BR467" t="s">
        <v>1796</v>
      </c>
      <c r="BS467" s="4" t="str">
        <f>HYPERLINK("http://exon.niaid.nih.gov/transcriptome/C_felis/S1/links/CDD/cf-contig_519-CDD.txt","matK")</f>
        <v>matK</v>
      </c>
      <c r="BT467" t="str">
        <f>HYPERLINK("http://www.ncbi.nlm.nih.gov/Structure/cdd/cddsrv.cgi?uid=CHL00002&amp;version=v4.0","0.084")</f>
        <v>0.084</v>
      </c>
      <c r="BU467" t="s">
        <v>3569</v>
      </c>
      <c r="BV467" s="4" t="s">
        <v>42</v>
      </c>
      <c r="BW467" t="s">
        <v>42</v>
      </c>
      <c r="BX467" t="s">
        <v>42</v>
      </c>
      <c r="BY467" t="s">
        <v>42</v>
      </c>
      <c r="BZ467" t="s">
        <v>42</v>
      </c>
      <c r="CA467" t="s">
        <v>42</v>
      </c>
      <c r="CB467" t="s">
        <v>42</v>
      </c>
      <c r="CC467" t="s">
        <v>42</v>
      </c>
      <c r="CD467" t="s">
        <v>42</v>
      </c>
      <c r="CE467" t="s">
        <v>42</v>
      </c>
      <c r="CF467" t="s">
        <v>42</v>
      </c>
      <c r="CG467" t="s">
        <v>42</v>
      </c>
      <c r="CH467" t="s">
        <v>42</v>
      </c>
      <c r="CI467" t="s">
        <v>42</v>
      </c>
      <c r="CJ467" t="s">
        <v>42</v>
      </c>
      <c r="CK467" t="s">
        <v>42</v>
      </c>
      <c r="CL467" t="s">
        <v>42</v>
      </c>
      <c r="CM467" t="s">
        <v>42</v>
      </c>
      <c r="CN467" t="s">
        <v>42</v>
      </c>
      <c r="CO467" t="s">
        <v>42</v>
      </c>
      <c r="CP467" t="s">
        <v>42</v>
      </c>
      <c r="CQ467" t="s">
        <v>42</v>
      </c>
      <c r="CR467" t="s">
        <v>42</v>
      </c>
      <c r="CS467" s="4" t="str">
        <f>HYPERLINK("http://exon.niaid.nih.gov/transcriptome/C_felis/S1/links/KOG/cf-contig_519-KOG.txt","P-type ATPase")</f>
        <v>P-type ATPase</v>
      </c>
      <c r="CT467" t="str">
        <f>HYPERLINK("http://www.ncbi.nlm.nih.gov/COG/grace/shokog.cgi?KOG0209","3.4")</f>
        <v>3.4</v>
      </c>
      <c r="CU467" t="s">
        <v>1681</v>
      </c>
      <c r="CV467" s="4" t="str">
        <f>HYPERLINK("http://exon.niaid.nih.gov/transcriptome/C_felis/S1/links/PFAM/cf-contig_519-PFAM.txt","MatK_N")</f>
        <v>MatK_N</v>
      </c>
      <c r="CW467" t="str">
        <f>HYPERLINK("http://pfam.sanger.ac.uk/family?acc=PF01824","0.16")</f>
        <v>0.16</v>
      </c>
      <c r="CX467" s="4" t="str">
        <f>HYPERLINK("http://exon.niaid.nih.gov/transcriptome/C_felis/S1/links/SMART/cf-contig_519-SMART.txt","PhBP")</f>
        <v>PhBP</v>
      </c>
      <c r="CY467" t="str">
        <f>HYPERLINK("http://smart.embl-heidelberg.de/smart/do_annotation.pl?DOMAIN=PhBP&amp;BLAST=DUMMY","0.29")</f>
        <v>0.29</v>
      </c>
      <c r="CZ467" s="4" t="s">
        <v>42</v>
      </c>
      <c r="DA467" t="s">
        <v>42</v>
      </c>
      <c r="DB467" t="s">
        <v>42</v>
      </c>
      <c r="DC467" t="s">
        <v>42</v>
      </c>
      <c r="DD467" t="s">
        <v>42</v>
      </c>
      <c r="DE467" t="s">
        <v>42</v>
      </c>
      <c r="DF467" t="s">
        <v>42</v>
      </c>
      <c r="DG467" t="s">
        <v>42</v>
      </c>
      <c r="DH467" s="4" t="s">
        <v>42</v>
      </c>
      <c r="DI467" t="s">
        <v>42</v>
      </c>
      <c r="DJ467" s="4" t="s">
        <v>42</v>
      </c>
      <c r="DK467" t="s">
        <v>42</v>
      </c>
      <c r="DL467" s="4">
        <v>424</v>
      </c>
      <c r="DM467">
        <v>1</v>
      </c>
      <c r="DN467" s="4">
        <v>433</v>
      </c>
      <c r="DO467">
        <v>1</v>
      </c>
      <c r="DP467" s="4">
        <v>438</v>
      </c>
      <c r="DQ467">
        <v>1</v>
      </c>
      <c r="DR467" s="4">
        <v>453</v>
      </c>
      <c r="DS467">
        <v>1</v>
      </c>
      <c r="DT467" s="4">
        <v>464</v>
      </c>
      <c r="DU467">
        <v>1</v>
      </c>
      <c r="DV467" s="4">
        <v>478</v>
      </c>
      <c r="DW467">
        <v>1</v>
      </c>
      <c r="DX467" s="4">
        <v>484</v>
      </c>
      <c r="DY467">
        <v>1</v>
      </c>
      <c r="DZ467" s="4">
        <v>492</v>
      </c>
      <c r="EA467">
        <v>1</v>
      </c>
      <c r="EB467" s="4">
        <v>497</v>
      </c>
      <c r="EC467">
        <v>1</v>
      </c>
      <c r="ED467" s="4">
        <v>501</v>
      </c>
      <c r="EE467">
        <v>1</v>
      </c>
      <c r="EF467" s="4">
        <v>506</v>
      </c>
      <c r="EG467">
        <v>1</v>
      </c>
      <c r="EH467" s="4">
        <v>512</v>
      </c>
      <c r="EI467">
        <v>1</v>
      </c>
      <c r="EJ467" s="4">
        <v>519</v>
      </c>
      <c r="EK467">
        <v>1</v>
      </c>
    </row>
    <row r="468" spans="1:141" x14ac:dyDescent="0.2">
      <c r="A468" t="str">
        <f>HYPERLINK("http://exon.niaid.nih.gov/transcriptome/C_felis/S1/links/cf/cf-contig_525.txt","cf-contig_525")</f>
        <v>cf-contig_525</v>
      </c>
      <c r="B468">
        <v>1</v>
      </c>
      <c r="C468" s="10" t="s">
        <v>4600</v>
      </c>
      <c r="D468">
        <v>1</v>
      </c>
      <c r="E468" t="str">
        <f>HYPERLINK("http://exon.niaid.nih.gov/transcriptome/C_felis/S1/links/cf/cf-5-36-asb-525.txt","Contig-525")</f>
        <v>Contig-525</v>
      </c>
      <c r="F468" t="str">
        <f>HYPERLINK("http://exon.niaid.nih.gov/transcriptome/C_felis/S1/links/cf/cf-5-36-525-CLU.txt","Contig525")</f>
        <v>Contig525</v>
      </c>
      <c r="G468" t="str">
        <f>HYPERLINK("http://exon.niaid.nih.gov/transcriptome/C_felis/S1/links/cf/cf-5-36-525-qual.txt","58.4")</f>
        <v>58.4</v>
      </c>
      <c r="H468" t="s">
        <v>11</v>
      </c>
      <c r="I468">
        <v>68.5</v>
      </c>
      <c r="J468">
        <v>105</v>
      </c>
      <c r="K468" t="s">
        <v>12</v>
      </c>
      <c r="L468">
        <v>1</v>
      </c>
      <c r="M468" t="s">
        <v>538</v>
      </c>
      <c r="N468">
        <v>105</v>
      </c>
      <c r="O468">
        <v>124</v>
      </c>
      <c r="P468">
        <v>99</v>
      </c>
      <c r="Q468" t="s">
        <v>1344</v>
      </c>
      <c r="R468">
        <v>1</v>
      </c>
      <c r="S468" s="7" t="s">
        <v>4585</v>
      </c>
      <c r="U468">
        <v>1</v>
      </c>
      <c r="V468" s="4">
        <v>429</v>
      </c>
      <c r="W468">
        <v>1</v>
      </c>
      <c r="X468" s="4">
        <v>438</v>
      </c>
      <c r="Y468">
        <v>1</v>
      </c>
      <c r="Z468" s="4">
        <v>443</v>
      </c>
      <c r="AA468">
        <v>1</v>
      </c>
      <c r="AB468" s="4" t="str">
        <f>HYPERLINK("http://exon.niaid.nih.gov/transcriptome/C_felis/S1/links/XC-ASB/cf-contig_525-XC-ASB.txt","XC-contig_84")</f>
        <v>XC-contig_84</v>
      </c>
      <c r="AC468">
        <v>3.0000000000000001E-3</v>
      </c>
      <c r="AD468" s="10" t="s">
        <v>4600</v>
      </c>
      <c r="AE468" t="s">
        <v>4601</v>
      </c>
      <c r="AI468" s="4" t="s">
        <v>42</v>
      </c>
      <c r="AJ468" t="s">
        <v>42</v>
      </c>
      <c r="AK468" t="s">
        <v>42</v>
      </c>
      <c r="AL468" t="s">
        <v>42</v>
      </c>
      <c r="AM468" t="s">
        <v>42</v>
      </c>
      <c r="AN468" t="s">
        <v>42</v>
      </c>
      <c r="AO468" t="s">
        <v>42</v>
      </c>
      <c r="AP468" t="s">
        <v>42</v>
      </c>
      <c r="AQ468" t="s">
        <v>42</v>
      </c>
      <c r="AR468" t="s">
        <v>42</v>
      </c>
      <c r="AS468" t="s">
        <v>42</v>
      </c>
      <c r="AT468" t="s">
        <v>42</v>
      </c>
      <c r="AU468" t="s">
        <v>42</v>
      </c>
      <c r="AV468" t="s">
        <v>42</v>
      </c>
      <c r="AW468" t="s">
        <v>42</v>
      </c>
      <c r="AX468" t="s">
        <v>42</v>
      </c>
      <c r="AY468" t="s">
        <v>42</v>
      </c>
      <c r="AZ468" t="s">
        <v>42</v>
      </c>
      <c r="BA468" s="4" t="s">
        <v>42</v>
      </c>
      <c r="BB468" t="s">
        <v>42</v>
      </c>
      <c r="BC468" t="s">
        <v>42</v>
      </c>
      <c r="BD468" t="s">
        <v>42</v>
      </c>
      <c r="BE468" t="s">
        <v>42</v>
      </c>
      <c r="BF468" t="s">
        <v>42</v>
      </c>
      <c r="BG468" t="s">
        <v>42</v>
      </c>
      <c r="BH468" t="s">
        <v>42</v>
      </c>
      <c r="BI468" t="s">
        <v>42</v>
      </c>
      <c r="BJ468" t="s">
        <v>42</v>
      </c>
      <c r="BK468" t="s">
        <v>42</v>
      </c>
      <c r="BL468" t="s">
        <v>42</v>
      </c>
      <c r="BM468" t="s">
        <v>42</v>
      </c>
      <c r="BN468" t="s">
        <v>42</v>
      </c>
      <c r="BO468" t="s">
        <v>42</v>
      </c>
      <c r="BP468" t="s">
        <v>42</v>
      </c>
      <c r="BQ468" t="s">
        <v>42</v>
      </c>
      <c r="BR468" t="s">
        <v>42</v>
      </c>
      <c r="BS468" s="4" t="str">
        <f>HYPERLINK("http://exon.niaid.nih.gov/transcriptome/C_felis/S1/links/CDD/cf-contig_525-CDD.txt","PRK15078")</f>
        <v>PRK15078</v>
      </c>
      <c r="BT468" t="str">
        <f>HYPERLINK("http://www.ncbi.nlm.nih.gov/Structure/cdd/cddsrv.cgi?uid=PRK15078&amp;version=v4.0","1.7")</f>
        <v>1.7</v>
      </c>
      <c r="BU468" t="s">
        <v>3593</v>
      </c>
      <c r="BV468" s="4" t="s">
        <v>42</v>
      </c>
      <c r="BW468" t="s">
        <v>42</v>
      </c>
      <c r="BX468" t="s">
        <v>42</v>
      </c>
      <c r="BY468" t="s">
        <v>42</v>
      </c>
      <c r="BZ468" t="s">
        <v>42</v>
      </c>
      <c r="CA468" t="s">
        <v>42</v>
      </c>
      <c r="CB468" t="s">
        <v>42</v>
      </c>
      <c r="CC468" t="s">
        <v>42</v>
      </c>
      <c r="CD468" t="s">
        <v>42</v>
      </c>
      <c r="CE468" t="s">
        <v>42</v>
      </c>
      <c r="CF468" t="s">
        <v>42</v>
      </c>
      <c r="CG468" t="s">
        <v>42</v>
      </c>
      <c r="CH468" t="s">
        <v>42</v>
      </c>
      <c r="CI468" t="s">
        <v>42</v>
      </c>
      <c r="CJ468" t="s">
        <v>42</v>
      </c>
      <c r="CK468" t="s">
        <v>42</v>
      </c>
      <c r="CL468" t="s">
        <v>42</v>
      </c>
      <c r="CM468" t="s">
        <v>42</v>
      </c>
      <c r="CN468" t="s">
        <v>42</v>
      </c>
      <c r="CO468" t="s">
        <v>42</v>
      </c>
      <c r="CP468" t="s">
        <v>42</v>
      </c>
      <c r="CQ468" t="s">
        <v>42</v>
      </c>
      <c r="CR468" t="s">
        <v>42</v>
      </c>
      <c r="CS468" s="4" t="str">
        <f>HYPERLINK("http://exon.niaid.nih.gov/transcriptome/C_felis/S1/links/KOG/cf-contig_525-KOG.txt","C-5 cytosine-specific DNA methylase")</f>
        <v>C-5 cytosine-specific DNA methylase</v>
      </c>
      <c r="CT468" t="str">
        <f>HYPERLINK("http://www.ncbi.nlm.nih.gov/COG/grace/shokog.cgi?KOG0919","4.5")</f>
        <v>4.5</v>
      </c>
      <c r="CU468" t="s">
        <v>1692</v>
      </c>
      <c r="CV468" s="4" t="str">
        <f>HYPERLINK("http://exon.niaid.nih.gov/transcriptome/C_felis/S1/links/PFAM/cf-contig_525-PFAM.txt","DUF3034")</f>
        <v>DUF3034</v>
      </c>
      <c r="CW468" t="str">
        <f>HYPERLINK("http://pfam.sanger.ac.uk/family?acc=PF11231","1.7")</f>
        <v>1.7</v>
      </c>
      <c r="CX468" s="4" t="str">
        <f>HYPERLINK("http://exon.niaid.nih.gov/transcriptome/C_felis/S1/links/SMART/cf-contig_525-SMART.txt","LamG")</f>
        <v>LamG</v>
      </c>
      <c r="CY468" t="str">
        <f>HYPERLINK("http://smart.embl-heidelberg.de/smart/do_annotation.pl?DOMAIN=LamG&amp;BLAST=DUMMY","1.0")</f>
        <v>1.0</v>
      </c>
      <c r="CZ468" s="4" t="s">
        <v>42</v>
      </c>
      <c r="DA468" t="s">
        <v>42</v>
      </c>
      <c r="DB468" t="s">
        <v>42</v>
      </c>
      <c r="DC468" t="s">
        <v>42</v>
      </c>
      <c r="DD468" t="s">
        <v>42</v>
      </c>
      <c r="DE468" t="s">
        <v>42</v>
      </c>
      <c r="DF468" t="s">
        <v>42</v>
      </c>
      <c r="DG468" t="s">
        <v>42</v>
      </c>
      <c r="DH468" s="4" t="s">
        <v>42</v>
      </c>
      <c r="DI468" t="s">
        <v>42</v>
      </c>
      <c r="DJ468" s="4" t="s">
        <v>42</v>
      </c>
      <c r="DK468" t="s">
        <v>42</v>
      </c>
      <c r="DL468" s="4">
        <v>429</v>
      </c>
      <c r="DM468">
        <v>1</v>
      </c>
      <c r="DN468" s="4">
        <v>438</v>
      </c>
      <c r="DO468">
        <v>1</v>
      </c>
      <c r="DP468" s="4">
        <v>443</v>
      </c>
      <c r="DQ468">
        <v>1</v>
      </c>
      <c r="DR468" s="4">
        <v>458</v>
      </c>
      <c r="DS468">
        <v>1</v>
      </c>
      <c r="DT468" s="4">
        <v>470</v>
      </c>
      <c r="DU468">
        <v>1</v>
      </c>
      <c r="DV468" s="4">
        <v>484</v>
      </c>
      <c r="DW468">
        <v>1</v>
      </c>
      <c r="DX468" s="4">
        <v>490</v>
      </c>
      <c r="DY468">
        <v>1</v>
      </c>
      <c r="DZ468" s="4">
        <v>498</v>
      </c>
      <c r="EA468">
        <v>1</v>
      </c>
      <c r="EB468" s="4">
        <v>503</v>
      </c>
      <c r="EC468">
        <v>1</v>
      </c>
      <c r="ED468" s="4">
        <v>507</v>
      </c>
      <c r="EE468">
        <v>1</v>
      </c>
      <c r="EF468" s="4">
        <v>512</v>
      </c>
      <c r="EG468">
        <v>1</v>
      </c>
      <c r="EH468" s="4">
        <v>518</v>
      </c>
      <c r="EI468">
        <v>1</v>
      </c>
      <c r="EJ468" s="4">
        <v>525</v>
      </c>
      <c r="EK468">
        <v>1</v>
      </c>
    </row>
    <row r="469" spans="1:141" x14ac:dyDescent="0.2">
      <c r="A469" t="str">
        <f>HYPERLINK("http://exon.niaid.nih.gov/transcriptome/C_felis/S1/links/cf/cf-contig_529.txt","cf-contig_529")</f>
        <v>cf-contig_529</v>
      </c>
      <c r="B469">
        <v>1</v>
      </c>
      <c r="C469" s="10" t="s">
        <v>4600</v>
      </c>
      <c r="D469">
        <v>1</v>
      </c>
      <c r="E469" t="str">
        <f>HYPERLINK("http://exon.niaid.nih.gov/transcriptome/C_felis/S1/links/cf/cf-5-36-asb-529.txt","Contig-529")</f>
        <v>Contig-529</v>
      </c>
      <c r="F469" t="str">
        <f>HYPERLINK("http://exon.niaid.nih.gov/transcriptome/C_felis/S1/links/cf/cf-5-36-529-CLU.txt","Contig529")</f>
        <v>Contig529</v>
      </c>
      <c r="G469" t="str">
        <f>HYPERLINK("http://exon.niaid.nih.gov/transcriptome/C_felis/S1/links/cf/cf-5-36-529-qual.txt","43.7")</f>
        <v>43.7</v>
      </c>
      <c r="H469">
        <v>1.1000000000000001</v>
      </c>
      <c r="I469">
        <v>77.5</v>
      </c>
      <c r="J469">
        <v>70</v>
      </c>
      <c r="K469" t="s">
        <v>12</v>
      </c>
      <c r="L469">
        <v>1</v>
      </c>
      <c r="M469" t="s">
        <v>542</v>
      </c>
      <c r="N469">
        <v>70</v>
      </c>
      <c r="O469">
        <v>89</v>
      </c>
      <c r="P469">
        <v>84</v>
      </c>
      <c r="Q469" t="s">
        <v>1348</v>
      </c>
      <c r="R469">
        <v>2</v>
      </c>
      <c r="S469" s="7" t="s">
        <v>4585</v>
      </c>
      <c r="U469">
        <v>1</v>
      </c>
      <c r="V469" s="4">
        <v>432</v>
      </c>
      <c r="W469">
        <v>1</v>
      </c>
      <c r="X469" s="4">
        <v>442</v>
      </c>
      <c r="Y469">
        <v>1</v>
      </c>
      <c r="Z469" s="4">
        <v>447</v>
      </c>
      <c r="AA469">
        <v>1</v>
      </c>
      <c r="AB469" s="4" t="str">
        <f>HYPERLINK("http://exon.niaid.nih.gov/transcriptome/C_felis/S1/links/XC-ASB/cf-contig_529-XC-ASB.txt","XC-contig_74")</f>
        <v>XC-contig_74</v>
      </c>
      <c r="AC469">
        <v>0.47</v>
      </c>
      <c r="AD469" s="10" t="s">
        <v>4600</v>
      </c>
      <c r="AE469" t="s">
        <v>4601</v>
      </c>
      <c r="AI469" s="4" t="s">
        <v>42</v>
      </c>
      <c r="AJ469" t="s">
        <v>42</v>
      </c>
      <c r="AK469" t="s">
        <v>42</v>
      </c>
      <c r="AL469" t="s">
        <v>42</v>
      </c>
      <c r="AM469" t="s">
        <v>42</v>
      </c>
      <c r="AN469" t="s">
        <v>42</v>
      </c>
      <c r="AO469" t="s">
        <v>42</v>
      </c>
      <c r="AP469" t="s">
        <v>42</v>
      </c>
      <c r="AQ469" t="s">
        <v>42</v>
      </c>
      <c r="AR469" t="s">
        <v>42</v>
      </c>
      <c r="AS469" t="s">
        <v>42</v>
      </c>
      <c r="AT469" t="s">
        <v>42</v>
      </c>
      <c r="AU469" t="s">
        <v>42</v>
      </c>
      <c r="AV469" t="s">
        <v>42</v>
      </c>
      <c r="AW469" t="s">
        <v>42</v>
      </c>
      <c r="AX469" t="s">
        <v>42</v>
      </c>
      <c r="AY469" t="s">
        <v>42</v>
      </c>
      <c r="AZ469" t="s">
        <v>42</v>
      </c>
      <c r="BA469" s="4" t="str">
        <f>HYPERLINK("http://exon.niaid.nih.gov/transcriptome/C_felis/S1/links/SWISSP/cf-contig_529-SWISSP.txt","Frizzled and smoothened-like protein G")</f>
        <v>Frizzled and smoothened-like protein G</v>
      </c>
      <c r="BB469" t="str">
        <f>HYPERLINK("http://www.uniprot.org/uniprot/Q54J71","89")</f>
        <v>89</v>
      </c>
      <c r="BC469" t="s">
        <v>3607</v>
      </c>
      <c r="BD469">
        <v>25.8</v>
      </c>
      <c r="BE469">
        <v>15</v>
      </c>
      <c r="BF469">
        <v>574</v>
      </c>
      <c r="BG469">
        <v>56</v>
      </c>
      <c r="BH469">
        <v>3</v>
      </c>
      <c r="BI469">
        <v>7</v>
      </c>
      <c r="BJ469">
        <v>0</v>
      </c>
      <c r="BK469">
        <v>494</v>
      </c>
      <c r="BL469">
        <v>9</v>
      </c>
      <c r="BM469">
        <v>1</v>
      </c>
      <c r="BN469">
        <v>-1</v>
      </c>
      <c r="BO469" t="s">
        <v>12</v>
      </c>
      <c r="BP469">
        <v>6.6669999999999998</v>
      </c>
      <c r="BQ469" t="s">
        <v>1666</v>
      </c>
      <c r="BR469" t="s">
        <v>1976</v>
      </c>
      <c r="BS469" s="4" t="str">
        <f>HYPERLINK("http://exon.niaid.nih.gov/transcriptome/C_felis/S1/links/CDD/cf-contig_529-CDD.txt","PLN00218")</f>
        <v>PLN00218</v>
      </c>
      <c r="BT469" t="str">
        <f>HYPERLINK("http://www.ncbi.nlm.nih.gov/Structure/cdd/cddsrv.cgi?uid=PLN00218&amp;version=v4.0","4.8")</f>
        <v>4.8</v>
      </c>
      <c r="BU469" t="s">
        <v>3608</v>
      </c>
      <c r="BV469" s="4" t="s">
        <v>42</v>
      </c>
      <c r="BW469" t="s">
        <v>42</v>
      </c>
      <c r="BX469" t="s">
        <v>42</v>
      </c>
      <c r="BY469" t="s">
        <v>42</v>
      </c>
      <c r="BZ469" t="s">
        <v>42</v>
      </c>
      <c r="CA469" t="s">
        <v>42</v>
      </c>
      <c r="CB469" t="s">
        <v>42</v>
      </c>
      <c r="CC469" t="s">
        <v>42</v>
      </c>
      <c r="CD469" t="s">
        <v>42</v>
      </c>
      <c r="CE469" t="s">
        <v>42</v>
      </c>
      <c r="CF469" t="s">
        <v>42</v>
      </c>
      <c r="CG469" t="s">
        <v>42</v>
      </c>
      <c r="CH469" t="s">
        <v>42</v>
      </c>
      <c r="CI469" t="s">
        <v>42</v>
      </c>
      <c r="CJ469" t="s">
        <v>42</v>
      </c>
      <c r="CK469" t="s">
        <v>42</v>
      </c>
      <c r="CL469" t="s">
        <v>42</v>
      </c>
      <c r="CM469" t="s">
        <v>42</v>
      </c>
      <c r="CN469" t="s">
        <v>42</v>
      </c>
      <c r="CO469" t="s">
        <v>42</v>
      </c>
      <c r="CP469" t="s">
        <v>42</v>
      </c>
      <c r="CQ469" t="s">
        <v>42</v>
      </c>
      <c r="CR469" t="s">
        <v>42</v>
      </c>
      <c r="CS469" s="4" t="str">
        <f>HYPERLINK("http://exon.niaid.nih.gov/transcriptome/C_felis/S1/links/KOG/cf-contig_529-KOG.txt","Amino acid transporters")</f>
        <v>Amino acid transporters</v>
      </c>
      <c r="CT469" t="str">
        <f>HYPERLINK("http://www.ncbi.nlm.nih.gov/COG/grace/shokog.cgi?KOG1288","5.4")</f>
        <v>5.4</v>
      </c>
      <c r="CU469" t="s">
        <v>2408</v>
      </c>
      <c r="CV469" s="4" t="str">
        <f>HYPERLINK("http://exon.niaid.nih.gov/transcriptome/C_felis/S1/links/PFAM/cf-contig_529-PFAM.txt","CDC37_N")</f>
        <v>CDC37_N</v>
      </c>
      <c r="CW469" t="str">
        <f>HYPERLINK("http://pfam.sanger.ac.uk/family?acc=PF03234","1.9")</f>
        <v>1.9</v>
      </c>
      <c r="CX469" s="4" t="str">
        <f>HYPERLINK("http://exon.niaid.nih.gov/transcriptome/C_felis/S1/links/SMART/cf-contig_529-SMART.txt","PepX_N")</f>
        <v>PepX_N</v>
      </c>
      <c r="CY469" t="str">
        <f>HYPERLINK("http://smart.embl-heidelberg.de/smart/do_annotation.pl?DOMAIN=PepX_N&amp;BLAST=DUMMY","0.43")</f>
        <v>0.43</v>
      </c>
      <c r="CZ469" s="4" t="s">
        <v>42</v>
      </c>
      <c r="DA469" t="s">
        <v>42</v>
      </c>
      <c r="DB469" t="s">
        <v>42</v>
      </c>
      <c r="DC469" t="s">
        <v>42</v>
      </c>
      <c r="DD469" t="s">
        <v>42</v>
      </c>
      <c r="DE469" t="s">
        <v>42</v>
      </c>
      <c r="DF469" t="s">
        <v>42</v>
      </c>
      <c r="DG469" t="s">
        <v>42</v>
      </c>
      <c r="DH469" s="4" t="s">
        <v>42</v>
      </c>
      <c r="DI469" t="s">
        <v>42</v>
      </c>
      <c r="DJ469" s="4" t="s">
        <v>42</v>
      </c>
      <c r="DK469" t="s">
        <v>42</v>
      </c>
      <c r="DL469" s="4">
        <v>432</v>
      </c>
      <c r="DM469">
        <v>1</v>
      </c>
      <c r="DN469" s="4">
        <v>442</v>
      </c>
      <c r="DO469">
        <v>1</v>
      </c>
      <c r="DP469" s="4">
        <v>447</v>
      </c>
      <c r="DQ469">
        <v>1</v>
      </c>
      <c r="DR469" s="4">
        <v>462</v>
      </c>
      <c r="DS469">
        <v>1</v>
      </c>
      <c r="DT469" s="4">
        <v>474</v>
      </c>
      <c r="DU469">
        <v>1</v>
      </c>
      <c r="DV469" s="4">
        <v>488</v>
      </c>
      <c r="DW469">
        <v>1</v>
      </c>
      <c r="DX469" s="4">
        <v>494</v>
      </c>
      <c r="DY469">
        <v>1</v>
      </c>
      <c r="DZ469" s="4">
        <v>502</v>
      </c>
      <c r="EA469">
        <v>1</v>
      </c>
      <c r="EB469" s="4">
        <v>507</v>
      </c>
      <c r="EC469">
        <v>1</v>
      </c>
      <c r="ED469" s="4">
        <v>511</v>
      </c>
      <c r="EE469">
        <v>1</v>
      </c>
      <c r="EF469" s="4">
        <v>516</v>
      </c>
      <c r="EG469">
        <v>1</v>
      </c>
      <c r="EH469" s="4">
        <v>522</v>
      </c>
      <c r="EI469">
        <v>1</v>
      </c>
      <c r="EJ469" s="4">
        <v>529</v>
      </c>
      <c r="EK469">
        <v>1</v>
      </c>
    </row>
    <row r="470" spans="1:141" x14ac:dyDescent="0.2">
      <c r="A470" t="str">
        <f>HYPERLINK("http://exon.niaid.nih.gov/transcriptome/C_felis/S1/links/cf/cf-contig_530.txt","cf-contig_530")</f>
        <v>cf-contig_530</v>
      </c>
      <c r="B470">
        <v>1</v>
      </c>
      <c r="C470" s="10" t="s">
        <v>4600</v>
      </c>
      <c r="D470">
        <v>1</v>
      </c>
      <c r="E470" t="str">
        <f>HYPERLINK("http://exon.niaid.nih.gov/transcriptome/C_felis/S1/links/cf/cf-5-36-asb-530.txt","Contig-530")</f>
        <v>Contig-530</v>
      </c>
      <c r="F470" t="str">
        <f>HYPERLINK("http://exon.niaid.nih.gov/transcriptome/C_felis/S1/links/cf/cf-5-36-530-CLU.txt","Contig530")</f>
        <v>Contig530</v>
      </c>
      <c r="G470" t="str">
        <f>HYPERLINK("http://exon.niaid.nih.gov/transcriptome/C_felis/S1/links/cf/cf-5-36-530-qual.txt","26.9")</f>
        <v>26.9</v>
      </c>
      <c r="H470" t="s">
        <v>11</v>
      </c>
      <c r="I470">
        <v>53.3</v>
      </c>
      <c r="J470">
        <v>41</v>
      </c>
      <c r="K470" t="s">
        <v>12</v>
      </c>
      <c r="L470">
        <v>1</v>
      </c>
      <c r="M470" t="s">
        <v>543</v>
      </c>
      <c r="N470">
        <v>41</v>
      </c>
      <c r="O470">
        <v>60</v>
      </c>
      <c r="P470">
        <v>57</v>
      </c>
      <c r="Q470" t="s">
        <v>1349</v>
      </c>
      <c r="R470">
        <v>2</v>
      </c>
      <c r="S470" s="7" t="s">
        <v>4585</v>
      </c>
      <c r="U470">
        <v>1</v>
      </c>
      <c r="V470" s="4">
        <v>433</v>
      </c>
      <c r="W470">
        <v>1</v>
      </c>
      <c r="X470" s="4">
        <v>443</v>
      </c>
      <c r="Y470">
        <v>1</v>
      </c>
      <c r="Z470" s="4">
        <v>448</v>
      </c>
      <c r="AA470">
        <v>1</v>
      </c>
      <c r="AB470" s="4" t="str">
        <f>HYPERLINK("http://exon.niaid.nih.gov/transcriptome/C_felis/S1/links/XC-ASB/cf-contig_530-XC-ASB.txt","XC-contig_95")</f>
        <v>XC-contig_95</v>
      </c>
      <c r="AC470">
        <v>2.5</v>
      </c>
      <c r="AD470" s="10" t="s">
        <v>4600</v>
      </c>
      <c r="AE470" t="s">
        <v>4601</v>
      </c>
      <c r="AI470" s="4" t="s">
        <v>42</v>
      </c>
      <c r="AJ470" t="s">
        <v>42</v>
      </c>
      <c r="AK470" t="s">
        <v>42</v>
      </c>
      <c r="AL470" t="s">
        <v>42</v>
      </c>
      <c r="AM470" t="s">
        <v>42</v>
      </c>
      <c r="AN470" t="s">
        <v>42</v>
      </c>
      <c r="AO470" t="s">
        <v>42</v>
      </c>
      <c r="AP470" t="s">
        <v>42</v>
      </c>
      <c r="AQ470" t="s">
        <v>42</v>
      </c>
      <c r="AR470" t="s">
        <v>42</v>
      </c>
      <c r="AS470" t="s">
        <v>42</v>
      </c>
      <c r="AT470" t="s">
        <v>42</v>
      </c>
      <c r="AU470" t="s">
        <v>42</v>
      </c>
      <c r="AV470" t="s">
        <v>42</v>
      </c>
      <c r="AW470" t="s">
        <v>42</v>
      </c>
      <c r="AX470" t="s">
        <v>42</v>
      </c>
      <c r="AY470" t="s">
        <v>42</v>
      </c>
      <c r="AZ470" t="s">
        <v>42</v>
      </c>
      <c r="BA470" s="4" t="s">
        <v>42</v>
      </c>
      <c r="BB470" t="s">
        <v>42</v>
      </c>
      <c r="BC470" t="s">
        <v>42</v>
      </c>
      <c r="BD470" t="s">
        <v>42</v>
      </c>
      <c r="BE470" t="s">
        <v>42</v>
      </c>
      <c r="BF470" t="s">
        <v>42</v>
      </c>
      <c r="BG470" t="s">
        <v>42</v>
      </c>
      <c r="BH470" t="s">
        <v>42</v>
      </c>
      <c r="BI470" t="s">
        <v>42</v>
      </c>
      <c r="BJ470" t="s">
        <v>42</v>
      </c>
      <c r="BK470" t="s">
        <v>42</v>
      </c>
      <c r="BL470" t="s">
        <v>42</v>
      </c>
      <c r="BM470" t="s">
        <v>42</v>
      </c>
      <c r="BN470" t="s">
        <v>42</v>
      </c>
      <c r="BO470" t="s">
        <v>42</v>
      </c>
      <c r="BP470" t="s">
        <v>42</v>
      </c>
      <c r="BQ470" t="s">
        <v>42</v>
      </c>
      <c r="BR470" t="s">
        <v>42</v>
      </c>
      <c r="BS470" s="4" t="s">
        <v>42</v>
      </c>
      <c r="BT470" t="s">
        <v>42</v>
      </c>
      <c r="BU470" t="s">
        <v>42</v>
      </c>
      <c r="BV470" s="4" t="s">
        <v>42</v>
      </c>
      <c r="BW470" t="s">
        <v>42</v>
      </c>
      <c r="BX470" t="s">
        <v>42</v>
      </c>
      <c r="BY470" t="s">
        <v>42</v>
      </c>
      <c r="BZ470" t="s">
        <v>42</v>
      </c>
      <c r="CA470" t="s">
        <v>42</v>
      </c>
      <c r="CB470" t="s">
        <v>42</v>
      </c>
      <c r="CC470" t="s">
        <v>42</v>
      </c>
      <c r="CD470" t="s">
        <v>42</v>
      </c>
      <c r="CE470" t="s">
        <v>42</v>
      </c>
      <c r="CF470" t="s">
        <v>42</v>
      </c>
      <c r="CG470" t="s">
        <v>42</v>
      </c>
      <c r="CH470" t="s">
        <v>42</v>
      </c>
      <c r="CI470" t="s">
        <v>42</v>
      </c>
      <c r="CJ470" t="s">
        <v>42</v>
      </c>
      <c r="CK470" t="s">
        <v>42</v>
      </c>
      <c r="CL470" t="s">
        <v>42</v>
      </c>
      <c r="CM470" t="s">
        <v>42</v>
      </c>
      <c r="CN470" t="s">
        <v>42</v>
      </c>
      <c r="CO470" t="s">
        <v>42</v>
      </c>
      <c r="CP470" t="s">
        <v>42</v>
      </c>
      <c r="CQ470" t="s">
        <v>42</v>
      </c>
      <c r="CR470" t="s">
        <v>42</v>
      </c>
      <c r="CS470" s="4" t="s">
        <v>42</v>
      </c>
      <c r="CT470" t="s">
        <v>42</v>
      </c>
      <c r="CU470" t="s">
        <v>42</v>
      </c>
      <c r="CV470" s="4" t="str">
        <f>HYPERLINK("http://exon.niaid.nih.gov/transcriptome/C_felis/S1/links/PFAM/cf-contig_530-PFAM.txt","Calici_coat_C")</f>
        <v>Calici_coat_C</v>
      </c>
      <c r="CW470" t="str">
        <f>HYPERLINK("http://pfam.sanger.ac.uk/family?acc=PF08435","9.4")</f>
        <v>9.4</v>
      </c>
      <c r="CX470" s="4" t="str">
        <f>HYPERLINK("http://exon.niaid.nih.gov/transcriptome/C_felis/S1/links/SMART/cf-contig_530-SMART.txt","HA2")</f>
        <v>HA2</v>
      </c>
      <c r="CY470" t="str">
        <f>HYPERLINK("http://smart.embl-heidelberg.de/smart/do_annotation.pl?DOMAIN=HA2&amp;BLAST=DUMMY","0.69")</f>
        <v>0.69</v>
      </c>
      <c r="CZ470" s="4" t="s">
        <v>42</v>
      </c>
      <c r="DA470" t="s">
        <v>42</v>
      </c>
      <c r="DB470" t="s">
        <v>42</v>
      </c>
      <c r="DC470" t="s">
        <v>42</v>
      </c>
      <c r="DD470" t="s">
        <v>42</v>
      </c>
      <c r="DE470" t="s">
        <v>42</v>
      </c>
      <c r="DF470" t="s">
        <v>42</v>
      </c>
      <c r="DG470" t="s">
        <v>42</v>
      </c>
      <c r="DH470" s="4" t="s">
        <v>42</v>
      </c>
      <c r="DI470" t="s">
        <v>42</v>
      </c>
      <c r="DJ470" s="4" t="s">
        <v>42</v>
      </c>
      <c r="DK470" t="s">
        <v>42</v>
      </c>
      <c r="DL470" s="4">
        <v>433</v>
      </c>
      <c r="DM470">
        <v>1</v>
      </c>
      <c r="DN470" s="4">
        <v>443</v>
      </c>
      <c r="DO470">
        <v>1</v>
      </c>
      <c r="DP470" s="4">
        <v>448</v>
      </c>
      <c r="DQ470">
        <v>1</v>
      </c>
      <c r="DR470" s="4">
        <v>463</v>
      </c>
      <c r="DS470">
        <v>1</v>
      </c>
      <c r="DT470" s="4">
        <v>475</v>
      </c>
      <c r="DU470">
        <v>1</v>
      </c>
      <c r="DV470" s="4">
        <v>489</v>
      </c>
      <c r="DW470">
        <v>1</v>
      </c>
      <c r="DX470" s="4">
        <v>495</v>
      </c>
      <c r="DY470">
        <v>1</v>
      </c>
      <c r="DZ470" s="4">
        <v>503</v>
      </c>
      <c r="EA470">
        <v>1</v>
      </c>
      <c r="EB470" s="4">
        <v>508</v>
      </c>
      <c r="EC470">
        <v>1</v>
      </c>
      <c r="ED470" s="4">
        <v>512</v>
      </c>
      <c r="EE470">
        <v>1</v>
      </c>
      <c r="EF470" s="4">
        <v>517</v>
      </c>
      <c r="EG470">
        <v>1</v>
      </c>
      <c r="EH470" s="4">
        <v>523</v>
      </c>
      <c r="EI470">
        <v>1</v>
      </c>
      <c r="EJ470" s="4">
        <v>530</v>
      </c>
      <c r="EK470">
        <v>1</v>
      </c>
    </row>
    <row r="471" spans="1:141" x14ac:dyDescent="0.2">
      <c r="A471" t="str">
        <f>HYPERLINK("http://exon.niaid.nih.gov/transcriptome/C_felis/S1/links/cf/cf-contig_535.txt","cf-contig_535")</f>
        <v>cf-contig_535</v>
      </c>
      <c r="B471">
        <v>1</v>
      </c>
      <c r="C471" s="10" t="s">
        <v>4600</v>
      </c>
      <c r="D471">
        <v>1</v>
      </c>
      <c r="E471" t="str">
        <f>HYPERLINK("http://exon.niaid.nih.gov/transcriptome/C_felis/S1/links/cf/cf-5-36-asb-535.txt","Contig-535")</f>
        <v>Contig-535</v>
      </c>
      <c r="F471" t="str">
        <f>HYPERLINK("http://exon.niaid.nih.gov/transcriptome/C_felis/S1/links/cf/cf-5-36-535-CLU.txt","Contig535")</f>
        <v>Contig535</v>
      </c>
      <c r="G471" t="str">
        <f>HYPERLINK("http://exon.niaid.nih.gov/transcriptome/C_felis/S1/links/cf/cf-5-36-535-qual.txt","36.1")</f>
        <v>36.1</v>
      </c>
      <c r="H471">
        <v>1.7</v>
      </c>
      <c r="I471">
        <v>62.9</v>
      </c>
      <c r="J471">
        <v>97</v>
      </c>
      <c r="K471" t="s">
        <v>12</v>
      </c>
      <c r="L471">
        <v>1</v>
      </c>
      <c r="M471" t="s">
        <v>548</v>
      </c>
      <c r="N471">
        <v>97</v>
      </c>
      <c r="O471">
        <v>116</v>
      </c>
      <c r="P471">
        <v>72</v>
      </c>
      <c r="Q471" t="s">
        <v>1354</v>
      </c>
      <c r="R471">
        <v>3</v>
      </c>
      <c r="S471" s="7" t="s">
        <v>4585</v>
      </c>
      <c r="U471">
        <v>1</v>
      </c>
      <c r="V471" s="4">
        <f>HYPERLINK("http://exon.niaid.nih.gov/transcriptome/C_felis/S1/links/cluster/cf-5-36-asb30-50-Id-CLU83.txt", 83)</f>
        <v>83</v>
      </c>
      <c r="W471">
        <f>HYPERLINK("http://exon.niaid.nih.gov/transcriptome/C_felis/S1/links/cluster/cf-5-36-asb30-50-Id-CLTL83.txt", 2)</f>
        <v>2</v>
      </c>
      <c r="X471" s="4">
        <f>HYPERLINK("http://exon.niaid.nih.gov/transcriptome/C_felis/S1/links/cluster/cf-5-36-asb35-50-Id-CLU75.txt", 75)</f>
        <v>75</v>
      </c>
      <c r="Y471">
        <f>HYPERLINK("http://exon.niaid.nih.gov/transcriptome/C_felis/S1/links/cluster/cf-5-36-asb35-50-Id-CLTL75.txt", 2)</f>
        <v>2</v>
      </c>
      <c r="Z471" s="4">
        <v>453</v>
      </c>
      <c r="AA471">
        <v>1</v>
      </c>
      <c r="AB471" s="4" t="str">
        <f>HYPERLINK("http://exon.niaid.nih.gov/transcriptome/C_felis/S1/links/XC-ASB/cf-contig_535-XC-ASB.txt","XC-contig_187")</f>
        <v>XC-contig_187</v>
      </c>
      <c r="AC471">
        <v>1.3</v>
      </c>
      <c r="AD471" s="10" t="s">
        <v>4600</v>
      </c>
      <c r="AE471" t="s">
        <v>4601</v>
      </c>
      <c r="AI471" s="4" t="s">
        <v>42</v>
      </c>
      <c r="AJ471" t="s">
        <v>42</v>
      </c>
      <c r="AK471" t="s">
        <v>42</v>
      </c>
      <c r="AL471" t="s">
        <v>42</v>
      </c>
      <c r="AM471" t="s">
        <v>42</v>
      </c>
      <c r="AN471" t="s">
        <v>42</v>
      </c>
      <c r="AO471" t="s">
        <v>42</v>
      </c>
      <c r="AP471" t="s">
        <v>42</v>
      </c>
      <c r="AQ471" t="s">
        <v>42</v>
      </c>
      <c r="AR471" t="s">
        <v>42</v>
      </c>
      <c r="AS471" t="s">
        <v>42</v>
      </c>
      <c r="AT471" t="s">
        <v>42</v>
      </c>
      <c r="AU471" t="s">
        <v>42</v>
      </c>
      <c r="AV471" t="s">
        <v>42</v>
      </c>
      <c r="AW471" t="s">
        <v>42</v>
      </c>
      <c r="AX471" t="s">
        <v>42</v>
      </c>
      <c r="AY471" t="s">
        <v>42</v>
      </c>
      <c r="AZ471" t="s">
        <v>42</v>
      </c>
      <c r="BA471" s="4" t="str">
        <f>HYPERLINK("http://exon.niaid.nih.gov/transcriptome/C_felis/S1/links/SWISSP/cf-contig_535-SWISSP.txt","tRNA pseudouridine synthase A")</f>
        <v>tRNA pseudouridine synthase A</v>
      </c>
      <c r="BB471" t="str">
        <f>HYPERLINK("http://www.uniprot.org/uniprot/A4JMC2","91")</f>
        <v>91</v>
      </c>
      <c r="BC471" t="s">
        <v>3622</v>
      </c>
      <c r="BD471">
        <v>25.8</v>
      </c>
      <c r="BE471">
        <v>16</v>
      </c>
      <c r="BF471">
        <v>270</v>
      </c>
      <c r="BG471">
        <v>52</v>
      </c>
      <c r="BH471">
        <v>6</v>
      </c>
      <c r="BI471">
        <v>8</v>
      </c>
      <c r="BJ471">
        <v>0</v>
      </c>
      <c r="BK471">
        <v>101</v>
      </c>
      <c r="BL471">
        <v>31</v>
      </c>
      <c r="BM471">
        <v>1</v>
      </c>
      <c r="BN471">
        <v>-3</v>
      </c>
      <c r="BO471" t="s">
        <v>12</v>
      </c>
      <c r="BQ471" t="s">
        <v>1666</v>
      </c>
      <c r="BR471" t="s">
        <v>3623</v>
      </c>
      <c r="BS471" s="4" t="str">
        <f>HYPERLINK("http://exon.niaid.nih.gov/transcriptome/C_felis/S1/links/CDD/cf-contig_535-CDD.txt","TDT_like_3")</f>
        <v>TDT_like_3</v>
      </c>
      <c r="BT471" t="str">
        <f>HYPERLINK("http://www.ncbi.nlm.nih.gov/Structure/cdd/cddsrv.cgi?uid=cd09321&amp;version=v4.0","7.5")</f>
        <v>7.5</v>
      </c>
      <c r="BU471" t="s">
        <v>3624</v>
      </c>
      <c r="BV471" s="4" t="s">
        <v>42</v>
      </c>
      <c r="BW471" t="s">
        <v>42</v>
      </c>
      <c r="BX471" t="s">
        <v>42</v>
      </c>
      <c r="BY471" t="s">
        <v>42</v>
      </c>
      <c r="BZ471" t="s">
        <v>42</v>
      </c>
      <c r="CA471" t="s">
        <v>42</v>
      </c>
      <c r="CB471" t="s">
        <v>42</v>
      </c>
      <c r="CC471" t="s">
        <v>42</v>
      </c>
      <c r="CD471" t="s">
        <v>42</v>
      </c>
      <c r="CE471" t="s">
        <v>42</v>
      </c>
      <c r="CF471" t="s">
        <v>42</v>
      </c>
      <c r="CG471" t="s">
        <v>42</v>
      </c>
      <c r="CH471" t="s">
        <v>42</v>
      </c>
      <c r="CI471" t="s">
        <v>42</v>
      </c>
      <c r="CJ471" t="s">
        <v>42</v>
      </c>
      <c r="CK471" t="s">
        <v>42</v>
      </c>
      <c r="CL471" t="s">
        <v>42</v>
      </c>
      <c r="CM471" t="s">
        <v>42</v>
      </c>
      <c r="CN471" t="s">
        <v>42</v>
      </c>
      <c r="CO471" t="s">
        <v>42</v>
      </c>
      <c r="CP471" t="s">
        <v>42</v>
      </c>
      <c r="CQ471" t="s">
        <v>42</v>
      </c>
      <c r="CR471" t="s">
        <v>42</v>
      </c>
      <c r="CS471" s="4" t="str">
        <f>HYPERLINK("http://exon.niaid.nih.gov/transcriptome/C_felis/S1/links/KOG/cf-contig_535-KOG.txt","Predicted membrane proteins, contain hemolysin III domain")</f>
        <v>Predicted membrane proteins, contain hemolysin III domain</v>
      </c>
      <c r="CT471" t="str">
        <f>HYPERLINK("http://www.ncbi.nlm.nih.gov/COG/grace/shokog.cgi?KOG0748","0.43")</f>
        <v>0.43</v>
      </c>
      <c r="CU471" t="s">
        <v>3625</v>
      </c>
      <c r="CV471" s="4" t="str">
        <f>HYPERLINK("http://exon.niaid.nih.gov/transcriptome/C_felis/S1/links/PFAM/cf-contig_535-PFAM.txt","DUF775")</f>
        <v>DUF775</v>
      </c>
      <c r="CW471" t="str">
        <f>HYPERLINK("http://pfam.sanger.ac.uk/family?acc=PF05603","2.4")</f>
        <v>2.4</v>
      </c>
      <c r="CX471" s="4" t="str">
        <f>HYPERLINK("http://exon.niaid.nih.gov/transcriptome/C_felis/S1/links/SMART/cf-contig_535-SMART.txt","ALBUMIN")</f>
        <v>ALBUMIN</v>
      </c>
      <c r="CY471" t="str">
        <f>HYPERLINK("http://smart.embl-heidelberg.de/smart/do_annotation.pl?DOMAIN=ALBUMIN&amp;BLAST=DUMMY","0.46")</f>
        <v>0.46</v>
      </c>
      <c r="CZ471" s="4" t="s">
        <v>42</v>
      </c>
      <c r="DA471" t="s">
        <v>42</v>
      </c>
      <c r="DB471" t="s">
        <v>42</v>
      </c>
      <c r="DC471" t="s">
        <v>42</v>
      </c>
      <c r="DD471" t="s">
        <v>42</v>
      </c>
      <c r="DE471" t="s">
        <v>42</v>
      </c>
      <c r="DF471" t="s">
        <v>42</v>
      </c>
      <c r="DG471" t="s">
        <v>42</v>
      </c>
      <c r="DH471" s="4" t="s">
        <v>42</v>
      </c>
      <c r="DI471" t="s">
        <v>42</v>
      </c>
      <c r="DJ471" s="4" t="s">
        <v>42</v>
      </c>
      <c r="DK471" t="s">
        <v>42</v>
      </c>
      <c r="DL471" s="4">
        <f>HYPERLINK("http://exon.niaid.nih.gov/transcriptome/C_felis/S1/links/cluster/cf-5-36-asb30-50-Id-CLU83.txt", 83)</f>
        <v>83</v>
      </c>
      <c r="DM471">
        <f>HYPERLINK("http://exon.niaid.nih.gov/transcriptome/C_felis/S1/links/cluster/cf-5-36-asb30-50-Id-CLTL83.txt", 2)</f>
        <v>2</v>
      </c>
      <c r="DN471" s="4">
        <f>HYPERLINK("http://exon.niaid.nih.gov/transcriptome/C_felis/S1/links/cluster/cf-5-36-asb35-50-Id-CLU75.txt", 75)</f>
        <v>75</v>
      </c>
      <c r="DO471">
        <f>HYPERLINK("http://exon.niaid.nih.gov/transcriptome/C_felis/S1/links/cluster/cf-5-36-asb35-50-Id-CLTL75.txt", 2)</f>
        <v>2</v>
      </c>
      <c r="DP471" s="4">
        <v>453</v>
      </c>
      <c r="DQ471">
        <v>1</v>
      </c>
      <c r="DR471" s="4">
        <v>468</v>
      </c>
      <c r="DS471">
        <v>1</v>
      </c>
      <c r="DT471" s="4">
        <v>480</v>
      </c>
      <c r="DU471">
        <v>1</v>
      </c>
      <c r="DV471" s="4">
        <v>494</v>
      </c>
      <c r="DW471">
        <v>1</v>
      </c>
      <c r="DX471" s="4">
        <v>500</v>
      </c>
      <c r="DY471">
        <v>1</v>
      </c>
      <c r="DZ471" s="4">
        <v>508</v>
      </c>
      <c r="EA471">
        <v>1</v>
      </c>
      <c r="EB471" s="4">
        <v>513</v>
      </c>
      <c r="EC471">
        <v>1</v>
      </c>
      <c r="ED471" s="4">
        <v>517</v>
      </c>
      <c r="EE471">
        <v>1</v>
      </c>
      <c r="EF471" s="4">
        <v>522</v>
      </c>
      <c r="EG471">
        <v>1</v>
      </c>
      <c r="EH471" s="4">
        <v>528</v>
      </c>
      <c r="EI471">
        <v>1</v>
      </c>
      <c r="EJ471" s="4">
        <v>535</v>
      </c>
      <c r="EK471">
        <v>1</v>
      </c>
    </row>
    <row r="472" spans="1:141" x14ac:dyDescent="0.2">
      <c r="A472" t="str">
        <f>HYPERLINK("http://exon.niaid.nih.gov/transcriptome/C_felis/S1/links/cf/cf-contig_545.txt","cf-contig_545")</f>
        <v>cf-contig_545</v>
      </c>
      <c r="B472">
        <v>1</v>
      </c>
      <c r="C472" s="10" t="s">
        <v>4600</v>
      </c>
      <c r="D472">
        <v>1</v>
      </c>
      <c r="E472" t="str">
        <f>HYPERLINK("http://exon.niaid.nih.gov/transcriptome/C_felis/S1/links/cf/cf-5-36-asb-545.txt","Contig-545")</f>
        <v>Contig-545</v>
      </c>
      <c r="F472" t="str">
        <f>HYPERLINK("http://exon.niaid.nih.gov/transcriptome/C_felis/S1/links/cf/cf-5-36-545-CLU.txt","Contig545")</f>
        <v>Contig545</v>
      </c>
      <c r="G472" t="str">
        <f>HYPERLINK("http://exon.niaid.nih.gov/transcriptome/C_felis/S1/links/cf/cf-5-36-545-qual.txt","55.8")</f>
        <v>55.8</v>
      </c>
      <c r="H472">
        <v>0.9</v>
      </c>
      <c r="I472">
        <v>77.599999999999994</v>
      </c>
      <c r="J472">
        <v>88</v>
      </c>
      <c r="K472" t="s">
        <v>12</v>
      </c>
      <c r="L472">
        <v>1</v>
      </c>
      <c r="M472" t="s">
        <v>558</v>
      </c>
      <c r="N472">
        <v>88</v>
      </c>
      <c r="O472">
        <v>107</v>
      </c>
      <c r="P472">
        <v>72</v>
      </c>
      <c r="Q472" t="s">
        <v>1364</v>
      </c>
      <c r="R472">
        <v>1</v>
      </c>
      <c r="S472" s="7" t="s">
        <v>4585</v>
      </c>
      <c r="U472">
        <v>1</v>
      </c>
      <c r="V472" s="4">
        <v>447</v>
      </c>
      <c r="W472">
        <v>1</v>
      </c>
      <c r="X472" s="4">
        <v>457</v>
      </c>
      <c r="Y472">
        <v>1</v>
      </c>
      <c r="Z472" s="4">
        <v>463</v>
      </c>
      <c r="AA472">
        <v>1</v>
      </c>
      <c r="AB472" s="4" t="str">
        <f>HYPERLINK("http://exon.niaid.nih.gov/transcriptome/C_felis/S1/links/XC-ASB/cf-contig_545-XC-ASB.txt","XC-contig_45")</f>
        <v>XC-contig_45</v>
      </c>
      <c r="AC472">
        <v>0.16</v>
      </c>
      <c r="AD472" s="10" t="s">
        <v>4600</v>
      </c>
      <c r="AE472" t="s">
        <v>4601</v>
      </c>
      <c r="AI472" s="4" t="s">
        <v>42</v>
      </c>
      <c r="AJ472" t="s">
        <v>42</v>
      </c>
      <c r="AK472" t="s">
        <v>42</v>
      </c>
      <c r="AL472" t="s">
        <v>42</v>
      </c>
      <c r="AM472" t="s">
        <v>42</v>
      </c>
      <c r="AN472" t="s">
        <v>42</v>
      </c>
      <c r="AO472" t="s">
        <v>42</v>
      </c>
      <c r="AP472" t="s">
        <v>42</v>
      </c>
      <c r="AQ472" t="s">
        <v>42</v>
      </c>
      <c r="AR472" t="s">
        <v>42</v>
      </c>
      <c r="AS472" t="s">
        <v>42</v>
      </c>
      <c r="AT472" t="s">
        <v>42</v>
      </c>
      <c r="AU472" t="s">
        <v>42</v>
      </c>
      <c r="AV472" t="s">
        <v>42</v>
      </c>
      <c r="AW472" t="s">
        <v>42</v>
      </c>
      <c r="AX472" t="s">
        <v>42</v>
      </c>
      <c r="AY472" t="s">
        <v>42</v>
      </c>
      <c r="AZ472" t="s">
        <v>42</v>
      </c>
      <c r="BA472" s="4" t="str">
        <f>HYPERLINK("http://exon.niaid.nih.gov/transcriptome/C_felis/S1/links/SWISSP/cf-contig_545-SWISSP.txt","DNA-directed RNA polymerase III subunit RPC1")</f>
        <v>DNA-directed RNA polymerase III subunit RPC1</v>
      </c>
      <c r="BB472" t="str">
        <f>HYPERLINK("http://www.uniprot.org/uniprot/P25202","91")</f>
        <v>91</v>
      </c>
      <c r="BC472" t="s">
        <v>3668</v>
      </c>
      <c r="BD472">
        <v>25.8</v>
      </c>
      <c r="BE472">
        <v>15</v>
      </c>
      <c r="BF472">
        <v>1741</v>
      </c>
      <c r="BG472">
        <v>56</v>
      </c>
      <c r="BH472">
        <v>1</v>
      </c>
      <c r="BI472">
        <v>7</v>
      </c>
      <c r="BJ472">
        <v>0</v>
      </c>
      <c r="BK472">
        <v>911</v>
      </c>
      <c r="BL472">
        <v>31</v>
      </c>
      <c r="BM472">
        <v>1</v>
      </c>
      <c r="BN472">
        <v>-3</v>
      </c>
      <c r="BO472" t="s">
        <v>12</v>
      </c>
      <c r="BQ472" t="s">
        <v>1666</v>
      </c>
      <c r="BR472" t="s">
        <v>3669</v>
      </c>
      <c r="BS472" s="4" t="str">
        <f>HYPERLINK("http://exon.niaid.nih.gov/transcriptome/C_felis/S1/links/CDD/cf-contig_545-CDD.txt","DUF221")</f>
        <v>DUF221</v>
      </c>
      <c r="BT472" t="str">
        <f>HYPERLINK("http://www.ncbi.nlm.nih.gov/Structure/cdd/cddsrv.cgi?uid=pfam02714&amp;version=v4.0","6.1")</f>
        <v>6.1</v>
      </c>
      <c r="BU472" t="s">
        <v>3670</v>
      </c>
      <c r="BV472" s="4" t="s">
        <v>42</v>
      </c>
      <c r="BW472" t="s">
        <v>42</v>
      </c>
      <c r="BX472" t="s">
        <v>42</v>
      </c>
      <c r="BY472" t="s">
        <v>42</v>
      </c>
      <c r="BZ472" t="s">
        <v>42</v>
      </c>
      <c r="CA472" t="s">
        <v>42</v>
      </c>
      <c r="CB472" t="s">
        <v>42</v>
      </c>
      <c r="CC472" t="s">
        <v>42</v>
      </c>
      <c r="CD472" t="s">
        <v>42</v>
      </c>
      <c r="CE472" t="s">
        <v>42</v>
      </c>
      <c r="CF472" t="s">
        <v>42</v>
      </c>
      <c r="CG472" t="s">
        <v>42</v>
      </c>
      <c r="CH472" t="s">
        <v>42</v>
      </c>
      <c r="CI472" t="s">
        <v>42</v>
      </c>
      <c r="CJ472" t="s">
        <v>42</v>
      </c>
      <c r="CK472" t="s">
        <v>42</v>
      </c>
      <c r="CL472" t="s">
        <v>42</v>
      </c>
      <c r="CM472" t="s">
        <v>42</v>
      </c>
      <c r="CN472" t="s">
        <v>42</v>
      </c>
      <c r="CO472" t="s">
        <v>42</v>
      </c>
      <c r="CP472" t="s">
        <v>42</v>
      </c>
      <c r="CQ472" t="s">
        <v>42</v>
      </c>
      <c r="CR472" t="s">
        <v>42</v>
      </c>
      <c r="CS472" s="4" t="str">
        <f>HYPERLINK("http://exon.niaid.nih.gov/transcriptome/C_felis/S1/links/KOG/cf-contig_545-KOG.txt","Predicted nucleolar protein involved in ribosome biogenesis")</f>
        <v>Predicted nucleolar protein involved in ribosome biogenesis</v>
      </c>
      <c r="CT472" t="str">
        <f>HYPERLINK("http://www.ncbi.nlm.nih.gov/COG/grace/shokog.cgi?KOG2154","6.7")</f>
        <v>6.7</v>
      </c>
      <c r="CU472" t="s">
        <v>1707</v>
      </c>
      <c r="CV472" s="4" t="str">
        <f>HYPERLINK("http://exon.niaid.nih.gov/transcriptome/C_felis/S1/links/PFAM/cf-contig_545-PFAM.txt","DUF221")</f>
        <v>DUF221</v>
      </c>
      <c r="CW472" t="str">
        <f>HYPERLINK("http://pfam.sanger.ac.uk/family?acc=PF02714","1.3")</f>
        <v>1.3</v>
      </c>
      <c r="CX472" s="4" t="str">
        <f>HYPERLINK("http://exon.niaid.nih.gov/transcriptome/C_felis/S1/links/SMART/cf-contig_545-SMART.txt","IPPc")</f>
        <v>IPPc</v>
      </c>
      <c r="CY472" t="str">
        <f>HYPERLINK("http://smart.embl-heidelberg.de/smart/do_annotation.pl?DOMAIN=IPPc&amp;BLAST=DUMMY","0.74")</f>
        <v>0.74</v>
      </c>
      <c r="CZ472" s="4" t="s">
        <v>42</v>
      </c>
      <c r="DA472" t="s">
        <v>42</v>
      </c>
      <c r="DB472" t="s">
        <v>42</v>
      </c>
      <c r="DC472" t="s">
        <v>42</v>
      </c>
      <c r="DD472" t="s">
        <v>42</v>
      </c>
      <c r="DE472" t="s">
        <v>42</v>
      </c>
      <c r="DF472" t="s">
        <v>42</v>
      </c>
      <c r="DG472" t="s">
        <v>42</v>
      </c>
      <c r="DH472" s="4" t="s">
        <v>42</v>
      </c>
      <c r="DI472" t="s">
        <v>42</v>
      </c>
      <c r="DJ472" s="4" t="s">
        <v>42</v>
      </c>
      <c r="DK472" t="s">
        <v>42</v>
      </c>
      <c r="DL472" s="4">
        <v>447</v>
      </c>
      <c r="DM472">
        <v>1</v>
      </c>
      <c r="DN472" s="4">
        <v>457</v>
      </c>
      <c r="DO472">
        <v>1</v>
      </c>
      <c r="DP472" s="4">
        <v>463</v>
      </c>
      <c r="DQ472">
        <v>1</v>
      </c>
      <c r="DR472" s="4">
        <v>478</v>
      </c>
      <c r="DS472">
        <v>1</v>
      </c>
      <c r="DT472" s="4">
        <v>490</v>
      </c>
      <c r="DU472">
        <v>1</v>
      </c>
      <c r="DV472" s="4">
        <v>504</v>
      </c>
      <c r="DW472">
        <v>1</v>
      </c>
      <c r="DX472" s="4">
        <v>510</v>
      </c>
      <c r="DY472">
        <v>1</v>
      </c>
      <c r="DZ472" s="4">
        <v>518</v>
      </c>
      <c r="EA472">
        <v>1</v>
      </c>
      <c r="EB472" s="4">
        <v>523</v>
      </c>
      <c r="EC472">
        <v>1</v>
      </c>
      <c r="ED472" s="4">
        <v>527</v>
      </c>
      <c r="EE472">
        <v>1</v>
      </c>
      <c r="EF472" s="4">
        <v>532</v>
      </c>
      <c r="EG472">
        <v>1</v>
      </c>
      <c r="EH472" s="4">
        <v>538</v>
      </c>
      <c r="EI472">
        <v>1</v>
      </c>
      <c r="EJ472" s="4">
        <v>545</v>
      </c>
      <c r="EK472">
        <v>1</v>
      </c>
    </row>
    <row r="473" spans="1:141" x14ac:dyDescent="0.2">
      <c r="A473" t="str">
        <f>HYPERLINK("http://exon.niaid.nih.gov/transcriptome/C_felis/S1/links/cf/cf-contig_546.txt","cf-contig_546")</f>
        <v>cf-contig_546</v>
      </c>
      <c r="B473">
        <v>1</v>
      </c>
      <c r="C473" s="10" t="s">
        <v>4600</v>
      </c>
      <c r="D473">
        <v>1</v>
      </c>
      <c r="E473" t="str">
        <f>HYPERLINK("http://exon.niaid.nih.gov/transcriptome/C_felis/S1/links/cf/cf-5-36-asb-546.txt","Contig-546")</f>
        <v>Contig-546</v>
      </c>
      <c r="F473" t="str">
        <f>HYPERLINK("http://exon.niaid.nih.gov/transcriptome/C_felis/S1/links/cf/cf-5-36-546-CLU.txt","Contig546")</f>
        <v>Contig546</v>
      </c>
      <c r="G473" t="str">
        <f>HYPERLINK("http://exon.niaid.nih.gov/transcriptome/C_felis/S1/links/cf/cf-5-36-546-qual.txt","52.8")</f>
        <v>52.8</v>
      </c>
      <c r="H473" t="s">
        <v>11</v>
      </c>
      <c r="I473">
        <v>79.3</v>
      </c>
      <c r="J473">
        <v>97</v>
      </c>
      <c r="K473" t="s">
        <v>12</v>
      </c>
      <c r="L473">
        <v>1</v>
      </c>
      <c r="M473" t="s">
        <v>559</v>
      </c>
      <c r="N473">
        <v>97</v>
      </c>
      <c r="O473">
        <v>116</v>
      </c>
      <c r="P473">
        <v>57</v>
      </c>
      <c r="Q473" t="s">
        <v>1365</v>
      </c>
      <c r="R473">
        <v>1</v>
      </c>
      <c r="S473" s="7" t="s">
        <v>4585</v>
      </c>
      <c r="U473">
        <v>1</v>
      </c>
      <c r="V473" s="4">
        <v>448</v>
      </c>
      <c r="W473">
        <v>1</v>
      </c>
      <c r="X473" s="4">
        <v>458</v>
      </c>
      <c r="Y473">
        <v>1</v>
      </c>
      <c r="Z473" s="4">
        <v>464</v>
      </c>
      <c r="AA473">
        <v>1</v>
      </c>
      <c r="AB473" s="4" t="str">
        <f>HYPERLINK("http://exon.niaid.nih.gov/transcriptome/C_felis/S1/links/XC-ASB/cf-contig_546-XC-ASB.txt","XC-contig_76")</f>
        <v>XC-contig_76</v>
      </c>
      <c r="AC473">
        <v>1.3</v>
      </c>
      <c r="AD473" s="10" t="s">
        <v>4600</v>
      </c>
      <c r="AE473" t="s">
        <v>4601</v>
      </c>
      <c r="AI473" s="4" t="s">
        <v>42</v>
      </c>
      <c r="AJ473" t="s">
        <v>42</v>
      </c>
      <c r="AK473" t="s">
        <v>42</v>
      </c>
      <c r="AL473" t="s">
        <v>42</v>
      </c>
      <c r="AM473" t="s">
        <v>42</v>
      </c>
      <c r="AN473" t="s">
        <v>42</v>
      </c>
      <c r="AO473" t="s">
        <v>42</v>
      </c>
      <c r="AP473" t="s">
        <v>42</v>
      </c>
      <c r="AQ473" t="s">
        <v>42</v>
      </c>
      <c r="AR473" t="s">
        <v>42</v>
      </c>
      <c r="AS473" t="s">
        <v>42</v>
      </c>
      <c r="AT473" t="s">
        <v>42</v>
      </c>
      <c r="AU473" t="s">
        <v>42</v>
      </c>
      <c r="AV473" t="s">
        <v>42</v>
      </c>
      <c r="AW473" t="s">
        <v>42</v>
      </c>
      <c r="AX473" t="s">
        <v>42</v>
      </c>
      <c r="AY473" t="s">
        <v>42</v>
      </c>
      <c r="AZ473" t="s">
        <v>42</v>
      </c>
      <c r="BA473" s="4" t="str">
        <f>HYPERLINK("http://exon.niaid.nih.gov/transcriptome/C_felis/S1/links/SWISSP/cf-contig_546-SWISSP.txt","Probable maltose O-acetyltransferase")</f>
        <v>Probable maltose O-acetyltransferase</v>
      </c>
      <c r="BB473" t="str">
        <f>HYPERLINK("http://www.uniprot.org/uniprot/P37515","91")</f>
        <v>91</v>
      </c>
      <c r="BC473" t="s">
        <v>3671</v>
      </c>
      <c r="BD473">
        <v>25.8</v>
      </c>
      <c r="BE473">
        <v>29</v>
      </c>
      <c r="BF473">
        <v>184</v>
      </c>
      <c r="BG473">
        <v>36</v>
      </c>
      <c r="BH473">
        <v>16</v>
      </c>
      <c r="BI473">
        <v>19</v>
      </c>
      <c r="BJ473">
        <v>0</v>
      </c>
      <c r="BK473">
        <v>68</v>
      </c>
      <c r="BL473">
        <v>1</v>
      </c>
      <c r="BM473">
        <v>1</v>
      </c>
      <c r="BN473">
        <v>1</v>
      </c>
      <c r="BO473" t="s">
        <v>12</v>
      </c>
      <c r="BP473">
        <v>6.8970000000000002</v>
      </c>
      <c r="BQ473" t="s">
        <v>1676</v>
      </c>
      <c r="BR473" t="s">
        <v>1739</v>
      </c>
      <c r="BS473" s="4" t="str">
        <f>HYPERLINK("http://exon.niaid.nih.gov/transcriptome/C_felis/S1/links/CDD/cf-contig_546-CDD.txt","PRK01024")</f>
        <v>PRK01024</v>
      </c>
      <c r="BT473" t="str">
        <f>HYPERLINK("http://www.ncbi.nlm.nih.gov/Structure/cdd/cddsrv.cgi?uid=PRK01024&amp;version=v4.0","1.9")</f>
        <v>1.9</v>
      </c>
      <c r="BU473" t="s">
        <v>3672</v>
      </c>
      <c r="BV473" s="4" t="s">
        <v>42</v>
      </c>
      <c r="BW473" t="s">
        <v>42</v>
      </c>
      <c r="BX473" t="s">
        <v>42</v>
      </c>
      <c r="BY473" t="s">
        <v>42</v>
      </c>
      <c r="BZ473" t="s">
        <v>42</v>
      </c>
      <c r="CA473" t="s">
        <v>42</v>
      </c>
      <c r="CB473" t="s">
        <v>42</v>
      </c>
      <c r="CC473" t="s">
        <v>42</v>
      </c>
      <c r="CD473" t="s">
        <v>42</v>
      </c>
      <c r="CE473" t="s">
        <v>42</v>
      </c>
      <c r="CF473" t="s">
        <v>42</v>
      </c>
      <c r="CG473" t="s">
        <v>42</v>
      </c>
      <c r="CH473" t="s">
        <v>42</v>
      </c>
      <c r="CI473" t="s">
        <v>42</v>
      </c>
      <c r="CJ473" t="s">
        <v>42</v>
      </c>
      <c r="CK473" t="s">
        <v>42</v>
      </c>
      <c r="CL473" t="s">
        <v>42</v>
      </c>
      <c r="CM473" t="s">
        <v>42</v>
      </c>
      <c r="CN473" t="s">
        <v>42</v>
      </c>
      <c r="CO473" t="s">
        <v>42</v>
      </c>
      <c r="CP473" t="s">
        <v>42</v>
      </c>
      <c r="CQ473" t="s">
        <v>42</v>
      </c>
      <c r="CR473" t="s">
        <v>42</v>
      </c>
      <c r="CS473" s="4" t="s">
        <v>42</v>
      </c>
      <c r="CT473" t="s">
        <v>42</v>
      </c>
      <c r="CU473" t="s">
        <v>42</v>
      </c>
      <c r="CV473" s="4" t="str">
        <f>HYPERLINK("http://exon.niaid.nih.gov/transcriptome/C_felis/S1/links/PFAM/cf-contig_546-PFAM.txt","Intg_mem_TP0381")</f>
        <v>Intg_mem_TP0381</v>
      </c>
      <c r="CW473" t="str">
        <f>HYPERLINK("http://pfam.sanger.ac.uk/family?acc=PF09529","5.1")</f>
        <v>5.1</v>
      </c>
      <c r="CX473" s="4" t="str">
        <f>HYPERLINK("http://exon.niaid.nih.gov/transcriptome/C_felis/S1/links/SMART/cf-contig_546-SMART.txt","HECTc")</f>
        <v>HECTc</v>
      </c>
      <c r="CY473" t="str">
        <f>HYPERLINK("http://smart.embl-heidelberg.de/smart/do_annotation.pl?DOMAIN=HECTc&amp;BLAST=DUMMY","0.75")</f>
        <v>0.75</v>
      </c>
      <c r="CZ473" s="4" t="s">
        <v>42</v>
      </c>
      <c r="DA473" t="s">
        <v>42</v>
      </c>
      <c r="DB473" t="s">
        <v>42</v>
      </c>
      <c r="DC473" t="s">
        <v>42</v>
      </c>
      <c r="DD473" t="s">
        <v>42</v>
      </c>
      <c r="DE473" t="s">
        <v>42</v>
      </c>
      <c r="DF473" t="s">
        <v>42</v>
      </c>
      <c r="DG473" t="s">
        <v>42</v>
      </c>
      <c r="DH473" s="4" t="s">
        <v>42</v>
      </c>
      <c r="DI473" t="s">
        <v>42</v>
      </c>
      <c r="DJ473" s="4" t="s">
        <v>42</v>
      </c>
      <c r="DK473" t="s">
        <v>42</v>
      </c>
      <c r="DL473" s="4">
        <v>448</v>
      </c>
      <c r="DM473">
        <v>1</v>
      </c>
      <c r="DN473" s="4">
        <v>458</v>
      </c>
      <c r="DO473">
        <v>1</v>
      </c>
      <c r="DP473" s="4">
        <v>464</v>
      </c>
      <c r="DQ473">
        <v>1</v>
      </c>
      <c r="DR473" s="4">
        <v>479</v>
      </c>
      <c r="DS473">
        <v>1</v>
      </c>
      <c r="DT473" s="4">
        <v>491</v>
      </c>
      <c r="DU473">
        <v>1</v>
      </c>
      <c r="DV473" s="4">
        <v>505</v>
      </c>
      <c r="DW473">
        <v>1</v>
      </c>
      <c r="DX473" s="4">
        <v>511</v>
      </c>
      <c r="DY473">
        <v>1</v>
      </c>
      <c r="DZ473" s="4">
        <v>519</v>
      </c>
      <c r="EA473">
        <v>1</v>
      </c>
      <c r="EB473" s="4">
        <v>524</v>
      </c>
      <c r="EC473">
        <v>1</v>
      </c>
      <c r="ED473" s="4">
        <v>528</v>
      </c>
      <c r="EE473">
        <v>1</v>
      </c>
      <c r="EF473" s="4">
        <v>533</v>
      </c>
      <c r="EG473">
        <v>1</v>
      </c>
      <c r="EH473" s="4">
        <v>539</v>
      </c>
      <c r="EI473">
        <v>1</v>
      </c>
      <c r="EJ473" s="4">
        <v>546</v>
      </c>
      <c r="EK473">
        <v>1</v>
      </c>
    </row>
    <row r="474" spans="1:141" x14ac:dyDescent="0.2">
      <c r="A474" t="str">
        <f>HYPERLINK("http://exon.niaid.nih.gov/transcriptome/C_felis/S1/links/cf/cf-contig_550.txt","cf-contig_550")</f>
        <v>cf-contig_550</v>
      </c>
      <c r="B474">
        <v>1</v>
      </c>
      <c r="C474" s="10" t="s">
        <v>4600</v>
      </c>
      <c r="D474">
        <v>1</v>
      </c>
      <c r="E474" t="str">
        <f>HYPERLINK("http://exon.niaid.nih.gov/transcriptome/C_felis/S1/links/cf/cf-5-36-asb-550.txt","Contig-550")</f>
        <v>Contig-550</v>
      </c>
      <c r="F474" t="str">
        <f>HYPERLINK("http://exon.niaid.nih.gov/transcriptome/C_felis/S1/links/cf/cf-5-36-550-CLU.txt","Contig550")</f>
        <v>Contig550</v>
      </c>
      <c r="G474" t="str">
        <f>HYPERLINK("http://exon.niaid.nih.gov/transcriptome/C_felis/S1/links/cf/cf-5-36-550-qual.txt","54.9")</f>
        <v>54.9</v>
      </c>
      <c r="H474" t="s">
        <v>11</v>
      </c>
      <c r="I474">
        <v>72.099999999999994</v>
      </c>
      <c r="J474">
        <v>92</v>
      </c>
      <c r="K474" t="s">
        <v>12</v>
      </c>
      <c r="L474">
        <v>1</v>
      </c>
      <c r="M474" t="s">
        <v>563</v>
      </c>
      <c r="N474">
        <v>92</v>
      </c>
      <c r="O474">
        <v>111</v>
      </c>
      <c r="P474">
        <v>54</v>
      </c>
      <c r="Q474" t="s">
        <v>1369</v>
      </c>
      <c r="R474">
        <v>3</v>
      </c>
      <c r="S474" s="7" t="s">
        <v>4585</v>
      </c>
      <c r="U474">
        <v>1</v>
      </c>
      <c r="V474" s="4">
        <f>HYPERLINK("http://exon.niaid.nih.gov/transcriptome/C_felis/S1/links/cluster/cf-5-36-asb30-50-Id-CLU85.txt", 85)</f>
        <v>85</v>
      </c>
      <c r="W474">
        <f>HYPERLINK("http://exon.niaid.nih.gov/transcriptome/C_felis/S1/links/cluster/cf-5-36-asb30-50-Id-CLTL85.txt", 2)</f>
        <v>2</v>
      </c>
      <c r="X474" s="4">
        <f>HYPERLINK("http://exon.niaid.nih.gov/transcriptome/C_felis/S1/links/cluster/cf-5-36-asb35-50-Id-CLU77.txt", 77)</f>
        <v>77</v>
      </c>
      <c r="Y474">
        <f>HYPERLINK("http://exon.niaid.nih.gov/transcriptome/C_felis/S1/links/cluster/cf-5-36-asb35-50-Id-CLTL77.txt", 2)</f>
        <v>2</v>
      </c>
      <c r="Z474" s="4">
        <f>HYPERLINK("http://exon.niaid.nih.gov/transcriptome/C_felis/S1/links/cluster/cf-5-36-asb40-50-Id-CLU70.txt", 70)</f>
        <v>70</v>
      </c>
      <c r="AA474">
        <f>HYPERLINK("http://exon.niaid.nih.gov/transcriptome/C_felis/S1/links/cluster/cf-5-36-asb40-50-Id-CLTL70.txt", 2)</f>
        <v>2</v>
      </c>
      <c r="AB474" s="4" t="str">
        <f>HYPERLINK("http://exon.niaid.nih.gov/transcriptome/C_felis/S1/links/XC-ASB/cf-contig_550-XC-ASB.txt","XC-contig_184")</f>
        <v>XC-contig_184</v>
      </c>
      <c r="AC474">
        <v>2.8000000000000001E-2</v>
      </c>
      <c r="AD474" s="10" t="s">
        <v>4600</v>
      </c>
      <c r="AE474" t="s">
        <v>4601</v>
      </c>
      <c r="AI474" s="4" t="s">
        <v>42</v>
      </c>
      <c r="AJ474" t="s">
        <v>42</v>
      </c>
      <c r="AK474" t="s">
        <v>42</v>
      </c>
      <c r="AL474" t="s">
        <v>42</v>
      </c>
      <c r="AM474" t="s">
        <v>42</v>
      </c>
      <c r="AN474" t="s">
        <v>42</v>
      </c>
      <c r="AO474" t="s">
        <v>42</v>
      </c>
      <c r="AP474" t="s">
        <v>42</v>
      </c>
      <c r="AQ474" t="s">
        <v>42</v>
      </c>
      <c r="AR474" t="s">
        <v>42</v>
      </c>
      <c r="AS474" t="s">
        <v>42</v>
      </c>
      <c r="AT474" t="s">
        <v>42</v>
      </c>
      <c r="AU474" t="s">
        <v>42</v>
      </c>
      <c r="AV474" t="s">
        <v>42</v>
      </c>
      <c r="AW474" t="s">
        <v>42</v>
      </c>
      <c r="AX474" t="s">
        <v>42</v>
      </c>
      <c r="AY474" t="s">
        <v>42</v>
      </c>
      <c r="AZ474" t="s">
        <v>42</v>
      </c>
      <c r="BA474" s="4" t="str">
        <f>HYPERLINK("http://exon.niaid.nih.gov/transcriptome/C_felis/S1/links/SWISSP/cf-contig_550-SWISSP.txt","DNA-directed RNA polymerase II subunit RPB2")</f>
        <v>DNA-directed RNA polymerase II subunit RPB2</v>
      </c>
      <c r="BB474" t="str">
        <f>HYPERLINK("http://www.uniprot.org/uniprot/A5DHT2","31")</f>
        <v>31</v>
      </c>
      <c r="BC474" t="s">
        <v>3681</v>
      </c>
      <c r="BD474">
        <v>27.3</v>
      </c>
      <c r="BE474">
        <v>24</v>
      </c>
      <c r="BF474">
        <v>1236</v>
      </c>
      <c r="BG474">
        <v>48</v>
      </c>
      <c r="BH474">
        <v>2</v>
      </c>
      <c r="BI474">
        <v>13</v>
      </c>
      <c r="BJ474">
        <v>0</v>
      </c>
      <c r="BK474">
        <v>1167</v>
      </c>
      <c r="BL474">
        <v>35</v>
      </c>
      <c r="BM474">
        <v>1</v>
      </c>
      <c r="BN474">
        <v>-3</v>
      </c>
      <c r="BO474" t="s">
        <v>12</v>
      </c>
      <c r="BQ474" t="s">
        <v>1666</v>
      </c>
      <c r="BR474" t="s">
        <v>3682</v>
      </c>
      <c r="BS474" s="4" t="str">
        <f>HYPERLINK("http://exon.niaid.nih.gov/transcriptome/C_felis/S1/links/CDD/cf-contig_550-CDD.txt","PLN02302")</f>
        <v>PLN02302</v>
      </c>
      <c r="BT474" t="str">
        <f>HYPERLINK("http://www.ncbi.nlm.nih.gov/Structure/cdd/cddsrv.cgi?uid=PLN02302&amp;version=v4.0","1.1")</f>
        <v>1.1</v>
      </c>
      <c r="BU474" t="s">
        <v>3683</v>
      </c>
      <c r="BV474" s="4" t="s">
        <v>42</v>
      </c>
      <c r="BW474" t="s">
        <v>42</v>
      </c>
      <c r="BX474" t="s">
        <v>42</v>
      </c>
      <c r="BY474" t="s">
        <v>42</v>
      </c>
      <c r="BZ474" t="s">
        <v>42</v>
      </c>
      <c r="CA474" t="s">
        <v>42</v>
      </c>
      <c r="CB474" t="s">
        <v>42</v>
      </c>
      <c r="CC474" t="s">
        <v>42</v>
      </c>
      <c r="CD474" t="s">
        <v>42</v>
      </c>
      <c r="CE474" t="s">
        <v>42</v>
      </c>
      <c r="CF474" t="s">
        <v>42</v>
      </c>
      <c r="CG474" t="s">
        <v>42</v>
      </c>
      <c r="CH474" t="s">
        <v>42</v>
      </c>
      <c r="CI474" t="s">
        <v>42</v>
      </c>
      <c r="CJ474" t="s">
        <v>42</v>
      </c>
      <c r="CK474" t="s">
        <v>42</v>
      </c>
      <c r="CL474" t="s">
        <v>42</v>
      </c>
      <c r="CM474" t="s">
        <v>42</v>
      </c>
      <c r="CN474" t="s">
        <v>42</v>
      </c>
      <c r="CO474" t="s">
        <v>42</v>
      </c>
      <c r="CP474" t="s">
        <v>42</v>
      </c>
      <c r="CQ474" t="s">
        <v>42</v>
      </c>
      <c r="CR474" t="s">
        <v>42</v>
      </c>
      <c r="CS474" s="4" t="str">
        <f>HYPERLINK("http://exon.niaid.nih.gov/transcriptome/C_felis/S1/links/KOG/cf-contig_550-KOG.txt","DEAD-box ATP-dependent RNA helicase")</f>
        <v>DEAD-box ATP-dependent RNA helicase</v>
      </c>
      <c r="CT474" t="str">
        <f>HYPERLINK("http://www.ncbi.nlm.nih.gov/COG/grace/shokog.cgi?KOG0350","5.8")</f>
        <v>5.8</v>
      </c>
      <c r="CU474" t="s">
        <v>1817</v>
      </c>
      <c r="CV474" s="4" t="str">
        <f>HYPERLINK("http://exon.niaid.nih.gov/transcriptome/C_felis/S1/links/PFAM/cf-contig_550-PFAM.txt","DUF432")</f>
        <v>DUF432</v>
      </c>
      <c r="CW474" t="str">
        <f>HYPERLINK("http://pfam.sanger.ac.uk/family?acc=PF04254","4.2")</f>
        <v>4.2</v>
      </c>
      <c r="CX474" s="4" t="str">
        <f>HYPERLINK("http://exon.niaid.nih.gov/transcriptome/C_felis/S1/links/SMART/cf-contig_550-SMART.txt","PepX_N")</f>
        <v>PepX_N</v>
      </c>
      <c r="CY474" t="str">
        <f>HYPERLINK("http://smart.embl-heidelberg.de/smart/do_annotation.pl?DOMAIN=PepX_N&amp;BLAST=DUMMY","0.99")</f>
        <v>0.99</v>
      </c>
      <c r="CZ474" s="4" t="s">
        <v>42</v>
      </c>
      <c r="DA474" t="s">
        <v>42</v>
      </c>
      <c r="DB474" t="s">
        <v>42</v>
      </c>
      <c r="DC474" t="s">
        <v>42</v>
      </c>
      <c r="DD474" t="s">
        <v>42</v>
      </c>
      <c r="DE474" t="s">
        <v>42</v>
      </c>
      <c r="DF474" t="s">
        <v>42</v>
      </c>
      <c r="DG474" t="s">
        <v>42</v>
      </c>
      <c r="DH474" s="4" t="s">
        <v>42</v>
      </c>
      <c r="DI474" t="s">
        <v>42</v>
      </c>
      <c r="DJ474" s="4" t="s">
        <v>42</v>
      </c>
      <c r="DK474" t="s">
        <v>42</v>
      </c>
      <c r="DL474" s="4">
        <f>HYPERLINK("http://exon.niaid.nih.gov/transcriptome/C_felis/S1/links/cluster/cf-5-36-asb30-50-Id-CLU85.txt", 85)</f>
        <v>85</v>
      </c>
      <c r="DM474">
        <f>HYPERLINK("http://exon.niaid.nih.gov/transcriptome/C_felis/S1/links/cluster/cf-5-36-asb30-50-Id-CLTL85.txt", 2)</f>
        <v>2</v>
      </c>
      <c r="DN474" s="4">
        <f>HYPERLINK("http://exon.niaid.nih.gov/transcriptome/C_felis/S1/links/cluster/cf-5-36-asb35-50-Id-CLU77.txt", 77)</f>
        <v>77</v>
      </c>
      <c r="DO474">
        <f>HYPERLINK("http://exon.niaid.nih.gov/transcriptome/C_felis/S1/links/cluster/cf-5-36-asb35-50-Id-CLTL77.txt", 2)</f>
        <v>2</v>
      </c>
      <c r="DP474" s="4">
        <f>HYPERLINK("http://exon.niaid.nih.gov/transcriptome/C_felis/S1/links/cluster/cf-5-36-asb40-50-Id-CLU70.txt", 70)</f>
        <v>70</v>
      </c>
      <c r="DQ474">
        <f>HYPERLINK("http://exon.niaid.nih.gov/transcriptome/C_felis/S1/links/cluster/cf-5-36-asb40-50-Id-CLTL70.txt", 2)</f>
        <v>2</v>
      </c>
      <c r="DR474" s="4">
        <f>HYPERLINK("http://exon.niaid.nih.gov/transcriptome/C_felis/S1/links/cluster/cf-5-36-asb45-50-Id-CLU57.txt", 57)</f>
        <v>57</v>
      </c>
      <c r="DS474">
        <f>HYPERLINK("http://exon.niaid.nih.gov/transcriptome/C_felis/S1/links/cluster/cf-5-36-asb45-50-Id-CLTL57.txt", 2)</f>
        <v>2</v>
      </c>
      <c r="DT474" s="4">
        <f>HYPERLINK("http://exon.niaid.nih.gov/transcriptome/C_felis/S1/links/cluster/cf-5-36-asb50-50-Id-CLU49.txt", 49)</f>
        <v>49</v>
      </c>
      <c r="DU474">
        <f>HYPERLINK("http://exon.niaid.nih.gov/transcriptome/C_felis/S1/links/cluster/cf-5-36-asb50-50-Id-CLTL49.txt", 2)</f>
        <v>2</v>
      </c>
      <c r="DV474" s="4">
        <f>HYPERLINK("http://exon.niaid.nih.gov/transcriptome/C_felis/S1/links/cluster/cf-5-36-asb55-50-Id-CLU45.txt", 45)</f>
        <v>45</v>
      </c>
      <c r="DW474">
        <f>HYPERLINK("http://exon.niaid.nih.gov/transcriptome/C_felis/S1/links/cluster/cf-5-36-asb55-50-Id-CLTL45.txt", 2)</f>
        <v>2</v>
      </c>
      <c r="DX474" s="4">
        <v>514</v>
      </c>
      <c r="DY474">
        <v>1</v>
      </c>
      <c r="DZ474" s="4">
        <v>522</v>
      </c>
      <c r="EA474">
        <v>1</v>
      </c>
      <c r="EB474" s="4">
        <v>527</v>
      </c>
      <c r="EC474">
        <v>1</v>
      </c>
      <c r="ED474" s="4">
        <v>531</v>
      </c>
      <c r="EE474">
        <v>1</v>
      </c>
      <c r="EF474" s="4">
        <v>536</v>
      </c>
      <c r="EG474">
        <v>1</v>
      </c>
      <c r="EH474" s="4">
        <v>543</v>
      </c>
      <c r="EI474">
        <v>1</v>
      </c>
      <c r="EJ474" s="4">
        <v>550</v>
      </c>
      <c r="EK474">
        <v>1</v>
      </c>
    </row>
    <row r="475" spans="1:141" x14ac:dyDescent="0.2">
      <c r="A475" t="str">
        <f>HYPERLINK("http://exon.niaid.nih.gov/transcriptome/C_felis/S1/links/cf/cf-contig_552.txt","cf-contig_552")</f>
        <v>cf-contig_552</v>
      </c>
      <c r="B475">
        <v>1</v>
      </c>
      <c r="C475" s="10" t="s">
        <v>4600</v>
      </c>
      <c r="D475">
        <v>1</v>
      </c>
      <c r="E475" t="str">
        <f>HYPERLINK("http://exon.niaid.nih.gov/transcriptome/C_felis/S1/links/cf/cf-5-36-asb-552.txt","Contig-552")</f>
        <v>Contig-552</v>
      </c>
      <c r="F475" t="str">
        <f>HYPERLINK("http://exon.niaid.nih.gov/transcriptome/C_felis/S1/links/cf/cf-5-36-552-CLU.txt","Contig552")</f>
        <v>Contig552</v>
      </c>
      <c r="G475" t="str">
        <f>HYPERLINK("http://exon.niaid.nih.gov/transcriptome/C_felis/S1/links/cf/cf-5-36-552-qual.txt","29.8")</f>
        <v>29.8</v>
      </c>
      <c r="H475">
        <v>3.4</v>
      </c>
      <c r="I475">
        <v>60.2</v>
      </c>
      <c r="J475">
        <v>69</v>
      </c>
      <c r="K475" t="s">
        <v>12</v>
      </c>
      <c r="L475">
        <v>1</v>
      </c>
      <c r="M475" t="s">
        <v>565</v>
      </c>
      <c r="N475">
        <v>69</v>
      </c>
      <c r="O475">
        <v>88</v>
      </c>
      <c r="P475">
        <v>54</v>
      </c>
      <c r="Q475" t="s">
        <v>1371</v>
      </c>
      <c r="R475">
        <v>2</v>
      </c>
      <c r="S475" s="7" t="s">
        <v>4585</v>
      </c>
      <c r="U475">
        <v>1</v>
      </c>
      <c r="V475" s="4">
        <f>HYPERLINK("http://exon.niaid.nih.gov/transcriptome/C_felis/S1/links/cluster/cf-5-36-asb30-50-Id-CLU12.txt", 12)</f>
        <v>12</v>
      </c>
      <c r="W475">
        <f>HYPERLINK("http://exon.niaid.nih.gov/transcriptome/C_felis/S1/links/cluster/cf-5-36-asb30-50-Id-CLTL12.txt", 4)</f>
        <v>4</v>
      </c>
      <c r="X475" s="4">
        <f>HYPERLINK("http://exon.niaid.nih.gov/transcriptome/C_felis/S1/links/cluster/cf-5-36-asb35-50-Id-CLU78.txt", 78)</f>
        <v>78</v>
      </c>
      <c r="Y475">
        <f>HYPERLINK("http://exon.niaid.nih.gov/transcriptome/C_felis/S1/links/cluster/cf-5-36-asb35-50-Id-CLTL78.txt", 2)</f>
        <v>2</v>
      </c>
      <c r="Z475" s="4">
        <v>467</v>
      </c>
      <c r="AA475">
        <v>1</v>
      </c>
      <c r="AB475" s="4" t="str">
        <f>HYPERLINK("http://exon.niaid.nih.gov/transcriptome/C_felis/S1/links/XC-ASB/cf-contig_552-XC-ASB.txt","XC-contig_192")</f>
        <v>XC-contig_192</v>
      </c>
      <c r="AC475">
        <v>2.2999999999999998</v>
      </c>
      <c r="AD475" s="10" t="s">
        <v>4600</v>
      </c>
      <c r="AE475" t="s">
        <v>4601</v>
      </c>
      <c r="AI475" s="4" t="s">
        <v>42</v>
      </c>
      <c r="AJ475" t="s">
        <v>42</v>
      </c>
      <c r="AK475" t="s">
        <v>42</v>
      </c>
      <c r="AL475" t="s">
        <v>42</v>
      </c>
      <c r="AM475" t="s">
        <v>42</v>
      </c>
      <c r="AN475" t="s">
        <v>42</v>
      </c>
      <c r="AO475" t="s">
        <v>42</v>
      </c>
      <c r="AP475" t="s">
        <v>42</v>
      </c>
      <c r="AQ475" t="s">
        <v>42</v>
      </c>
      <c r="AR475" t="s">
        <v>42</v>
      </c>
      <c r="AS475" t="s">
        <v>42</v>
      </c>
      <c r="AT475" t="s">
        <v>42</v>
      </c>
      <c r="AU475" t="s">
        <v>42</v>
      </c>
      <c r="AV475" t="s">
        <v>42</v>
      </c>
      <c r="AW475" t="s">
        <v>42</v>
      </c>
      <c r="AX475" t="s">
        <v>42</v>
      </c>
      <c r="AY475" t="s">
        <v>42</v>
      </c>
      <c r="AZ475" t="s">
        <v>42</v>
      </c>
      <c r="BA475" s="4" t="s">
        <v>42</v>
      </c>
      <c r="BB475" t="s">
        <v>42</v>
      </c>
      <c r="BC475" t="s">
        <v>42</v>
      </c>
      <c r="BD475" t="s">
        <v>42</v>
      </c>
      <c r="BE475" t="s">
        <v>42</v>
      </c>
      <c r="BF475" t="s">
        <v>42</v>
      </c>
      <c r="BG475" t="s">
        <v>42</v>
      </c>
      <c r="BH475" t="s">
        <v>42</v>
      </c>
      <c r="BI475" t="s">
        <v>42</v>
      </c>
      <c r="BJ475" t="s">
        <v>42</v>
      </c>
      <c r="BK475" t="s">
        <v>42</v>
      </c>
      <c r="BL475" t="s">
        <v>42</v>
      </c>
      <c r="BM475" t="s">
        <v>42</v>
      </c>
      <c r="BN475" t="s">
        <v>42</v>
      </c>
      <c r="BO475" t="s">
        <v>42</v>
      </c>
      <c r="BP475" t="s">
        <v>42</v>
      </c>
      <c r="BQ475" t="s">
        <v>42</v>
      </c>
      <c r="BR475" t="s">
        <v>42</v>
      </c>
      <c r="BS475" s="4" t="s">
        <v>42</v>
      </c>
      <c r="BT475" t="s">
        <v>42</v>
      </c>
      <c r="BU475" t="s">
        <v>42</v>
      </c>
      <c r="BV475" s="4" t="s">
        <v>42</v>
      </c>
      <c r="BW475" t="s">
        <v>42</v>
      </c>
      <c r="BX475" t="s">
        <v>42</v>
      </c>
      <c r="BY475" t="s">
        <v>42</v>
      </c>
      <c r="BZ475" t="s">
        <v>42</v>
      </c>
      <c r="CA475" t="s">
        <v>42</v>
      </c>
      <c r="CB475" t="s">
        <v>42</v>
      </c>
      <c r="CC475" t="s">
        <v>42</v>
      </c>
      <c r="CD475" t="s">
        <v>42</v>
      </c>
      <c r="CE475" t="s">
        <v>42</v>
      </c>
      <c r="CF475" t="s">
        <v>42</v>
      </c>
      <c r="CG475" t="s">
        <v>42</v>
      </c>
      <c r="CH475" t="s">
        <v>42</v>
      </c>
      <c r="CI475" t="s">
        <v>42</v>
      </c>
      <c r="CJ475" t="s">
        <v>42</v>
      </c>
      <c r="CK475" t="s">
        <v>42</v>
      </c>
      <c r="CL475" t="s">
        <v>42</v>
      </c>
      <c r="CM475" t="s">
        <v>42</v>
      </c>
      <c r="CN475" t="s">
        <v>42</v>
      </c>
      <c r="CO475" t="s">
        <v>42</v>
      </c>
      <c r="CP475" t="s">
        <v>42</v>
      </c>
      <c r="CQ475" t="s">
        <v>42</v>
      </c>
      <c r="CR475" t="s">
        <v>42</v>
      </c>
      <c r="CS475" s="4" t="s">
        <v>42</v>
      </c>
      <c r="CT475" t="s">
        <v>42</v>
      </c>
      <c r="CU475" t="s">
        <v>42</v>
      </c>
      <c r="CV475" s="4" t="str">
        <f>HYPERLINK("http://exon.niaid.nih.gov/transcriptome/C_felis/S1/links/PFAM/cf-contig_552-PFAM.txt","PhageP22-tail")</f>
        <v>PhageP22-tail</v>
      </c>
      <c r="CW475" t="str">
        <f>HYPERLINK("http://pfam.sanger.ac.uk/family?acc=PF09251","5.5")</f>
        <v>5.5</v>
      </c>
      <c r="CX475" s="4" t="str">
        <f>HYPERLINK("http://exon.niaid.nih.gov/transcriptome/C_felis/S1/links/SMART/cf-contig_552-SMART.txt","TOPEUc")</f>
        <v>TOPEUc</v>
      </c>
      <c r="CY475" t="str">
        <f>HYPERLINK("http://smart.embl-heidelberg.de/smart/do_annotation.pl?DOMAIN=TOPEUc&amp;BLAST=DUMMY","5.5")</f>
        <v>5.5</v>
      </c>
      <c r="CZ475" s="4" t="s">
        <v>42</v>
      </c>
      <c r="DA475" t="s">
        <v>42</v>
      </c>
      <c r="DB475" t="s">
        <v>42</v>
      </c>
      <c r="DC475" t="s">
        <v>42</v>
      </c>
      <c r="DD475" t="s">
        <v>42</v>
      </c>
      <c r="DE475" t="s">
        <v>42</v>
      </c>
      <c r="DF475" t="s">
        <v>42</v>
      </c>
      <c r="DG475" t="s">
        <v>42</v>
      </c>
      <c r="DH475" s="4" t="s">
        <v>42</v>
      </c>
      <c r="DI475" t="s">
        <v>42</v>
      </c>
      <c r="DJ475" s="4" t="s">
        <v>42</v>
      </c>
      <c r="DK475" t="s">
        <v>42</v>
      </c>
      <c r="DL475" s="4">
        <f>HYPERLINK("http://exon.niaid.nih.gov/transcriptome/C_felis/S1/links/cluster/cf-5-36-asb30-50-Id-CLU12.txt", 12)</f>
        <v>12</v>
      </c>
      <c r="DM475">
        <f>HYPERLINK("http://exon.niaid.nih.gov/transcriptome/C_felis/S1/links/cluster/cf-5-36-asb30-50-Id-CLTL12.txt", 4)</f>
        <v>4</v>
      </c>
      <c r="DN475" s="4">
        <f>HYPERLINK("http://exon.niaid.nih.gov/transcriptome/C_felis/S1/links/cluster/cf-5-36-asb35-50-Id-CLU78.txt", 78)</f>
        <v>78</v>
      </c>
      <c r="DO475">
        <f>HYPERLINK("http://exon.niaid.nih.gov/transcriptome/C_felis/S1/links/cluster/cf-5-36-asb35-50-Id-CLTL78.txt", 2)</f>
        <v>2</v>
      </c>
      <c r="DP475" s="4">
        <v>467</v>
      </c>
      <c r="DQ475">
        <v>1</v>
      </c>
      <c r="DR475" s="4">
        <v>482</v>
      </c>
      <c r="DS475">
        <v>1</v>
      </c>
      <c r="DT475" s="4">
        <v>494</v>
      </c>
      <c r="DU475">
        <v>1</v>
      </c>
      <c r="DV475" s="4">
        <v>508</v>
      </c>
      <c r="DW475">
        <v>1</v>
      </c>
      <c r="DX475" s="4">
        <v>516</v>
      </c>
      <c r="DY475">
        <v>1</v>
      </c>
      <c r="DZ475" s="4">
        <v>524</v>
      </c>
      <c r="EA475">
        <v>1</v>
      </c>
      <c r="EB475" s="4">
        <v>529</v>
      </c>
      <c r="EC475">
        <v>1</v>
      </c>
      <c r="ED475" s="4">
        <v>533</v>
      </c>
      <c r="EE475">
        <v>1</v>
      </c>
      <c r="EF475" s="4">
        <v>538</v>
      </c>
      <c r="EG475">
        <v>1</v>
      </c>
      <c r="EH475" s="4">
        <v>545</v>
      </c>
      <c r="EI475">
        <v>1</v>
      </c>
      <c r="EJ475" s="4">
        <v>552</v>
      </c>
      <c r="EK475">
        <v>1</v>
      </c>
    </row>
    <row r="476" spans="1:141" x14ac:dyDescent="0.2">
      <c r="A476" t="str">
        <f>HYPERLINK("http://exon.niaid.nih.gov/transcriptome/C_felis/S1/links/cf/cf-contig_553.txt","cf-contig_553")</f>
        <v>cf-contig_553</v>
      </c>
      <c r="B476">
        <v>1</v>
      </c>
      <c r="C476" s="10" t="s">
        <v>4600</v>
      </c>
      <c r="D476">
        <v>1</v>
      </c>
      <c r="E476" t="str">
        <f>HYPERLINK("http://exon.niaid.nih.gov/transcriptome/C_felis/S1/links/cf/cf-5-36-asb-553.txt","Contig-553")</f>
        <v>Contig-553</v>
      </c>
      <c r="F476" t="str">
        <f>HYPERLINK("http://exon.niaid.nih.gov/transcriptome/C_felis/S1/links/cf/cf-5-36-553-CLU.txt","Contig553")</f>
        <v>Contig553</v>
      </c>
      <c r="G476" t="str">
        <f>HYPERLINK("http://exon.niaid.nih.gov/transcriptome/C_felis/S1/links/cf/cf-5-36-553-qual.txt","46.4")</f>
        <v>46.4</v>
      </c>
      <c r="H476" t="s">
        <v>11</v>
      </c>
      <c r="I476">
        <v>68.400000000000006</v>
      </c>
      <c r="J476">
        <v>76</v>
      </c>
      <c r="K476" t="s">
        <v>12</v>
      </c>
      <c r="L476">
        <v>1</v>
      </c>
      <c r="M476" t="s">
        <v>566</v>
      </c>
      <c r="N476">
        <v>76</v>
      </c>
      <c r="O476">
        <v>95</v>
      </c>
      <c r="P476">
        <v>93</v>
      </c>
      <c r="Q476" t="s">
        <v>1372</v>
      </c>
      <c r="R476">
        <v>1</v>
      </c>
      <c r="S476" s="7" t="s">
        <v>4585</v>
      </c>
      <c r="U476">
        <v>1</v>
      </c>
      <c r="V476" s="4">
        <f>HYPERLINK("http://exon.niaid.nih.gov/transcriptome/C_felis/S1/links/cluster/cf-5-36-asb30-50-Id-CLU27.txt", 27)</f>
        <v>27</v>
      </c>
      <c r="W476">
        <f>HYPERLINK("http://exon.niaid.nih.gov/transcriptome/C_felis/S1/links/cluster/cf-5-36-asb30-50-Id-CLTL27.txt", 3)</f>
        <v>3</v>
      </c>
      <c r="X476" s="4">
        <f>HYPERLINK("http://exon.niaid.nih.gov/transcriptome/C_felis/S1/links/cluster/cf-5-36-asb35-50-Id-CLU79.txt", 79)</f>
        <v>79</v>
      </c>
      <c r="Y476">
        <f>HYPERLINK("http://exon.niaid.nih.gov/transcriptome/C_felis/S1/links/cluster/cf-5-36-asb35-50-Id-CLTL79.txt", 2)</f>
        <v>2</v>
      </c>
      <c r="Z476" s="4">
        <f>HYPERLINK("http://exon.niaid.nih.gov/transcriptome/C_felis/S1/links/cluster/cf-5-36-asb40-50-Id-CLU71.txt", 71)</f>
        <v>71</v>
      </c>
      <c r="AA476">
        <f>HYPERLINK("http://exon.niaid.nih.gov/transcriptome/C_felis/S1/links/cluster/cf-5-36-asb40-50-Id-CLTL71.txt", 2)</f>
        <v>2</v>
      </c>
      <c r="AB476" s="4" t="str">
        <f>HYPERLINK("http://exon.niaid.nih.gov/transcriptome/C_felis/S1/links/XC-ASB/cf-contig_553-XC-ASB.txt","XC-contig_182")</f>
        <v>XC-contig_182</v>
      </c>
      <c r="AC476">
        <v>1E-4</v>
      </c>
      <c r="AD476" s="10" t="s">
        <v>4600</v>
      </c>
      <c r="AE476" t="s">
        <v>4601</v>
      </c>
      <c r="AI476" s="4" t="s">
        <v>42</v>
      </c>
      <c r="AJ476" t="s">
        <v>42</v>
      </c>
      <c r="AK476" t="s">
        <v>42</v>
      </c>
      <c r="AL476" t="s">
        <v>42</v>
      </c>
      <c r="AM476" t="s">
        <v>42</v>
      </c>
      <c r="AN476" t="s">
        <v>42</v>
      </c>
      <c r="AO476" t="s">
        <v>42</v>
      </c>
      <c r="AP476" t="s">
        <v>42</v>
      </c>
      <c r="AQ476" t="s">
        <v>42</v>
      </c>
      <c r="AR476" t="s">
        <v>42</v>
      </c>
      <c r="AS476" t="s">
        <v>42</v>
      </c>
      <c r="AT476" t="s">
        <v>42</v>
      </c>
      <c r="AU476" t="s">
        <v>42</v>
      </c>
      <c r="AV476" t="s">
        <v>42</v>
      </c>
      <c r="AW476" t="s">
        <v>42</v>
      </c>
      <c r="AX476" t="s">
        <v>42</v>
      </c>
      <c r="AY476" t="s">
        <v>42</v>
      </c>
      <c r="AZ476" t="s">
        <v>42</v>
      </c>
      <c r="BA476" s="4" t="str">
        <f>HYPERLINK("http://exon.niaid.nih.gov/transcriptome/C_felis/S1/links/SWISSP/cf-contig_553-SWISSP.txt","Thyrotropin-releasing hormone receptor")</f>
        <v>Thyrotropin-releasing hormone receptor</v>
      </c>
      <c r="BB476" t="str">
        <f>HYPERLINK("http://www.uniprot.org/uniprot/Q28596","23")</f>
        <v>23</v>
      </c>
      <c r="BC476" t="s">
        <v>3686</v>
      </c>
      <c r="BD476">
        <v>27.7</v>
      </c>
      <c r="BE476">
        <v>15</v>
      </c>
      <c r="BF476">
        <v>398</v>
      </c>
      <c r="BG476">
        <v>50</v>
      </c>
      <c r="BH476">
        <v>4</v>
      </c>
      <c r="BI476">
        <v>8</v>
      </c>
      <c r="BJ476">
        <v>0</v>
      </c>
      <c r="BK476">
        <v>297</v>
      </c>
      <c r="BL476">
        <v>28</v>
      </c>
      <c r="BM476">
        <v>1</v>
      </c>
      <c r="BN476">
        <v>1</v>
      </c>
      <c r="BO476" t="s">
        <v>12</v>
      </c>
      <c r="BQ476" t="s">
        <v>1676</v>
      </c>
      <c r="BR476" t="s">
        <v>3246</v>
      </c>
      <c r="BS476" s="4" t="s">
        <v>42</v>
      </c>
      <c r="BT476" t="s">
        <v>42</v>
      </c>
      <c r="BU476" t="s">
        <v>42</v>
      </c>
      <c r="BV476" s="4" t="s">
        <v>42</v>
      </c>
      <c r="BW476" t="s">
        <v>42</v>
      </c>
      <c r="BX476" t="s">
        <v>42</v>
      </c>
      <c r="BY476" t="s">
        <v>42</v>
      </c>
      <c r="BZ476" t="s">
        <v>42</v>
      </c>
      <c r="CA476" t="s">
        <v>42</v>
      </c>
      <c r="CB476" t="s">
        <v>42</v>
      </c>
      <c r="CC476" t="s">
        <v>42</v>
      </c>
      <c r="CD476" t="s">
        <v>42</v>
      </c>
      <c r="CE476" t="s">
        <v>42</v>
      </c>
      <c r="CF476" t="s">
        <v>42</v>
      </c>
      <c r="CG476" t="s">
        <v>42</v>
      </c>
      <c r="CH476" t="s">
        <v>42</v>
      </c>
      <c r="CI476" t="s">
        <v>42</v>
      </c>
      <c r="CJ476" t="s">
        <v>42</v>
      </c>
      <c r="CK476" t="s">
        <v>42</v>
      </c>
      <c r="CL476" t="s">
        <v>42</v>
      </c>
      <c r="CM476" t="s">
        <v>42</v>
      </c>
      <c r="CN476" t="s">
        <v>42</v>
      </c>
      <c r="CO476" t="s">
        <v>42</v>
      </c>
      <c r="CP476" t="s">
        <v>42</v>
      </c>
      <c r="CQ476" t="s">
        <v>42</v>
      </c>
      <c r="CR476" t="s">
        <v>42</v>
      </c>
      <c r="CS476" s="4" t="str">
        <f>HYPERLINK("http://exon.niaid.nih.gov/transcriptome/C_felis/S1/links/KOG/cf-contig_553-KOG.txt","Translation initiation factor 4F, cap-binding subunit (eIF-4E) and related cap-binding proteins")</f>
        <v>Translation initiation factor 4F, cap-binding subunit (eIF-4E) and related cap-binding proteins</v>
      </c>
      <c r="CT476" t="str">
        <f>HYPERLINK("http://www.ncbi.nlm.nih.gov/COG/grace/shokog.cgi?KOG1670","9.8")</f>
        <v>9.8</v>
      </c>
      <c r="CU476" t="s">
        <v>1707</v>
      </c>
      <c r="CV476" s="4" t="str">
        <f>HYPERLINK("http://exon.niaid.nih.gov/transcriptome/C_felis/S1/links/PFAM/cf-contig_553-PFAM.txt","UPF0228")</f>
        <v>UPF0228</v>
      </c>
      <c r="CW476" t="str">
        <f>HYPERLINK("http://pfam.sanger.ac.uk/family?acc=PF05727","8.3")</f>
        <v>8.3</v>
      </c>
      <c r="CX476" s="4" t="str">
        <f>HYPERLINK("http://exon.niaid.nih.gov/transcriptome/C_felis/S1/links/SMART/cf-contig_553-SMART.txt","TNFR")</f>
        <v>TNFR</v>
      </c>
      <c r="CY476" t="str">
        <f>HYPERLINK("http://smart.embl-heidelberg.de/smart/do_annotation.pl?DOMAIN=TNFR&amp;BLAST=DUMMY","2.4")</f>
        <v>2.4</v>
      </c>
      <c r="CZ476" s="4" t="s">
        <v>42</v>
      </c>
      <c r="DA476" t="s">
        <v>42</v>
      </c>
      <c r="DB476" t="s">
        <v>42</v>
      </c>
      <c r="DC476" t="s">
        <v>42</v>
      </c>
      <c r="DD476" t="s">
        <v>42</v>
      </c>
      <c r="DE476" t="s">
        <v>42</v>
      </c>
      <c r="DF476" t="s">
        <v>42</v>
      </c>
      <c r="DG476" t="s">
        <v>42</v>
      </c>
      <c r="DH476" s="4" t="s">
        <v>42</v>
      </c>
      <c r="DI476" t="s">
        <v>42</v>
      </c>
      <c r="DJ476" s="4" t="s">
        <v>42</v>
      </c>
      <c r="DK476" t="s">
        <v>42</v>
      </c>
      <c r="DL476" s="4">
        <f>HYPERLINK("http://exon.niaid.nih.gov/transcriptome/C_felis/S1/links/cluster/cf-5-36-asb30-50-Id-CLU27.txt", 27)</f>
        <v>27</v>
      </c>
      <c r="DM476">
        <f>HYPERLINK("http://exon.niaid.nih.gov/transcriptome/C_felis/S1/links/cluster/cf-5-36-asb30-50-Id-CLTL27.txt", 3)</f>
        <v>3</v>
      </c>
      <c r="DN476" s="4">
        <f>HYPERLINK("http://exon.niaid.nih.gov/transcriptome/C_felis/S1/links/cluster/cf-5-36-asb35-50-Id-CLU79.txt", 79)</f>
        <v>79</v>
      </c>
      <c r="DO476">
        <f>HYPERLINK("http://exon.niaid.nih.gov/transcriptome/C_felis/S1/links/cluster/cf-5-36-asb35-50-Id-CLTL79.txt", 2)</f>
        <v>2</v>
      </c>
      <c r="DP476" s="4">
        <f>HYPERLINK("http://exon.niaid.nih.gov/transcriptome/C_felis/S1/links/cluster/cf-5-36-asb40-50-Id-CLU71.txt", 71)</f>
        <v>71</v>
      </c>
      <c r="DQ476">
        <f>HYPERLINK("http://exon.niaid.nih.gov/transcriptome/C_felis/S1/links/cluster/cf-5-36-asb40-50-Id-CLTL71.txt", 2)</f>
        <v>2</v>
      </c>
      <c r="DR476" s="4">
        <f>HYPERLINK("http://exon.niaid.nih.gov/transcriptome/C_felis/S1/links/cluster/cf-5-36-asb45-50-Id-CLU483.txt", 483)</f>
        <v>483</v>
      </c>
      <c r="DS476">
        <f>HYPERLINK("http://exon.niaid.nih.gov/transcriptome/C_felis/S1/links/cluster/cf-5-36-asb45-50-Id-CLTL483.txt", 1)</f>
        <v>1</v>
      </c>
      <c r="DT476" s="4">
        <f>HYPERLINK("http://exon.niaid.nih.gov/transcriptome/C_felis/S1/links/cluster/cf-5-36-asb50-50-Id-CLU495.txt", 495)</f>
        <v>495</v>
      </c>
      <c r="DU476">
        <f>HYPERLINK("http://exon.niaid.nih.gov/transcriptome/C_felis/S1/links/cluster/cf-5-36-asb50-50-Id-CLTL495.txt", 1)</f>
        <v>1</v>
      </c>
      <c r="DV476" s="4">
        <f>HYPERLINK("http://exon.niaid.nih.gov/transcriptome/C_felis/S1/links/cluster/cf-5-36-asb55-50-Id-CLU509.txt", 509)</f>
        <v>509</v>
      </c>
      <c r="DW476">
        <f>HYPERLINK("http://exon.niaid.nih.gov/transcriptome/C_felis/S1/links/cluster/cf-5-36-asb55-50-Id-CLTL509.txt", 1)</f>
        <v>1</v>
      </c>
      <c r="DX476" s="4">
        <v>517</v>
      </c>
      <c r="DY476">
        <v>1</v>
      </c>
      <c r="DZ476" s="4">
        <v>525</v>
      </c>
      <c r="EA476">
        <v>1</v>
      </c>
      <c r="EB476" s="4">
        <v>530</v>
      </c>
      <c r="EC476">
        <v>1</v>
      </c>
      <c r="ED476" s="4">
        <v>534</v>
      </c>
      <c r="EE476">
        <v>1</v>
      </c>
      <c r="EF476" s="4">
        <v>539</v>
      </c>
      <c r="EG476">
        <v>1</v>
      </c>
      <c r="EH476" s="4">
        <v>546</v>
      </c>
      <c r="EI476">
        <v>1</v>
      </c>
      <c r="EJ476" s="4">
        <v>553</v>
      </c>
      <c r="EK476">
        <v>1</v>
      </c>
    </row>
    <row r="477" spans="1:141" x14ac:dyDescent="0.2">
      <c r="A477" t="str">
        <f>HYPERLINK("http://exon.niaid.nih.gov/transcriptome/C_felis/S1/links/cf/cf-contig_555.txt","cf-contig_555")</f>
        <v>cf-contig_555</v>
      </c>
      <c r="B477">
        <v>1</v>
      </c>
      <c r="C477" s="10" t="s">
        <v>4600</v>
      </c>
      <c r="D477">
        <v>1</v>
      </c>
      <c r="E477" t="str">
        <f>HYPERLINK("http://exon.niaid.nih.gov/transcriptome/C_felis/S1/links/cf/cf-5-36-asb-555.txt","Contig-555")</f>
        <v>Contig-555</v>
      </c>
      <c r="F477" t="str">
        <f>HYPERLINK("http://exon.niaid.nih.gov/transcriptome/C_felis/S1/links/cf/cf-5-36-555-CLU.txt","Contig555")</f>
        <v>Contig555</v>
      </c>
      <c r="G477" t="str">
        <f>HYPERLINK("http://exon.niaid.nih.gov/transcriptome/C_felis/S1/links/cf/cf-5-36-555-qual.txt","62.2")</f>
        <v>62.2</v>
      </c>
      <c r="H477" t="s">
        <v>11</v>
      </c>
      <c r="I477">
        <v>73.5</v>
      </c>
      <c r="J477">
        <v>117</v>
      </c>
      <c r="K477" t="s">
        <v>12</v>
      </c>
      <c r="L477">
        <v>1</v>
      </c>
      <c r="M477" t="s">
        <v>568</v>
      </c>
      <c r="N477">
        <v>117</v>
      </c>
      <c r="O477">
        <v>136</v>
      </c>
      <c r="P477">
        <v>81</v>
      </c>
      <c r="Q477" t="s">
        <v>1374</v>
      </c>
      <c r="R477">
        <v>1</v>
      </c>
      <c r="S477" s="7" t="s">
        <v>4585</v>
      </c>
      <c r="U477">
        <v>1</v>
      </c>
      <c r="V477" s="4">
        <v>452</v>
      </c>
      <c r="W477">
        <v>1</v>
      </c>
      <c r="X477" s="4">
        <v>462</v>
      </c>
      <c r="Y477">
        <v>1</v>
      </c>
      <c r="Z477" s="4">
        <v>469</v>
      </c>
      <c r="AA477">
        <v>1</v>
      </c>
      <c r="AB477" s="4" t="str">
        <f>HYPERLINK("http://exon.niaid.nih.gov/transcriptome/C_felis/S1/links/XC-ASB/cf-contig_555-XC-ASB.txt","XC-contig_46")</f>
        <v>XC-contig_46</v>
      </c>
      <c r="AC477">
        <v>1</v>
      </c>
      <c r="AD477" s="10" t="s">
        <v>4600</v>
      </c>
      <c r="AE477" t="s">
        <v>4601</v>
      </c>
      <c r="AI477" s="4" t="s">
        <v>42</v>
      </c>
      <c r="AJ477" t="s">
        <v>42</v>
      </c>
      <c r="AK477" t="s">
        <v>42</v>
      </c>
      <c r="AL477" t="s">
        <v>42</v>
      </c>
      <c r="AM477" t="s">
        <v>42</v>
      </c>
      <c r="AN477" t="s">
        <v>42</v>
      </c>
      <c r="AO477" t="s">
        <v>42</v>
      </c>
      <c r="AP477" t="s">
        <v>42</v>
      </c>
      <c r="AQ477" t="s">
        <v>42</v>
      </c>
      <c r="AR477" t="s">
        <v>42</v>
      </c>
      <c r="AS477" t="s">
        <v>42</v>
      </c>
      <c r="AT477" t="s">
        <v>42</v>
      </c>
      <c r="AU477" t="s">
        <v>42</v>
      </c>
      <c r="AV477" t="s">
        <v>42</v>
      </c>
      <c r="AW477" t="s">
        <v>42</v>
      </c>
      <c r="AX477" t="s">
        <v>42</v>
      </c>
      <c r="AY477" t="s">
        <v>42</v>
      </c>
      <c r="AZ477" t="s">
        <v>42</v>
      </c>
      <c r="BA477" s="4" t="str">
        <f>HYPERLINK("http://exon.niaid.nih.gov/transcriptome/C_felis/S1/links/SWISSP/cf-contig_555-SWISSP.txt","Uncharacterized protein R809")</f>
        <v>Uncharacterized protein R809</v>
      </c>
      <c r="BB477" t="str">
        <f>HYPERLINK("http://www.uniprot.org/uniprot/Q5UQI2","89")</f>
        <v>89</v>
      </c>
      <c r="BC477" t="s">
        <v>3690</v>
      </c>
      <c r="BD477">
        <v>25.8</v>
      </c>
      <c r="BE477">
        <v>33</v>
      </c>
      <c r="BF477">
        <v>229</v>
      </c>
      <c r="BG477">
        <v>41</v>
      </c>
      <c r="BH477">
        <v>15</v>
      </c>
      <c r="BI477">
        <v>20</v>
      </c>
      <c r="BJ477">
        <v>1</v>
      </c>
      <c r="BK477">
        <v>105</v>
      </c>
      <c r="BL477">
        <v>15</v>
      </c>
      <c r="BM477">
        <v>1</v>
      </c>
      <c r="BN477">
        <v>-3</v>
      </c>
      <c r="BO477" t="s">
        <v>12</v>
      </c>
      <c r="BP477">
        <v>6.0609999999999999</v>
      </c>
      <c r="BQ477" t="s">
        <v>1666</v>
      </c>
      <c r="BR477" t="s">
        <v>3086</v>
      </c>
      <c r="BS477" s="4" t="str">
        <f>HYPERLINK("http://exon.niaid.nih.gov/transcriptome/C_felis/S1/links/CDD/cf-contig_555-CDD.txt","DUF2701")</f>
        <v>DUF2701</v>
      </c>
      <c r="BT477" t="str">
        <f>HYPERLINK("http://www.ncbi.nlm.nih.gov/Structure/cdd/cddsrv.cgi?uid=pfam10857&amp;version=v4.0","1.5")</f>
        <v>1.5</v>
      </c>
      <c r="BU477" t="s">
        <v>3691</v>
      </c>
      <c r="BV477" s="4" t="s">
        <v>42</v>
      </c>
      <c r="BW477" t="s">
        <v>42</v>
      </c>
      <c r="BX477" t="s">
        <v>42</v>
      </c>
      <c r="BY477" t="s">
        <v>42</v>
      </c>
      <c r="BZ477" t="s">
        <v>42</v>
      </c>
      <c r="CA477" t="s">
        <v>42</v>
      </c>
      <c r="CB477" t="s">
        <v>42</v>
      </c>
      <c r="CC477" t="s">
        <v>42</v>
      </c>
      <c r="CD477" t="s">
        <v>42</v>
      </c>
      <c r="CE477" t="s">
        <v>42</v>
      </c>
      <c r="CF477" t="s">
        <v>42</v>
      </c>
      <c r="CG477" t="s">
        <v>42</v>
      </c>
      <c r="CH477" t="s">
        <v>42</v>
      </c>
      <c r="CI477" t="s">
        <v>42</v>
      </c>
      <c r="CJ477" t="s">
        <v>42</v>
      </c>
      <c r="CK477" t="s">
        <v>42</v>
      </c>
      <c r="CL477" t="s">
        <v>42</v>
      </c>
      <c r="CM477" t="s">
        <v>42</v>
      </c>
      <c r="CN477" t="s">
        <v>42</v>
      </c>
      <c r="CO477" t="s">
        <v>42</v>
      </c>
      <c r="CP477" t="s">
        <v>42</v>
      </c>
      <c r="CQ477" t="s">
        <v>42</v>
      </c>
      <c r="CR477" t="s">
        <v>42</v>
      </c>
      <c r="CS477" s="4" t="str">
        <f>HYPERLINK("http://exon.niaid.nih.gov/transcriptome/C_felis/S1/links/KOG/cf-contig_555-KOG.txt","Lysophospholipase")</f>
        <v>Lysophospholipase</v>
      </c>
      <c r="CT477" t="str">
        <f>HYPERLINK("http://www.ncbi.nlm.nih.gov/COG/grace/shokog.cgi?KOG1455","9.8")</f>
        <v>9.8</v>
      </c>
      <c r="CU477" t="s">
        <v>1761</v>
      </c>
      <c r="CV477" s="4" t="str">
        <f>HYPERLINK("http://exon.niaid.nih.gov/transcriptome/C_felis/S1/links/PFAM/cf-contig_555-PFAM.txt","DUF2701")</f>
        <v>DUF2701</v>
      </c>
      <c r="CW477" t="str">
        <f>HYPERLINK("http://pfam.sanger.ac.uk/family?acc=PF10857","0.33")</f>
        <v>0.33</v>
      </c>
      <c r="CX477" s="4" t="str">
        <f>HYPERLINK("http://exon.niaid.nih.gov/transcriptome/C_felis/S1/links/SMART/cf-contig_555-SMART.txt","Malic_M")</f>
        <v>Malic_M</v>
      </c>
      <c r="CY477" t="str">
        <f>HYPERLINK("http://smart.embl-heidelberg.de/smart/do_annotation.pl?DOMAIN=Malic_M&amp;BLAST=DUMMY","0.49")</f>
        <v>0.49</v>
      </c>
      <c r="CZ477" s="4" t="s">
        <v>42</v>
      </c>
      <c r="DA477" t="s">
        <v>42</v>
      </c>
      <c r="DB477" t="s">
        <v>42</v>
      </c>
      <c r="DC477" t="s">
        <v>42</v>
      </c>
      <c r="DD477" t="s">
        <v>42</v>
      </c>
      <c r="DE477" t="s">
        <v>42</v>
      </c>
      <c r="DF477" t="s">
        <v>42</v>
      </c>
      <c r="DG477" t="s">
        <v>42</v>
      </c>
      <c r="DH477" s="4" t="s">
        <v>42</v>
      </c>
      <c r="DI477" t="s">
        <v>42</v>
      </c>
      <c r="DJ477" s="4" t="s">
        <v>42</v>
      </c>
      <c r="DK477" t="s">
        <v>42</v>
      </c>
      <c r="DL477" s="4">
        <v>452</v>
      </c>
      <c r="DM477">
        <v>1</v>
      </c>
      <c r="DN477" s="4">
        <v>462</v>
      </c>
      <c r="DO477">
        <v>1</v>
      </c>
      <c r="DP477" s="4">
        <v>469</v>
      </c>
      <c r="DQ477">
        <v>1</v>
      </c>
      <c r="DR477" s="4">
        <v>485</v>
      </c>
      <c r="DS477">
        <v>1</v>
      </c>
      <c r="DT477" s="4">
        <v>497</v>
      </c>
      <c r="DU477">
        <v>1</v>
      </c>
      <c r="DV477" s="4">
        <v>511</v>
      </c>
      <c r="DW477">
        <v>1</v>
      </c>
      <c r="DX477" s="4">
        <v>519</v>
      </c>
      <c r="DY477">
        <v>1</v>
      </c>
      <c r="DZ477" s="4">
        <v>527</v>
      </c>
      <c r="EA477">
        <v>1</v>
      </c>
      <c r="EB477" s="4">
        <v>532</v>
      </c>
      <c r="EC477">
        <v>1</v>
      </c>
      <c r="ED477" s="4">
        <v>536</v>
      </c>
      <c r="EE477">
        <v>1</v>
      </c>
      <c r="EF477" s="4">
        <v>541</v>
      </c>
      <c r="EG477">
        <v>1</v>
      </c>
      <c r="EH477" s="4">
        <v>548</v>
      </c>
      <c r="EI477">
        <v>1</v>
      </c>
      <c r="EJ477" s="4">
        <v>555</v>
      </c>
      <c r="EK477">
        <v>1</v>
      </c>
    </row>
    <row r="478" spans="1:141" x14ac:dyDescent="0.2">
      <c r="A478" t="str">
        <f>HYPERLINK("http://exon.niaid.nih.gov/transcriptome/C_felis/S1/links/cf/cf-contig_559.txt","cf-contig_559")</f>
        <v>cf-contig_559</v>
      </c>
      <c r="B478">
        <v>1</v>
      </c>
      <c r="C478" s="10" t="s">
        <v>4600</v>
      </c>
      <c r="D478">
        <v>1</v>
      </c>
      <c r="E478" t="str">
        <f>HYPERLINK("http://exon.niaid.nih.gov/transcriptome/C_felis/S1/links/cf/cf-5-36-asb-559.txt","Contig-559")</f>
        <v>Contig-559</v>
      </c>
      <c r="F478" t="str">
        <f>HYPERLINK("http://exon.niaid.nih.gov/transcriptome/C_felis/S1/links/cf/cf-5-36-559-CLU.txt","Contig559")</f>
        <v>Contig559</v>
      </c>
      <c r="G478" t="str">
        <f>HYPERLINK("http://exon.niaid.nih.gov/transcriptome/C_felis/S1/links/cf/cf-5-36-559-qual.txt","47.3")</f>
        <v>47.3</v>
      </c>
      <c r="H478" t="s">
        <v>11</v>
      </c>
      <c r="I478">
        <v>82.5</v>
      </c>
      <c r="J478">
        <v>38</v>
      </c>
      <c r="K478" t="s">
        <v>12</v>
      </c>
      <c r="L478">
        <v>1</v>
      </c>
      <c r="M478" t="s">
        <v>572</v>
      </c>
      <c r="N478">
        <v>38</v>
      </c>
      <c r="O478">
        <v>57</v>
      </c>
      <c r="P478">
        <v>39</v>
      </c>
      <c r="Q478" t="s">
        <v>1378</v>
      </c>
      <c r="R478">
        <v>3</v>
      </c>
      <c r="S478" s="7" t="s">
        <v>4585</v>
      </c>
      <c r="U478">
        <v>1</v>
      </c>
      <c r="V478" s="4">
        <v>456</v>
      </c>
      <c r="W478">
        <v>1</v>
      </c>
      <c r="X478" s="4">
        <v>466</v>
      </c>
      <c r="Y478">
        <v>1</v>
      </c>
      <c r="Z478" s="4">
        <v>473</v>
      </c>
      <c r="AA478">
        <v>1</v>
      </c>
      <c r="AB478" s="4" t="str">
        <f>HYPERLINK("http://exon.niaid.nih.gov/transcriptome/C_felis/S1/links/XC-ASB/cf-contig_559-XC-ASB.txt","XC-contig_108")</f>
        <v>XC-contig_108</v>
      </c>
      <c r="AC478">
        <v>4</v>
      </c>
      <c r="AD478" s="10" t="s">
        <v>4600</v>
      </c>
      <c r="AE478" t="s">
        <v>4601</v>
      </c>
      <c r="AI478" s="4" t="s">
        <v>42</v>
      </c>
      <c r="AJ478" t="s">
        <v>42</v>
      </c>
      <c r="AK478" t="s">
        <v>42</v>
      </c>
      <c r="AL478" t="s">
        <v>42</v>
      </c>
      <c r="AM478" t="s">
        <v>42</v>
      </c>
      <c r="AN478" t="s">
        <v>42</v>
      </c>
      <c r="AO478" t="s">
        <v>42</v>
      </c>
      <c r="AP478" t="s">
        <v>42</v>
      </c>
      <c r="AQ478" t="s">
        <v>42</v>
      </c>
      <c r="AR478" t="s">
        <v>42</v>
      </c>
      <c r="AS478" t="s">
        <v>42</v>
      </c>
      <c r="AT478" t="s">
        <v>42</v>
      </c>
      <c r="AU478" t="s">
        <v>42</v>
      </c>
      <c r="AV478" t="s">
        <v>42</v>
      </c>
      <c r="AW478" t="s">
        <v>42</v>
      </c>
      <c r="AX478" t="s">
        <v>42</v>
      </c>
      <c r="AY478" t="s">
        <v>42</v>
      </c>
      <c r="AZ478" t="s">
        <v>42</v>
      </c>
      <c r="BA478" s="4" t="s">
        <v>42</v>
      </c>
      <c r="BB478" t="s">
        <v>42</v>
      </c>
      <c r="BC478" t="s">
        <v>42</v>
      </c>
      <c r="BD478" t="s">
        <v>42</v>
      </c>
      <c r="BE478" t="s">
        <v>42</v>
      </c>
      <c r="BF478" t="s">
        <v>42</v>
      </c>
      <c r="BG478" t="s">
        <v>42</v>
      </c>
      <c r="BH478" t="s">
        <v>42</v>
      </c>
      <c r="BI478" t="s">
        <v>42</v>
      </c>
      <c r="BJ478" t="s">
        <v>42</v>
      </c>
      <c r="BK478" t="s">
        <v>42</v>
      </c>
      <c r="BL478" t="s">
        <v>42</v>
      </c>
      <c r="BM478" t="s">
        <v>42</v>
      </c>
      <c r="BN478" t="s">
        <v>42</v>
      </c>
      <c r="BO478" t="s">
        <v>42</v>
      </c>
      <c r="BP478" t="s">
        <v>42</v>
      </c>
      <c r="BQ478" t="s">
        <v>42</v>
      </c>
      <c r="BR478" t="s">
        <v>42</v>
      </c>
      <c r="BS478" s="4" t="s">
        <v>42</v>
      </c>
      <c r="BT478" t="s">
        <v>42</v>
      </c>
      <c r="BU478" t="s">
        <v>42</v>
      </c>
      <c r="BV478" s="4" t="s">
        <v>42</v>
      </c>
      <c r="BW478" t="s">
        <v>42</v>
      </c>
      <c r="BX478" t="s">
        <v>42</v>
      </c>
      <c r="BY478" t="s">
        <v>42</v>
      </c>
      <c r="BZ478" t="s">
        <v>42</v>
      </c>
      <c r="CA478" t="s">
        <v>42</v>
      </c>
      <c r="CB478" t="s">
        <v>42</v>
      </c>
      <c r="CC478" t="s">
        <v>42</v>
      </c>
      <c r="CD478" t="s">
        <v>42</v>
      </c>
      <c r="CE478" t="s">
        <v>42</v>
      </c>
      <c r="CF478" t="s">
        <v>42</v>
      </c>
      <c r="CG478" t="s">
        <v>42</v>
      </c>
      <c r="CH478" t="s">
        <v>42</v>
      </c>
      <c r="CI478" t="s">
        <v>42</v>
      </c>
      <c r="CJ478" t="s">
        <v>42</v>
      </c>
      <c r="CK478" t="s">
        <v>42</v>
      </c>
      <c r="CL478" t="s">
        <v>42</v>
      </c>
      <c r="CM478" t="s">
        <v>42</v>
      </c>
      <c r="CN478" t="s">
        <v>42</v>
      </c>
      <c r="CO478" t="s">
        <v>42</v>
      </c>
      <c r="CP478" t="s">
        <v>42</v>
      </c>
      <c r="CQ478" t="s">
        <v>42</v>
      </c>
      <c r="CR478" t="s">
        <v>42</v>
      </c>
      <c r="CS478" s="4" t="s">
        <v>42</v>
      </c>
      <c r="CT478" t="s">
        <v>42</v>
      </c>
      <c r="CU478" t="s">
        <v>42</v>
      </c>
      <c r="CV478" s="4" t="str">
        <f>HYPERLINK("http://exon.niaid.nih.gov/transcriptome/C_felis/S1/links/PFAM/cf-contig_559-PFAM.txt","DUF2838")</f>
        <v>DUF2838</v>
      </c>
      <c r="CW478" t="str">
        <f>HYPERLINK("http://pfam.sanger.ac.uk/family?acc=PF10998","8.0")</f>
        <v>8.0</v>
      </c>
      <c r="CX478" s="4" t="str">
        <f>HYPERLINK("http://exon.niaid.nih.gov/transcriptome/C_felis/S1/links/SMART/cf-contig_559-SMART.txt","PSN")</f>
        <v>PSN</v>
      </c>
      <c r="CY478" t="str">
        <f>HYPERLINK("http://smart.embl-heidelberg.de/smart/do_annotation.pl?DOMAIN=PSN&amp;BLAST=DUMMY","9.2")</f>
        <v>9.2</v>
      </c>
      <c r="CZ478" s="4" t="s">
        <v>42</v>
      </c>
      <c r="DA478" t="s">
        <v>42</v>
      </c>
      <c r="DB478" t="s">
        <v>42</v>
      </c>
      <c r="DC478" t="s">
        <v>42</v>
      </c>
      <c r="DD478" t="s">
        <v>42</v>
      </c>
      <c r="DE478" t="s">
        <v>42</v>
      </c>
      <c r="DF478" t="s">
        <v>42</v>
      </c>
      <c r="DG478" t="s">
        <v>42</v>
      </c>
      <c r="DH478" s="4" t="s">
        <v>42</v>
      </c>
      <c r="DI478" t="s">
        <v>42</v>
      </c>
      <c r="DJ478" s="4" t="s">
        <v>42</v>
      </c>
      <c r="DK478" t="s">
        <v>42</v>
      </c>
      <c r="DL478" s="4">
        <v>456</v>
      </c>
      <c r="DM478">
        <v>1</v>
      </c>
      <c r="DN478" s="4">
        <v>466</v>
      </c>
      <c r="DO478">
        <v>1</v>
      </c>
      <c r="DP478" s="4">
        <v>473</v>
      </c>
      <c r="DQ478">
        <v>1</v>
      </c>
      <c r="DR478" s="4">
        <v>489</v>
      </c>
      <c r="DS478">
        <v>1</v>
      </c>
      <c r="DT478" s="4">
        <v>501</v>
      </c>
      <c r="DU478">
        <v>1</v>
      </c>
      <c r="DV478" s="4">
        <v>515</v>
      </c>
      <c r="DW478">
        <v>1</v>
      </c>
      <c r="DX478" s="4">
        <v>523</v>
      </c>
      <c r="DY478">
        <v>1</v>
      </c>
      <c r="DZ478" s="4">
        <v>531</v>
      </c>
      <c r="EA478">
        <v>1</v>
      </c>
      <c r="EB478" s="4">
        <v>536</v>
      </c>
      <c r="EC478">
        <v>1</v>
      </c>
      <c r="ED478" s="4">
        <v>540</v>
      </c>
      <c r="EE478">
        <v>1</v>
      </c>
      <c r="EF478" s="4">
        <v>545</v>
      </c>
      <c r="EG478">
        <v>1</v>
      </c>
      <c r="EH478" s="4">
        <v>552</v>
      </c>
      <c r="EI478">
        <v>1</v>
      </c>
      <c r="EJ478" s="4">
        <v>559</v>
      </c>
      <c r="EK478">
        <v>1</v>
      </c>
    </row>
    <row r="479" spans="1:141" x14ac:dyDescent="0.2">
      <c r="A479" t="str">
        <f>HYPERLINK("http://exon.niaid.nih.gov/transcriptome/C_felis/S1/links/cf/cf-contig_569.txt","cf-contig_569")</f>
        <v>cf-contig_569</v>
      </c>
      <c r="B479">
        <v>1</v>
      </c>
      <c r="C479" s="10" t="s">
        <v>4600</v>
      </c>
      <c r="D479">
        <v>1</v>
      </c>
      <c r="E479" t="str">
        <f>HYPERLINK("http://exon.niaid.nih.gov/transcriptome/C_felis/S1/links/cf/cf-5-36-asb-569.txt","Contig-569")</f>
        <v>Contig-569</v>
      </c>
      <c r="F479" t="str">
        <f>HYPERLINK("http://exon.niaid.nih.gov/transcriptome/C_felis/S1/links/cf/cf-5-36-569-CLU.txt","Contig569")</f>
        <v>Contig569</v>
      </c>
      <c r="G479" t="str">
        <f>HYPERLINK("http://exon.niaid.nih.gov/transcriptome/C_felis/S1/links/cf/cf-5-36-569-qual.txt","25.")</f>
        <v>25.</v>
      </c>
      <c r="H479">
        <v>3.4</v>
      </c>
      <c r="I479">
        <v>52.5</v>
      </c>
      <c r="J479">
        <v>40</v>
      </c>
      <c r="K479" t="s">
        <v>12</v>
      </c>
      <c r="L479">
        <v>1</v>
      </c>
      <c r="M479" t="s">
        <v>582</v>
      </c>
      <c r="N479">
        <v>40</v>
      </c>
      <c r="O479">
        <v>59</v>
      </c>
      <c r="P479">
        <v>57</v>
      </c>
      <c r="Q479" t="s">
        <v>1388</v>
      </c>
      <c r="R479">
        <v>1</v>
      </c>
      <c r="S479" s="7" t="s">
        <v>4585</v>
      </c>
      <c r="U479">
        <v>1</v>
      </c>
      <c r="V479" s="4">
        <f>HYPERLINK("http://exon.niaid.nih.gov/transcriptome/C_felis/S1/links/cluster/cf-5-36-asb30-50-Id-CLU12.txt", 12)</f>
        <v>12</v>
      </c>
      <c r="W479">
        <f>HYPERLINK("http://exon.niaid.nih.gov/transcriptome/C_felis/S1/links/cluster/cf-5-36-asb30-50-Id-CLTL12.txt", 4)</f>
        <v>4</v>
      </c>
      <c r="X479" s="4">
        <f>HYPERLINK("http://exon.niaid.nih.gov/transcriptome/C_felis/S1/links/cluster/cf-5-36-asb35-50-Id-CLU78.txt", 78)</f>
        <v>78</v>
      </c>
      <c r="Y479">
        <f>HYPERLINK("http://exon.niaid.nih.gov/transcriptome/C_felis/S1/links/cluster/cf-5-36-asb35-50-Id-CLTL78.txt", 2)</f>
        <v>2</v>
      </c>
      <c r="Z479" s="4">
        <v>481</v>
      </c>
      <c r="AA479">
        <v>1</v>
      </c>
      <c r="AB479" s="4" t="s">
        <v>42</v>
      </c>
      <c r="AD479" s="10" t="s">
        <v>4600</v>
      </c>
      <c r="AE479" t="s">
        <v>4601</v>
      </c>
      <c r="AI479" s="4" t="s">
        <v>42</v>
      </c>
      <c r="AJ479" t="s">
        <v>42</v>
      </c>
      <c r="AK479" t="s">
        <v>42</v>
      </c>
      <c r="AL479" t="s">
        <v>42</v>
      </c>
      <c r="AM479" t="s">
        <v>42</v>
      </c>
      <c r="AN479" t="s">
        <v>42</v>
      </c>
      <c r="AO479" t="s">
        <v>42</v>
      </c>
      <c r="AP479" t="s">
        <v>42</v>
      </c>
      <c r="AQ479" t="s">
        <v>42</v>
      </c>
      <c r="AR479" t="s">
        <v>42</v>
      </c>
      <c r="AS479" t="s">
        <v>42</v>
      </c>
      <c r="AT479" t="s">
        <v>42</v>
      </c>
      <c r="AU479" t="s">
        <v>42</v>
      </c>
      <c r="AV479" t="s">
        <v>42</v>
      </c>
      <c r="AW479" t="s">
        <v>42</v>
      </c>
      <c r="AX479" t="s">
        <v>42</v>
      </c>
      <c r="AY479" t="s">
        <v>42</v>
      </c>
      <c r="AZ479" t="s">
        <v>42</v>
      </c>
      <c r="BA479" s="4" t="s">
        <v>42</v>
      </c>
      <c r="BB479" t="s">
        <v>42</v>
      </c>
      <c r="BC479" t="s">
        <v>42</v>
      </c>
      <c r="BD479" t="s">
        <v>42</v>
      </c>
      <c r="BE479" t="s">
        <v>42</v>
      </c>
      <c r="BF479" t="s">
        <v>42</v>
      </c>
      <c r="BG479" t="s">
        <v>42</v>
      </c>
      <c r="BH479" t="s">
        <v>42</v>
      </c>
      <c r="BI479" t="s">
        <v>42</v>
      </c>
      <c r="BJ479" t="s">
        <v>42</v>
      </c>
      <c r="BK479" t="s">
        <v>42</v>
      </c>
      <c r="BL479" t="s">
        <v>42</v>
      </c>
      <c r="BM479" t="s">
        <v>42</v>
      </c>
      <c r="BN479" t="s">
        <v>42</v>
      </c>
      <c r="BO479" t="s">
        <v>42</v>
      </c>
      <c r="BP479" t="s">
        <v>42</v>
      </c>
      <c r="BQ479" t="s">
        <v>42</v>
      </c>
      <c r="BR479" t="s">
        <v>42</v>
      </c>
      <c r="BS479" s="4" t="str">
        <f>HYPERLINK("http://exon.niaid.nih.gov/transcriptome/C_felis/S1/links/CDD/cf-contig_569-CDD.txt","PRK05174")</f>
        <v>PRK05174</v>
      </c>
      <c r="BT479" t="str">
        <f>HYPERLINK("http://www.ncbi.nlm.nih.gov/Structure/cdd/cddsrv.cgi?uid=PRK05174&amp;version=v4.0","8.4")</f>
        <v>8.4</v>
      </c>
      <c r="BU479" t="s">
        <v>3737</v>
      </c>
      <c r="BV479" s="4" t="s">
        <v>42</v>
      </c>
      <c r="BW479" t="s">
        <v>42</v>
      </c>
      <c r="BX479" t="s">
        <v>42</v>
      </c>
      <c r="BY479" t="s">
        <v>42</v>
      </c>
      <c r="BZ479" t="s">
        <v>42</v>
      </c>
      <c r="CA479" t="s">
        <v>42</v>
      </c>
      <c r="CB479" t="s">
        <v>42</v>
      </c>
      <c r="CC479" t="s">
        <v>42</v>
      </c>
      <c r="CD479" t="s">
        <v>42</v>
      </c>
      <c r="CE479" t="s">
        <v>42</v>
      </c>
      <c r="CF479" t="s">
        <v>42</v>
      </c>
      <c r="CG479" t="s">
        <v>42</v>
      </c>
      <c r="CH479" t="s">
        <v>42</v>
      </c>
      <c r="CI479" t="s">
        <v>42</v>
      </c>
      <c r="CJ479" t="s">
        <v>42</v>
      </c>
      <c r="CK479" t="s">
        <v>42</v>
      </c>
      <c r="CL479" t="s">
        <v>42</v>
      </c>
      <c r="CM479" t="s">
        <v>42</v>
      </c>
      <c r="CN479" t="s">
        <v>42</v>
      </c>
      <c r="CO479" t="s">
        <v>42</v>
      </c>
      <c r="CP479" t="s">
        <v>42</v>
      </c>
      <c r="CQ479" t="s">
        <v>42</v>
      </c>
      <c r="CR479" t="s">
        <v>42</v>
      </c>
      <c r="CS479" s="4" t="s">
        <v>42</v>
      </c>
      <c r="CT479" t="s">
        <v>42</v>
      </c>
      <c r="CU479" t="s">
        <v>42</v>
      </c>
      <c r="CV479" s="4" t="s">
        <v>42</v>
      </c>
      <c r="CW479" t="s">
        <v>42</v>
      </c>
      <c r="CX479" s="4" t="str">
        <f>HYPERLINK("http://exon.niaid.nih.gov/transcriptome/C_felis/S1/links/SMART/cf-contig_569-SMART.txt","AHS1")</f>
        <v>AHS1</v>
      </c>
      <c r="CY479" t="str">
        <f>HYPERLINK("http://smart.embl-heidelberg.de/smart/do_annotation.pl?DOMAIN=AHS1&amp;BLAST=DUMMY","1.1")</f>
        <v>1.1</v>
      </c>
      <c r="CZ479" s="4" t="s">
        <v>42</v>
      </c>
      <c r="DA479" t="s">
        <v>42</v>
      </c>
      <c r="DB479" t="s">
        <v>42</v>
      </c>
      <c r="DC479" t="s">
        <v>42</v>
      </c>
      <c r="DD479" t="s">
        <v>42</v>
      </c>
      <c r="DE479" t="s">
        <v>42</v>
      </c>
      <c r="DF479" t="s">
        <v>42</v>
      </c>
      <c r="DG479" t="s">
        <v>42</v>
      </c>
      <c r="DH479" s="4" t="s">
        <v>42</v>
      </c>
      <c r="DI479" t="s">
        <v>42</v>
      </c>
      <c r="DJ479" s="4" t="s">
        <v>42</v>
      </c>
      <c r="DK479" t="s">
        <v>42</v>
      </c>
      <c r="DL479" s="4">
        <f>HYPERLINK("http://exon.niaid.nih.gov/transcriptome/C_felis/S1/links/cluster/cf-5-36-asb30-50-Id-CLU12.txt", 12)</f>
        <v>12</v>
      </c>
      <c r="DM479">
        <f>HYPERLINK("http://exon.niaid.nih.gov/transcriptome/C_felis/S1/links/cluster/cf-5-36-asb30-50-Id-CLTL12.txt", 4)</f>
        <v>4</v>
      </c>
      <c r="DN479" s="4">
        <f>HYPERLINK("http://exon.niaid.nih.gov/transcriptome/C_felis/S1/links/cluster/cf-5-36-asb35-50-Id-CLU78.txt", 78)</f>
        <v>78</v>
      </c>
      <c r="DO479">
        <f>HYPERLINK("http://exon.niaid.nih.gov/transcriptome/C_felis/S1/links/cluster/cf-5-36-asb35-50-Id-CLTL78.txt", 2)</f>
        <v>2</v>
      </c>
      <c r="DP479" s="4">
        <v>481</v>
      </c>
      <c r="DQ479">
        <v>1</v>
      </c>
      <c r="DR479" s="4">
        <v>499</v>
      </c>
      <c r="DS479">
        <v>1</v>
      </c>
      <c r="DT479" s="4">
        <v>511</v>
      </c>
      <c r="DU479">
        <v>1</v>
      </c>
      <c r="DV479" s="4">
        <v>525</v>
      </c>
      <c r="DW479">
        <v>1</v>
      </c>
      <c r="DX479" s="4">
        <v>533</v>
      </c>
      <c r="DY479">
        <v>1</v>
      </c>
      <c r="DZ479" s="4">
        <v>541</v>
      </c>
      <c r="EA479">
        <v>1</v>
      </c>
      <c r="EB479" s="4">
        <v>546</v>
      </c>
      <c r="EC479">
        <v>1</v>
      </c>
      <c r="ED479" s="4">
        <v>550</v>
      </c>
      <c r="EE479">
        <v>1</v>
      </c>
      <c r="EF479" s="4">
        <v>555</v>
      </c>
      <c r="EG479">
        <v>1</v>
      </c>
      <c r="EH479" s="4">
        <v>562</v>
      </c>
      <c r="EI479">
        <v>1</v>
      </c>
      <c r="EJ479" s="4">
        <v>569</v>
      </c>
      <c r="EK479">
        <v>1</v>
      </c>
    </row>
    <row r="480" spans="1:141" x14ac:dyDescent="0.2">
      <c r="A480" t="str">
        <f>HYPERLINK("http://exon.niaid.nih.gov/transcriptome/C_felis/S1/links/cf/cf-contig_573.txt","cf-contig_573")</f>
        <v>cf-contig_573</v>
      </c>
      <c r="B480">
        <v>1</v>
      </c>
      <c r="C480" s="10" t="s">
        <v>4600</v>
      </c>
      <c r="D480">
        <v>1</v>
      </c>
      <c r="E480" t="str">
        <f>HYPERLINK("http://exon.niaid.nih.gov/transcriptome/C_felis/S1/links/cf/cf-5-36-asb-573.txt","Contig-573")</f>
        <v>Contig-573</v>
      </c>
      <c r="F480" t="str">
        <f>HYPERLINK("http://exon.niaid.nih.gov/transcriptome/C_felis/S1/links/cf/cf-5-36-573-CLU.txt","Contig573")</f>
        <v>Contig573</v>
      </c>
      <c r="G480" t="str">
        <f>HYPERLINK("http://exon.niaid.nih.gov/transcriptome/C_felis/S1/links/cf/cf-5-36-573-qual.txt","34.7")</f>
        <v>34.7</v>
      </c>
      <c r="H480" t="s">
        <v>11</v>
      </c>
      <c r="I480">
        <v>67.2</v>
      </c>
      <c r="J480">
        <v>97</v>
      </c>
      <c r="K480" t="s">
        <v>12</v>
      </c>
      <c r="L480">
        <v>1</v>
      </c>
      <c r="M480" t="s">
        <v>586</v>
      </c>
      <c r="N480">
        <v>97</v>
      </c>
      <c r="O480">
        <v>116</v>
      </c>
      <c r="P480">
        <v>63</v>
      </c>
      <c r="Q480" t="s">
        <v>1392</v>
      </c>
      <c r="R480">
        <v>2</v>
      </c>
      <c r="S480" s="7" t="s">
        <v>4585</v>
      </c>
      <c r="U480">
        <v>1</v>
      </c>
      <c r="V480" s="4">
        <f>HYPERLINK("http://exon.niaid.nih.gov/transcriptome/C_felis/S1/links/cluster/cf-5-36-asb30-50-Id-CLU83.txt", 83)</f>
        <v>83</v>
      </c>
      <c r="W480">
        <f>HYPERLINK("http://exon.niaid.nih.gov/transcriptome/C_felis/S1/links/cluster/cf-5-36-asb30-50-Id-CLTL83.txt", 2)</f>
        <v>2</v>
      </c>
      <c r="X480" s="4">
        <f>HYPERLINK("http://exon.niaid.nih.gov/transcriptome/C_felis/S1/links/cluster/cf-5-36-asb35-50-Id-CLU75.txt", 75)</f>
        <v>75</v>
      </c>
      <c r="Y480">
        <f>HYPERLINK("http://exon.niaid.nih.gov/transcriptome/C_felis/S1/links/cluster/cf-5-36-asb35-50-Id-CLTL75.txt", 2)</f>
        <v>2</v>
      </c>
      <c r="Z480" s="4">
        <v>485</v>
      </c>
      <c r="AA480">
        <v>1</v>
      </c>
      <c r="AB480" s="4" t="str">
        <f>HYPERLINK("http://exon.niaid.nih.gov/transcriptome/C_felis/S1/links/XC-ASB/cf-contig_573-XC-ASB.txt","XC-contig_212")</f>
        <v>XC-contig_212</v>
      </c>
      <c r="AC480">
        <v>0.2</v>
      </c>
      <c r="AD480" s="10" t="s">
        <v>4600</v>
      </c>
      <c r="AE480" t="s">
        <v>4601</v>
      </c>
      <c r="AI480" s="4" t="s">
        <v>42</v>
      </c>
      <c r="AJ480" t="s">
        <v>42</v>
      </c>
      <c r="AK480" t="s">
        <v>42</v>
      </c>
      <c r="AL480" t="s">
        <v>42</v>
      </c>
      <c r="AM480" t="s">
        <v>42</v>
      </c>
      <c r="AN480" t="s">
        <v>42</v>
      </c>
      <c r="AO480" t="s">
        <v>42</v>
      </c>
      <c r="AP480" t="s">
        <v>42</v>
      </c>
      <c r="AQ480" t="s">
        <v>42</v>
      </c>
      <c r="AR480" t="s">
        <v>42</v>
      </c>
      <c r="AS480" t="s">
        <v>42</v>
      </c>
      <c r="AT480" t="s">
        <v>42</v>
      </c>
      <c r="AU480" t="s">
        <v>42</v>
      </c>
      <c r="AV480" t="s">
        <v>42</v>
      </c>
      <c r="AW480" t="s">
        <v>42</v>
      </c>
      <c r="AX480" t="s">
        <v>42</v>
      </c>
      <c r="AY480" t="s">
        <v>42</v>
      </c>
      <c r="AZ480" t="s">
        <v>42</v>
      </c>
      <c r="BA480" s="4" t="s">
        <v>42</v>
      </c>
      <c r="BB480" t="s">
        <v>42</v>
      </c>
      <c r="BC480" t="s">
        <v>42</v>
      </c>
      <c r="BD480" t="s">
        <v>42</v>
      </c>
      <c r="BE480" t="s">
        <v>42</v>
      </c>
      <c r="BF480" t="s">
        <v>42</v>
      </c>
      <c r="BG480" t="s">
        <v>42</v>
      </c>
      <c r="BH480" t="s">
        <v>42</v>
      </c>
      <c r="BI480" t="s">
        <v>42</v>
      </c>
      <c r="BJ480" t="s">
        <v>42</v>
      </c>
      <c r="BK480" t="s">
        <v>42</v>
      </c>
      <c r="BL480" t="s">
        <v>42</v>
      </c>
      <c r="BM480" t="s">
        <v>42</v>
      </c>
      <c r="BN480" t="s">
        <v>42</v>
      </c>
      <c r="BO480" t="s">
        <v>42</v>
      </c>
      <c r="BP480" t="s">
        <v>42</v>
      </c>
      <c r="BQ480" t="s">
        <v>42</v>
      </c>
      <c r="BR480" t="s">
        <v>42</v>
      </c>
      <c r="BS480" s="4" t="str">
        <f>HYPERLINK("http://exon.niaid.nih.gov/transcriptome/C_felis/S1/links/CDD/cf-contig_573-CDD.txt","EutA")</f>
        <v>EutA</v>
      </c>
      <c r="BT480" t="str">
        <f>HYPERLINK("http://www.ncbi.nlm.nih.gov/Structure/cdd/cddsrv.cgi?uid=pfam06277&amp;version=v4.0","0.37")</f>
        <v>0.37</v>
      </c>
      <c r="BU480" t="s">
        <v>3756</v>
      </c>
      <c r="BV480" s="4" t="s">
        <v>42</v>
      </c>
      <c r="BW480" t="s">
        <v>42</v>
      </c>
      <c r="BX480" t="s">
        <v>42</v>
      </c>
      <c r="BY480" t="s">
        <v>42</v>
      </c>
      <c r="BZ480" t="s">
        <v>42</v>
      </c>
      <c r="CA480" t="s">
        <v>42</v>
      </c>
      <c r="CB480" t="s">
        <v>42</v>
      </c>
      <c r="CC480" t="s">
        <v>42</v>
      </c>
      <c r="CD480" t="s">
        <v>42</v>
      </c>
      <c r="CE480" t="s">
        <v>42</v>
      </c>
      <c r="CF480" t="s">
        <v>42</v>
      </c>
      <c r="CG480" t="s">
        <v>42</v>
      </c>
      <c r="CH480" t="s">
        <v>42</v>
      </c>
      <c r="CI480" t="s">
        <v>42</v>
      </c>
      <c r="CJ480" t="s">
        <v>42</v>
      </c>
      <c r="CK480" t="s">
        <v>42</v>
      </c>
      <c r="CL480" t="s">
        <v>42</v>
      </c>
      <c r="CM480" t="s">
        <v>42</v>
      </c>
      <c r="CN480" t="s">
        <v>42</v>
      </c>
      <c r="CO480" t="s">
        <v>42</v>
      </c>
      <c r="CP480" t="s">
        <v>42</v>
      </c>
      <c r="CQ480" t="s">
        <v>42</v>
      </c>
      <c r="CR480" t="s">
        <v>42</v>
      </c>
      <c r="CS480" s="4" t="str">
        <f>HYPERLINK("http://exon.niaid.nih.gov/transcriptome/C_felis/S1/links/KOG/cf-contig_573-KOG.txt","Predicted membrane protein")</f>
        <v>Predicted membrane protein</v>
      </c>
      <c r="CT480" t="str">
        <f>HYPERLINK("http://www.ncbi.nlm.nih.gov/COG/grace/shokog.cgi?KOG4753","0.38")</f>
        <v>0.38</v>
      </c>
      <c r="CU480" t="s">
        <v>1711</v>
      </c>
      <c r="CV480" s="4" t="str">
        <f>HYPERLINK("http://exon.niaid.nih.gov/transcriptome/C_felis/S1/links/PFAM/cf-contig_573-PFAM.txt","EutA")</f>
        <v>EutA</v>
      </c>
      <c r="CW480" t="str">
        <f>HYPERLINK("http://pfam.sanger.ac.uk/family?acc=PF06277","0.079")</f>
        <v>0.079</v>
      </c>
      <c r="CX480" s="4" t="str">
        <f>HYPERLINK("http://exon.niaid.nih.gov/transcriptome/C_felis/S1/links/SMART/cf-contig_573-SMART.txt","PAH")</f>
        <v>PAH</v>
      </c>
      <c r="CY480" t="str">
        <f>HYPERLINK("http://smart.embl-heidelberg.de/smart/do_annotation.pl?DOMAIN=PAH&amp;BLAST=DUMMY","0.52")</f>
        <v>0.52</v>
      </c>
      <c r="CZ480" s="4" t="s">
        <v>42</v>
      </c>
      <c r="DA480" t="s">
        <v>42</v>
      </c>
      <c r="DB480" t="s">
        <v>42</v>
      </c>
      <c r="DC480" t="s">
        <v>42</v>
      </c>
      <c r="DD480" t="s">
        <v>42</v>
      </c>
      <c r="DE480" t="s">
        <v>42</v>
      </c>
      <c r="DF480" t="s">
        <v>42</v>
      </c>
      <c r="DG480" t="s">
        <v>42</v>
      </c>
      <c r="DH480" s="4" t="s">
        <v>42</v>
      </c>
      <c r="DI480" t="s">
        <v>42</v>
      </c>
      <c r="DJ480" s="4" t="s">
        <v>42</v>
      </c>
      <c r="DK480" t="s">
        <v>42</v>
      </c>
      <c r="DL480" s="4">
        <f>HYPERLINK("http://exon.niaid.nih.gov/transcriptome/C_felis/S1/links/cluster/cf-5-36-asb30-50-Id-CLU83.txt", 83)</f>
        <v>83</v>
      </c>
      <c r="DM480">
        <f>HYPERLINK("http://exon.niaid.nih.gov/transcriptome/C_felis/S1/links/cluster/cf-5-36-asb30-50-Id-CLTL83.txt", 2)</f>
        <v>2</v>
      </c>
      <c r="DN480" s="4">
        <f>HYPERLINK("http://exon.niaid.nih.gov/transcriptome/C_felis/S1/links/cluster/cf-5-36-asb35-50-Id-CLU75.txt", 75)</f>
        <v>75</v>
      </c>
      <c r="DO480">
        <f>HYPERLINK("http://exon.niaid.nih.gov/transcriptome/C_felis/S1/links/cluster/cf-5-36-asb35-50-Id-CLTL75.txt", 2)</f>
        <v>2</v>
      </c>
      <c r="DP480" s="4">
        <v>485</v>
      </c>
      <c r="DQ480">
        <v>1</v>
      </c>
      <c r="DR480" s="4">
        <v>503</v>
      </c>
      <c r="DS480">
        <v>1</v>
      </c>
      <c r="DT480" s="4">
        <v>515</v>
      </c>
      <c r="DU480">
        <v>1</v>
      </c>
      <c r="DV480" s="4">
        <v>529</v>
      </c>
      <c r="DW480">
        <v>1</v>
      </c>
      <c r="DX480" s="4">
        <v>537</v>
      </c>
      <c r="DY480">
        <v>1</v>
      </c>
      <c r="DZ480" s="4">
        <v>545</v>
      </c>
      <c r="EA480">
        <v>1</v>
      </c>
      <c r="EB480" s="4">
        <v>550</v>
      </c>
      <c r="EC480">
        <v>1</v>
      </c>
      <c r="ED480" s="4">
        <v>554</v>
      </c>
      <c r="EE480">
        <v>1</v>
      </c>
      <c r="EF480" s="4">
        <v>559</v>
      </c>
      <c r="EG480">
        <v>1</v>
      </c>
      <c r="EH480" s="4">
        <v>566</v>
      </c>
      <c r="EI480">
        <v>1</v>
      </c>
      <c r="EJ480" s="4">
        <v>573</v>
      </c>
      <c r="EK480">
        <v>1</v>
      </c>
    </row>
    <row r="481" spans="1:141" x14ac:dyDescent="0.2">
      <c r="A481" t="str">
        <f>HYPERLINK("http://exon.niaid.nih.gov/transcriptome/C_felis/S1/links/cf/cf-contig_574.txt","cf-contig_574")</f>
        <v>cf-contig_574</v>
      </c>
      <c r="B481">
        <v>1</v>
      </c>
      <c r="C481" s="10" t="s">
        <v>4600</v>
      </c>
      <c r="D481">
        <v>1</v>
      </c>
      <c r="E481" t="str">
        <f>HYPERLINK("http://exon.niaid.nih.gov/transcriptome/C_felis/S1/links/cf/cf-5-36-asb-574.txt","Contig-574")</f>
        <v>Contig-574</v>
      </c>
      <c r="F481" t="str">
        <f>HYPERLINK("http://exon.niaid.nih.gov/transcriptome/C_felis/S1/links/cf/cf-5-36-574-CLU.txt","Contig574")</f>
        <v>Contig574</v>
      </c>
      <c r="G481" t="str">
        <f>HYPERLINK("http://exon.niaid.nih.gov/transcriptome/C_felis/S1/links/cf/cf-5-36-574-qual.txt","53.")</f>
        <v>53.</v>
      </c>
      <c r="H481" t="s">
        <v>11</v>
      </c>
      <c r="I481">
        <v>73.8</v>
      </c>
      <c r="J481">
        <v>84</v>
      </c>
      <c r="K481" t="s">
        <v>12</v>
      </c>
      <c r="L481">
        <v>1</v>
      </c>
      <c r="M481" t="s">
        <v>587</v>
      </c>
      <c r="N481">
        <v>84</v>
      </c>
      <c r="O481">
        <v>103</v>
      </c>
      <c r="P481">
        <v>48</v>
      </c>
      <c r="Q481" t="s">
        <v>1393</v>
      </c>
      <c r="R481">
        <v>1</v>
      </c>
      <c r="S481" s="7" t="s">
        <v>4585</v>
      </c>
      <c r="U481">
        <v>1</v>
      </c>
      <c r="V481" s="4">
        <v>467</v>
      </c>
      <c r="W481">
        <v>1</v>
      </c>
      <c r="X481" s="4">
        <v>477</v>
      </c>
      <c r="Y481">
        <v>1</v>
      </c>
      <c r="Z481" s="4">
        <v>486</v>
      </c>
      <c r="AA481">
        <v>1</v>
      </c>
      <c r="AB481" s="4" t="str">
        <f>HYPERLINK("http://exon.niaid.nih.gov/transcriptome/C_felis/S1/links/XC-ASB/cf-contig_574-XC-ASB.txt","XC-contig_209")</f>
        <v>XC-contig_209</v>
      </c>
      <c r="AC481">
        <v>0.18</v>
      </c>
      <c r="AD481" s="10" t="s">
        <v>4600</v>
      </c>
      <c r="AE481" t="s">
        <v>4601</v>
      </c>
      <c r="AI481" s="4" t="s">
        <v>42</v>
      </c>
      <c r="AJ481" t="s">
        <v>42</v>
      </c>
      <c r="AK481" t="s">
        <v>42</v>
      </c>
      <c r="AL481" t="s">
        <v>42</v>
      </c>
      <c r="AM481" t="s">
        <v>42</v>
      </c>
      <c r="AN481" t="s">
        <v>42</v>
      </c>
      <c r="AO481" t="s">
        <v>42</v>
      </c>
      <c r="AP481" t="s">
        <v>42</v>
      </c>
      <c r="AQ481" t="s">
        <v>42</v>
      </c>
      <c r="AR481" t="s">
        <v>42</v>
      </c>
      <c r="AS481" t="s">
        <v>42</v>
      </c>
      <c r="AT481" t="s">
        <v>42</v>
      </c>
      <c r="AU481" t="s">
        <v>42</v>
      </c>
      <c r="AV481" t="s">
        <v>42</v>
      </c>
      <c r="AW481" t="s">
        <v>42</v>
      </c>
      <c r="AX481" t="s">
        <v>42</v>
      </c>
      <c r="AY481" t="s">
        <v>42</v>
      </c>
      <c r="AZ481" t="s">
        <v>42</v>
      </c>
      <c r="BA481" s="4" t="s">
        <v>42</v>
      </c>
      <c r="BB481" t="s">
        <v>42</v>
      </c>
      <c r="BC481" t="s">
        <v>42</v>
      </c>
      <c r="BD481" t="s">
        <v>42</v>
      </c>
      <c r="BE481" t="s">
        <v>42</v>
      </c>
      <c r="BF481" t="s">
        <v>42</v>
      </c>
      <c r="BG481" t="s">
        <v>42</v>
      </c>
      <c r="BH481" t="s">
        <v>42</v>
      </c>
      <c r="BI481" t="s">
        <v>42</v>
      </c>
      <c r="BJ481" t="s">
        <v>42</v>
      </c>
      <c r="BK481" t="s">
        <v>42</v>
      </c>
      <c r="BL481" t="s">
        <v>42</v>
      </c>
      <c r="BM481" t="s">
        <v>42</v>
      </c>
      <c r="BN481" t="s">
        <v>42</v>
      </c>
      <c r="BO481" t="s">
        <v>42</v>
      </c>
      <c r="BP481" t="s">
        <v>42</v>
      </c>
      <c r="BQ481" t="s">
        <v>42</v>
      </c>
      <c r="BR481" t="s">
        <v>42</v>
      </c>
      <c r="BS481" s="4" t="s">
        <v>42</v>
      </c>
      <c r="BT481" t="s">
        <v>42</v>
      </c>
      <c r="BU481" t="s">
        <v>42</v>
      </c>
      <c r="BV481" s="4" t="s">
        <v>42</v>
      </c>
      <c r="BW481" t="s">
        <v>42</v>
      </c>
      <c r="BX481" t="s">
        <v>42</v>
      </c>
      <c r="BY481" t="s">
        <v>42</v>
      </c>
      <c r="BZ481" t="s">
        <v>42</v>
      </c>
      <c r="CA481" t="s">
        <v>42</v>
      </c>
      <c r="CB481" t="s">
        <v>42</v>
      </c>
      <c r="CC481" t="s">
        <v>42</v>
      </c>
      <c r="CD481" t="s">
        <v>42</v>
      </c>
      <c r="CE481" t="s">
        <v>42</v>
      </c>
      <c r="CF481" t="s">
        <v>42</v>
      </c>
      <c r="CG481" t="s">
        <v>42</v>
      </c>
      <c r="CH481" t="s">
        <v>42</v>
      </c>
      <c r="CI481" t="s">
        <v>42</v>
      </c>
      <c r="CJ481" t="s">
        <v>42</v>
      </c>
      <c r="CK481" t="s">
        <v>42</v>
      </c>
      <c r="CL481" t="s">
        <v>42</v>
      </c>
      <c r="CM481" t="s">
        <v>42</v>
      </c>
      <c r="CN481" t="s">
        <v>42</v>
      </c>
      <c r="CO481" t="s">
        <v>42</v>
      </c>
      <c r="CP481" t="s">
        <v>42</v>
      </c>
      <c r="CQ481" t="s">
        <v>42</v>
      </c>
      <c r="CR481" t="s">
        <v>42</v>
      </c>
      <c r="CS481" s="4" t="s">
        <v>42</v>
      </c>
      <c r="CT481" t="s">
        <v>42</v>
      </c>
      <c r="CU481" t="s">
        <v>42</v>
      </c>
      <c r="CV481" s="4" t="str">
        <f>HYPERLINK("http://exon.niaid.nih.gov/transcriptome/C_felis/S1/links/PFAM/cf-contig_574-PFAM.txt","Ycf1")</f>
        <v>Ycf1</v>
      </c>
      <c r="CW481" t="str">
        <f>HYPERLINK("http://pfam.sanger.ac.uk/family?acc=PF05758","2.2")</f>
        <v>2.2</v>
      </c>
      <c r="CX481" s="4" t="str">
        <f>HYPERLINK("http://exon.niaid.nih.gov/transcriptome/C_felis/S1/links/SMART/cf-contig_574-SMART.txt","PAX")</f>
        <v>PAX</v>
      </c>
      <c r="CY481" t="str">
        <f>HYPERLINK("http://smart.embl-heidelberg.de/smart/do_annotation.pl?DOMAIN=PAX&amp;BLAST=DUMMY","1.8")</f>
        <v>1.8</v>
      </c>
      <c r="CZ481" s="4" t="s">
        <v>42</v>
      </c>
      <c r="DA481" t="s">
        <v>42</v>
      </c>
      <c r="DB481" t="s">
        <v>42</v>
      </c>
      <c r="DC481" t="s">
        <v>42</v>
      </c>
      <c r="DD481" t="s">
        <v>42</v>
      </c>
      <c r="DE481" t="s">
        <v>42</v>
      </c>
      <c r="DF481" t="s">
        <v>42</v>
      </c>
      <c r="DG481" t="s">
        <v>42</v>
      </c>
      <c r="DH481" s="4" t="s">
        <v>42</v>
      </c>
      <c r="DI481" t="s">
        <v>42</v>
      </c>
      <c r="DJ481" s="4" t="s">
        <v>42</v>
      </c>
      <c r="DK481" t="s">
        <v>42</v>
      </c>
      <c r="DL481" s="4">
        <v>467</v>
      </c>
      <c r="DM481">
        <v>1</v>
      </c>
      <c r="DN481" s="4">
        <v>477</v>
      </c>
      <c r="DO481">
        <v>1</v>
      </c>
      <c r="DP481" s="4">
        <v>486</v>
      </c>
      <c r="DQ481">
        <v>1</v>
      </c>
      <c r="DR481" s="4">
        <v>504</v>
      </c>
      <c r="DS481">
        <v>1</v>
      </c>
      <c r="DT481" s="4">
        <v>516</v>
      </c>
      <c r="DU481">
        <v>1</v>
      </c>
      <c r="DV481" s="4">
        <v>530</v>
      </c>
      <c r="DW481">
        <v>1</v>
      </c>
      <c r="DX481" s="4">
        <v>538</v>
      </c>
      <c r="DY481">
        <v>1</v>
      </c>
      <c r="DZ481" s="4">
        <v>546</v>
      </c>
      <c r="EA481">
        <v>1</v>
      </c>
      <c r="EB481" s="4">
        <v>551</v>
      </c>
      <c r="EC481">
        <v>1</v>
      </c>
      <c r="ED481" s="4">
        <v>555</v>
      </c>
      <c r="EE481">
        <v>1</v>
      </c>
      <c r="EF481" s="4">
        <v>560</v>
      </c>
      <c r="EG481">
        <v>1</v>
      </c>
      <c r="EH481" s="4">
        <v>567</v>
      </c>
      <c r="EI481">
        <v>1</v>
      </c>
      <c r="EJ481" s="4">
        <v>574</v>
      </c>
      <c r="EK481">
        <v>1</v>
      </c>
    </row>
    <row r="482" spans="1:141" x14ac:dyDescent="0.2">
      <c r="A482" t="str">
        <f>HYPERLINK("http://exon.niaid.nih.gov/transcriptome/C_felis/S1/links/cf/cf-contig_581.txt","cf-contig_581")</f>
        <v>cf-contig_581</v>
      </c>
      <c r="B482">
        <v>1</v>
      </c>
      <c r="C482" s="10" t="s">
        <v>4600</v>
      </c>
      <c r="D482">
        <v>1</v>
      </c>
      <c r="E482" t="str">
        <f>HYPERLINK("http://exon.niaid.nih.gov/transcriptome/C_felis/S1/links/cf/cf-5-36-asb-581.txt","Contig-581")</f>
        <v>Contig-581</v>
      </c>
      <c r="F482" t="str">
        <f>HYPERLINK("http://exon.niaid.nih.gov/transcriptome/C_felis/S1/links/cf/cf-5-36-581-CLU.txt","Contig581")</f>
        <v>Contig581</v>
      </c>
      <c r="G482" t="str">
        <f>HYPERLINK("http://exon.niaid.nih.gov/transcriptome/C_felis/S1/links/cf/cf-5-36-581-qual.txt","64.")</f>
        <v>64.</v>
      </c>
      <c r="H482" t="s">
        <v>11</v>
      </c>
      <c r="I482">
        <v>72.3</v>
      </c>
      <c r="J482">
        <v>158</v>
      </c>
      <c r="K482" t="s">
        <v>12</v>
      </c>
      <c r="L482">
        <v>1</v>
      </c>
      <c r="M482" t="s">
        <v>594</v>
      </c>
      <c r="N482">
        <v>158</v>
      </c>
      <c r="O482">
        <v>177</v>
      </c>
      <c r="P482">
        <v>129</v>
      </c>
      <c r="Q482" t="s">
        <v>1400</v>
      </c>
      <c r="R482">
        <v>2</v>
      </c>
      <c r="S482" s="7" t="s">
        <v>4585</v>
      </c>
      <c r="U482">
        <v>1</v>
      </c>
      <c r="V482" s="4">
        <f>HYPERLINK("http://exon.niaid.nih.gov/transcriptome/C_felis/S1/links/cluster/cf-5-36-asb30-50-Id-CLU86.txt", 86)</f>
        <v>86</v>
      </c>
      <c r="W482">
        <f>HYPERLINK("http://exon.niaid.nih.gov/transcriptome/C_felis/S1/links/cluster/cf-5-36-asb30-50-Id-CLTL86.txt", 2)</f>
        <v>2</v>
      </c>
      <c r="X482" s="4">
        <f>HYPERLINK("http://exon.niaid.nih.gov/transcriptome/C_felis/S1/links/cluster/cf-5-36-asb35-50-Id-CLU80.txt", 80)</f>
        <v>80</v>
      </c>
      <c r="Y482">
        <f>HYPERLINK("http://exon.niaid.nih.gov/transcriptome/C_felis/S1/links/cluster/cf-5-36-asb35-50-Id-CLTL80.txt", 2)</f>
        <v>2</v>
      </c>
      <c r="Z482" s="4">
        <f>HYPERLINK("http://exon.niaid.nih.gov/transcriptome/C_felis/S1/links/cluster/cf-5-36-asb40-50-Id-CLU72.txt", 72)</f>
        <v>72</v>
      </c>
      <c r="AA482">
        <f>HYPERLINK("http://exon.niaid.nih.gov/transcriptome/C_felis/S1/links/cluster/cf-5-36-asb40-50-Id-CLTL72.txt", 2)</f>
        <v>2</v>
      </c>
      <c r="AB482" s="4" t="str">
        <f>HYPERLINK("http://exon.niaid.nih.gov/transcriptome/C_felis/S1/links/XC-ASB/cf-contig_581-XC-ASB.txt","XC-contig_171")</f>
        <v>XC-contig_171</v>
      </c>
      <c r="AC482">
        <v>0.12</v>
      </c>
      <c r="AD482" s="10" t="s">
        <v>4600</v>
      </c>
      <c r="AE482" t="s">
        <v>4601</v>
      </c>
      <c r="AI482" s="4" t="s">
        <v>42</v>
      </c>
      <c r="AJ482" t="s">
        <v>42</v>
      </c>
      <c r="AK482" t="s">
        <v>42</v>
      </c>
      <c r="AL482" t="s">
        <v>42</v>
      </c>
      <c r="AM482" t="s">
        <v>42</v>
      </c>
      <c r="AN482" t="s">
        <v>42</v>
      </c>
      <c r="AO482" t="s">
        <v>42</v>
      </c>
      <c r="AP482" t="s">
        <v>42</v>
      </c>
      <c r="AQ482" t="s">
        <v>42</v>
      </c>
      <c r="AR482" t="s">
        <v>42</v>
      </c>
      <c r="AS482" t="s">
        <v>42</v>
      </c>
      <c r="AT482" t="s">
        <v>42</v>
      </c>
      <c r="AU482" t="s">
        <v>42</v>
      </c>
      <c r="AV482" t="s">
        <v>42</v>
      </c>
      <c r="AW482" t="s">
        <v>42</v>
      </c>
      <c r="AX482" t="s">
        <v>42</v>
      </c>
      <c r="AY482" t="s">
        <v>42</v>
      </c>
      <c r="AZ482" t="s">
        <v>42</v>
      </c>
      <c r="BA482" s="4" t="str">
        <f>HYPERLINK("http://exon.niaid.nih.gov/transcriptome/C_felis/S1/links/SWISSP/cf-contig_581-SWISSP.txt","UPF0161 protein BUsg_015")</f>
        <v>UPF0161 protein BUsg_015</v>
      </c>
      <c r="BB482" t="str">
        <f>HYPERLINK("http://www.uniprot.org/uniprot/P29432","11")</f>
        <v>11</v>
      </c>
      <c r="BC482" t="s">
        <v>3791</v>
      </c>
      <c r="BD482">
        <v>28.9</v>
      </c>
      <c r="BE482">
        <v>27</v>
      </c>
      <c r="BF482">
        <v>85</v>
      </c>
      <c r="BG482">
        <v>39</v>
      </c>
      <c r="BH482">
        <v>33</v>
      </c>
      <c r="BI482">
        <v>17</v>
      </c>
      <c r="BJ482">
        <v>0</v>
      </c>
      <c r="BK482">
        <v>15</v>
      </c>
      <c r="BL482">
        <v>59</v>
      </c>
      <c r="BM482">
        <v>1</v>
      </c>
      <c r="BN482">
        <v>-3</v>
      </c>
      <c r="BO482" t="s">
        <v>12</v>
      </c>
      <c r="BQ482" t="s">
        <v>1666</v>
      </c>
      <c r="BR482" t="s">
        <v>2200</v>
      </c>
      <c r="BS482" s="4" t="str">
        <f>HYPERLINK("http://exon.niaid.nih.gov/transcriptome/C_felis/S1/links/CDD/cf-contig_581-CDD.txt","wnt")</f>
        <v>wnt</v>
      </c>
      <c r="BT482" t="str">
        <f>HYPERLINK("http://www.ncbi.nlm.nih.gov/Structure/cdd/cddsrv.cgi?uid=pfam00110&amp;version=v4.0","0.42")</f>
        <v>0.42</v>
      </c>
      <c r="BU482" t="s">
        <v>3792</v>
      </c>
      <c r="BV482" s="4" t="s">
        <v>42</v>
      </c>
      <c r="BW482" t="s">
        <v>42</v>
      </c>
      <c r="BX482" t="s">
        <v>42</v>
      </c>
      <c r="BY482" t="s">
        <v>42</v>
      </c>
      <c r="BZ482" t="s">
        <v>42</v>
      </c>
      <c r="CA482" t="s">
        <v>42</v>
      </c>
      <c r="CB482" t="s">
        <v>42</v>
      </c>
      <c r="CC482" t="s">
        <v>42</v>
      </c>
      <c r="CD482" t="s">
        <v>42</v>
      </c>
      <c r="CE482" t="s">
        <v>42</v>
      </c>
      <c r="CF482" t="s">
        <v>42</v>
      </c>
      <c r="CG482" t="s">
        <v>42</v>
      </c>
      <c r="CH482" t="s">
        <v>42</v>
      </c>
      <c r="CI482" t="s">
        <v>42</v>
      </c>
      <c r="CJ482" t="s">
        <v>42</v>
      </c>
      <c r="CK482" t="s">
        <v>42</v>
      </c>
      <c r="CL482" t="s">
        <v>42</v>
      </c>
      <c r="CM482" t="s">
        <v>42</v>
      </c>
      <c r="CN482" t="s">
        <v>42</v>
      </c>
      <c r="CO482" t="s">
        <v>42</v>
      </c>
      <c r="CP482" t="s">
        <v>42</v>
      </c>
      <c r="CQ482" t="s">
        <v>42</v>
      </c>
      <c r="CR482" t="s">
        <v>42</v>
      </c>
      <c r="CS482" s="4" t="str">
        <f>HYPERLINK("http://exon.niaid.nih.gov/transcriptome/C_felis/S1/links/KOG/cf-contig_581-KOG.txt","Inositol 1,4,5-trisphosphate receptor")</f>
        <v>Inositol 1,4,5-trisphosphate receptor</v>
      </c>
      <c r="CT482" t="str">
        <f>HYPERLINK("http://www.ncbi.nlm.nih.gov/COG/grace/shokog.cgi?KOG3533","0.98")</f>
        <v>0.98</v>
      </c>
      <c r="CU482" t="s">
        <v>1780</v>
      </c>
      <c r="CV482" s="4" t="str">
        <f>HYPERLINK("http://exon.niaid.nih.gov/transcriptome/C_felis/S1/links/PFAM/cf-contig_581-PFAM.txt","wnt")</f>
        <v>wnt</v>
      </c>
      <c r="CW482" t="str">
        <f>HYPERLINK("http://pfam.sanger.ac.uk/family?acc=PF00110","0.091")</f>
        <v>0.091</v>
      </c>
      <c r="CX482" s="4" t="str">
        <f>HYPERLINK("http://exon.niaid.nih.gov/transcriptome/C_felis/S1/links/SMART/cf-contig_581-SMART.txt","WNT1")</f>
        <v>WNT1</v>
      </c>
      <c r="CY482" t="str">
        <f>HYPERLINK("http://smart.embl-heidelberg.de/smart/do_annotation.pl?DOMAIN=WNT1&amp;BLAST=DUMMY","0.005")</f>
        <v>0.005</v>
      </c>
      <c r="CZ482" s="4" t="s">
        <v>42</v>
      </c>
      <c r="DA482" t="s">
        <v>42</v>
      </c>
      <c r="DB482" t="s">
        <v>42</v>
      </c>
      <c r="DC482" t="s">
        <v>42</v>
      </c>
      <c r="DD482" t="s">
        <v>42</v>
      </c>
      <c r="DE482" t="s">
        <v>42</v>
      </c>
      <c r="DF482" t="s">
        <v>42</v>
      </c>
      <c r="DG482" t="s">
        <v>42</v>
      </c>
      <c r="DH482" s="4" t="s">
        <v>42</v>
      </c>
      <c r="DI482" t="s">
        <v>42</v>
      </c>
      <c r="DJ482" s="4" t="s">
        <v>42</v>
      </c>
      <c r="DK482" t="s">
        <v>42</v>
      </c>
      <c r="DL482" s="4">
        <f>HYPERLINK("http://exon.niaid.nih.gov/transcriptome/C_felis/S1/links/cluster/cf-5-36-asb30-50-Id-CLU86.txt", 86)</f>
        <v>86</v>
      </c>
      <c r="DM482">
        <f>HYPERLINK("http://exon.niaid.nih.gov/transcriptome/C_felis/S1/links/cluster/cf-5-36-asb30-50-Id-CLTL86.txt", 2)</f>
        <v>2</v>
      </c>
      <c r="DN482" s="4">
        <f>HYPERLINK("http://exon.niaid.nih.gov/transcriptome/C_felis/S1/links/cluster/cf-5-36-asb35-50-Id-CLU80.txt", 80)</f>
        <v>80</v>
      </c>
      <c r="DO482">
        <f>HYPERLINK("http://exon.niaid.nih.gov/transcriptome/C_felis/S1/links/cluster/cf-5-36-asb35-50-Id-CLTL80.txt", 2)</f>
        <v>2</v>
      </c>
      <c r="DP482" s="4">
        <f>HYPERLINK("http://exon.niaid.nih.gov/transcriptome/C_felis/S1/links/cluster/cf-5-36-asb40-50-Id-CLU72.txt", 72)</f>
        <v>72</v>
      </c>
      <c r="DQ482">
        <f>HYPERLINK("http://exon.niaid.nih.gov/transcriptome/C_felis/S1/links/cluster/cf-5-36-asb40-50-Id-CLTL72.txt", 2)</f>
        <v>2</v>
      </c>
      <c r="DR482" s="4">
        <v>511</v>
      </c>
      <c r="DS482">
        <v>1</v>
      </c>
      <c r="DT482" s="4">
        <v>523</v>
      </c>
      <c r="DU482">
        <v>1</v>
      </c>
      <c r="DV482" s="4">
        <v>537</v>
      </c>
      <c r="DW482">
        <v>1</v>
      </c>
      <c r="DX482" s="4">
        <v>545</v>
      </c>
      <c r="DY482">
        <v>1</v>
      </c>
      <c r="DZ482" s="4">
        <v>553</v>
      </c>
      <c r="EA482">
        <v>1</v>
      </c>
      <c r="EB482" s="4">
        <v>558</v>
      </c>
      <c r="EC482">
        <v>1</v>
      </c>
      <c r="ED482" s="4">
        <v>562</v>
      </c>
      <c r="EE482">
        <v>1</v>
      </c>
      <c r="EF482" s="4">
        <v>567</v>
      </c>
      <c r="EG482">
        <v>1</v>
      </c>
      <c r="EH482" s="4">
        <v>574</v>
      </c>
      <c r="EI482">
        <v>1</v>
      </c>
      <c r="EJ482" s="4">
        <v>581</v>
      </c>
      <c r="EK482">
        <v>1</v>
      </c>
    </row>
    <row r="483" spans="1:141" x14ac:dyDescent="0.2">
      <c r="A483" t="str">
        <f>HYPERLINK("http://exon.niaid.nih.gov/transcriptome/C_felis/S1/links/cf/cf-contig_585.txt","cf-contig_585")</f>
        <v>cf-contig_585</v>
      </c>
      <c r="B483">
        <v>1</v>
      </c>
      <c r="C483" s="10" t="s">
        <v>4600</v>
      </c>
      <c r="D483">
        <v>1</v>
      </c>
      <c r="E483" t="str">
        <f>HYPERLINK("http://exon.niaid.nih.gov/transcriptome/C_felis/S1/links/cf/cf-5-36-asb-585.txt","Contig-585")</f>
        <v>Contig-585</v>
      </c>
      <c r="F483" t="str">
        <f>HYPERLINK("http://exon.niaid.nih.gov/transcriptome/C_felis/S1/links/cf/cf-5-36-585-CLU.txt","Contig585")</f>
        <v>Contig585</v>
      </c>
      <c r="G483" t="str">
        <f>HYPERLINK("http://exon.niaid.nih.gov/transcriptome/C_felis/S1/links/cf/cf-5-36-585-qual.txt","47.9")</f>
        <v>47.9</v>
      </c>
      <c r="H483">
        <v>1.1000000000000001</v>
      </c>
      <c r="I483">
        <v>75.5</v>
      </c>
      <c r="J483">
        <v>75</v>
      </c>
      <c r="K483" t="s">
        <v>12</v>
      </c>
      <c r="L483">
        <v>1</v>
      </c>
      <c r="M483" t="s">
        <v>598</v>
      </c>
      <c r="N483">
        <v>75</v>
      </c>
      <c r="O483">
        <v>94</v>
      </c>
      <c r="P483">
        <v>60</v>
      </c>
      <c r="Q483" t="s">
        <v>1404</v>
      </c>
      <c r="R483">
        <v>3</v>
      </c>
      <c r="S483" s="7" t="s">
        <v>4585</v>
      </c>
      <c r="U483">
        <v>1</v>
      </c>
      <c r="V483" s="4">
        <f>HYPERLINK("http://exon.niaid.nih.gov/transcriptome/C_felis/S1/links/cluster/cf-5-36-asb30-50-Id-CLU41.txt", 41)</f>
        <v>41</v>
      </c>
      <c r="W483">
        <f>HYPERLINK("http://exon.niaid.nih.gov/transcriptome/C_felis/S1/links/cluster/cf-5-36-asb30-50-Id-CLTL41.txt", 2)</f>
        <v>2</v>
      </c>
      <c r="X483" s="4">
        <v>487</v>
      </c>
      <c r="Y483">
        <v>1</v>
      </c>
      <c r="Z483" s="4">
        <v>496</v>
      </c>
      <c r="AA483">
        <v>1</v>
      </c>
      <c r="AB483" s="4" t="str">
        <f>HYPERLINK("http://exon.niaid.nih.gov/transcriptome/C_felis/S1/links/XC-ASB/cf-contig_585-XC-ASB.txt","XC-contig_90")</f>
        <v>XC-contig_90</v>
      </c>
      <c r="AC483">
        <v>1.9E-2</v>
      </c>
      <c r="AD483" s="10" t="s">
        <v>4600</v>
      </c>
      <c r="AE483" t="s">
        <v>4601</v>
      </c>
      <c r="AI483" s="4" t="s">
        <v>42</v>
      </c>
      <c r="AJ483" t="s">
        <v>42</v>
      </c>
      <c r="AK483" t="s">
        <v>42</v>
      </c>
      <c r="AL483" t="s">
        <v>42</v>
      </c>
      <c r="AM483" t="s">
        <v>42</v>
      </c>
      <c r="AN483" t="s">
        <v>42</v>
      </c>
      <c r="AO483" t="s">
        <v>42</v>
      </c>
      <c r="AP483" t="s">
        <v>42</v>
      </c>
      <c r="AQ483" t="s">
        <v>42</v>
      </c>
      <c r="AR483" t="s">
        <v>42</v>
      </c>
      <c r="AS483" t="s">
        <v>42</v>
      </c>
      <c r="AT483" t="s">
        <v>42</v>
      </c>
      <c r="AU483" t="s">
        <v>42</v>
      </c>
      <c r="AV483" t="s">
        <v>42</v>
      </c>
      <c r="AW483" t="s">
        <v>42</v>
      </c>
      <c r="AX483" t="s">
        <v>42</v>
      </c>
      <c r="AY483" t="s">
        <v>42</v>
      </c>
      <c r="AZ483" t="s">
        <v>42</v>
      </c>
      <c r="BA483" s="4" t="s">
        <v>42</v>
      </c>
      <c r="BB483" t="s">
        <v>42</v>
      </c>
      <c r="BC483" t="s">
        <v>42</v>
      </c>
      <c r="BD483" t="s">
        <v>42</v>
      </c>
      <c r="BE483" t="s">
        <v>42</v>
      </c>
      <c r="BF483" t="s">
        <v>42</v>
      </c>
      <c r="BG483" t="s">
        <v>42</v>
      </c>
      <c r="BH483" t="s">
        <v>42</v>
      </c>
      <c r="BI483" t="s">
        <v>42</v>
      </c>
      <c r="BJ483" t="s">
        <v>42</v>
      </c>
      <c r="BK483" t="s">
        <v>42</v>
      </c>
      <c r="BL483" t="s">
        <v>42</v>
      </c>
      <c r="BM483" t="s">
        <v>42</v>
      </c>
      <c r="BN483" t="s">
        <v>42</v>
      </c>
      <c r="BO483" t="s">
        <v>42</v>
      </c>
      <c r="BP483" t="s">
        <v>42</v>
      </c>
      <c r="BQ483" t="s">
        <v>42</v>
      </c>
      <c r="BR483" t="s">
        <v>42</v>
      </c>
      <c r="BS483" s="4" t="str">
        <f>HYPERLINK("http://exon.niaid.nih.gov/transcriptome/C_felis/S1/links/CDD/cf-contig_585-CDD.txt","HdeD")</f>
        <v>HdeD</v>
      </c>
      <c r="BT483" t="str">
        <f>HYPERLINK("http://www.ncbi.nlm.nih.gov/Structure/cdd/cddsrv.cgi?uid=COG3247&amp;version=v4.0","6.4")</f>
        <v>6.4</v>
      </c>
      <c r="BU483" t="s">
        <v>3811</v>
      </c>
      <c r="BV483" s="4" t="s">
        <v>42</v>
      </c>
      <c r="BW483" t="s">
        <v>42</v>
      </c>
      <c r="BX483" t="s">
        <v>42</v>
      </c>
      <c r="BY483" t="s">
        <v>42</v>
      </c>
      <c r="BZ483" t="s">
        <v>42</v>
      </c>
      <c r="CA483" t="s">
        <v>42</v>
      </c>
      <c r="CB483" t="s">
        <v>42</v>
      </c>
      <c r="CC483" t="s">
        <v>42</v>
      </c>
      <c r="CD483" t="s">
        <v>42</v>
      </c>
      <c r="CE483" t="s">
        <v>42</v>
      </c>
      <c r="CF483" t="s">
        <v>42</v>
      </c>
      <c r="CG483" t="s">
        <v>42</v>
      </c>
      <c r="CH483" t="s">
        <v>42</v>
      </c>
      <c r="CI483" t="s">
        <v>42</v>
      </c>
      <c r="CJ483" t="s">
        <v>42</v>
      </c>
      <c r="CK483" t="s">
        <v>42</v>
      </c>
      <c r="CL483" t="s">
        <v>42</v>
      </c>
      <c r="CM483" t="s">
        <v>42</v>
      </c>
      <c r="CN483" t="s">
        <v>42</v>
      </c>
      <c r="CO483" t="s">
        <v>42</v>
      </c>
      <c r="CP483" t="s">
        <v>42</v>
      </c>
      <c r="CQ483" t="s">
        <v>42</v>
      </c>
      <c r="CR483" t="s">
        <v>42</v>
      </c>
      <c r="CS483" s="4" t="str">
        <f>HYPERLINK("http://exon.niaid.nih.gov/transcriptome/C_felis/S1/links/KOG/cf-contig_585-KOG.txt","Uncharacterized conserved protein")</f>
        <v>Uncharacterized conserved protein</v>
      </c>
      <c r="CT483" t="str">
        <f>HYPERLINK("http://www.ncbi.nlm.nih.gov/COG/grace/shokog.cgi?KOG4316","0.82")</f>
        <v>0.82</v>
      </c>
      <c r="CU483" t="s">
        <v>1711</v>
      </c>
      <c r="CV483" s="4" t="str">
        <f>HYPERLINK("http://exon.niaid.nih.gov/transcriptome/C_felis/S1/links/PFAM/cf-contig_585-PFAM.txt","DUF1347")</f>
        <v>DUF1347</v>
      </c>
      <c r="CW483" t="str">
        <f>HYPERLINK("http://pfam.sanger.ac.uk/family?acc=PF07079","2.1")</f>
        <v>2.1</v>
      </c>
      <c r="CX483" s="4" t="str">
        <f>HYPERLINK("http://exon.niaid.nih.gov/transcriptome/C_felis/S1/links/SMART/cf-contig_585-SMART.txt","TLC")</f>
        <v>TLC</v>
      </c>
      <c r="CY483" t="str">
        <f>HYPERLINK("http://smart.embl-heidelberg.de/smart/do_annotation.pl?DOMAIN=TLC&amp;BLAST=DUMMY","0.44")</f>
        <v>0.44</v>
      </c>
      <c r="CZ483" s="4" t="s">
        <v>42</v>
      </c>
      <c r="DA483" t="s">
        <v>42</v>
      </c>
      <c r="DB483" t="s">
        <v>42</v>
      </c>
      <c r="DC483" t="s">
        <v>42</v>
      </c>
      <c r="DD483" t="s">
        <v>42</v>
      </c>
      <c r="DE483" t="s">
        <v>42</v>
      </c>
      <c r="DF483" t="s">
        <v>42</v>
      </c>
      <c r="DG483" t="s">
        <v>42</v>
      </c>
      <c r="DH483" s="4" t="s">
        <v>42</v>
      </c>
      <c r="DI483" t="s">
        <v>42</v>
      </c>
      <c r="DJ483" s="4" t="s">
        <v>42</v>
      </c>
      <c r="DK483" t="s">
        <v>42</v>
      </c>
      <c r="DL483" s="4">
        <f>HYPERLINK("http://exon.niaid.nih.gov/transcriptome/C_felis/S1/links/cluster/cf-5-36-asb30-50-Id-CLU41.txt", 41)</f>
        <v>41</v>
      </c>
      <c r="DM483">
        <f>HYPERLINK("http://exon.niaid.nih.gov/transcriptome/C_felis/S1/links/cluster/cf-5-36-asb30-50-Id-CLTL41.txt", 2)</f>
        <v>2</v>
      </c>
      <c r="DN483" s="4">
        <v>487</v>
      </c>
      <c r="DO483">
        <v>1</v>
      </c>
      <c r="DP483" s="4">
        <v>496</v>
      </c>
      <c r="DQ483">
        <v>1</v>
      </c>
      <c r="DR483" s="4">
        <v>515</v>
      </c>
      <c r="DS483">
        <v>1</v>
      </c>
      <c r="DT483" s="4">
        <v>527</v>
      </c>
      <c r="DU483">
        <v>1</v>
      </c>
      <c r="DV483" s="4">
        <v>541</v>
      </c>
      <c r="DW483">
        <v>1</v>
      </c>
      <c r="DX483" s="4">
        <v>549</v>
      </c>
      <c r="DY483">
        <v>1</v>
      </c>
      <c r="DZ483" s="4">
        <v>557</v>
      </c>
      <c r="EA483">
        <v>1</v>
      </c>
      <c r="EB483" s="4">
        <v>562</v>
      </c>
      <c r="EC483">
        <v>1</v>
      </c>
      <c r="ED483" s="4">
        <v>566</v>
      </c>
      <c r="EE483">
        <v>1</v>
      </c>
      <c r="EF483" s="4">
        <v>571</v>
      </c>
      <c r="EG483">
        <v>1</v>
      </c>
      <c r="EH483" s="4">
        <v>578</v>
      </c>
      <c r="EI483">
        <v>1</v>
      </c>
      <c r="EJ483" s="4">
        <v>585</v>
      </c>
      <c r="EK483">
        <v>1</v>
      </c>
    </row>
    <row r="484" spans="1:141" x14ac:dyDescent="0.2">
      <c r="A484" t="str">
        <f>HYPERLINK("http://exon.niaid.nih.gov/transcriptome/C_felis/S1/links/cf/cf-contig_592.txt","cf-contig_592")</f>
        <v>cf-contig_592</v>
      </c>
      <c r="B484">
        <v>1</v>
      </c>
      <c r="C484" s="10" t="s">
        <v>4600</v>
      </c>
      <c r="D484">
        <v>1</v>
      </c>
      <c r="E484" t="str">
        <f>HYPERLINK("http://exon.niaid.nih.gov/transcriptome/C_felis/S1/links/cf/cf-5-36-asb-592.txt","Contig-592")</f>
        <v>Contig-592</v>
      </c>
      <c r="F484" t="str">
        <f>HYPERLINK("http://exon.niaid.nih.gov/transcriptome/C_felis/S1/links/cf/cf-5-36-592-CLU.txt","Contig592")</f>
        <v>Contig592</v>
      </c>
      <c r="G484" t="str">
        <f>HYPERLINK("http://exon.niaid.nih.gov/transcriptome/C_felis/S1/links/cf/cf-5-36-592-qual.txt","37.4")</f>
        <v>37.4</v>
      </c>
      <c r="H484">
        <v>0.8</v>
      </c>
      <c r="I484">
        <v>62.8</v>
      </c>
      <c r="J484">
        <v>110</v>
      </c>
      <c r="K484" t="s">
        <v>12</v>
      </c>
      <c r="L484">
        <v>1</v>
      </c>
      <c r="M484" t="s">
        <v>605</v>
      </c>
      <c r="N484">
        <v>110</v>
      </c>
      <c r="O484">
        <v>129</v>
      </c>
      <c r="P484">
        <v>81</v>
      </c>
      <c r="Q484" t="s">
        <v>1411</v>
      </c>
      <c r="R484">
        <v>2</v>
      </c>
      <c r="S484" s="7" t="s">
        <v>4585</v>
      </c>
      <c r="U484">
        <v>1</v>
      </c>
      <c r="V484" s="4">
        <v>482</v>
      </c>
      <c r="W484">
        <v>1</v>
      </c>
      <c r="X484" s="4">
        <v>493</v>
      </c>
      <c r="Y484">
        <v>1</v>
      </c>
      <c r="Z484" s="4">
        <v>502</v>
      </c>
      <c r="AA484">
        <v>1</v>
      </c>
      <c r="AB484" s="4" t="str">
        <f>HYPERLINK("http://exon.niaid.nih.gov/transcriptome/C_felis/S1/links/XC-ASB/cf-contig_592-XC-ASB.txt","XC-contig_165")</f>
        <v>XC-contig_165</v>
      </c>
      <c r="AC484">
        <v>0.86</v>
      </c>
      <c r="AD484" s="10" t="s">
        <v>4600</v>
      </c>
      <c r="AE484" t="s">
        <v>4601</v>
      </c>
      <c r="AI484" s="4" t="s">
        <v>42</v>
      </c>
      <c r="AJ484" t="s">
        <v>42</v>
      </c>
      <c r="AK484" t="s">
        <v>42</v>
      </c>
      <c r="AL484" t="s">
        <v>42</v>
      </c>
      <c r="AM484" t="s">
        <v>42</v>
      </c>
      <c r="AN484" t="s">
        <v>42</v>
      </c>
      <c r="AO484" t="s">
        <v>42</v>
      </c>
      <c r="AP484" t="s">
        <v>42</v>
      </c>
      <c r="AQ484" t="s">
        <v>42</v>
      </c>
      <c r="AR484" t="s">
        <v>42</v>
      </c>
      <c r="AS484" t="s">
        <v>42</v>
      </c>
      <c r="AT484" t="s">
        <v>42</v>
      </c>
      <c r="AU484" t="s">
        <v>42</v>
      </c>
      <c r="AV484" t="s">
        <v>42</v>
      </c>
      <c r="AW484" t="s">
        <v>42</v>
      </c>
      <c r="AX484" t="s">
        <v>42</v>
      </c>
      <c r="AY484" t="s">
        <v>42</v>
      </c>
      <c r="AZ484" t="s">
        <v>42</v>
      </c>
      <c r="BA484" s="4" t="str">
        <f>HYPERLINK("http://exon.niaid.nih.gov/transcriptome/C_felis/S1/links/SWISSP/cf-contig_592-SWISSP.txt","WAS/WASL-interacting protein family member 1")</f>
        <v>WAS/WASL-interacting protein family member 1</v>
      </c>
      <c r="BB484" t="str">
        <f>HYPERLINK("http://www.uniprot.org/uniprot/Q6IN36","53")</f>
        <v>53</v>
      </c>
      <c r="BC484" t="s">
        <v>3835</v>
      </c>
      <c r="BD484">
        <v>26.6</v>
      </c>
      <c r="BE484">
        <v>13</v>
      </c>
      <c r="BF484">
        <v>487</v>
      </c>
      <c r="BG484">
        <v>64</v>
      </c>
      <c r="BH484">
        <v>3</v>
      </c>
      <c r="BI484">
        <v>5</v>
      </c>
      <c r="BJ484">
        <v>0</v>
      </c>
      <c r="BK484">
        <v>331</v>
      </c>
      <c r="BL484">
        <v>3</v>
      </c>
      <c r="BM484">
        <v>1</v>
      </c>
      <c r="BN484">
        <v>-2</v>
      </c>
      <c r="BO484" t="s">
        <v>12</v>
      </c>
      <c r="BQ484" t="s">
        <v>1666</v>
      </c>
      <c r="BR484" t="s">
        <v>1684</v>
      </c>
      <c r="BS484" s="4" t="str">
        <f>HYPERLINK("http://exon.niaid.nih.gov/transcriptome/C_felis/S1/links/CDD/cf-contig_592-CDD.txt","DUF3737")</f>
        <v>DUF3737</v>
      </c>
      <c r="BT484" t="str">
        <f>HYPERLINK("http://www.ncbi.nlm.nih.gov/Structure/cdd/cddsrv.cgi?uid=pfam12541&amp;version=v4.0","2.6")</f>
        <v>2.6</v>
      </c>
      <c r="BU484" t="s">
        <v>3836</v>
      </c>
      <c r="BV484" s="4" t="s">
        <v>42</v>
      </c>
      <c r="BW484" t="s">
        <v>42</v>
      </c>
      <c r="BX484" t="s">
        <v>42</v>
      </c>
      <c r="BY484" t="s">
        <v>42</v>
      </c>
      <c r="BZ484" t="s">
        <v>42</v>
      </c>
      <c r="CA484" t="s">
        <v>42</v>
      </c>
      <c r="CB484" t="s">
        <v>42</v>
      </c>
      <c r="CC484" t="s">
        <v>42</v>
      </c>
      <c r="CD484" t="s">
        <v>42</v>
      </c>
      <c r="CE484" t="s">
        <v>42</v>
      </c>
      <c r="CF484" t="s">
        <v>42</v>
      </c>
      <c r="CG484" t="s">
        <v>42</v>
      </c>
      <c r="CH484" t="s">
        <v>42</v>
      </c>
      <c r="CI484" t="s">
        <v>42</v>
      </c>
      <c r="CJ484" t="s">
        <v>42</v>
      </c>
      <c r="CK484" t="s">
        <v>42</v>
      </c>
      <c r="CL484" t="s">
        <v>42</v>
      </c>
      <c r="CM484" t="s">
        <v>42</v>
      </c>
      <c r="CN484" t="s">
        <v>42</v>
      </c>
      <c r="CO484" t="s">
        <v>42</v>
      </c>
      <c r="CP484" t="s">
        <v>42</v>
      </c>
      <c r="CQ484" t="s">
        <v>42</v>
      </c>
      <c r="CR484" t="s">
        <v>42</v>
      </c>
      <c r="CS484" s="4" t="str">
        <f>HYPERLINK("http://exon.niaid.nih.gov/transcriptome/C_felis/S1/links/KOG/cf-contig_592-KOG.txt","Sequence-specific single-stranded-DNA-binding protein")</f>
        <v>Sequence-specific single-stranded-DNA-binding protein</v>
      </c>
      <c r="CT484" t="str">
        <f>HYPERLINK("http://www.ncbi.nlm.nih.gov/COG/grace/shokog.cgi?KOG4594","3.3")</f>
        <v>3.3</v>
      </c>
      <c r="CU484" t="s">
        <v>3837</v>
      </c>
      <c r="CV484" s="4" t="str">
        <f>HYPERLINK("http://exon.niaid.nih.gov/transcriptome/C_felis/S1/links/PFAM/cf-contig_592-PFAM.txt","DUF3737")</f>
        <v>DUF3737</v>
      </c>
      <c r="CW484" t="str">
        <f>HYPERLINK("http://pfam.sanger.ac.uk/family?acc=PF12541","0.54")</f>
        <v>0.54</v>
      </c>
      <c r="CX484" s="4" t="str">
        <f>HYPERLINK("http://exon.niaid.nih.gov/transcriptome/C_felis/S1/links/SMART/cf-contig_592-SMART.txt","CLECT")</f>
        <v>CLECT</v>
      </c>
      <c r="CY484" t="str">
        <f>HYPERLINK("http://smart.embl-heidelberg.de/smart/do_annotation.pl?DOMAIN=CLECT&amp;BLAST=DUMMY","3.1")</f>
        <v>3.1</v>
      </c>
      <c r="CZ484" s="4" t="s">
        <v>42</v>
      </c>
      <c r="DA484" t="s">
        <v>42</v>
      </c>
      <c r="DB484" t="s">
        <v>42</v>
      </c>
      <c r="DC484" t="s">
        <v>42</v>
      </c>
      <c r="DD484" t="s">
        <v>42</v>
      </c>
      <c r="DE484" t="s">
        <v>42</v>
      </c>
      <c r="DF484" t="s">
        <v>42</v>
      </c>
      <c r="DG484" t="s">
        <v>42</v>
      </c>
      <c r="DH484" s="4" t="s">
        <v>42</v>
      </c>
      <c r="DI484" t="s">
        <v>42</v>
      </c>
      <c r="DJ484" s="4" t="s">
        <v>42</v>
      </c>
      <c r="DK484" t="s">
        <v>42</v>
      </c>
      <c r="DL484" s="4">
        <v>482</v>
      </c>
      <c r="DM484">
        <v>1</v>
      </c>
      <c r="DN484" s="4">
        <v>493</v>
      </c>
      <c r="DO484">
        <v>1</v>
      </c>
      <c r="DP484" s="4">
        <v>502</v>
      </c>
      <c r="DQ484">
        <v>1</v>
      </c>
      <c r="DR484" s="4">
        <v>521</v>
      </c>
      <c r="DS484">
        <v>1</v>
      </c>
      <c r="DT484" s="4">
        <v>533</v>
      </c>
      <c r="DU484">
        <v>1</v>
      </c>
      <c r="DV484" s="4">
        <v>547</v>
      </c>
      <c r="DW484">
        <v>1</v>
      </c>
      <c r="DX484" s="4">
        <v>556</v>
      </c>
      <c r="DY484">
        <v>1</v>
      </c>
      <c r="DZ484" s="4">
        <v>564</v>
      </c>
      <c r="EA484">
        <v>1</v>
      </c>
      <c r="EB484" s="4">
        <v>569</v>
      </c>
      <c r="EC484">
        <v>1</v>
      </c>
      <c r="ED484" s="4">
        <v>573</v>
      </c>
      <c r="EE484">
        <v>1</v>
      </c>
      <c r="EF484" s="4">
        <v>578</v>
      </c>
      <c r="EG484">
        <v>1</v>
      </c>
      <c r="EH484" s="4">
        <v>585</v>
      </c>
      <c r="EI484">
        <v>1</v>
      </c>
      <c r="EJ484" s="4">
        <v>592</v>
      </c>
      <c r="EK484">
        <v>1</v>
      </c>
    </row>
    <row r="485" spans="1:141" x14ac:dyDescent="0.2">
      <c r="A485" t="str">
        <f>HYPERLINK("http://exon.niaid.nih.gov/transcriptome/C_felis/S1/links/cf/cf-contig_594.txt","cf-contig_594")</f>
        <v>cf-contig_594</v>
      </c>
      <c r="B485">
        <v>1</v>
      </c>
      <c r="C485" s="10" t="s">
        <v>4600</v>
      </c>
      <c r="D485">
        <v>1</v>
      </c>
      <c r="E485" t="str">
        <f>HYPERLINK("http://exon.niaid.nih.gov/transcriptome/C_felis/S1/links/cf/cf-5-36-asb-594.txt","Contig-594")</f>
        <v>Contig-594</v>
      </c>
      <c r="F485" t="str">
        <f>HYPERLINK("http://exon.niaid.nih.gov/transcriptome/C_felis/S1/links/cf/cf-5-36-594-CLU.txt","Contig594")</f>
        <v>Contig594</v>
      </c>
      <c r="G485" t="str">
        <f>HYPERLINK("http://exon.niaid.nih.gov/transcriptome/C_felis/S1/links/cf/cf-5-36-594-qual.txt","58.")</f>
        <v>58.</v>
      </c>
      <c r="H485" t="s">
        <v>11</v>
      </c>
      <c r="I485">
        <v>70.7</v>
      </c>
      <c r="J485">
        <v>80</v>
      </c>
      <c r="K485" t="s">
        <v>12</v>
      </c>
      <c r="L485">
        <v>1</v>
      </c>
      <c r="M485" t="s">
        <v>607</v>
      </c>
      <c r="N485">
        <v>80</v>
      </c>
      <c r="O485">
        <v>99</v>
      </c>
      <c r="P485">
        <v>60</v>
      </c>
      <c r="Q485" t="s">
        <v>1413</v>
      </c>
      <c r="R485">
        <v>3</v>
      </c>
      <c r="S485" s="7" t="s">
        <v>4585</v>
      </c>
      <c r="U485">
        <v>1</v>
      </c>
      <c r="V485" s="4">
        <v>484</v>
      </c>
      <c r="W485">
        <v>1</v>
      </c>
      <c r="X485" s="4">
        <v>495</v>
      </c>
      <c r="Y485">
        <v>1</v>
      </c>
      <c r="Z485" s="4">
        <v>504</v>
      </c>
      <c r="AA485">
        <v>1</v>
      </c>
      <c r="AB485" s="4" t="str">
        <f>HYPERLINK("http://exon.niaid.nih.gov/transcriptome/C_felis/S1/links/XC-ASB/cf-contig_594-XC-ASB.txt","XC-contig_201")</f>
        <v>XC-contig_201</v>
      </c>
      <c r="AC485">
        <v>0.87</v>
      </c>
      <c r="AD485" s="10" t="s">
        <v>4600</v>
      </c>
      <c r="AE485" t="s">
        <v>4601</v>
      </c>
      <c r="AI485" s="4" t="s">
        <v>42</v>
      </c>
      <c r="AJ485" t="s">
        <v>42</v>
      </c>
      <c r="AK485" t="s">
        <v>42</v>
      </c>
      <c r="AL485" t="s">
        <v>42</v>
      </c>
      <c r="AM485" t="s">
        <v>42</v>
      </c>
      <c r="AN485" t="s">
        <v>42</v>
      </c>
      <c r="AO485" t="s">
        <v>42</v>
      </c>
      <c r="AP485" t="s">
        <v>42</v>
      </c>
      <c r="AQ485" t="s">
        <v>42</v>
      </c>
      <c r="AR485" t="s">
        <v>42</v>
      </c>
      <c r="AS485" t="s">
        <v>42</v>
      </c>
      <c r="AT485" t="s">
        <v>42</v>
      </c>
      <c r="AU485" t="s">
        <v>42</v>
      </c>
      <c r="AV485" t="s">
        <v>42</v>
      </c>
      <c r="AW485" t="s">
        <v>42</v>
      </c>
      <c r="AX485" t="s">
        <v>42</v>
      </c>
      <c r="AY485" t="s">
        <v>42</v>
      </c>
      <c r="AZ485" t="s">
        <v>42</v>
      </c>
      <c r="BA485" s="4" t="s">
        <v>42</v>
      </c>
      <c r="BB485" t="s">
        <v>42</v>
      </c>
      <c r="BC485" t="s">
        <v>42</v>
      </c>
      <c r="BD485" t="s">
        <v>42</v>
      </c>
      <c r="BE485" t="s">
        <v>42</v>
      </c>
      <c r="BF485" t="s">
        <v>42</v>
      </c>
      <c r="BG485" t="s">
        <v>42</v>
      </c>
      <c r="BH485" t="s">
        <v>42</v>
      </c>
      <c r="BI485" t="s">
        <v>42</v>
      </c>
      <c r="BJ485" t="s">
        <v>42</v>
      </c>
      <c r="BK485" t="s">
        <v>42</v>
      </c>
      <c r="BL485" t="s">
        <v>42</v>
      </c>
      <c r="BM485" t="s">
        <v>42</v>
      </c>
      <c r="BN485" t="s">
        <v>42</v>
      </c>
      <c r="BO485" t="s">
        <v>42</v>
      </c>
      <c r="BP485" t="s">
        <v>42</v>
      </c>
      <c r="BQ485" t="s">
        <v>42</v>
      </c>
      <c r="BR485" t="s">
        <v>42</v>
      </c>
      <c r="BS485" s="4" t="s">
        <v>42</v>
      </c>
      <c r="BT485" t="s">
        <v>42</v>
      </c>
      <c r="BU485" t="s">
        <v>42</v>
      </c>
      <c r="BV485" s="4" t="s">
        <v>42</v>
      </c>
      <c r="BW485" t="s">
        <v>42</v>
      </c>
      <c r="BX485" t="s">
        <v>42</v>
      </c>
      <c r="BY485" t="s">
        <v>42</v>
      </c>
      <c r="BZ485" t="s">
        <v>42</v>
      </c>
      <c r="CA485" t="s">
        <v>42</v>
      </c>
      <c r="CB485" t="s">
        <v>42</v>
      </c>
      <c r="CC485" t="s">
        <v>42</v>
      </c>
      <c r="CD485" t="s">
        <v>42</v>
      </c>
      <c r="CE485" t="s">
        <v>42</v>
      </c>
      <c r="CF485" t="s">
        <v>42</v>
      </c>
      <c r="CG485" t="s">
        <v>42</v>
      </c>
      <c r="CH485" t="s">
        <v>42</v>
      </c>
      <c r="CI485" t="s">
        <v>42</v>
      </c>
      <c r="CJ485" t="s">
        <v>42</v>
      </c>
      <c r="CK485" t="s">
        <v>42</v>
      </c>
      <c r="CL485" t="s">
        <v>42</v>
      </c>
      <c r="CM485" t="s">
        <v>42</v>
      </c>
      <c r="CN485" t="s">
        <v>42</v>
      </c>
      <c r="CO485" t="s">
        <v>42</v>
      </c>
      <c r="CP485" t="s">
        <v>42</v>
      </c>
      <c r="CQ485" t="s">
        <v>42</v>
      </c>
      <c r="CR485" t="s">
        <v>42</v>
      </c>
      <c r="CS485" s="4" t="str">
        <f>HYPERLINK("http://exon.niaid.nih.gov/transcriptome/C_felis/S1/links/KOG/cf-contig_594-KOG.txt","Cytoplasmic Zn-finger protein BRAP2 (BRCA1 associated protein)")</f>
        <v>Cytoplasmic Zn-finger protein BRAP2 (BRCA1 associated protein)</v>
      </c>
      <c r="CT485" t="str">
        <f>HYPERLINK("http://www.ncbi.nlm.nih.gov/COG/grace/shokog.cgi?KOG0804","5.6")</f>
        <v>5.6</v>
      </c>
      <c r="CU485" t="s">
        <v>1721</v>
      </c>
      <c r="CV485" s="4" t="s">
        <v>42</v>
      </c>
      <c r="CW485" t="s">
        <v>42</v>
      </c>
      <c r="CX485" s="4" t="str">
        <f>HYPERLINK("http://exon.niaid.nih.gov/transcriptome/C_felis/S1/links/SMART/cf-contig_594-SMART.txt","ZnF_UBP")</f>
        <v>ZnF_UBP</v>
      </c>
      <c r="CY485" t="str">
        <f>HYPERLINK("http://smart.embl-heidelberg.de/smart/do_annotation.pl?DOMAIN=ZnF_UBP&amp;BLAST=DUMMY","3.0")</f>
        <v>3.0</v>
      </c>
      <c r="CZ485" s="4" t="s">
        <v>42</v>
      </c>
      <c r="DA485" t="s">
        <v>42</v>
      </c>
      <c r="DB485" t="s">
        <v>42</v>
      </c>
      <c r="DC485" t="s">
        <v>42</v>
      </c>
      <c r="DD485" t="s">
        <v>42</v>
      </c>
      <c r="DE485" t="s">
        <v>42</v>
      </c>
      <c r="DF485" t="s">
        <v>42</v>
      </c>
      <c r="DG485" t="s">
        <v>42</v>
      </c>
      <c r="DH485" s="4" t="s">
        <v>42</v>
      </c>
      <c r="DI485" t="s">
        <v>42</v>
      </c>
      <c r="DJ485" s="4" t="s">
        <v>42</v>
      </c>
      <c r="DK485" t="s">
        <v>42</v>
      </c>
      <c r="DL485" s="4">
        <v>484</v>
      </c>
      <c r="DM485">
        <v>1</v>
      </c>
      <c r="DN485" s="4">
        <v>495</v>
      </c>
      <c r="DO485">
        <v>1</v>
      </c>
      <c r="DP485" s="4">
        <v>504</v>
      </c>
      <c r="DQ485">
        <v>1</v>
      </c>
      <c r="DR485" s="4">
        <v>523</v>
      </c>
      <c r="DS485">
        <v>1</v>
      </c>
      <c r="DT485" s="4">
        <v>535</v>
      </c>
      <c r="DU485">
        <v>1</v>
      </c>
      <c r="DV485" s="4">
        <v>549</v>
      </c>
      <c r="DW485">
        <v>1</v>
      </c>
      <c r="DX485" s="4">
        <v>558</v>
      </c>
      <c r="DY485">
        <v>1</v>
      </c>
      <c r="DZ485" s="4">
        <v>566</v>
      </c>
      <c r="EA485">
        <v>1</v>
      </c>
      <c r="EB485" s="4">
        <v>571</v>
      </c>
      <c r="EC485">
        <v>1</v>
      </c>
      <c r="ED485" s="4">
        <v>575</v>
      </c>
      <c r="EE485">
        <v>1</v>
      </c>
      <c r="EF485" s="4">
        <v>580</v>
      </c>
      <c r="EG485">
        <v>1</v>
      </c>
      <c r="EH485" s="4">
        <v>587</v>
      </c>
      <c r="EI485">
        <v>1</v>
      </c>
      <c r="EJ485" s="4">
        <v>594</v>
      </c>
      <c r="EK485">
        <v>1</v>
      </c>
    </row>
    <row r="486" spans="1:141" x14ac:dyDescent="0.2">
      <c r="A486" t="str">
        <f>HYPERLINK("http://exon.niaid.nih.gov/transcriptome/C_felis/S1/links/cf/cf-contig_599.txt","cf-contig_599")</f>
        <v>cf-contig_599</v>
      </c>
      <c r="B486">
        <v>1</v>
      </c>
      <c r="C486" s="10" t="s">
        <v>4600</v>
      </c>
      <c r="D486">
        <v>1</v>
      </c>
      <c r="E486" t="str">
        <f>HYPERLINK("http://exon.niaid.nih.gov/transcriptome/C_felis/S1/links/cf/cf-5-36-asb-599.txt","Contig-599")</f>
        <v>Contig-599</v>
      </c>
      <c r="F486" t="str">
        <f>HYPERLINK("http://exon.niaid.nih.gov/transcriptome/C_felis/S1/links/cf/cf-5-36-599-CLU.txt","Contig599")</f>
        <v>Contig599</v>
      </c>
      <c r="G486" t="str">
        <f>HYPERLINK("http://exon.niaid.nih.gov/transcriptome/C_felis/S1/links/cf/cf-5-36-599-qual.txt","58.3")</f>
        <v>58.3</v>
      </c>
      <c r="H486" t="s">
        <v>11</v>
      </c>
      <c r="I486">
        <v>78</v>
      </c>
      <c r="J486">
        <v>131</v>
      </c>
      <c r="K486" t="s">
        <v>12</v>
      </c>
      <c r="L486">
        <v>1</v>
      </c>
      <c r="M486" t="s">
        <v>612</v>
      </c>
      <c r="N486">
        <v>131</v>
      </c>
      <c r="O486">
        <v>150</v>
      </c>
      <c r="P486">
        <v>90</v>
      </c>
      <c r="Q486" t="s">
        <v>1418</v>
      </c>
      <c r="R486">
        <v>2</v>
      </c>
      <c r="S486" s="7" t="s">
        <v>4585</v>
      </c>
      <c r="U486">
        <v>1</v>
      </c>
      <c r="V486" s="4">
        <f>HYPERLINK("http://exon.niaid.nih.gov/transcriptome/C_felis/S1/links/cluster/cf-5-36-asb30-50-Id-CLU77.txt", 77)</f>
        <v>77</v>
      </c>
      <c r="W486">
        <f>HYPERLINK("http://exon.niaid.nih.gov/transcriptome/C_felis/S1/links/cluster/cf-5-36-asb30-50-Id-CLTL77.txt", 2)</f>
        <v>2</v>
      </c>
      <c r="X486" s="4">
        <f>HYPERLINK("http://exon.niaid.nih.gov/transcriptome/C_felis/S1/links/cluster/cf-5-36-asb35-50-Id-CLU69.txt", 69)</f>
        <v>69</v>
      </c>
      <c r="Y486">
        <f>HYPERLINK("http://exon.niaid.nih.gov/transcriptome/C_felis/S1/links/cluster/cf-5-36-asb35-50-Id-CLTL69.txt", 2)</f>
        <v>2</v>
      </c>
      <c r="Z486" s="4">
        <v>508</v>
      </c>
      <c r="AA486">
        <v>1</v>
      </c>
      <c r="AB486" s="4" t="str">
        <f>HYPERLINK("http://exon.niaid.nih.gov/transcriptome/C_felis/S1/links/XC-ASB/cf-contig_599-XC-ASB.txt","XC-contig_60")</f>
        <v>XC-contig_60</v>
      </c>
      <c r="AC486">
        <v>9.0999999999999998E-2</v>
      </c>
      <c r="AD486" s="10" t="s">
        <v>4600</v>
      </c>
      <c r="AE486" t="s">
        <v>4601</v>
      </c>
      <c r="AI486" s="4" t="s">
        <v>42</v>
      </c>
      <c r="AJ486" t="s">
        <v>42</v>
      </c>
      <c r="AK486" t="s">
        <v>42</v>
      </c>
      <c r="AL486" t="s">
        <v>42</v>
      </c>
      <c r="AM486" t="s">
        <v>42</v>
      </c>
      <c r="AN486" t="s">
        <v>42</v>
      </c>
      <c r="AO486" t="s">
        <v>42</v>
      </c>
      <c r="AP486" t="s">
        <v>42</v>
      </c>
      <c r="AQ486" t="s">
        <v>42</v>
      </c>
      <c r="AR486" t="s">
        <v>42</v>
      </c>
      <c r="AS486" t="s">
        <v>42</v>
      </c>
      <c r="AT486" t="s">
        <v>42</v>
      </c>
      <c r="AU486" t="s">
        <v>42</v>
      </c>
      <c r="AV486" t="s">
        <v>42</v>
      </c>
      <c r="AW486" t="s">
        <v>42</v>
      </c>
      <c r="AX486" t="s">
        <v>42</v>
      </c>
      <c r="AY486" t="s">
        <v>42</v>
      </c>
      <c r="AZ486" t="s">
        <v>42</v>
      </c>
      <c r="BA486" s="4" t="str">
        <f>HYPERLINK("http://exon.niaid.nih.gov/transcriptome/C_felis/S1/links/SWISSP/cf-contig_599-SWISSP.txt","ER-localized J domain-containing protein 5")</f>
        <v>ER-localized J domain-containing protein 5</v>
      </c>
      <c r="BB486" t="str">
        <f>HYPERLINK("http://www.uniprot.org/uniprot/P43613","18")</f>
        <v>18</v>
      </c>
      <c r="BC486" t="s">
        <v>3872</v>
      </c>
      <c r="BD486">
        <v>28.1</v>
      </c>
      <c r="BE486">
        <v>22</v>
      </c>
      <c r="BF486">
        <v>295</v>
      </c>
      <c r="BG486">
        <v>47</v>
      </c>
      <c r="BH486">
        <v>8</v>
      </c>
      <c r="BI486">
        <v>12</v>
      </c>
      <c r="BJ486">
        <v>0</v>
      </c>
      <c r="BK486">
        <v>15</v>
      </c>
      <c r="BL486">
        <v>11</v>
      </c>
      <c r="BM486">
        <v>1</v>
      </c>
      <c r="BN486">
        <v>2</v>
      </c>
      <c r="BO486" t="s">
        <v>12</v>
      </c>
      <c r="BQ486" t="s">
        <v>1676</v>
      </c>
      <c r="BR486" t="s">
        <v>1796</v>
      </c>
      <c r="BS486" s="4" t="str">
        <f>HYPERLINK("http://exon.niaid.nih.gov/transcriptome/C_felis/S1/links/CDD/cf-contig_599-CDD.txt","COX2")</f>
        <v>COX2</v>
      </c>
      <c r="BT486" t="str">
        <f>HYPERLINK("http://www.ncbi.nlm.nih.gov/Structure/cdd/cddsrv.cgi?uid=MTH00154&amp;version=v4.0","1.3")</f>
        <v>1.3</v>
      </c>
      <c r="BU486" t="s">
        <v>3873</v>
      </c>
      <c r="BV486" s="4" t="s">
        <v>42</v>
      </c>
      <c r="BW486" t="s">
        <v>42</v>
      </c>
      <c r="BX486" t="s">
        <v>42</v>
      </c>
      <c r="BY486" t="s">
        <v>42</v>
      </c>
      <c r="BZ486" t="s">
        <v>42</v>
      </c>
      <c r="CA486" t="s">
        <v>42</v>
      </c>
      <c r="CB486" t="s">
        <v>42</v>
      </c>
      <c r="CC486" t="s">
        <v>42</v>
      </c>
      <c r="CD486" t="s">
        <v>42</v>
      </c>
      <c r="CE486" t="s">
        <v>42</v>
      </c>
      <c r="CF486" t="s">
        <v>42</v>
      </c>
      <c r="CG486" t="s">
        <v>42</v>
      </c>
      <c r="CH486" t="s">
        <v>42</v>
      </c>
      <c r="CI486" t="s">
        <v>42</v>
      </c>
      <c r="CJ486" t="s">
        <v>42</v>
      </c>
      <c r="CK486" t="s">
        <v>42</v>
      </c>
      <c r="CL486" t="s">
        <v>42</v>
      </c>
      <c r="CM486" t="s">
        <v>42</v>
      </c>
      <c r="CN486" t="s">
        <v>42</v>
      </c>
      <c r="CO486" t="s">
        <v>42</v>
      </c>
      <c r="CP486" t="s">
        <v>42</v>
      </c>
      <c r="CQ486" t="s">
        <v>42</v>
      </c>
      <c r="CR486" t="s">
        <v>42</v>
      </c>
      <c r="CS486" s="4" t="str">
        <f>HYPERLINK("http://exon.niaid.nih.gov/transcriptome/C_felis/S1/links/KOG/cf-contig_599-KOG.txt","Uncharacterized conserved protein")</f>
        <v>Uncharacterized conserved protein</v>
      </c>
      <c r="CT486" t="str">
        <f>HYPERLINK("http://www.ncbi.nlm.nih.gov/COG/grace/shokog.cgi?KOG3012","0.47")</f>
        <v>0.47</v>
      </c>
      <c r="CU486" t="s">
        <v>1711</v>
      </c>
      <c r="CV486" s="4" t="str">
        <f>HYPERLINK("http://exon.niaid.nih.gov/transcriptome/C_felis/S1/links/PFAM/cf-contig_599-PFAM.txt","DUF3430")</f>
        <v>DUF3430</v>
      </c>
      <c r="CW486" t="str">
        <f>HYPERLINK("http://pfam.sanger.ac.uk/family?acc=PF11912","2.5")</f>
        <v>2.5</v>
      </c>
      <c r="CX486" s="4" t="str">
        <f>HYPERLINK("http://exon.niaid.nih.gov/transcriptome/C_felis/S1/links/SMART/cf-contig_599-SMART.txt","Piwi")</f>
        <v>Piwi</v>
      </c>
      <c r="CY486" t="str">
        <f>HYPERLINK("http://smart.embl-heidelberg.de/smart/do_annotation.pl?DOMAIN=Piwi&amp;BLAST=DUMMY","0.87")</f>
        <v>0.87</v>
      </c>
      <c r="CZ486" s="4" t="s">
        <v>42</v>
      </c>
      <c r="DA486" t="s">
        <v>42</v>
      </c>
      <c r="DB486" t="s">
        <v>42</v>
      </c>
      <c r="DC486" t="s">
        <v>42</v>
      </c>
      <c r="DD486" t="s">
        <v>42</v>
      </c>
      <c r="DE486" t="s">
        <v>42</v>
      </c>
      <c r="DF486" t="s">
        <v>42</v>
      </c>
      <c r="DG486" t="s">
        <v>42</v>
      </c>
      <c r="DH486" s="4" t="s">
        <v>42</v>
      </c>
      <c r="DI486" t="s">
        <v>42</v>
      </c>
      <c r="DJ486" s="4" t="s">
        <v>42</v>
      </c>
      <c r="DK486" t="s">
        <v>42</v>
      </c>
      <c r="DL486" s="4">
        <f>HYPERLINK("http://exon.niaid.nih.gov/transcriptome/C_felis/S1/links/cluster/cf-5-36-asb30-50-Id-CLU77.txt", 77)</f>
        <v>77</v>
      </c>
      <c r="DM486">
        <f>HYPERLINK("http://exon.niaid.nih.gov/transcriptome/C_felis/S1/links/cluster/cf-5-36-asb30-50-Id-CLTL77.txt", 2)</f>
        <v>2</v>
      </c>
      <c r="DN486" s="4">
        <f>HYPERLINK("http://exon.niaid.nih.gov/transcriptome/C_felis/S1/links/cluster/cf-5-36-asb35-50-Id-CLU69.txt", 69)</f>
        <v>69</v>
      </c>
      <c r="DO486">
        <f>HYPERLINK("http://exon.niaid.nih.gov/transcriptome/C_felis/S1/links/cluster/cf-5-36-asb35-50-Id-CLTL69.txt", 2)</f>
        <v>2</v>
      </c>
      <c r="DP486" s="4">
        <v>508</v>
      </c>
      <c r="DQ486">
        <v>1</v>
      </c>
      <c r="DR486" s="4">
        <v>527</v>
      </c>
      <c r="DS486">
        <v>1</v>
      </c>
      <c r="DT486" s="4">
        <v>539</v>
      </c>
      <c r="DU486">
        <v>1</v>
      </c>
      <c r="DV486" s="4">
        <v>553</v>
      </c>
      <c r="DW486">
        <v>1</v>
      </c>
      <c r="DX486" s="4">
        <v>562</v>
      </c>
      <c r="DY486">
        <v>1</v>
      </c>
      <c r="DZ486" s="4">
        <v>570</v>
      </c>
      <c r="EA486">
        <v>1</v>
      </c>
      <c r="EB486" s="4">
        <v>575</v>
      </c>
      <c r="EC486">
        <v>1</v>
      </c>
      <c r="ED486" s="4">
        <v>579</v>
      </c>
      <c r="EE486">
        <v>1</v>
      </c>
      <c r="EF486" s="4">
        <v>585</v>
      </c>
      <c r="EG486">
        <v>1</v>
      </c>
      <c r="EH486" s="4">
        <v>592</v>
      </c>
      <c r="EI486">
        <v>1</v>
      </c>
      <c r="EJ486" s="4">
        <v>599</v>
      </c>
      <c r="EK486">
        <v>1</v>
      </c>
    </row>
    <row r="487" spans="1:141" x14ac:dyDescent="0.2">
      <c r="A487" t="str">
        <f>HYPERLINK("http://exon.niaid.nih.gov/transcriptome/C_felis/S1/links/cf/cf-contig_613.txt","cf-contig_613")</f>
        <v>cf-contig_613</v>
      </c>
      <c r="B487">
        <v>1</v>
      </c>
      <c r="C487" s="10" t="s">
        <v>4600</v>
      </c>
      <c r="D487">
        <v>1</v>
      </c>
      <c r="E487" t="str">
        <f>HYPERLINK("http://exon.niaid.nih.gov/transcriptome/C_felis/S1/links/cf/cf-5-36-asb-613.txt","Contig-613")</f>
        <v>Contig-613</v>
      </c>
      <c r="F487" t="str">
        <f>HYPERLINK("http://exon.niaid.nih.gov/transcriptome/C_felis/S1/links/cf/cf-5-36-613-CLU.txt","Contig613")</f>
        <v>Contig613</v>
      </c>
      <c r="G487" t="str">
        <f>HYPERLINK("http://exon.niaid.nih.gov/transcriptome/C_felis/S1/links/cf/cf-5-36-613-qual.txt","49.3")</f>
        <v>49.3</v>
      </c>
      <c r="H487">
        <v>1</v>
      </c>
      <c r="I487">
        <v>75</v>
      </c>
      <c r="J487">
        <v>85</v>
      </c>
      <c r="K487" t="s">
        <v>12</v>
      </c>
      <c r="L487">
        <v>1</v>
      </c>
      <c r="M487" t="s">
        <v>626</v>
      </c>
      <c r="N487">
        <v>85</v>
      </c>
      <c r="O487">
        <v>104</v>
      </c>
      <c r="P487">
        <v>66</v>
      </c>
      <c r="Q487" t="s">
        <v>1432</v>
      </c>
      <c r="R487">
        <v>2</v>
      </c>
      <c r="S487" s="7" t="s">
        <v>4585</v>
      </c>
      <c r="U487">
        <v>1</v>
      </c>
      <c r="V487" s="4">
        <v>499</v>
      </c>
      <c r="W487">
        <v>1</v>
      </c>
      <c r="X487" s="4">
        <v>511</v>
      </c>
      <c r="Y487">
        <v>1</v>
      </c>
      <c r="Z487" s="4">
        <v>521</v>
      </c>
      <c r="AA487">
        <v>1</v>
      </c>
      <c r="AB487" s="4" t="str">
        <f>HYPERLINK("http://exon.niaid.nih.gov/transcriptome/C_felis/S1/links/XC-ASB/cf-contig_613-XC-ASB.txt","XC-contig_103")</f>
        <v>XC-contig_103</v>
      </c>
      <c r="AC487">
        <v>0.51</v>
      </c>
      <c r="AD487" s="10" t="s">
        <v>4600</v>
      </c>
      <c r="AE487" t="s">
        <v>4601</v>
      </c>
      <c r="AI487" s="4" t="s">
        <v>42</v>
      </c>
      <c r="AJ487" t="s">
        <v>42</v>
      </c>
      <c r="AK487" t="s">
        <v>42</v>
      </c>
      <c r="AL487" t="s">
        <v>42</v>
      </c>
      <c r="AM487" t="s">
        <v>42</v>
      </c>
      <c r="AN487" t="s">
        <v>42</v>
      </c>
      <c r="AO487" t="s">
        <v>42</v>
      </c>
      <c r="AP487" t="s">
        <v>42</v>
      </c>
      <c r="AQ487" t="s">
        <v>42</v>
      </c>
      <c r="AR487" t="s">
        <v>42</v>
      </c>
      <c r="AS487" t="s">
        <v>42</v>
      </c>
      <c r="AT487" t="s">
        <v>42</v>
      </c>
      <c r="AU487" t="s">
        <v>42</v>
      </c>
      <c r="AV487" t="s">
        <v>42</v>
      </c>
      <c r="AW487" t="s">
        <v>42</v>
      </c>
      <c r="AX487" t="s">
        <v>42</v>
      </c>
      <c r="AY487" t="s">
        <v>42</v>
      </c>
      <c r="AZ487" t="s">
        <v>42</v>
      </c>
      <c r="BA487" s="4" t="s">
        <v>42</v>
      </c>
      <c r="BB487" t="s">
        <v>42</v>
      </c>
      <c r="BC487" t="s">
        <v>42</v>
      </c>
      <c r="BD487" t="s">
        <v>42</v>
      </c>
      <c r="BE487" t="s">
        <v>42</v>
      </c>
      <c r="BF487" t="s">
        <v>42</v>
      </c>
      <c r="BG487" t="s">
        <v>42</v>
      </c>
      <c r="BH487" t="s">
        <v>42</v>
      </c>
      <c r="BI487" t="s">
        <v>42</v>
      </c>
      <c r="BJ487" t="s">
        <v>42</v>
      </c>
      <c r="BK487" t="s">
        <v>42</v>
      </c>
      <c r="BL487" t="s">
        <v>42</v>
      </c>
      <c r="BM487" t="s">
        <v>42</v>
      </c>
      <c r="BN487" t="s">
        <v>42</v>
      </c>
      <c r="BO487" t="s">
        <v>42</v>
      </c>
      <c r="BP487" t="s">
        <v>42</v>
      </c>
      <c r="BQ487" t="s">
        <v>42</v>
      </c>
      <c r="BR487" t="s">
        <v>42</v>
      </c>
      <c r="BS487" s="4" t="s">
        <v>42</v>
      </c>
      <c r="BT487" t="s">
        <v>42</v>
      </c>
      <c r="BU487" t="s">
        <v>42</v>
      </c>
      <c r="BV487" s="4" t="s">
        <v>42</v>
      </c>
      <c r="BW487" t="s">
        <v>42</v>
      </c>
      <c r="BX487" t="s">
        <v>42</v>
      </c>
      <c r="BY487" t="s">
        <v>42</v>
      </c>
      <c r="BZ487" t="s">
        <v>42</v>
      </c>
      <c r="CA487" t="s">
        <v>42</v>
      </c>
      <c r="CB487" t="s">
        <v>42</v>
      </c>
      <c r="CC487" t="s">
        <v>42</v>
      </c>
      <c r="CD487" t="s">
        <v>42</v>
      </c>
      <c r="CE487" t="s">
        <v>42</v>
      </c>
      <c r="CF487" t="s">
        <v>42</v>
      </c>
      <c r="CG487" t="s">
        <v>42</v>
      </c>
      <c r="CH487" t="s">
        <v>42</v>
      </c>
      <c r="CI487" t="s">
        <v>42</v>
      </c>
      <c r="CJ487" t="s">
        <v>42</v>
      </c>
      <c r="CK487" t="s">
        <v>42</v>
      </c>
      <c r="CL487" t="s">
        <v>42</v>
      </c>
      <c r="CM487" t="s">
        <v>42</v>
      </c>
      <c r="CN487" t="s">
        <v>42</v>
      </c>
      <c r="CO487" t="s">
        <v>42</v>
      </c>
      <c r="CP487" t="s">
        <v>42</v>
      </c>
      <c r="CQ487" t="s">
        <v>42</v>
      </c>
      <c r="CR487" t="s">
        <v>42</v>
      </c>
      <c r="CS487" s="4" t="str">
        <f>HYPERLINK("http://exon.niaid.nih.gov/transcriptome/C_felis/S1/links/KOG/cf-contig_613-KOG.txt","ATP-dependent DNA ligase IV")</f>
        <v>ATP-dependent DNA ligase IV</v>
      </c>
      <c r="CT487" t="str">
        <f>HYPERLINK("http://www.ncbi.nlm.nih.gov/COG/grace/shokog.cgi?KOG0966","1.2")</f>
        <v>1.2</v>
      </c>
      <c r="CU487" t="s">
        <v>2520</v>
      </c>
      <c r="CV487" s="4" t="str">
        <f>HYPERLINK("http://exon.niaid.nih.gov/transcriptome/C_felis/S1/links/PFAM/cf-contig_613-PFAM.txt","Peptidase_C6")</f>
        <v>Peptidase_C6</v>
      </c>
      <c r="CW487" t="str">
        <f>HYPERLINK("http://pfam.sanger.ac.uk/family?acc=PF00851","5.1")</f>
        <v>5.1</v>
      </c>
      <c r="CX487" s="4" t="str">
        <f>HYPERLINK("http://exon.niaid.nih.gov/transcriptome/C_felis/S1/links/SMART/cf-contig_613-SMART.txt","TR_FER")</f>
        <v>TR_FER</v>
      </c>
      <c r="CY487" t="str">
        <f>HYPERLINK("http://smart.embl-heidelberg.de/smart/do_annotation.pl?DOMAIN=TR_FER&amp;BLAST=DUMMY","2.3")</f>
        <v>2.3</v>
      </c>
      <c r="CZ487" s="4" t="s">
        <v>42</v>
      </c>
      <c r="DA487" t="s">
        <v>42</v>
      </c>
      <c r="DB487" t="s">
        <v>42</v>
      </c>
      <c r="DC487" t="s">
        <v>42</v>
      </c>
      <c r="DD487" t="s">
        <v>42</v>
      </c>
      <c r="DE487" t="s">
        <v>42</v>
      </c>
      <c r="DF487" t="s">
        <v>42</v>
      </c>
      <c r="DG487" t="s">
        <v>42</v>
      </c>
      <c r="DH487" s="4" t="s">
        <v>42</v>
      </c>
      <c r="DI487" t="s">
        <v>42</v>
      </c>
      <c r="DJ487" s="4" t="s">
        <v>42</v>
      </c>
      <c r="DK487" t="s">
        <v>42</v>
      </c>
      <c r="DL487" s="4">
        <v>499</v>
      </c>
      <c r="DM487">
        <v>1</v>
      </c>
      <c r="DN487" s="4">
        <v>511</v>
      </c>
      <c r="DO487">
        <v>1</v>
      </c>
      <c r="DP487" s="4">
        <v>521</v>
      </c>
      <c r="DQ487">
        <v>1</v>
      </c>
      <c r="DR487" s="4">
        <v>540</v>
      </c>
      <c r="DS487">
        <v>1</v>
      </c>
      <c r="DT487" s="4">
        <v>552</v>
      </c>
      <c r="DU487">
        <v>1</v>
      </c>
      <c r="DV487" s="4">
        <v>566</v>
      </c>
      <c r="DW487">
        <v>1</v>
      </c>
      <c r="DX487" s="4">
        <v>575</v>
      </c>
      <c r="DY487">
        <v>1</v>
      </c>
      <c r="DZ487" s="4">
        <v>583</v>
      </c>
      <c r="EA487">
        <v>1</v>
      </c>
      <c r="EB487" s="4">
        <v>588</v>
      </c>
      <c r="EC487">
        <v>1</v>
      </c>
      <c r="ED487" s="4">
        <v>592</v>
      </c>
      <c r="EE487">
        <v>1</v>
      </c>
      <c r="EF487" s="4">
        <v>598</v>
      </c>
      <c r="EG487">
        <v>1</v>
      </c>
      <c r="EH487" s="4">
        <v>606</v>
      </c>
      <c r="EI487">
        <v>1</v>
      </c>
      <c r="EJ487" s="4">
        <v>613</v>
      </c>
      <c r="EK487">
        <v>1</v>
      </c>
    </row>
    <row r="488" spans="1:141" x14ac:dyDescent="0.2">
      <c r="A488" t="str">
        <f>HYPERLINK("http://exon.niaid.nih.gov/transcriptome/C_felis/S1/links/cf/cf-contig_614.txt","cf-contig_614")</f>
        <v>cf-contig_614</v>
      </c>
      <c r="B488">
        <v>1</v>
      </c>
      <c r="C488" s="10" t="s">
        <v>4600</v>
      </c>
      <c r="D488">
        <v>1</v>
      </c>
      <c r="E488" t="str">
        <f>HYPERLINK("http://exon.niaid.nih.gov/transcriptome/C_felis/S1/links/cf/cf-5-36-asb-614.txt","Contig-614")</f>
        <v>Contig-614</v>
      </c>
      <c r="F488" t="str">
        <f>HYPERLINK("http://exon.niaid.nih.gov/transcriptome/C_felis/S1/links/cf/cf-5-36-614-CLU.txt","Contig614")</f>
        <v>Contig614</v>
      </c>
      <c r="G488" t="str">
        <f>HYPERLINK("http://exon.niaid.nih.gov/transcriptome/C_felis/S1/links/cf/cf-5-36-614-qual.txt","46.")</f>
        <v>46.</v>
      </c>
      <c r="H488" t="s">
        <v>11</v>
      </c>
      <c r="I488">
        <v>83.6</v>
      </c>
      <c r="J488">
        <v>42</v>
      </c>
      <c r="K488" t="s">
        <v>12</v>
      </c>
      <c r="L488">
        <v>1</v>
      </c>
      <c r="M488" t="s">
        <v>627</v>
      </c>
      <c r="N488">
        <v>42</v>
      </c>
      <c r="O488">
        <v>61</v>
      </c>
      <c r="P488">
        <v>39</v>
      </c>
      <c r="Q488" t="s">
        <v>1433</v>
      </c>
      <c r="R488">
        <v>2</v>
      </c>
      <c r="S488" s="7" t="s">
        <v>4585</v>
      </c>
      <c r="U488">
        <v>1</v>
      </c>
      <c r="V488" s="4">
        <v>500</v>
      </c>
      <c r="W488">
        <v>1</v>
      </c>
      <c r="X488" s="4">
        <v>512</v>
      </c>
      <c r="Y488">
        <v>1</v>
      </c>
      <c r="Z488" s="4">
        <v>522</v>
      </c>
      <c r="AA488">
        <v>1</v>
      </c>
      <c r="AB488" s="4" t="str">
        <f>HYPERLINK("http://exon.niaid.nih.gov/transcriptome/C_felis/S1/links/XC-ASB/cf-contig_614-XC-ASB.txt","XC-contig_234")</f>
        <v>XC-contig_234</v>
      </c>
      <c r="AC488">
        <v>1.1000000000000001</v>
      </c>
      <c r="AD488" s="10" t="s">
        <v>4600</v>
      </c>
      <c r="AE488" t="s">
        <v>4601</v>
      </c>
      <c r="AI488" s="4" t="s">
        <v>42</v>
      </c>
      <c r="AJ488" t="s">
        <v>42</v>
      </c>
      <c r="AK488" t="s">
        <v>42</v>
      </c>
      <c r="AL488" t="s">
        <v>42</v>
      </c>
      <c r="AM488" t="s">
        <v>42</v>
      </c>
      <c r="AN488" t="s">
        <v>42</v>
      </c>
      <c r="AO488" t="s">
        <v>42</v>
      </c>
      <c r="AP488" t="s">
        <v>42</v>
      </c>
      <c r="AQ488" t="s">
        <v>42</v>
      </c>
      <c r="AR488" t="s">
        <v>42</v>
      </c>
      <c r="AS488" t="s">
        <v>42</v>
      </c>
      <c r="AT488" t="s">
        <v>42</v>
      </c>
      <c r="AU488" t="s">
        <v>42</v>
      </c>
      <c r="AV488" t="s">
        <v>42</v>
      </c>
      <c r="AW488" t="s">
        <v>42</v>
      </c>
      <c r="AX488" t="s">
        <v>42</v>
      </c>
      <c r="AY488" t="s">
        <v>42</v>
      </c>
      <c r="AZ488" t="s">
        <v>42</v>
      </c>
      <c r="BA488" s="4" t="s">
        <v>42</v>
      </c>
      <c r="BB488" t="s">
        <v>42</v>
      </c>
      <c r="BC488" t="s">
        <v>42</v>
      </c>
      <c r="BD488" t="s">
        <v>42</v>
      </c>
      <c r="BE488" t="s">
        <v>42</v>
      </c>
      <c r="BF488" t="s">
        <v>42</v>
      </c>
      <c r="BG488" t="s">
        <v>42</v>
      </c>
      <c r="BH488" t="s">
        <v>42</v>
      </c>
      <c r="BI488" t="s">
        <v>42</v>
      </c>
      <c r="BJ488" t="s">
        <v>42</v>
      </c>
      <c r="BK488" t="s">
        <v>42</v>
      </c>
      <c r="BL488" t="s">
        <v>42</v>
      </c>
      <c r="BM488" t="s">
        <v>42</v>
      </c>
      <c r="BN488" t="s">
        <v>42</v>
      </c>
      <c r="BO488" t="s">
        <v>42</v>
      </c>
      <c r="BP488" t="s">
        <v>42</v>
      </c>
      <c r="BQ488" t="s">
        <v>42</v>
      </c>
      <c r="BR488" t="s">
        <v>42</v>
      </c>
      <c r="BS488" s="4" t="s">
        <v>42</v>
      </c>
      <c r="BT488" t="s">
        <v>42</v>
      </c>
      <c r="BU488" t="s">
        <v>42</v>
      </c>
      <c r="BV488" s="4" t="s">
        <v>42</v>
      </c>
      <c r="BW488" t="s">
        <v>42</v>
      </c>
      <c r="BX488" t="s">
        <v>42</v>
      </c>
      <c r="BY488" t="s">
        <v>42</v>
      </c>
      <c r="BZ488" t="s">
        <v>42</v>
      </c>
      <c r="CA488" t="s">
        <v>42</v>
      </c>
      <c r="CB488" t="s">
        <v>42</v>
      </c>
      <c r="CC488" t="s">
        <v>42</v>
      </c>
      <c r="CD488" t="s">
        <v>42</v>
      </c>
      <c r="CE488" t="s">
        <v>42</v>
      </c>
      <c r="CF488" t="s">
        <v>42</v>
      </c>
      <c r="CG488" t="s">
        <v>42</v>
      </c>
      <c r="CH488" t="s">
        <v>42</v>
      </c>
      <c r="CI488" t="s">
        <v>42</v>
      </c>
      <c r="CJ488" t="s">
        <v>42</v>
      </c>
      <c r="CK488" t="s">
        <v>42</v>
      </c>
      <c r="CL488" t="s">
        <v>42</v>
      </c>
      <c r="CM488" t="s">
        <v>42</v>
      </c>
      <c r="CN488" t="s">
        <v>42</v>
      </c>
      <c r="CO488" t="s">
        <v>42</v>
      </c>
      <c r="CP488" t="s">
        <v>42</v>
      </c>
      <c r="CQ488" t="s">
        <v>42</v>
      </c>
      <c r="CR488" t="s">
        <v>42</v>
      </c>
      <c r="CS488" s="4" t="s">
        <v>42</v>
      </c>
      <c r="CT488" t="s">
        <v>42</v>
      </c>
      <c r="CU488" t="s">
        <v>42</v>
      </c>
      <c r="CV488" s="4" t="str">
        <f>HYPERLINK("http://exon.niaid.nih.gov/transcriptome/C_felis/S1/links/PFAM/cf-contig_614-PFAM.txt","Bet_v_1")</f>
        <v>Bet_v_1</v>
      </c>
      <c r="CW488" t="str">
        <f>HYPERLINK("http://pfam.sanger.ac.uk/family?acc=PF00407","7.6")</f>
        <v>7.6</v>
      </c>
      <c r="CX488" s="4" t="str">
        <f>HYPERLINK("http://exon.niaid.nih.gov/transcriptome/C_felis/S1/links/SMART/cf-contig_614-SMART.txt","Bet_v_1")</f>
        <v>Bet_v_1</v>
      </c>
      <c r="CY488" t="str">
        <f>HYPERLINK("http://smart.embl-heidelberg.de/smart/do_annotation.pl?DOMAIN=Bet_v_1&amp;BLAST=DUMMY","0.55")</f>
        <v>0.55</v>
      </c>
      <c r="CZ488" s="4" t="s">
        <v>42</v>
      </c>
      <c r="DA488" t="s">
        <v>42</v>
      </c>
      <c r="DB488" t="s">
        <v>42</v>
      </c>
      <c r="DC488" t="s">
        <v>42</v>
      </c>
      <c r="DD488" t="s">
        <v>42</v>
      </c>
      <c r="DE488" t="s">
        <v>42</v>
      </c>
      <c r="DF488" t="s">
        <v>42</v>
      </c>
      <c r="DG488" t="s">
        <v>42</v>
      </c>
      <c r="DH488" s="4" t="s">
        <v>42</v>
      </c>
      <c r="DI488" t="s">
        <v>42</v>
      </c>
      <c r="DJ488" s="4" t="s">
        <v>42</v>
      </c>
      <c r="DK488" t="s">
        <v>42</v>
      </c>
      <c r="DL488" s="4">
        <v>500</v>
      </c>
      <c r="DM488">
        <v>1</v>
      </c>
      <c r="DN488" s="4">
        <v>512</v>
      </c>
      <c r="DO488">
        <v>1</v>
      </c>
      <c r="DP488" s="4">
        <v>522</v>
      </c>
      <c r="DQ488">
        <v>1</v>
      </c>
      <c r="DR488" s="4">
        <v>541</v>
      </c>
      <c r="DS488">
        <v>1</v>
      </c>
      <c r="DT488" s="4">
        <v>553</v>
      </c>
      <c r="DU488">
        <v>1</v>
      </c>
      <c r="DV488" s="4">
        <v>567</v>
      </c>
      <c r="DW488">
        <v>1</v>
      </c>
      <c r="DX488" s="4">
        <v>576</v>
      </c>
      <c r="DY488">
        <v>1</v>
      </c>
      <c r="DZ488" s="4">
        <v>584</v>
      </c>
      <c r="EA488">
        <v>1</v>
      </c>
      <c r="EB488" s="4">
        <v>589</v>
      </c>
      <c r="EC488">
        <v>1</v>
      </c>
      <c r="ED488" s="4">
        <v>593</v>
      </c>
      <c r="EE488">
        <v>1</v>
      </c>
      <c r="EF488" s="4">
        <v>599</v>
      </c>
      <c r="EG488">
        <v>1</v>
      </c>
      <c r="EH488" s="4">
        <v>607</v>
      </c>
      <c r="EI488">
        <v>1</v>
      </c>
      <c r="EJ488" s="4">
        <v>614</v>
      </c>
      <c r="EK488">
        <v>1</v>
      </c>
    </row>
    <row r="489" spans="1:141" x14ac:dyDescent="0.2">
      <c r="A489" t="str">
        <f>HYPERLINK("http://exon.niaid.nih.gov/transcriptome/C_felis/S1/links/cf/cf-contig_618.txt","cf-contig_618")</f>
        <v>cf-contig_618</v>
      </c>
      <c r="B489">
        <v>1</v>
      </c>
      <c r="C489" s="10" t="s">
        <v>4600</v>
      </c>
      <c r="D489">
        <v>1</v>
      </c>
      <c r="E489" t="str">
        <f>HYPERLINK("http://exon.niaid.nih.gov/transcriptome/C_felis/S1/links/cf/cf-5-36-asb-618.txt","Contig-618")</f>
        <v>Contig-618</v>
      </c>
      <c r="F489" t="str">
        <f>HYPERLINK("http://exon.niaid.nih.gov/transcriptome/C_felis/S1/links/cf/cf-5-36-618-CLU.txt","Contig618")</f>
        <v>Contig618</v>
      </c>
      <c r="G489" t="str">
        <f>HYPERLINK("http://exon.niaid.nih.gov/transcriptome/C_felis/S1/links/cf/cf-5-36-618-qual.txt","40.6")</f>
        <v>40.6</v>
      </c>
      <c r="H489" t="s">
        <v>11</v>
      </c>
      <c r="I489">
        <v>84.3</v>
      </c>
      <c r="J489">
        <v>51</v>
      </c>
      <c r="K489" t="s">
        <v>12</v>
      </c>
      <c r="L489">
        <v>1</v>
      </c>
      <c r="M489" t="s">
        <v>631</v>
      </c>
      <c r="N489">
        <v>51</v>
      </c>
      <c r="O489">
        <v>70</v>
      </c>
      <c r="P489">
        <v>36</v>
      </c>
      <c r="Q489" t="s">
        <v>1437</v>
      </c>
      <c r="R489">
        <v>1</v>
      </c>
      <c r="S489" s="7" t="s">
        <v>4585</v>
      </c>
      <c r="U489">
        <v>1</v>
      </c>
      <c r="V489" s="4">
        <v>504</v>
      </c>
      <c r="W489">
        <v>1</v>
      </c>
      <c r="X489" s="4">
        <v>516</v>
      </c>
      <c r="Y489">
        <v>1</v>
      </c>
      <c r="Z489" s="4">
        <v>526</v>
      </c>
      <c r="AA489">
        <v>1</v>
      </c>
      <c r="AB489" s="4" t="str">
        <f>HYPERLINK("http://exon.niaid.nih.gov/transcriptome/C_felis/S1/links/XC-ASB/cf-contig_618-XC-ASB.txt","XC-contig_71")</f>
        <v>XC-contig_71</v>
      </c>
      <c r="AC489">
        <v>0.19</v>
      </c>
      <c r="AD489" s="10" t="s">
        <v>4600</v>
      </c>
      <c r="AE489" t="s">
        <v>4601</v>
      </c>
      <c r="AI489" s="4" t="s">
        <v>42</v>
      </c>
      <c r="AJ489" t="s">
        <v>42</v>
      </c>
      <c r="AK489" t="s">
        <v>42</v>
      </c>
      <c r="AL489" t="s">
        <v>42</v>
      </c>
      <c r="AM489" t="s">
        <v>42</v>
      </c>
      <c r="AN489" t="s">
        <v>42</v>
      </c>
      <c r="AO489" t="s">
        <v>42</v>
      </c>
      <c r="AP489" t="s">
        <v>42</v>
      </c>
      <c r="AQ489" t="s">
        <v>42</v>
      </c>
      <c r="AR489" t="s">
        <v>42</v>
      </c>
      <c r="AS489" t="s">
        <v>42</v>
      </c>
      <c r="AT489" t="s">
        <v>42</v>
      </c>
      <c r="AU489" t="s">
        <v>42</v>
      </c>
      <c r="AV489" t="s">
        <v>42</v>
      </c>
      <c r="AW489" t="s">
        <v>42</v>
      </c>
      <c r="AX489" t="s">
        <v>42</v>
      </c>
      <c r="AY489" t="s">
        <v>42</v>
      </c>
      <c r="AZ489" t="s">
        <v>42</v>
      </c>
      <c r="BA489" s="4" t="s">
        <v>42</v>
      </c>
      <c r="BB489" t="s">
        <v>42</v>
      </c>
      <c r="BC489" t="s">
        <v>42</v>
      </c>
      <c r="BD489" t="s">
        <v>42</v>
      </c>
      <c r="BE489" t="s">
        <v>42</v>
      </c>
      <c r="BF489" t="s">
        <v>42</v>
      </c>
      <c r="BG489" t="s">
        <v>42</v>
      </c>
      <c r="BH489" t="s">
        <v>42</v>
      </c>
      <c r="BI489" t="s">
        <v>42</v>
      </c>
      <c r="BJ489" t="s">
        <v>42</v>
      </c>
      <c r="BK489" t="s">
        <v>42</v>
      </c>
      <c r="BL489" t="s">
        <v>42</v>
      </c>
      <c r="BM489" t="s">
        <v>42</v>
      </c>
      <c r="BN489" t="s">
        <v>42</v>
      </c>
      <c r="BO489" t="s">
        <v>42</v>
      </c>
      <c r="BP489" t="s">
        <v>42</v>
      </c>
      <c r="BQ489" t="s">
        <v>42</v>
      </c>
      <c r="BR489" t="s">
        <v>42</v>
      </c>
      <c r="BS489" s="4" t="str">
        <f>HYPERLINK("http://exon.niaid.nih.gov/transcriptome/C_felis/S1/links/CDD/cf-contig_618-CDD.txt","DUF2418")</f>
        <v>DUF2418</v>
      </c>
      <c r="BT489" t="str">
        <f>HYPERLINK("http://www.ncbi.nlm.nih.gov/Structure/cdd/cddsrv.cgi?uid=pfam10332&amp;version=v4.0","3.9")</f>
        <v>3.9</v>
      </c>
      <c r="BU489" t="s">
        <v>3940</v>
      </c>
      <c r="BV489" s="4" t="s">
        <v>42</v>
      </c>
      <c r="BW489" t="s">
        <v>42</v>
      </c>
      <c r="BX489" t="s">
        <v>42</v>
      </c>
      <c r="BY489" t="s">
        <v>42</v>
      </c>
      <c r="BZ489" t="s">
        <v>42</v>
      </c>
      <c r="CA489" t="s">
        <v>42</v>
      </c>
      <c r="CB489" t="s">
        <v>42</v>
      </c>
      <c r="CC489" t="s">
        <v>42</v>
      </c>
      <c r="CD489" t="s">
        <v>42</v>
      </c>
      <c r="CE489" t="s">
        <v>42</v>
      </c>
      <c r="CF489" t="s">
        <v>42</v>
      </c>
      <c r="CG489" t="s">
        <v>42</v>
      </c>
      <c r="CH489" t="s">
        <v>42</v>
      </c>
      <c r="CI489" t="s">
        <v>42</v>
      </c>
      <c r="CJ489" t="s">
        <v>42</v>
      </c>
      <c r="CK489" t="s">
        <v>42</v>
      </c>
      <c r="CL489" t="s">
        <v>42</v>
      </c>
      <c r="CM489" t="s">
        <v>42</v>
      </c>
      <c r="CN489" t="s">
        <v>42</v>
      </c>
      <c r="CO489" t="s">
        <v>42</v>
      </c>
      <c r="CP489" t="s">
        <v>42</v>
      </c>
      <c r="CQ489" t="s">
        <v>42</v>
      </c>
      <c r="CR489" t="s">
        <v>42</v>
      </c>
      <c r="CS489" s="4" t="str">
        <f>HYPERLINK("http://exon.niaid.nih.gov/transcriptome/C_felis/S1/links/KOG/cf-contig_618-KOG.txt","Alpha-1,2 glucosyltransferase/transcriptional activator")</f>
        <v>Alpha-1,2 glucosyltransferase/transcriptional activator</v>
      </c>
      <c r="CT489" t="str">
        <f>HYPERLINK("http://www.ncbi.nlm.nih.gov/COG/grace/shokog.cgi?KOG2642","5.6")</f>
        <v>5.6</v>
      </c>
      <c r="CU489" t="s">
        <v>3443</v>
      </c>
      <c r="CV489" s="4" t="str">
        <f>HYPERLINK("http://exon.niaid.nih.gov/transcriptome/C_felis/S1/links/PFAM/cf-contig_618-PFAM.txt","DUF2418")</f>
        <v>DUF2418</v>
      </c>
      <c r="CW489" t="str">
        <f>HYPERLINK("http://pfam.sanger.ac.uk/family?acc=PF10332","0.83")</f>
        <v>0.83</v>
      </c>
      <c r="CX489" s="4" t="str">
        <f>HYPERLINK("http://exon.niaid.nih.gov/transcriptome/C_felis/S1/links/SMART/cf-contig_618-SMART.txt","VKc")</f>
        <v>VKc</v>
      </c>
      <c r="CY489" t="str">
        <f>HYPERLINK("http://smart.embl-heidelberg.de/smart/do_annotation.pl?DOMAIN=VKc&amp;BLAST=DUMMY","2.1")</f>
        <v>2.1</v>
      </c>
      <c r="CZ489" s="4" t="s">
        <v>42</v>
      </c>
      <c r="DA489" t="s">
        <v>42</v>
      </c>
      <c r="DB489" t="s">
        <v>42</v>
      </c>
      <c r="DC489" t="s">
        <v>42</v>
      </c>
      <c r="DD489" t="s">
        <v>42</v>
      </c>
      <c r="DE489" t="s">
        <v>42</v>
      </c>
      <c r="DF489" t="s">
        <v>42</v>
      </c>
      <c r="DG489" t="s">
        <v>42</v>
      </c>
      <c r="DH489" s="4" t="s">
        <v>42</v>
      </c>
      <c r="DI489" t="s">
        <v>42</v>
      </c>
      <c r="DJ489" s="4" t="s">
        <v>42</v>
      </c>
      <c r="DK489" t="s">
        <v>42</v>
      </c>
      <c r="DL489" s="4">
        <v>504</v>
      </c>
      <c r="DM489">
        <v>1</v>
      </c>
      <c r="DN489" s="4">
        <v>516</v>
      </c>
      <c r="DO489">
        <v>1</v>
      </c>
      <c r="DP489" s="4">
        <v>526</v>
      </c>
      <c r="DQ489">
        <v>1</v>
      </c>
      <c r="DR489" s="4">
        <v>545</v>
      </c>
      <c r="DS489">
        <v>1</v>
      </c>
      <c r="DT489" s="4">
        <v>557</v>
      </c>
      <c r="DU489">
        <v>1</v>
      </c>
      <c r="DV489" s="4">
        <v>571</v>
      </c>
      <c r="DW489">
        <v>1</v>
      </c>
      <c r="DX489" s="4">
        <v>580</v>
      </c>
      <c r="DY489">
        <v>1</v>
      </c>
      <c r="DZ489" s="4">
        <v>588</v>
      </c>
      <c r="EA489">
        <v>1</v>
      </c>
      <c r="EB489" s="4">
        <v>593</v>
      </c>
      <c r="EC489">
        <v>1</v>
      </c>
      <c r="ED489" s="4">
        <v>597</v>
      </c>
      <c r="EE489">
        <v>1</v>
      </c>
      <c r="EF489" s="4">
        <v>603</v>
      </c>
      <c r="EG489">
        <v>1</v>
      </c>
      <c r="EH489" s="4">
        <v>611</v>
      </c>
      <c r="EI489">
        <v>1</v>
      </c>
      <c r="EJ489" s="4">
        <v>618</v>
      </c>
      <c r="EK489">
        <v>1</v>
      </c>
    </row>
    <row r="490" spans="1:141" x14ac:dyDescent="0.2">
      <c r="A490" t="str">
        <f>HYPERLINK("http://exon.niaid.nih.gov/transcriptome/C_felis/S1/links/cf/cf-contig_621.txt","cf-contig_621")</f>
        <v>cf-contig_621</v>
      </c>
      <c r="B490">
        <v>1</v>
      </c>
      <c r="C490" s="10" t="s">
        <v>4600</v>
      </c>
      <c r="D490">
        <v>1</v>
      </c>
      <c r="E490" t="str">
        <f>HYPERLINK("http://exon.niaid.nih.gov/transcriptome/C_felis/S1/links/cf/cf-5-36-asb-621.txt","Contig-621")</f>
        <v>Contig-621</v>
      </c>
      <c r="F490" t="str">
        <f>HYPERLINK("http://exon.niaid.nih.gov/transcriptome/C_felis/S1/links/cf/cf-5-36-621-CLU.txt","Contig621")</f>
        <v>Contig621</v>
      </c>
      <c r="G490" t="str">
        <f>HYPERLINK("http://exon.niaid.nih.gov/transcriptome/C_felis/S1/links/cf/cf-5-36-621-qual.txt","46.")</f>
        <v>46.</v>
      </c>
      <c r="H490">
        <v>1</v>
      </c>
      <c r="I490">
        <v>79.599999999999994</v>
      </c>
      <c r="J490">
        <v>79</v>
      </c>
      <c r="K490" t="s">
        <v>12</v>
      </c>
      <c r="L490">
        <v>1</v>
      </c>
      <c r="M490" t="s">
        <v>634</v>
      </c>
      <c r="N490">
        <v>79</v>
      </c>
      <c r="O490">
        <v>98</v>
      </c>
      <c r="P490">
        <v>60</v>
      </c>
      <c r="Q490" t="s">
        <v>1440</v>
      </c>
      <c r="R490">
        <v>2</v>
      </c>
      <c r="S490" s="7" t="s">
        <v>4585</v>
      </c>
      <c r="U490">
        <v>1</v>
      </c>
      <c r="V490" s="4">
        <v>507</v>
      </c>
      <c r="W490">
        <v>1</v>
      </c>
      <c r="X490" s="4">
        <v>519</v>
      </c>
      <c r="Y490">
        <v>1</v>
      </c>
      <c r="Z490" s="4">
        <v>529</v>
      </c>
      <c r="AA490">
        <v>1</v>
      </c>
      <c r="AB490" s="4" t="str">
        <f>HYPERLINK("http://exon.niaid.nih.gov/transcriptome/C_felis/S1/links/XC-ASB/cf-contig_621-XC-ASB.txt","XC-contig_129")</f>
        <v>XC-contig_129</v>
      </c>
      <c r="AC490">
        <v>0.63</v>
      </c>
      <c r="AD490" s="10" t="s">
        <v>4600</v>
      </c>
      <c r="AE490" t="s">
        <v>4601</v>
      </c>
      <c r="AI490" s="4" t="s">
        <v>42</v>
      </c>
      <c r="AJ490" t="s">
        <v>42</v>
      </c>
      <c r="AK490" t="s">
        <v>42</v>
      </c>
      <c r="AL490" t="s">
        <v>42</v>
      </c>
      <c r="AM490" t="s">
        <v>42</v>
      </c>
      <c r="AN490" t="s">
        <v>42</v>
      </c>
      <c r="AO490" t="s">
        <v>42</v>
      </c>
      <c r="AP490" t="s">
        <v>42</v>
      </c>
      <c r="AQ490" t="s">
        <v>42</v>
      </c>
      <c r="AR490" t="s">
        <v>42</v>
      </c>
      <c r="AS490" t="s">
        <v>42</v>
      </c>
      <c r="AT490" t="s">
        <v>42</v>
      </c>
      <c r="AU490" t="s">
        <v>42</v>
      </c>
      <c r="AV490" t="s">
        <v>42</v>
      </c>
      <c r="AW490" t="s">
        <v>42</v>
      </c>
      <c r="AX490" t="s">
        <v>42</v>
      </c>
      <c r="AY490" t="s">
        <v>42</v>
      </c>
      <c r="AZ490" t="s">
        <v>42</v>
      </c>
      <c r="BA490" s="4" t="s">
        <v>42</v>
      </c>
      <c r="BB490" t="s">
        <v>42</v>
      </c>
      <c r="BC490" t="s">
        <v>42</v>
      </c>
      <c r="BD490" t="s">
        <v>42</v>
      </c>
      <c r="BE490" t="s">
        <v>42</v>
      </c>
      <c r="BF490" t="s">
        <v>42</v>
      </c>
      <c r="BG490" t="s">
        <v>42</v>
      </c>
      <c r="BH490" t="s">
        <v>42</v>
      </c>
      <c r="BI490" t="s">
        <v>42</v>
      </c>
      <c r="BJ490" t="s">
        <v>42</v>
      </c>
      <c r="BK490" t="s">
        <v>42</v>
      </c>
      <c r="BL490" t="s">
        <v>42</v>
      </c>
      <c r="BM490" t="s">
        <v>42</v>
      </c>
      <c r="BN490" t="s">
        <v>42</v>
      </c>
      <c r="BO490" t="s">
        <v>42</v>
      </c>
      <c r="BP490" t="s">
        <v>42</v>
      </c>
      <c r="BQ490" t="s">
        <v>42</v>
      </c>
      <c r="BR490" t="s">
        <v>42</v>
      </c>
      <c r="BS490" s="4" t="str">
        <f>HYPERLINK("http://exon.niaid.nih.gov/transcriptome/C_felis/S1/links/CDD/cf-contig_621-CDD.txt","sulfolob_CbsB")</f>
        <v>sulfolob_CbsB</v>
      </c>
      <c r="BT490" t="str">
        <f>HYPERLINK("http://www.ncbi.nlm.nih.gov/Structure/cdd/cddsrv.cgi?uid=TIGR03155&amp;version=v4.0","5.4")</f>
        <v>5.4</v>
      </c>
      <c r="BU490" t="s">
        <v>3946</v>
      </c>
      <c r="BV490" s="4" t="s">
        <v>42</v>
      </c>
      <c r="BW490" t="s">
        <v>42</v>
      </c>
      <c r="BX490" t="s">
        <v>42</v>
      </c>
      <c r="BY490" t="s">
        <v>42</v>
      </c>
      <c r="BZ490" t="s">
        <v>42</v>
      </c>
      <c r="CA490" t="s">
        <v>42</v>
      </c>
      <c r="CB490" t="s">
        <v>42</v>
      </c>
      <c r="CC490" t="s">
        <v>42</v>
      </c>
      <c r="CD490" t="s">
        <v>42</v>
      </c>
      <c r="CE490" t="s">
        <v>42</v>
      </c>
      <c r="CF490" t="s">
        <v>42</v>
      </c>
      <c r="CG490" t="s">
        <v>42</v>
      </c>
      <c r="CH490" t="s">
        <v>42</v>
      </c>
      <c r="CI490" t="s">
        <v>42</v>
      </c>
      <c r="CJ490" t="s">
        <v>42</v>
      </c>
      <c r="CK490" t="s">
        <v>42</v>
      </c>
      <c r="CL490" t="s">
        <v>42</v>
      </c>
      <c r="CM490" t="s">
        <v>42</v>
      </c>
      <c r="CN490" t="s">
        <v>42</v>
      </c>
      <c r="CO490" t="s">
        <v>42</v>
      </c>
      <c r="CP490" t="s">
        <v>42</v>
      </c>
      <c r="CQ490" t="s">
        <v>42</v>
      </c>
      <c r="CR490" t="s">
        <v>42</v>
      </c>
      <c r="CS490" s="4" t="s">
        <v>42</v>
      </c>
      <c r="CT490" t="s">
        <v>42</v>
      </c>
      <c r="CU490" t="s">
        <v>42</v>
      </c>
      <c r="CV490" s="4" t="s">
        <v>42</v>
      </c>
      <c r="CW490" t="s">
        <v>42</v>
      </c>
      <c r="CX490" s="4" t="str">
        <f>HYPERLINK("http://exon.niaid.nih.gov/transcriptome/C_felis/S1/links/SMART/cf-contig_621-SMART.txt","Cg6151-P")</f>
        <v>Cg6151-P</v>
      </c>
      <c r="CY490" t="str">
        <f>HYPERLINK("http://smart.embl-heidelberg.de/smart/do_annotation.pl?DOMAIN=Cg6151-P&amp;BLAST=DUMMY","1.4")</f>
        <v>1.4</v>
      </c>
      <c r="CZ490" s="4" t="s">
        <v>42</v>
      </c>
      <c r="DA490" t="s">
        <v>42</v>
      </c>
      <c r="DB490" t="s">
        <v>42</v>
      </c>
      <c r="DC490" t="s">
        <v>42</v>
      </c>
      <c r="DD490" t="s">
        <v>42</v>
      </c>
      <c r="DE490" t="s">
        <v>42</v>
      </c>
      <c r="DF490" t="s">
        <v>42</v>
      </c>
      <c r="DG490" t="s">
        <v>42</v>
      </c>
      <c r="DH490" s="4" t="s">
        <v>42</v>
      </c>
      <c r="DI490" t="s">
        <v>42</v>
      </c>
      <c r="DJ490" s="4" t="s">
        <v>42</v>
      </c>
      <c r="DK490" t="s">
        <v>42</v>
      </c>
      <c r="DL490" s="4">
        <v>507</v>
      </c>
      <c r="DM490">
        <v>1</v>
      </c>
      <c r="DN490" s="4">
        <v>519</v>
      </c>
      <c r="DO490">
        <v>1</v>
      </c>
      <c r="DP490" s="4">
        <v>529</v>
      </c>
      <c r="DQ490">
        <v>1</v>
      </c>
      <c r="DR490" s="4">
        <v>548</v>
      </c>
      <c r="DS490">
        <v>1</v>
      </c>
      <c r="DT490" s="4">
        <v>560</v>
      </c>
      <c r="DU490">
        <v>1</v>
      </c>
      <c r="DV490" s="4">
        <v>574</v>
      </c>
      <c r="DW490">
        <v>1</v>
      </c>
      <c r="DX490" s="4">
        <v>583</v>
      </c>
      <c r="DY490">
        <v>1</v>
      </c>
      <c r="DZ490" s="4">
        <v>591</v>
      </c>
      <c r="EA490">
        <v>1</v>
      </c>
      <c r="EB490" s="4">
        <v>596</v>
      </c>
      <c r="EC490">
        <v>1</v>
      </c>
      <c r="ED490" s="4">
        <v>600</v>
      </c>
      <c r="EE490">
        <v>1</v>
      </c>
      <c r="EF490" s="4">
        <v>606</v>
      </c>
      <c r="EG490">
        <v>1</v>
      </c>
      <c r="EH490" s="4">
        <v>614</v>
      </c>
      <c r="EI490">
        <v>1</v>
      </c>
      <c r="EJ490" s="4">
        <v>621</v>
      </c>
      <c r="EK490">
        <v>1</v>
      </c>
    </row>
    <row r="491" spans="1:141" x14ac:dyDescent="0.2">
      <c r="A491" t="str">
        <f>HYPERLINK("http://exon.niaid.nih.gov/transcriptome/C_felis/S1/links/cf/cf-contig_624.txt","cf-contig_624")</f>
        <v>cf-contig_624</v>
      </c>
      <c r="B491">
        <v>1</v>
      </c>
      <c r="C491" s="10" t="s">
        <v>4600</v>
      </c>
      <c r="D491">
        <v>1</v>
      </c>
      <c r="E491" t="str">
        <f>HYPERLINK("http://exon.niaid.nih.gov/transcriptome/C_felis/S1/links/cf/cf-5-36-asb-624.txt","Contig-624")</f>
        <v>Contig-624</v>
      </c>
      <c r="F491" t="str">
        <f>HYPERLINK("http://exon.niaid.nih.gov/transcriptome/C_felis/S1/links/cf/cf-5-36-624-CLU.txt","Contig624")</f>
        <v>Contig624</v>
      </c>
      <c r="G491" t="str">
        <f>HYPERLINK("http://exon.niaid.nih.gov/transcriptome/C_felis/S1/links/cf/cf-5-36-624-qual.txt","47.")</f>
        <v>47.</v>
      </c>
      <c r="H491" t="s">
        <v>11</v>
      </c>
      <c r="I491">
        <v>78.2</v>
      </c>
      <c r="J491">
        <v>59</v>
      </c>
      <c r="K491" t="s">
        <v>12</v>
      </c>
      <c r="L491">
        <v>1</v>
      </c>
      <c r="M491" t="s">
        <v>637</v>
      </c>
      <c r="N491">
        <v>59</v>
      </c>
      <c r="O491">
        <v>78</v>
      </c>
      <c r="P491">
        <v>51</v>
      </c>
      <c r="Q491" t="s">
        <v>1443</v>
      </c>
      <c r="R491">
        <v>1</v>
      </c>
      <c r="S491" s="7" t="s">
        <v>4585</v>
      </c>
      <c r="U491">
        <v>1</v>
      </c>
      <c r="V491" s="4">
        <f>HYPERLINK("http://exon.niaid.nih.gov/transcriptome/C_felis/S1/links/cluster/cf-5-36-asb30-50-Id-CLU90.txt", 90)</f>
        <v>90</v>
      </c>
      <c r="W491">
        <f>HYPERLINK("http://exon.niaid.nih.gov/transcriptome/C_felis/S1/links/cluster/cf-5-36-asb30-50-Id-CLTL90.txt", 2)</f>
        <v>2</v>
      </c>
      <c r="X491" s="4">
        <f>HYPERLINK("http://exon.niaid.nih.gov/transcriptome/C_felis/S1/links/cluster/cf-5-36-asb35-50-Id-CLU83.txt", 83)</f>
        <v>83</v>
      </c>
      <c r="Y491">
        <f>HYPERLINK("http://exon.niaid.nih.gov/transcriptome/C_felis/S1/links/cluster/cf-5-36-asb35-50-Id-CLTL83.txt", 2)</f>
        <v>2</v>
      </c>
      <c r="Z491" s="4">
        <f>HYPERLINK("http://exon.niaid.nih.gov/transcriptome/C_felis/S1/links/cluster/cf-5-36-asb40-50-Id-CLU75.txt", 75)</f>
        <v>75</v>
      </c>
      <c r="AA491">
        <f>HYPERLINK("http://exon.niaid.nih.gov/transcriptome/C_felis/S1/links/cluster/cf-5-36-asb40-50-Id-CLTL75.txt", 2)</f>
        <v>2</v>
      </c>
      <c r="AB491" s="4" t="str">
        <f>HYPERLINK("http://exon.niaid.nih.gov/transcriptome/C_felis/S1/links/XC-ASB/cf-contig_624-XC-ASB.txt","XC-contig_223")</f>
        <v>XC-contig_223</v>
      </c>
      <c r="AC491">
        <v>0.19</v>
      </c>
      <c r="AD491" s="10" t="s">
        <v>4600</v>
      </c>
      <c r="AE491" t="s">
        <v>4601</v>
      </c>
      <c r="AI491" s="4" t="s">
        <v>42</v>
      </c>
      <c r="AJ491" t="s">
        <v>42</v>
      </c>
      <c r="AK491" t="s">
        <v>42</v>
      </c>
      <c r="AL491" t="s">
        <v>42</v>
      </c>
      <c r="AM491" t="s">
        <v>42</v>
      </c>
      <c r="AN491" t="s">
        <v>42</v>
      </c>
      <c r="AO491" t="s">
        <v>42</v>
      </c>
      <c r="AP491" t="s">
        <v>42</v>
      </c>
      <c r="AQ491" t="s">
        <v>42</v>
      </c>
      <c r="AR491" t="s">
        <v>42</v>
      </c>
      <c r="AS491" t="s">
        <v>42</v>
      </c>
      <c r="AT491" t="s">
        <v>42</v>
      </c>
      <c r="AU491" t="s">
        <v>42</v>
      </c>
      <c r="AV491" t="s">
        <v>42</v>
      </c>
      <c r="AW491" t="s">
        <v>42</v>
      </c>
      <c r="AX491" t="s">
        <v>42</v>
      </c>
      <c r="AY491" t="s">
        <v>42</v>
      </c>
      <c r="AZ491" t="s">
        <v>42</v>
      </c>
      <c r="BA491" s="4" t="s">
        <v>42</v>
      </c>
      <c r="BB491" t="s">
        <v>42</v>
      </c>
      <c r="BC491" t="s">
        <v>42</v>
      </c>
      <c r="BD491" t="s">
        <v>42</v>
      </c>
      <c r="BE491" t="s">
        <v>42</v>
      </c>
      <c r="BF491" t="s">
        <v>42</v>
      </c>
      <c r="BG491" t="s">
        <v>42</v>
      </c>
      <c r="BH491" t="s">
        <v>42</v>
      </c>
      <c r="BI491" t="s">
        <v>42</v>
      </c>
      <c r="BJ491" t="s">
        <v>42</v>
      </c>
      <c r="BK491" t="s">
        <v>42</v>
      </c>
      <c r="BL491" t="s">
        <v>42</v>
      </c>
      <c r="BM491" t="s">
        <v>42</v>
      </c>
      <c r="BN491" t="s">
        <v>42</v>
      </c>
      <c r="BO491" t="s">
        <v>42</v>
      </c>
      <c r="BP491" t="s">
        <v>42</v>
      </c>
      <c r="BQ491" t="s">
        <v>42</v>
      </c>
      <c r="BR491" t="s">
        <v>42</v>
      </c>
      <c r="BS491" s="4" t="str">
        <f>HYPERLINK("http://exon.niaid.nih.gov/transcriptome/C_felis/S1/links/CDD/cf-contig_624-CDD.txt","PRK04984")</f>
        <v>PRK04984</v>
      </c>
      <c r="BT491" t="str">
        <f>HYPERLINK("http://www.ncbi.nlm.nih.gov/Structure/cdd/cddsrv.cgi?uid=PRK04984&amp;version=v4.0","5.1")</f>
        <v>5.1</v>
      </c>
      <c r="BU491" t="s">
        <v>3961</v>
      </c>
      <c r="BV491" s="4" t="s">
        <v>42</v>
      </c>
      <c r="BW491" t="s">
        <v>42</v>
      </c>
      <c r="BX491" t="s">
        <v>42</v>
      </c>
      <c r="BY491" t="s">
        <v>42</v>
      </c>
      <c r="BZ491" t="s">
        <v>42</v>
      </c>
      <c r="CA491" t="s">
        <v>42</v>
      </c>
      <c r="CB491" t="s">
        <v>42</v>
      </c>
      <c r="CC491" t="s">
        <v>42</v>
      </c>
      <c r="CD491" t="s">
        <v>42</v>
      </c>
      <c r="CE491" t="s">
        <v>42</v>
      </c>
      <c r="CF491" t="s">
        <v>42</v>
      </c>
      <c r="CG491" t="s">
        <v>42</v>
      </c>
      <c r="CH491" t="s">
        <v>42</v>
      </c>
      <c r="CI491" t="s">
        <v>42</v>
      </c>
      <c r="CJ491" t="s">
        <v>42</v>
      </c>
      <c r="CK491" t="s">
        <v>42</v>
      </c>
      <c r="CL491" t="s">
        <v>42</v>
      </c>
      <c r="CM491" t="s">
        <v>42</v>
      </c>
      <c r="CN491" t="s">
        <v>42</v>
      </c>
      <c r="CO491" t="s">
        <v>42</v>
      </c>
      <c r="CP491" t="s">
        <v>42</v>
      </c>
      <c r="CQ491" t="s">
        <v>42</v>
      </c>
      <c r="CR491" t="s">
        <v>42</v>
      </c>
      <c r="CS491" s="4" t="s">
        <v>42</v>
      </c>
      <c r="CT491" t="s">
        <v>42</v>
      </c>
      <c r="CU491" t="s">
        <v>42</v>
      </c>
      <c r="CV491" s="4" t="str">
        <f>HYPERLINK("http://exon.niaid.nih.gov/transcriptome/C_felis/S1/links/PFAM/cf-contig_624-PFAM.txt","Trp_syntA")</f>
        <v>Trp_syntA</v>
      </c>
      <c r="CW491" t="str">
        <f>HYPERLINK("http://pfam.sanger.ac.uk/family?acc=PF00290","7.0")</f>
        <v>7.0</v>
      </c>
      <c r="CX491" s="4" t="str">
        <f>HYPERLINK("http://exon.niaid.nih.gov/transcriptome/C_felis/S1/links/SMART/cf-contig_624-SMART.txt","HTTM")</f>
        <v>HTTM</v>
      </c>
      <c r="CY491" t="str">
        <f>HYPERLINK("http://smart.embl-heidelberg.de/smart/do_annotation.pl?DOMAIN=HTTM&amp;BLAST=DUMMY","0.61")</f>
        <v>0.61</v>
      </c>
      <c r="CZ491" s="4" t="s">
        <v>42</v>
      </c>
      <c r="DA491" t="s">
        <v>42</v>
      </c>
      <c r="DB491" t="s">
        <v>42</v>
      </c>
      <c r="DC491" t="s">
        <v>42</v>
      </c>
      <c r="DD491" t="s">
        <v>42</v>
      </c>
      <c r="DE491" t="s">
        <v>42</v>
      </c>
      <c r="DF491" t="s">
        <v>42</v>
      </c>
      <c r="DG491" t="s">
        <v>42</v>
      </c>
      <c r="DH491" s="4" t="s">
        <v>42</v>
      </c>
      <c r="DI491" t="s">
        <v>42</v>
      </c>
      <c r="DJ491" s="4" t="s">
        <v>42</v>
      </c>
      <c r="DK491" t="s">
        <v>42</v>
      </c>
      <c r="DL491" s="4">
        <f>HYPERLINK("http://exon.niaid.nih.gov/transcriptome/C_felis/S1/links/cluster/cf-5-36-asb30-50-Id-CLU90.txt", 90)</f>
        <v>90</v>
      </c>
      <c r="DM491">
        <f>HYPERLINK("http://exon.niaid.nih.gov/transcriptome/C_felis/S1/links/cluster/cf-5-36-asb30-50-Id-CLTL90.txt", 2)</f>
        <v>2</v>
      </c>
      <c r="DN491" s="4">
        <f>HYPERLINK("http://exon.niaid.nih.gov/transcriptome/C_felis/S1/links/cluster/cf-5-36-asb35-50-Id-CLU83.txt", 83)</f>
        <v>83</v>
      </c>
      <c r="DO491">
        <f>HYPERLINK("http://exon.niaid.nih.gov/transcriptome/C_felis/S1/links/cluster/cf-5-36-asb35-50-Id-CLTL83.txt", 2)</f>
        <v>2</v>
      </c>
      <c r="DP491" s="4">
        <f>HYPERLINK("http://exon.niaid.nih.gov/transcriptome/C_felis/S1/links/cluster/cf-5-36-asb40-50-Id-CLU75.txt", 75)</f>
        <v>75</v>
      </c>
      <c r="DQ491">
        <f>HYPERLINK("http://exon.niaid.nih.gov/transcriptome/C_felis/S1/links/cluster/cf-5-36-asb40-50-Id-CLTL75.txt", 2)</f>
        <v>2</v>
      </c>
      <c r="DR491" s="4">
        <f>HYPERLINK("http://exon.niaid.nih.gov/transcriptome/C_felis/S1/links/cluster/cf-5-36-asb45-50-Id-CLU61.txt", 61)</f>
        <v>61</v>
      </c>
      <c r="DS491">
        <f>HYPERLINK("http://exon.niaid.nih.gov/transcriptome/C_felis/S1/links/cluster/cf-5-36-asb45-50-Id-CLTL61.txt", 2)</f>
        <v>2</v>
      </c>
      <c r="DT491" s="4">
        <f>HYPERLINK("http://exon.niaid.nih.gov/transcriptome/C_felis/S1/links/cluster/cf-5-36-asb50-50-Id-CLU563.txt", 563)</f>
        <v>563</v>
      </c>
      <c r="DU491">
        <f>HYPERLINK("http://exon.niaid.nih.gov/transcriptome/C_felis/S1/links/cluster/cf-5-36-asb50-50-Id-CLTL563.txt", 1)</f>
        <v>1</v>
      </c>
      <c r="DV491" s="4">
        <v>577</v>
      </c>
      <c r="DW491">
        <v>1</v>
      </c>
      <c r="DX491" s="4">
        <v>586</v>
      </c>
      <c r="DY491">
        <v>1</v>
      </c>
      <c r="DZ491" s="4">
        <v>594</v>
      </c>
      <c r="EA491">
        <v>1</v>
      </c>
      <c r="EB491" s="4">
        <v>599</v>
      </c>
      <c r="EC491">
        <v>1</v>
      </c>
      <c r="ED491" s="4">
        <v>603</v>
      </c>
      <c r="EE491">
        <v>1</v>
      </c>
      <c r="EF491" s="4">
        <v>609</v>
      </c>
      <c r="EG491">
        <v>1</v>
      </c>
      <c r="EH491" s="4">
        <v>617</v>
      </c>
      <c r="EI491">
        <v>1</v>
      </c>
      <c r="EJ491" s="4">
        <v>624</v>
      </c>
      <c r="EK491">
        <v>1</v>
      </c>
    </row>
    <row r="492" spans="1:141" x14ac:dyDescent="0.2">
      <c r="A492" t="str">
        <f>HYPERLINK("http://exon.niaid.nih.gov/transcriptome/C_felis/S1/links/cf/cf-contig_625.txt","cf-contig_625")</f>
        <v>cf-contig_625</v>
      </c>
      <c r="B492">
        <v>1</v>
      </c>
      <c r="C492" s="10" t="s">
        <v>4600</v>
      </c>
      <c r="D492">
        <v>1</v>
      </c>
      <c r="E492" t="str">
        <f>HYPERLINK("http://exon.niaid.nih.gov/transcriptome/C_felis/S1/links/cf/cf-5-36-asb-625.txt","Contig-625")</f>
        <v>Contig-625</v>
      </c>
      <c r="F492" t="str">
        <f>HYPERLINK("http://exon.niaid.nih.gov/transcriptome/C_felis/S1/links/cf/cf-5-36-625-CLU.txt","Contig625")</f>
        <v>Contig625</v>
      </c>
      <c r="G492" t="str">
        <f>HYPERLINK("http://exon.niaid.nih.gov/transcriptome/C_felis/S1/links/cf/cf-5-36-625-qual.txt","35.7")</f>
        <v>35.7</v>
      </c>
      <c r="H492" t="s">
        <v>11</v>
      </c>
      <c r="I492">
        <v>56.6</v>
      </c>
      <c r="J492">
        <v>87</v>
      </c>
      <c r="K492" t="s">
        <v>12</v>
      </c>
      <c r="L492">
        <v>1</v>
      </c>
      <c r="M492" t="s">
        <v>638</v>
      </c>
      <c r="N492">
        <v>87</v>
      </c>
      <c r="O492">
        <v>106</v>
      </c>
      <c r="P492">
        <v>105</v>
      </c>
      <c r="Q492" t="s">
        <v>1444</v>
      </c>
      <c r="R492">
        <v>1</v>
      </c>
      <c r="S492" s="7" t="s">
        <v>4585</v>
      </c>
      <c r="U492">
        <v>1</v>
      </c>
      <c r="V492" s="4">
        <v>510</v>
      </c>
      <c r="W492">
        <v>1</v>
      </c>
      <c r="X492" s="4">
        <v>522</v>
      </c>
      <c r="Y492">
        <v>1</v>
      </c>
      <c r="Z492" s="4">
        <v>532</v>
      </c>
      <c r="AA492">
        <v>1</v>
      </c>
      <c r="AB492" s="4" t="str">
        <f>HYPERLINK("http://exon.niaid.nih.gov/transcriptome/C_felis/S1/links/XC-ASB/cf-contig_625-XC-ASB.txt","XC-contig_159")</f>
        <v>XC-contig_159</v>
      </c>
      <c r="AC492">
        <v>1.5</v>
      </c>
      <c r="AD492" s="10" t="s">
        <v>4600</v>
      </c>
      <c r="AE492" t="s">
        <v>4601</v>
      </c>
      <c r="AI492" s="4" t="s">
        <v>42</v>
      </c>
      <c r="AJ492" t="s">
        <v>42</v>
      </c>
      <c r="AK492" t="s">
        <v>42</v>
      </c>
      <c r="AL492" t="s">
        <v>42</v>
      </c>
      <c r="AM492" t="s">
        <v>42</v>
      </c>
      <c r="AN492" t="s">
        <v>42</v>
      </c>
      <c r="AO492" t="s">
        <v>42</v>
      </c>
      <c r="AP492" t="s">
        <v>42</v>
      </c>
      <c r="AQ492" t="s">
        <v>42</v>
      </c>
      <c r="AR492" t="s">
        <v>42</v>
      </c>
      <c r="AS492" t="s">
        <v>42</v>
      </c>
      <c r="AT492" t="s">
        <v>42</v>
      </c>
      <c r="AU492" t="s">
        <v>42</v>
      </c>
      <c r="AV492" t="s">
        <v>42</v>
      </c>
      <c r="AW492" t="s">
        <v>42</v>
      </c>
      <c r="AX492" t="s">
        <v>42</v>
      </c>
      <c r="AY492" t="s">
        <v>42</v>
      </c>
      <c r="AZ492" t="s">
        <v>42</v>
      </c>
      <c r="BA492" s="4" t="str">
        <f>HYPERLINK("http://exon.niaid.nih.gov/transcriptome/C_felis/S1/links/SWISSP/cf-contig_625-SWISSP.txt","Sulfoxide reductase catalytic subunit yedY")</f>
        <v>Sulfoxide reductase catalytic subunit yedY</v>
      </c>
      <c r="BB492" t="str">
        <f>HYPERLINK("http://www.uniprot.org/uniprot/B4UGL0","54")</f>
        <v>54</v>
      </c>
      <c r="BC492" t="s">
        <v>3962</v>
      </c>
      <c r="BD492">
        <v>26.6</v>
      </c>
      <c r="BE492">
        <v>19</v>
      </c>
      <c r="BF492">
        <v>313</v>
      </c>
      <c r="BG492">
        <v>60</v>
      </c>
      <c r="BH492">
        <v>6</v>
      </c>
      <c r="BI492">
        <v>8</v>
      </c>
      <c r="BJ492">
        <v>0</v>
      </c>
      <c r="BK492">
        <v>206</v>
      </c>
      <c r="BL492">
        <v>14</v>
      </c>
      <c r="BM492">
        <v>1</v>
      </c>
      <c r="BN492">
        <v>2</v>
      </c>
      <c r="BO492" t="s">
        <v>12</v>
      </c>
      <c r="BP492">
        <v>5.2629999999999999</v>
      </c>
      <c r="BQ492" t="s">
        <v>1676</v>
      </c>
      <c r="BR492" t="s">
        <v>3963</v>
      </c>
      <c r="BS492" s="4" t="str">
        <f>HYPERLINK("http://exon.niaid.nih.gov/transcriptome/C_felis/S1/links/CDD/cf-contig_625-CDD.txt","Pec_lyase_C")</f>
        <v>Pec_lyase_C</v>
      </c>
      <c r="BT492" t="str">
        <f>HYPERLINK("http://www.ncbi.nlm.nih.gov/Structure/cdd/cddsrv.cgi?uid=pfam00544&amp;version=v4.0","1.6")</f>
        <v>1.6</v>
      </c>
      <c r="BU492" t="s">
        <v>3964</v>
      </c>
      <c r="BV492" s="4" t="s">
        <v>42</v>
      </c>
      <c r="BW492" t="s">
        <v>42</v>
      </c>
      <c r="BX492" t="s">
        <v>42</v>
      </c>
      <c r="BY492" t="s">
        <v>42</v>
      </c>
      <c r="BZ492" t="s">
        <v>42</v>
      </c>
      <c r="CA492" t="s">
        <v>42</v>
      </c>
      <c r="CB492" t="s">
        <v>42</v>
      </c>
      <c r="CC492" t="s">
        <v>42</v>
      </c>
      <c r="CD492" t="s">
        <v>42</v>
      </c>
      <c r="CE492" t="s">
        <v>42</v>
      </c>
      <c r="CF492" t="s">
        <v>42</v>
      </c>
      <c r="CG492" t="s">
        <v>42</v>
      </c>
      <c r="CH492" t="s">
        <v>42</v>
      </c>
      <c r="CI492" t="s">
        <v>42</v>
      </c>
      <c r="CJ492" t="s">
        <v>42</v>
      </c>
      <c r="CK492" t="s">
        <v>42</v>
      </c>
      <c r="CL492" t="s">
        <v>42</v>
      </c>
      <c r="CM492" t="s">
        <v>42</v>
      </c>
      <c r="CN492" t="s">
        <v>42</v>
      </c>
      <c r="CO492" t="s">
        <v>42</v>
      </c>
      <c r="CP492" t="s">
        <v>42</v>
      </c>
      <c r="CQ492" t="s">
        <v>42</v>
      </c>
      <c r="CR492" t="s">
        <v>42</v>
      </c>
      <c r="CS492" s="4" t="str">
        <f>HYPERLINK("http://exon.niaid.nih.gov/transcriptome/C_felis/S1/links/KOG/cf-contig_625-KOG.txt","RNA polymerase II, second largest subunit")</f>
        <v>RNA polymerase II, second largest subunit</v>
      </c>
      <c r="CT492" t="str">
        <f>HYPERLINK("http://www.ncbi.nlm.nih.gov/COG/grace/shokog.cgi?KOG0214","4.0")</f>
        <v>4.0</v>
      </c>
      <c r="CU492" t="s">
        <v>1692</v>
      </c>
      <c r="CV492" s="4" t="str">
        <f>HYPERLINK("http://exon.niaid.nih.gov/transcriptome/C_felis/S1/links/PFAM/cf-contig_625-PFAM.txt","Pec_lyase_C")</f>
        <v>Pec_lyase_C</v>
      </c>
      <c r="CW492" t="str">
        <f>HYPERLINK("http://pfam.sanger.ac.uk/family?acc=PF00544","0.32")</f>
        <v>0.32</v>
      </c>
      <c r="CX492" s="4" t="str">
        <f>HYPERLINK("http://exon.niaid.nih.gov/transcriptome/C_felis/S1/links/SMART/cf-contig_625-SMART.txt","Amb_all")</f>
        <v>Amb_all</v>
      </c>
      <c r="CY492" t="str">
        <f>HYPERLINK("http://smart.embl-heidelberg.de/smart/do_annotation.pl?DOMAIN=Amb_all&amp;BLAST=DUMMY","0.15")</f>
        <v>0.15</v>
      </c>
      <c r="CZ492" s="4" t="s">
        <v>42</v>
      </c>
      <c r="DA492" t="s">
        <v>42</v>
      </c>
      <c r="DB492" t="s">
        <v>42</v>
      </c>
      <c r="DC492" t="s">
        <v>42</v>
      </c>
      <c r="DD492" t="s">
        <v>42</v>
      </c>
      <c r="DE492" t="s">
        <v>42</v>
      </c>
      <c r="DF492" t="s">
        <v>42</v>
      </c>
      <c r="DG492" t="s">
        <v>42</v>
      </c>
      <c r="DH492" s="4" t="s">
        <v>42</v>
      </c>
      <c r="DI492" t="s">
        <v>42</v>
      </c>
      <c r="DJ492" s="4" t="s">
        <v>42</v>
      </c>
      <c r="DK492" t="s">
        <v>42</v>
      </c>
      <c r="DL492" s="4">
        <v>510</v>
      </c>
      <c r="DM492">
        <v>1</v>
      </c>
      <c r="DN492" s="4">
        <v>522</v>
      </c>
      <c r="DO492">
        <v>1</v>
      </c>
      <c r="DP492" s="4">
        <v>532</v>
      </c>
      <c r="DQ492">
        <v>1</v>
      </c>
      <c r="DR492" s="4">
        <v>551</v>
      </c>
      <c r="DS492">
        <v>1</v>
      </c>
      <c r="DT492" s="4">
        <v>564</v>
      </c>
      <c r="DU492">
        <v>1</v>
      </c>
      <c r="DV492" s="4">
        <v>578</v>
      </c>
      <c r="DW492">
        <v>1</v>
      </c>
      <c r="DX492" s="4">
        <v>587</v>
      </c>
      <c r="DY492">
        <v>1</v>
      </c>
      <c r="DZ492" s="4">
        <v>595</v>
      </c>
      <c r="EA492">
        <v>1</v>
      </c>
      <c r="EB492" s="4">
        <v>600</v>
      </c>
      <c r="EC492">
        <v>1</v>
      </c>
      <c r="ED492" s="4">
        <v>604</v>
      </c>
      <c r="EE492">
        <v>1</v>
      </c>
      <c r="EF492" s="4">
        <v>610</v>
      </c>
      <c r="EG492">
        <v>1</v>
      </c>
      <c r="EH492" s="4">
        <v>618</v>
      </c>
      <c r="EI492">
        <v>1</v>
      </c>
      <c r="EJ492" s="4">
        <v>625</v>
      </c>
      <c r="EK492">
        <v>1</v>
      </c>
    </row>
    <row r="493" spans="1:141" x14ac:dyDescent="0.2">
      <c r="A493" t="str">
        <f>HYPERLINK("http://exon.niaid.nih.gov/transcriptome/C_felis/S1/links/cf/cf-contig_631.txt","cf-contig_631")</f>
        <v>cf-contig_631</v>
      </c>
      <c r="B493">
        <v>1</v>
      </c>
      <c r="C493" s="10" t="s">
        <v>4600</v>
      </c>
      <c r="D493">
        <v>1</v>
      </c>
      <c r="E493" t="str">
        <f>HYPERLINK("http://exon.niaid.nih.gov/transcriptome/C_felis/S1/links/cf/cf-5-36-asb-631.txt","Contig-631")</f>
        <v>Contig-631</v>
      </c>
      <c r="F493" t="str">
        <f>HYPERLINK("http://exon.niaid.nih.gov/transcriptome/C_felis/S1/links/cf/cf-5-36-631-CLU.txt","Contig631")</f>
        <v>Contig631</v>
      </c>
      <c r="G493" t="str">
        <f>HYPERLINK("http://exon.niaid.nih.gov/transcriptome/C_felis/S1/links/cf/cf-5-36-631-qual.txt","38.4")</f>
        <v>38.4</v>
      </c>
      <c r="H493">
        <v>1.3</v>
      </c>
      <c r="I493">
        <v>74</v>
      </c>
      <c r="J493">
        <v>58</v>
      </c>
      <c r="K493" t="s">
        <v>12</v>
      </c>
      <c r="L493">
        <v>1</v>
      </c>
      <c r="M493" t="s">
        <v>644</v>
      </c>
      <c r="N493">
        <v>58</v>
      </c>
      <c r="O493">
        <v>77</v>
      </c>
      <c r="P493">
        <v>54</v>
      </c>
      <c r="Q493" t="s">
        <v>1450</v>
      </c>
      <c r="R493">
        <v>3</v>
      </c>
      <c r="S493" s="7" t="s">
        <v>4585</v>
      </c>
      <c r="U493">
        <v>1</v>
      </c>
      <c r="V493" s="4">
        <f>HYPERLINK("http://exon.niaid.nih.gov/transcriptome/C_felis/S1/links/cluster/cf-5-36-asb30-50-Id-CLU69.txt", 69)</f>
        <v>69</v>
      </c>
      <c r="W493">
        <f>HYPERLINK("http://exon.niaid.nih.gov/transcriptome/C_felis/S1/links/cluster/cf-5-36-asb30-50-Id-CLTL69.txt", 2)</f>
        <v>2</v>
      </c>
      <c r="X493" s="4">
        <f>HYPERLINK("http://exon.niaid.nih.gov/transcriptome/C_felis/S1/links/cluster/cf-5-36-asb35-50-Id-CLU61.txt", 61)</f>
        <v>61</v>
      </c>
      <c r="Y493">
        <f>HYPERLINK("http://exon.niaid.nih.gov/transcriptome/C_felis/S1/links/cluster/cf-5-36-asb35-50-Id-CLTL61.txt", 2)</f>
        <v>2</v>
      </c>
      <c r="Z493" s="4">
        <f>HYPERLINK("http://exon.niaid.nih.gov/transcriptome/C_felis/S1/links/cluster/cf-5-36-asb40-50-Id-CLU58.txt", 58)</f>
        <v>58</v>
      </c>
      <c r="AA493">
        <f>HYPERLINK("http://exon.niaid.nih.gov/transcriptome/C_felis/S1/links/cluster/cf-5-36-asb40-50-Id-CLTL58.txt", 2)</f>
        <v>2</v>
      </c>
      <c r="AB493" s="4" t="str">
        <f>HYPERLINK("http://exon.niaid.nih.gov/transcriptome/C_felis/S1/links/XC-ASB/cf-contig_631-XC-ASB.txt","XC-contig_209")</f>
        <v>XC-contig_209</v>
      </c>
      <c r="AC493">
        <v>1.7</v>
      </c>
      <c r="AD493" s="10" t="s">
        <v>4600</v>
      </c>
      <c r="AE493" t="s">
        <v>4601</v>
      </c>
      <c r="AI493" s="4" t="s">
        <v>42</v>
      </c>
      <c r="AJ493" t="s">
        <v>42</v>
      </c>
      <c r="AK493" t="s">
        <v>42</v>
      </c>
      <c r="AL493" t="s">
        <v>42</v>
      </c>
      <c r="AM493" t="s">
        <v>42</v>
      </c>
      <c r="AN493" t="s">
        <v>42</v>
      </c>
      <c r="AO493" t="s">
        <v>42</v>
      </c>
      <c r="AP493" t="s">
        <v>42</v>
      </c>
      <c r="AQ493" t="s">
        <v>42</v>
      </c>
      <c r="AR493" t="s">
        <v>42</v>
      </c>
      <c r="AS493" t="s">
        <v>42</v>
      </c>
      <c r="AT493" t="s">
        <v>42</v>
      </c>
      <c r="AU493" t="s">
        <v>42</v>
      </c>
      <c r="AV493" t="s">
        <v>42</v>
      </c>
      <c r="AW493" t="s">
        <v>42</v>
      </c>
      <c r="AX493" t="s">
        <v>42</v>
      </c>
      <c r="AY493" t="s">
        <v>42</v>
      </c>
      <c r="AZ493" t="s">
        <v>42</v>
      </c>
      <c r="BA493" s="4" t="s">
        <v>42</v>
      </c>
      <c r="BB493" t="s">
        <v>42</v>
      </c>
      <c r="BC493" t="s">
        <v>42</v>
      </c>
      <c r="BD493" t="s">
        <v>42</v>
      </c>
      <c r="BE493" t="s">
        <v>42</v>
      </c>
      <c r="BF493" t="s">
        <v>42</v>
      </c>
      <c r="BG493" t="s">
        <v>42</v>
      </c>
      <c r="BH493" t="s">
        <v>42</v>
      </c>
      <c r="BI493" t="s">
        <v>42</v>
      </c>
      <c r="BJ493" t="s">
        <v>42</v>
      </c>
      <c r="BK493" t="s">
        <v>42</v>
      </c>
      <c r="BL493" t="s">
        <v>42</v>
      </c>
      <c r="BM493" t="s">
        <v>42</v>
      </c>
      <c r="BN493" t="s">
        <v>42</v>
      </c>
      <c r="BO493" t="s">
        <v>42</v>
      </c>
      <c r="BP493" t="s">
        <v>42</v>
      </c>
      <c r="BQ493" t="s">
        <v>42</v>
      </c>
      <c r="BR493" t="s">
        <v>42</v>
      </c>
      <c r="BS493" s="4" t="s">
        <v>42</v>
      </c>
      <c r="BT493" t="s">
        <v>42</v>
      </c>
      <c r="BU493" t="s">
        <v>42</v>
      </c>
      <c r="BV493" s="4" t="s">
        <v>42</v>
      </c>
      <c r="BW493" t="s">
        <v>42</v>
      </c>
      <c r="BX493" t="s">
        <v>42</v>
      </c>
      <c r="BY493" t="s">
        <v>42</v>
      </c>
      <c r="BZ493" t="s">
        <v>42</v>
      </c>
      <c r="CA493" t="s">
        <v>42</v>
      </c>
      <c r="CB493" t="s">
        <v>42</v>
      </c>
      <c r="CC493" t="s">
        <v>42</v>
      </c>
      <c r="CD493" t="s">
        <v>42</v>
      </c>
      <c r="CE493" t="s">
        <v>42</v>
      </c>
      <c r="CF493" t="s">
        <v>42</v>
      </c>
      <c r="CG493" t="s">
        <v>42</v>
      </c>
      <c r="CH493" t="s">
        <v>42</v>
      </c>
      <c r="CI493" t="s">
        <v>42</v>
      </c>
      <c r="CJ493" t="s">
        <v>42</v>
      </c>
      <c r="CK493" t="s">
        <v>42</v>
      </c>
      <c r="CL493" t="s">
        <v>42</v>
      </c>
      <c r="CM493" t="s">
        <v>42</v>
      </c>
      <c r="CN493" t="s">
        <v>42</v>
      </c>
      <c r="CO493" t="s">
        <v>42</v>
      </c>
      <c r="CP493" t="s">
        <v>42</v>
      </c>
      <c r="CQ493" t="s">
        <v>42</v>
      </c>
      <c r="CR493" t="s">
        <v>42</v>
      </c>
      <c r="CS493" s="4" t="s">
        <v>42</v>
      </c>
      <c r="CT493" t="s">
        <v>42</v>
      </c>
      <c r="CU493" t="s">
        <v>42</v>
      </c>
      <c r="CV493" s="4" t="s">
        <v>42</v>
      </c>
      <c r="CW493" t="s">
        <v>42</v>
      </c>
      <c r="CX493" s="4" t="str">
        <f>HYPERLINK("http://exon.niaid.nih.gov/transcriptome/C_felis/S1/links/SMART/cf-contig_631-SMART.txt","C1_4")</f>
        <v>C1_4</v>
      </c>
      <c r="CY493" t="str">
        <f>HYPERLINK("http://smart.embl-heidelberg.de/smart/do_annotation.pl?DOMAIN=C1_4&amp;BLAST=DUMMY","1.9")</f>
        <v>1.9</v>
      </c>
      <c r="CZ493" s="4" t="s">
        <v>42</v>
      </c>
      <c r="DA493" t="s">
        <v>42</v>
      </c>
      <c r="DB493" t="s">
        <v>42</v>
      </c>
      <c r="DC493" t="s">
        <v>42</v>
      </c>
      <c r="DD493" t="s">
        <v>42</v>
      </c>
      <c r="DE493" t="s">
        <v>42</v>
      </c>
      <c r="DF493" t="s">
        <v>42</v>
      </c>
      <c r="DG493" t="s">
        <v>42</v>
      </c>
      <c r="DH493" s="4" t="s">
        <v>42</v>
      </c>
      <c r="DI493" t="s">
        <v>42</v>
      </c>
      <c r="DJ493" s="4" t="s">
        <v>42</v>
      </c>
      <c r="DK493" t="s">
        <v>42</v>
      </c>
      <c r="DL493" s="4">
        <f>HYPERLINK("http://exon.niaid.nih.gov/transcriptome/C_felis/S1/links/cluster/cf-5-36-asb30-50-Id-CLU69.txt", 69)</f>
        <v>69</v>
      </c>
      <c r="DM493">
        <f>HYPERLINK("http://exon.niaid.nih.gov/transcriptome/C_felis/S1/links/cluster/cf-5-36-asb30-50-Id-CLTL69.txt", 2)</f>
        <v>2</v>
      </c>
      <c r="DN493" s="4">
        <f>HYPERLINK("http://exon.niaid.nih.gov/transcriptome/C_felis/S1/links/cluster/cf-5-36-asb35-50-Id-CLU61.txt", 61)</f>
        <v>61</v>
      </c>
      <c r="DO493">
        <f>HYPERLINK("http://exon.niaid.nih.gov/transcriptome/C_felis/S1/links/cluster/cf-5-36-asb35-50-Id-CLTL61.txt", 2)</f>
        <v>2</v>
      </c>
      <c r="DP493" s="4">
        <f>HYPERLINK("http://exon.niaid.nih.gov/transcriptome/C_felis/S1/links/cluster/cf-5-36-asb40-50-Id-CLU58.txt", 58)</f>
        <v>58</v>
      </c>
      <c r="DQ493">
        <f>HYPERLINK("http://exon.niaid.nih.gov/transcriptome/C_felis/S1/links/cluster/cf-5-36-asb40-50-Id-CLTL58.txt", 2)</f>
        <v>2</v>
      </c>
      <c r="DR493" s="4">
        <v>557</v>
      </c>
      <c r="DS493">
        <v>1</v>
      </c>
      <c r="DT493" s="4">
        <v>570</v>
      </c>
      <c r="DU493">
        <v>1</v>
      </c>
      <c r="DV493" s="4">
        <v>584</v>
      </c>
      <c r="DW493">
        <v>1</v>
      </c>
      <c r="DX493" s="4">
        <v>593</v>
      </c>
      <c r="DY493">
        <v>1</v>
      </c>
      <c r="DZ493" s="4">
        <v>601</v>
      </c>
      <c r="EA493">
        <v>1</v>
      </c>
      <c r="EB493" s="4">
        <v>606</v>
      </c>
      <c r="EC493">
        <v>1</v>
      </c>
      <c r="ED493" s="4">
        <v>610</v>
      </c>
      <c r="EE493">
        <v>1</v>
      </c>
      <c r="EF493" s="4">
        <v>616</v>
      </c>
      <c r="EG493">
        <v>1</v>
      </c>
      <c r="EH493" s="4">
        <v>624</v>
      </c>
      <c r="EI493">
        <v>1</v>
      </c>
      <c r="EJ493" s="4">
        <v>631</v>
      </c>
      <c r="EK493">
        <v>1</v>
      </c>
    </row>
    <row r="494" spans="1:141" x14ac:dyDescent="0.2">
      <c r="A494" t="str">
        <f>HYPERLINK("http://exon.niaid.nih.gov/transcriptome/C_felis/S1/links/cf/cf-contig_645.txt","cf-contig_645")</f>
        <v>cf-contig_645</v>
      </c>
      <c r="B494">
        <v>1</v>
      </c>
      <c r="C494" s="10" t="s">
        <v>4600</v>
      </c>
      <c r="D494">
        <v>1</v>
      </c>
      <c r="E494" t="str">
        <f>HYPERLINK("http://exon.niaid.nih.gov/transcriptome/C_felis/S1/links/cf/cf-5-36-asb-645.txt","Contig-645")</f>
        <v>Contig-645</v>
      </c>
      <c r="F494" t="str">
        <f>HYPERLINK("http://exon.niaid.nih.gov/transcriptome/C_felis/S1/links/cf/cf-5-36-645-CLU.txt","Contig645")</f>
        <v>Contig645</v>
      </c>
      <c r="G494" t="str">
        <f>HYPERLINK("http://exon.niaid.nih.gov/transcriptome/C_felis/S1/links/cf/cf-5-36-645-qual.txt","34.9")</f>
        <v>34.9</v>
      </c>
      <c r="H494">
        <v>1.1000000000000001</v>
      </c>
      <c r="I494">
        <v>69.3</v>
      </c>
      <c r="J494">
        <v>69</v>
      </c>
      <c r="K494" t="s">
        <v>12</v>
      </c>
      <c r="L494">
        <v>1</v>
      </c>
      <c r="M494" t="s">
        <v>658</v>
      </c>
      <c r="N494">
        <v>69</v>
      </c>
      <c r="O494">
        <v>88</v>
      </c>
      <c r="P494">
        <v>78</v>
      </c>
      <c r="Q494" t="s">
        <v>1464</v>
      </c>
      <c r="R494">
        <v>1</v>
      </c>
      <c r="S494" s="7" t="s">
        <v>4585</v>
      </c>
      <c r="U494">
        <v>1</v>
      </c>
      <c r="V494" s="4">
        <f>HYPERLINK("http://exon.niaid.nih.gov/transcriptome/C_felis/S1/links/cluster/cf-5-36-asb30-50-Id-CLU60.txt", 60)</f>
        <v>60</v>
      </c>
      <c r="W494">
        <f>HYPERLINK("http://exon.niaid.nih.gov/transcriptome/C_felis/S1/links/cluster/cf-5-36-asb30-50-Id-CLTL60.txt", 2)</f>
        <v>2</v>
      </c>
      <c r="X494" s="4">
        <f>HYPERLINK("http://exon.niaid.nih.gov/transcriptome/C_felis/S1/links/cluster/cf-5-36-asb35-50-Id-CLU53.txt", 53)</f>
        <v>53</v>
      </c>
      <c r="Y494">
        <f>HYPERLINK("http://exon.niaid.nih.gov/transcriptome/C_felis/S1/links/cluster/cf-5-36-asb35-50-Id-CLTL53.txt", 2)</f>
        <v>2</v>
      </c>
      <c r="Z494" s="4">
        <v>550</v>
      </c>
      <c r="AA494">
        <v>1</v>
      </c>
      <c r="AB494" s="4" t="str">
        <f>HYPERLINK("http://exon.niaid.nih.gov/transcriptome/C_felis/S1/links/XC-ASB/cf-contig_645-XC-ASB.txt","XC-contig_86")</f>
        <v>XC-contig_86</v>
      </c>
      <c r="AC494">
        <v>1.7</v>
      </c>
      <c r="AD494" s="10" t="s">
        <v>4600</v>
      </c>
      <c r="AE494" t="s">
        <v>4601</v>
      </c>
      <c r="AI494" s="4" t="s">
        <v>42</v>
      </c>
      <c r="AJ494" t="s">
        <v>42</v>
      </c>
      <c r="AK494" t="s">
        <v>42</v>
      </c>
      <c r="AL494" t="s">
        <v>42</v>
      </c>
      <c r="AM494" t="s">
        <v>42</v>
      </c>
      <c r="AN494" t="s">
        <v>42</v>
      </c>
      <c r="AO494" t="s">
        <v>42</v>
      </c>
      <c r="AP494" t="s">
        <v>42</v>
      </c>
      <c r="AQ494" t="s">
        <v>42</v>
      </c>
      <c r="AR494" t="s">
        <v>42</v>
      </c>
      <c r="AS494" t="s">
        <v>42</v>
      </c>
      <c r="AT494" t="s">
        <v>42</v>
      </c>
      <c r="AU494" t="s">
        <v>42</v>
      </c>
      <c r="AV494" t="s">
        <v>42</v>
      </c>
      <c r="AW494" t="s">
        <v>42</v>
      </c>
      <c r="AX494" t="s">
        <v>42</v>
      </c>
      <c r="AY494" t="s">
        <v>42</v>
      </c>
      <c r="AZ494" t="s">
        <v>42</v>
      </c>
      <c r="BA494" s="4" t="s">
        <v>42</v>
      </c>
      <c r="BB494" t="s">
        <v>42</v>
      </c>
      <c r="BC494" t="s">
        <v>42</v>
      </c>
      <c r="BD494" t="s">
        <v>42</v>
      </c>
      <c r="BE494" t="s">
        <v>42</v>
      </c>
      <c r="BF494" t="s">
        <v>42</v>
      </c>
      <c r="BG494" t="s">
        <v>42</v>
      </c>
      <c r="BH494" t="s">
        <v>42</v>
      </c>
      <c r="BI494" t="s">
        <v>42</v>
      </c>
      <c r="BJ494" t="s">
        <v>42</v>
      </c>
      <c r="BK494" t="s">
        <v>42</v>
      </c>
      <c r="BL494" t="s">
        <v>42</v>
      </c>
      <c r="BM494" t="s">
        <v>42</v>
      </c>
      <c r="BN494" t="s">
        <v>42</v>
      </c>
      <c r="BO494" t="s">
        <v>42</v>
      </c>
      <c r="BP494" t="s">
        <v>42</v>
      </c>
      <c r="BQ494" t="s">
        <v>42</v>
      </c>
      <c r="BR494" t="s">
        <v>42</v>
      </c>
      <c r="BS494" s="4" t="str">
        <f>HYPERLINK("http://exon.niaid.nih.gov/transcriptome/C_felis/S1/links/CDD/cf-contig_645-CDD.txt","Peptidases_S8_S")</f>
        <v>Peptidases_S8_S</v>
      </c>
      <c r="BT494" t="str">
        <f>HYPERLINK("http://www.ncbi.nlm.nih.gov/Structure/cdd/cddsrv.cgi?uid=cd07483&amp;version=v4.0","7.8")</f>
        <v>7.8</v>
      </c>
      <c r="BU494" t="s">
        <v>4048</v>
      </c>
      <c r="BV494" s="4" t="s">
        <v>42</v>
      </c>
      <c r="BW494" t="s">
        <v>42</v>
      </c>
      <c r="BX494" t="s">
        <v>42</v>
      </c>
      <c r="BY494" t="s">
        <v>42</v>
      </c>
      <c r="BZ494" t="s">
        <v>42</v>
      </c>
      <c r="CA494" t="s">
        <v>42</v>
      </c>
      <c r="CB494" t="s">
        <v>42</v>
      </c>
      <c r="CC494" t="s">
        <v>42</v>
      </c>
      <c r="CD494" t="s">
        <v>42</v>
      </c>
      <c r="CE494" t="s">
        <v>42</v>
      </c>
      <c r="CF494" t="s">
        <v>42</v>
      </c>
      <c r="CG494" t="s">
        <v>42</v>
      </c>
      <c r="CH494" t="s">
        <v>42</v>
      </c>
      <c r="CI494" t="s">
        <v>42</v>
      </c>
      <c r="CJ494" t="s">
        <v>42</v>
      </c>
      <c r="CK494" t="s">
        <v>42</v>
      </c>
      <c r="CL494" t="s">
        <v>42</v>
      </c>
      <c r="CM494" t="s">
        <v>42</v>
      </c>
      <c r="CN494" t="s">
        <v>42</v>
      </c>
      <c r="CO494" t="s">
        <v>42</v>
      </c>
      <c r="CP494" t="s">
        <v>42</v>
      </c>
      <c r="CQ494" t="s">
        <v>42</v>
      </c>
      <c r="CR494" t="s">
        <v>42</v>
      </c>
      <c r="CS494" s="4" t="s">
        <v>42</v>
      </c>
      <c r="CT494" t="s">
        <v>42</v>
      </c>
      <c r="CU494" t="s">
        <v>42</v>
      </c>
      <c r="CV494" s="4" t="str">
        <f>HYPERLINK("http://exon.niaid.nih.gov/transcriptome/C_felis/S1/links/PFAM/cf-contig_645-PFAM.txt","DNA_processg_A")</f>
        <v>DNA_processg_A</v>
      </c>
      <c r="CW494" t="str">
        <f>HYPERLINK("http://pfam.sanger.ac.uk/family?acc=PF02481","3.8")</f>
        <v>3.8</v>
      </c>
      <c r="CX494" s="4" t="str">
        <f>HYPERLINK("http://exon.niaid.nih.gov/transcriptome/C_felis/S1/links/SMART/cf-contig_645-SMART.txt","GHB")</f>
        <v>GHB</v>
      </c>
      <c r="CY494" t="str">
        <f>HYPERLINK("http://smart.embl-heidelberg.de/smart/do_annotation.pl?DOMAIN=GHB&amp;BLAST=DUMMY","1.1")</f>
        <v>1.1</v>
      </c>
      <c r="CZ494" s="4" t="s">
        <v>42</v>
      </c>
      <c r="DA494" t="s">
        <v>42</v>
      </c>
      <c r="DB494" t="s">
        <v>42</v>
      </c>
      <c r="DC494" t="s">
        <v>42</v>
      </c>
      <c r="DD494" t="s">
        <v>42</v>
      </c>
      <c r="DE494" t="s">
        <v>42</v>
      </c>
      <c r="DF494" t="s">
        <v>42</v>
      </c>
      <c r="DG494" t="s">
        <v>42</v>
      </c>
      <c r="DH494" s="4" t="s">
        <v>42</v>
      </c>
      <c r="DI494" t="s">
        <v>42</v>
      </c>
      <c r="DJ494" s="4" t="s">
        <v>42</v>
      </c>
      <c r="DK494" t="s">
        <v>42</v>
      </c>
      <c r="DL494" s="4">
        <f>HYPERLINK("http://exon.niaid.nih.gov/transcriptome/C_felis/S1/links/cluster/cf-5-36-asb30-50-Id-CLU60.txt", 60)</f>
        <v>60</v>
      </c>
      <c r="DM494">
        <f>HYPERLINK("http://exon.niaid.nih.gov/transcriptome/C_felis/S1/links/cluster/cf-5-36-asb30-50-Id-CLTL60.txt", 2)</f>
        <v>2</v>
      </c>
      <c r="DN494" s="4">
        <f>HYPERLINK("http://exon.niaid.nih.gov/transcriptome/C_felis/S1/links/cluster/cf-5-36-asb35-50-Id-CLU53.txt", 53)</f>
        <v>53</v>
      </c>
      <c r="DO494">
        <f>HYPERLINK("http://exon.niaid.nih.gov/transcriptome/C_felis/S1/links/cluster/cf-5-36-asb35-50-Id-CLTL53.txt", 2)</f>
        <v>2</v>
      </c>
      <c r="DP494" s="4">
        <v>550</v>
      </c>
      <c r="DQ494">
        <v>1</v>
      </c>
      <c r="DR494" s="4">
        <v>570</v>
      </c>
      <c r="DS494">
        <v>1</v>
      </c>
      <c r="DT494" s="4">
        <v>583</v>
      </c>
      <c r="DU494">
        <v>1</v>
      </c>
      <c r="DV494" s="4">
        <v>597</v>
      </c>
      <c r="DW494">
        <v>1</v>
      </c>
      <c r="DX494" s="4">
        <v>606</v>
      </c>
      <c r="DY494">
        <v>1</v>
      </c>
      <c r="DZ494" s="4">
        <v>615</v>
      </c>
      <c r="EA494">
        <v>1</v>
      </c>
      <c r="EB494" s="4">
        <v>620</v>
      </c>
      <c r="EC494">
        <v>1</v>
      </c>
      <c r="ED494" s="4">
        <v>624</v>
      </c>
      <c r="EE494">
        <v>1</v>
      </c>
      <c r="EF494" s="4">
        <v>630</v>
      </c>
      <c r="EG494">
        <v>1</v>
      </c>
      <c r="EH494" s="4">
        <v>638</v>
      </c>
      <c r="EI494">
        <v>1</v>
      </c>
      <c r="EJ494" s="4">
        <v>645</v>
      </c>
      <c r="EK494">
        <v>1</v>
      </c>
    </row>
    <row r="495" spans="1:141" x14ac:dyDescent="0.2">
      <c r="A495" t="str">
        <f>HYPERLINK("http://exon.niaid.nih.gov/transcriptome/C_felis/S1/links/cf/cf-contig_647.txt","cf-contig_647")</f>
        <v>cf-contig_647</v>
      </c>
      <c r="B495">
        <v>1</v>
      </c>
      <c r="C495" s="10" t="s">
        <v>4600</v>
      </c>
      <c r="D495">
        <v>1</v>
      </c>
      <c r="E495" t="str">
        <f>HYPERLINK("http://exon.niaid.nih.gov/transcriptome/C_felis/S1/links/cf/cf-5-36-asb-647.txt","Contig-647")</f>
        <v>Contig-647</v>
      </c>
      <c r="F495" t="str">
        <f>HYPERLINK("http://exon.niaid.nih.gov/transcriptome/C_felis/S1/links/cf/cf-5-36-647-CLU.txt","Contig647")</f>
        <v>Contig647</v>
      </c>
      <c r="G495" t="str">
        <f>HYPERLINK("http://exon.niaid.nih.gov/transcriptome/C_felis/S1/links/cf/cf-5-36-647-qual.txt","42.2")</f>
        <v>42.2</v>
      </c>
      <c r="H495" t="s">
        <v>11</v>
      </c>
      <c r="I495">
        <v>83.2</v>
      </c>
      <c r="J495">
        <v>130</v>
      </c>
      <c r="K495" t="s">
        <v>12</v>
      </c>
      <c r="L495">
        <v>1</v>
      </c>
      <c r="M495" t="s">
        <v>660</v>
      </c>
      <c r="N495">
        <v>130</v>
      </c>
      <c r="O495">
        <v>149</v>
      </c>
      <c r="P495">
        <v>60</v>
      </c>
      <c r="Q495" t="s">
        <v>1466</v>
      </c>
      <c r="R495">
        <v>1</v>
      </c>
      <c r="S495" s="7" t="s">
        <v>4585</v>
      </c>
      <c r="U495">
        <v>1</v>
      </c>
      <c r="V495" s="4">
        <v>529</v>
      </c>
      <c r="W495">
        <v>1</v>
      </c>
      <c r="X495" s="4">
        <v>541</v>
      </c>
      <c r="Y495">
        <v>1</v>
      </c>
      <c r="Z495" s="4">
        <v>552</v>
      </c>
      <c r="AA495">
        <v>1</v>
      </c>
      <c r="AB495" s="4" t="str">
        <f>HYPERLINK("http://exon.niaid.nih.gov/transcriptome/C_felis/S1/links/XC-ASB/cf-contig_647-XC-ASB.txt","XC-contig_129")</f>
        <v>XC-contig_129</v>
      </c>
      <c r="AC495">
        <v>7.0999999999999994E-2</v>
      </c>
      <c r="AD495" s="10" t="s">
        <v>4600</v>
      </c>
      <c r="AE495" t="s">
        <v>4601</v>
      </c>
      <c r="AI495" s="4" t="s">
        <v>42</v>
      </c>
      <c r="AJ495" t="s">
        <v>42</v>
      </c>
      <c r="AK495" t="s">
        <v>42</v>
      </c>
      <c r="AL495" t="s">
        <v>42</v>
      </c>
      <c r="AM495" t="s">
        <v>42</v>
      </c>
      <c r="AN495" t="s">
        <v>42</v>
      </c>
      <c r="AO495" t="s">
        <v>42</v>
      </c>
      <c r="AP495" t="s">
        <v>42</v>
      </c>
      <c r="AQ495" t="s">
        <v>42</v>
      </c>
      <c r="AR495" t="s">
        <v>42</v>
      </c>
      <c r="AS495" t="s">
        <v>42</v>
      </c>
      <c r="AT495" t="s">
        <v>42</v>
      </c>
      <c r="AU495" t="s">
        <v>42</v>
      </c>
      <c r="AV495" t="s">
        <v>42</v>
      </c>
      <c r="AW495" t="s">
        <v>42</v>
      </c>
      <c r="AX495" t="s">
        <v>42</v>
      </c>
      <c r="AY495" t="s">
        <v>42</v>
      </c>
      <c r="AZ495" t="s">
        <v>42</v>
      </c>
      <c r="BA495" s="4" t="str">
        <f>HYPERLINK("http://exon.niaid.nih.gov/transcriptome/C_felis/S1/links/SWISSP/cf-contig_647-SWISSP.txt","50S ribosomal protein L27")</f>
        <v>50S ribosomal protein L27</v>
      </c>
      <c r="BB495" t="str">
        <f>HYPERLINK("http://www.uniprot.org/uniprot/Q68VZ8","54")</f>
        <v>54</v>
      </c>
      <c r="BC495" t="s">
        <v>4052</v>
      </c>
      <c r="BD495">
        <v>26.6</v>
      </c>
      <c r="BE495">
        <v>15</v>
      </c>
      <c r="BF495">
        <v>86</v>
      </c>
      <c r="BG495">
        <v>68</v>
      </c>
      <c r="BH495">
        <v>19</v>
      </c>
      <c r="BI495">
        <v>5</v>
      </c>
      <c r="BJ495">
        <v>0</v>
      </c>
      <c r="BK495">
        <v>65</v>
      </c>
      <c r="BL495">
        <v>1</v>
      </c>
      <c r="BM495">
        <v>1</v>
      </c>
      <c r="BN495">
        <v>1</v>
      </c>
      <c r="BO495" t="s">
        <v>12</v>
      </c>
      <c r="BQ495" t="s">
        <v>1676</v>
      </c>
      <c r="BR495" t="s">
        <v>1771</v>
      </c>
      <c r="BS495" s="4" t="str">
        <f>HYPERLINK("http://exon.niaid.nih.gov/transcriptome/C_felis/S1/links/CDD/cf-contig_647-CDD.txt","UPF0259")</f>
        <v>UPF0259</v>
      </c>
      <c r="BT495" t="str">
        <f>HYPERLINK("http://www.ncbi.nlm.nih.gov/Structure/cdd/cddsrv.cgi?uid=pfam06790&amp;version=v4.0","2.5")</f>
        <v>2.5</v>
      </c>
      <c r="BU495" t="s">
        <v>4053</v>
      </c>
      <c r="BV495" s="4" t="s">
        <v>42</v>
      </c>
      <c r="BW495" t="s">
        <v>42</v>
      </c>
      <c r="BX495" t="s">
        <v>42</v>
      </c>
      <c r="BY495" t="s">
        <v>42</v>
      </c>
      <c r="BZ495" t="s">
        <v>42</v>
      </c>
      <c r="CA495" t="s">
        <v>42</v>
      </c>
      <c r="CB495" t="s">
        <v>42</v>
      </c>
      <c r="CC495" t="s">
        <v>42</v>
      </c>
      <c r="CD495" t="s">
        <v>42</v>
      </c>
      <c r="CE495" t="s">
        <v>42</v>
      </c>
      <c r="CF495" t="s">
        <v>42</v>
      </c>
      <c r="CG495" t="s">
        <v>42</v>
      </c>
      <c r="CH495" t="s">
        <v>42</v>
      </c>
      <c r="CI495" t="s">
        <v>42</v>
      </c>
      <c r="CJ495" t="s">
        <v>42</v>
      </c>
      <c r="CK495" t="s">
        <v>42</v>
      </c>
      <c r="CL495" t="s">
        <v>42</v>
      </c>
      <c r="CM495" t="s">
        <v>42</v>
      </c>
      <c r="CN495" t="s">
        <v>42</v>
      </c>
      <c r="CO495" t="s">
        <v>42</v>
      </c>
      <c r="CP495" t="s">
        <v>42</v>
      </c>
      <c r="CQ495" t="s">
        <v>42</v>
      </c>
      <c r="CR495" t="s">
        <v>42</v>
      </c>
      <c r="CS495" s="4" t="str">
        <f>HYPERLINK("http://exon.niaid.nih.gov/transcriptome/C_felis/S1/links/KOG/cf-contig_647-KOG.txt","Actin-related protein - Arp5p")</f>
        <v>Actin-related protein - Arp5p</v>
      </c>
      <c r="CT495" t="str">
        <f>HYPERLINK("http://www.ncbi.nlm.nih.gov/COG/grace/shokog.cgi?KOG0681","8.5")</f>
        <v>8.5</v>
      </c>
      <c r="CU495" t="s">
        <v>3092</v>
      </c>
      <c r="CV495" s="4" t="str">
        <f>HYPERLINK("http://exon.niaid.nih.gov/transcriptome/C_felis/S1/links/PFAM/cf-contig_647-PFAM.txt","UPF0259")</f>
        <v>UPF0259</v>
      </c>
      <c r="CW495" t="str">
        <f>HYPERLINK("http://pfam.sanger.ac.uk/family?acc=PF06790","0.52")</f>
        <v>0.52</v>
      </c>
      <c r="CX495" s="4" t="str">
        <f>HYPERLINK("http://exon.niaid.nih.gov/transcriptome/C_felis/S1/links/SMART/cf-contig_647-SMART.txt","BRIGHT")</f>
        <v>BRIGHT</v>
      </c>
      <c r="CY495" t="str">
        <f>HYPERLINK("http://smart.embl-heidelberg.de/smart/do_annotation.pl?DOMAIN=BRIGHT&amp;BLAST=DUMMY","0.80")</f>
        <v>0.80</v>
      </c>
      <c r="CZ495" s="4" t="s">
        <v>42</v>
      </c>
      <c r="DA495" t="s">
        <v>42</v>
      </c>
      <c r="DB495" t="s">
        <v>42</v>
      </c>
      <c r="DC495" t="s">
        <v>42</v>
      </c>
      <c r="DD495" t="s">
        <v>42</v>
      </c>
      <c r="DE495" t="s">
        <v>42</v>
      </c>
      <c r="DF495" t="s">
        <v>42</v>
      </c>
      <c r="DG495" t="s">
        <v>42</v>
      </c>
      <c r="DH495" s="4" t="s">
        <v>42</v>
      </c>
      <c r="DI495" t="s">
        <v>42</v>
      </c>
      <c r="DJ495" s="4" t="s">
        <v>42</v>
      </c>
      <c r="DK495" t="s">
        <v>42</v>
      </c>
      <c r="DL495" s="4">
        <v>529</v>
      </c>
      <c r="DM495">
        <v>1</v>
      </c>
      <c r="DN495" s="4">
        <v>541</v>
      </c>
      <c r="DO495">
        <v>1</v>
      </c>
      <c r="DP495" s="4">
        <v>552</v>
      </c>
      <c r="DQ495">
        <v>1</v>
      </c>
      <c r="DR495" s="4">
        <v>572</v>
      </c>
      <c r="DS495">
        <v>1</v>
      </c>
      <c r="DT495" s="4">
        <v>585</v>
      </c>
      <c r="DU495">
        <v>1</v>
      </c>
      <c r="DV495" s="4">
        <v>599</v>
      </c>
      <c r="DW495">
        <v>1</v>
      </c>
      <c r="DX495" s="4">
        <v>608</v>
      </c>
      <c r="DY495">
        <v>1</v>
      </c>
      <c r="DZ495" s="4">
        <v>617</v>
      </c>
      <c r="EA495">
        <v>1</v>
      </c>
      <c r="EB495" s="4">
        <v>622</v>
      </c>
      <c r="EC495">
        <v>1</v>
      </c>
      <c r="ED495" s="4">
        <v>626</v>
      </c>
      <c r="EE495">
        <v>1</v>
      </c>
      <c r="EF495" s="4">
        <v>632</v>
      </c>
      <c r="EG495">
        <v>1</v>
      </c>
      <c r="EH495" s="4">
        <v>640</v>
      </c>
      <c r="EI495">
        <v>1</v>
      </c>
      <c r="EJ495" s="4">
        <v>647</v>
      </c>
      <c r="EK495">
        <v>1</v>
      </c>
    </row>
    <row r="496" spans="1:141" x14ac:dyDescent="0.2">
      <c r="A496" t="str">
        <f>HYPERLINK("http://exon.niaid.nih.gov/transcriptome/C_felis/S1/links/cf/cf-contig_648.txt","cf-contig_648")</f>
        <v>cf-contig_648</v>
      </c>
      <c r="B496">
        <v>1</v>
      </c>
      <c r="C496" s="10" t="s">
        <v>4600</v>
      </c>
      <c r="D496">
        <v>1</v>
      </c>
      <c r="E496" t="str">
        <f>HYPERLINK("http://exon.niaid.nih.gov/transcriptome/C_felis/S1/links/cf/cf-5-36-asb-648.txt","Contig-648")</f>
        <v>Contig-648</v>
      </c>
      <c r="F496" t="str">
        <f>HYPERLINK("http://exon.niaid.nih.gov/transcriptome/C_felis/S1/links/cf/cf-5-36-648-CLU.txt","Contig648")</f>
        <v>Contig648</v>
      </c>
      <c r="G496" t="str">
        <f>HYPERLINK("http://exon.niaid.nih.gov/transcriptome/C_felis/S1/links/cf/cf-5-36-648-qual.txt","54.8")</f>
        <v>54.8</v>
      </c>
      <c r="H496" t="s">
        <v>11</v>
      </c>
      <c r="I496">
        <v>80</v>
      </c>
      <c r="J496">
        <v>106</v>
      </c>
      <c r="K496" t="s">
        <v>12</v>
      </c>
      <c r="L496">
        <v>1</v>
      </c>
      <c r="M496" t="s">
        <v>661</v>
      </c>
      <c r="N496">
        <v>106</v>
      </c>
      <c r="O496">
        <v>125</v>
      </c>
      <c r="P496">
        <v>72</v>
      </c>
      <c r="Q496" t="s">
        <v>1467</v>
      </c>
      <c r="R496">
        <v>3</v>
      </c>
      <c r="S496" s="7" t="s">
        <v>4585</v>
      </c>
      <c r="U496">
        <v>1</v>
      </c>
      <c r="V496" s="4">
        <v>530</v>
      </c>
      <c r="W496">
        <v>1</v>
      </c>
      <c r="X496" s="4">
        <v>542</v>
      </c>
      <c r="Y496">
        <v>1</v>
      </c>
      <c r="Z496" s="4">
        <v>553</v>
      </c>
      <c r="AA496">
        <v>1</v>
      </c>
      <c r="AB496" s="4" t="str">
        <f>HYPERLINK("http://exon.niaid.nih.gov/transcriptome/C_felis/S1/links/XC-ASB/cf-contig_648-XC-ASB.txt","XC-contig_250")</f>
        <v>XC-contig_250</v>
      </c>
      <c r="AC496">
        <v>0.23</v>
      </c>
      <c r="AD496" s="10" t="s">
        <v>4600</v>
      </c>
      <c r="AE496" t="s">
        <v>4601</v>
      </c>
      <c r="AI496" s="4" t="s">
        <v>42</v>
      </c>
      <c r="AJ496" t="s">
        <v>42</v>
      </c>
      <c r="AK496" t="s">
        <v>42</v>
      </c>
      <c r="AL496" t="s">
        <v>42</v>
      </c>
      <c r="AM496" t="s">
        <v>42</v>
      </c>
      <c r="AN496" t="s">
        <v>42</v>
      </c>
      <c r="AO496" t="s">
        <v>42</v>
      </c>
      <c r="AP496" t="s">
        <v>42</v>
      </c>
      <c r="AQ496" t="s">
        <v>42</v>
      </c>
      <c r="AR496" t="s">
        <v>42</v>
      </c>
      <c r="AS496" t="s">
        <v>42</v>
      </c>
      <c r="AT496" t="s">
        <v>42</v>
      </c>
      <c r="AU496" t="s">
        <v>42</v>
      </c>
      <c r="AV496" t="s">
        <v>42</v>
      </c>
      <c r="AW496" t="s">
        <v>42</v>
      </c>
      <c r="AX496" t="s">
        <v>42</v>
      </c>
      <c r="AY496" t="s">
        <v>42</v>
      </c>
      <c r="AZ496" t="s">
        <v>42</v>
      </c>
      <c r="BA496" s="4" t="str">
        <f>HYPERLINK("http://exon.niaid.nih.gov/transcriptome/C_felis/S1/links/SWISSP/cf-contig_648-SWISSP.txt","Protoheme IX farnesyltransferase")</f>
        <v>Protoheme IX farnesyltransferase</v>
      </c>
      <c r="BB496" t="str">
        <f>HYPERLINK("http://www.uniprot.org/uniprot/A5CF31","24")</f>
        <v>24</v>
      </c>
      <c r="BC496" t="s">
        <v>4054</v>
      </c>
      <c r="BD496">
        <v>27.7</v>
      </c>
      <c r="BE496">
        <v>18</v>
      </c>
      <c r="BF496">
        <v>313</v>
      </c>
      <c r="BG496">
        <v>52</v>
      </c>
      <c r="BH496">
        <v>6</v>
      </c>
      <c r="BI496">
        <v>9</v>
      </c>
      <c r="BJ496">
        <v>0</v>
      </c>
      <c r="BK496">
        <v>287</v>
      </c>
      <c r="BL496">
        <v>43</v>
      </c>
      <c r="BM496">
        <v>1</v>
      </c>
      <c r="BN496">
        <v>-3</v>
      </c>
      <c r="BO496" t="s">
        <v>12</v>
      </c>
      <c r="BQ496" t="s">
        <v>1666</v>
      </c>
      <c r="BR496" t="s">
        <v>2857</v>
      </c>
      <c r="BS496" s="4" t="str">
        <f>HYPERLINK("http://exon.niaid.nih.gov/transcriptome/C_felis/S1/links/CDD/cf-contig_648-CDD.txt","PHA02987")</f>
        <v>PHA02987</v>
      </c>
      <c r="BT496" t="str">
        <f>HYPERLINK("http://www.ncbi.nlm.nih.gov/Structure/cdd/cddsrv.cgi?uid=PHA02987&amp;version=v4.0","5.4")</f>
        <v>5.4</v>
      </c>
      <c r="BU496" t="s">
        <v>4055</v>
      </c>
      <c r="BV496" s="4" t="s">
        <v>42</v>
      </c>
      <c r="BW496" t="s">
        <v>42</v>
      </c>
      <c r="BX496" t="s">
        <v>42</v>
      </c>
      <c r="BY496" t="s">
        <v>42</v>
      </c>
      <c r="BZ496" t="s">
        <v>42</v>
      </c>
      <c r="CA496" t="s">
        <v>42</v>
      </c>
      <c r="CB496" t="s">
        <v>42</v>
      </c>
      <c r="CC496" t="s">
        <v>42</v>
      </c>
      <c r="CD496" t="s">
        <v>42</v>
      </c>
      <c r="CE496" t="s">
        <v>42</v>
      </c>
      <c r="CF496" t="s">
        <v>42</v>
      </c>
      <c r="CG496" t="s">
        <v>42</v>
      </c>
      <c r="CH496" t="s">
        <v>42</v>
      </c>
      <c r="CI496" t="s">
        <v>42</v>
      </c>
      <c r="CJ496" t="s">
        <v>42</v>
      </c>
      <c r="CK496" t="s">
        <v>42</v>
      </c>
      <c r="CL496" t="s">
        <v>42</v>
      </c>
      <c r="CM496" t="s">
        <v>42</v>
      </c>
      <c r="CN496" t="s">
        <v>42</v>
      </c>
      <c r="CO496" t="s">
        <v>42</v>
      </c>
      <c r="CP496" t="s">
        <v>42</v>
      </c>
      <c r="CQ496" t="s">
        <v>42</v>
      </c>
      <c r="CR496" t="s">
        <v>42</v>
      </c>
      <c r="CS496" s="4" t="str">
        <f>HYPERLINK("http://exon.niaid.nih.gov/transcriptome/C_felis/S1/links/KOG/cf-contig_648-KOG.txt","Uncharacterized integral membrane protein")</f>
        <v>Uncharacterized integral membrane protein</v>
      </c>
      <c r="CT496" t="str">
        <f>HYPERLINK("http://www.ncbi.nlm.nih.gov/COG/grace/shokog.cgi?KOG4002","6.8")</f>
        <v>6.8</v>
      </c>
      <c r="CU496" t="s">
        <v>1711</v>
      </c>
      <c r="CV496" s="4" t="str">
        <f>HYPERLINK("http://exon.niaid.nih.gov/transcriptome/C_felis/S1/links/PFAM/cf-contig_648-PFAM.txt","M11L")</f>
        <v>M11L</v>
      </c>
      <c r="CW496" t="str">
        <f>HYPERLINK("http://pfam.sanger.ac.uk/family?acc=PF11099","2.4")</f>
        <v>2.4</v>
      </c>
      <c r="CX496" s="4" t="str">
        <f>HYPERLINK("http://exon.niaid.nih.gov/transcriptome/C_felis/S1/links/SMART/cf-contig_648-SMART.txt","Amb_all")</f>
        <v>Amb_all</v>
      </c>
      <c r="CY496" t="str">
        <f>HYPERLINK("http://smart.embl-heidelberg.de/smart/do_annotation.pl?DOMAIN=Amb_all&amp;BLAST=DUMMY","0.42")</f>
        <v>0.42</v>
      </c>
      <c r="CZ496" s="4" t="s">
        <v>42</v>
      </c>
      <c r="DA496" t="s">
        <v>42</v>
      </c>
      <c r="DB496" t="s">
        <v>42</v>
      </c>
      <c r="DC496" t="s">
        <v>42</v>
      </c>
      <c r="DD496" t="s">
        <v>42</v>
      </c>
      <c r="DE496" t="s">
        <v>42</v>
      </c>
      <c r="DF496" t="s">
        <v>42</v>
      </c>
      <c r="DG496" t="s">
        <v>42</v>
      </c>
      <c r="DH496" s="4" t="s">
        <v>42</v>
      </c>
      <c r="DI496" t="s">
        <v>42</v>
      </c>
      <c r="DJ496" s="4" t="s">
        <v>42</v>
      </c>
      <c r="DK496" t="s">
        <v>42</v>
      </c>
      <c r="DL496" s="4">
        <v>530</v>
      </c>
      <c r="DM496">
        <v>1</v>
      </c>
      <c r="DN496" s="4">
        <v>542</v>
      </c>
      <c r="DO496">
        <v>1</v>
      </c>
      <c r="DP496" s="4">
        <v>553</v>
      </c>
      <c r="DQ496">
        <v>1</v>
      </c>
      <c r="DR496" s="4">
        <v>573</v>
      </c>
      <c r="DS496">
        <v>1</v>
      </c>
      <c r="DT496" s="4">
        <v>586</v>
      </c>
      <c r="DU496">
        <v>1</v>
      </c>
      <c r="DV496" s="4">
        <v>600</v>
      </c>
      <c r="DW496">
        <v>1</v>
      </c>
      <c r="DX496" s="4">
        <v>609</v>
      </c>
      <c r="DY496">
        <v>1</v>
      </c>
      <c r="DZ496" s="4">
        <v>618</v>
      </c>
      <c r="EA496">
        <v>1</v>
      </c>
      <c r="EB496" s="4">
        <v>623</v>
      </c>
      <c r="EC496">
        <v>1</v>
      </c>
      <c r="ED496" s="4">
        <v>627</v>
      </c>
      <c r="EE496">
        <v>1</v>
      </c>
      <c r="EF496" s="4">
        <v>633</v>
      </c>
      <c r="EG496">
        <v>1</v>
      </c>
      <c r="EH496" s="4">
        <v>641</v>
      </c>
      <c r="EI496">
        <v>1</v>
      </c>
      <c r="EJ496" s="4">
        <v>648</v>
      </c>
      <c r="EK496">
        <v>1</v>
      </c>
    </row>
    <row r="497" spans="1:141" x14ac:dyDescent="0.2">
      <c r="A497" t="str">
        <f>HYPERLINK("http://exon.niaid.nih.gov/transcriptome/C_felis/S1/links/cf/cf-contig_649.txt","cf-contig_649")</f>
        <v>cf-contig_649</v>
      </c>
      <c r="B497">
        <v>1</v>
      </c>
      <c r="C497" s="10" t="s">
        <v>4600</v>
      </c>
      <c r="D497">
        <v>1</v>
      </c>
      <c r="E497" t="str">
        <f>HYPERLINK("http://exon.niaid.nih.gov/transcriptome/C_felis/S1/links/cf/cf-5-36-asb-649.txt","Contig-649")</f>
        <v>Contig-649</v>
      </c>
      <c r="F497" t="str">
        <f>HYPERLINK("http://exon.niaid.nih.gov/transcriptome/C_felis/S1/links/cf/cf-5-36-649-CLU.txt","Contig649")</f>
        <v>Contig649</v>
      </c>
      <c r="G497" t="str">
        <f>HYPERLINK("http://exon.niaid.nih.gov/transcriptome/C_felis/S1/links/cf/cf-5-36-649-qual.txt","53.1")</f>
        <v>53.1</v>
      </c>
      <c r="H497" t="s">
        <v>11</v>
      </c>
      <c r="I497">
        <v>75</v>
      </c>
      <c r="J497">
        <v>189</v>
      </c>
      <c r="K497" t="s">
        <v>12</v>
      </c>
      <c r="L497">
        <v>1</v>
      </c>
      <c r="M497" t="s">
        <v>662</v>
      </c>
      <c r="N497">
        <v>189</v>
      </c>
      <c r="O497">
        <v>208</v>
      </c>
      <c r="P497">
        <v>66</v>
      </c>
      <c r="Q497" t="s">
        <v>1468</v>
      </c>
      <c r="R497">
        <v>2</v>
      </c>
      <c r="S497" s="7" t="s">
        <v>4585</v>
      </c>
      <c r="U497">
        <v>1</v>
      </c>
      <c r="V497" s="4">
        <v>531</v>
      </c>
      <c r="W497">
        <v>1</v>
      </c>
      <c r="X497" s="4">
        <v>543</v>
      </c>
      <c r="Y497">
        <v>1</v>
      </c>
      <c r="Z497" s="4">
        <v>554</v>
      </c>
      <c r="AA497">
        <v>1</v>
      </c>
      <c r="AB497" s="4" t="str">
        <f>HYPERLINK("http://exon.niaid.nih.gov/transcriptome/C_felis/S1/links/XC-ASB/cf-contig_649-XC-ASB.txt","XC-contig_111")</f>
        <v>XC-contig_111</v>
      </c>
      <c r="AC497">
        <v>0.23</v>
      </c>
      <c r="AD497" s="10" t="s">
        <v>4600</v>
      </c>
      <c r="AE497" t="s">
        <v>4601</v>
      </c>
      <c r="AI497" s="4" t="s">
        <v>42</v>
      </c>
      <c r="AJ497" t="s">
        <v>42</v>
      </c>
      <c r="AK497" t="s">
        <v>42</v>
      </c>
      <c r="AL497" t="s">
        <v>42</v>
      </c>
      <c r="AM497" t="s">
        <v>42</v>
      </c>
      <c r="AN497" t="s">
        <v>42</v>
      </c>
      <c r="AO497" t="s">
        <v>42</v>
      </c>
      <c r="AP497" t="s">
        <v>42</v>
      </c>
      <c r="AQ497" t="s">
        <v>42</v>
      </c>
      <c r="AR497" t="s">
        <v>42</v>
      </c>
      <c r="AS497" t="s">
        <v>42</v>
      </c>
      <c r="AT497" t="s">
        <v>42</v>
      </c>
      <c r="AU497" t="s">
        <v>42</v>
      </c>
      <c r="AV497" t="s">
        <v>42</v>
      </c>
      <c r="AW497" t="s">
        <v>42</v>
      </c>
      <c r="AX497" t="s">
        <v>42</v>
      </c>
      <c r="AY497" t="s">
        <v>42</v>
      </c>
      <c r="AZ497" t="s">
        <v>42</v>
      </c>
      <c r="BA497" s="4" t="str">
        <f>HYPERLINK("http://exon.niaid.nih.gov/transcriptome/C_felis/S1/links/SWISSP/cf-contig_649-SWISSP.txt","Transcription-associated protein 1")</f>
        <v>Transcription-associated protein 1</v>
      </c>
      <c r="BB497" t="str">
        <f>HYPERLINK("http://www.uniprot.org/uniprot/P38811","31")</f>
        <v>31</v>
      </c>
      <c r="BC497" t="s">
        <v>4056</v>
      </c>
      <c r="BD497">
        <v>27.3</v>
      </c>
      <c r="BE497">
        <v>34</v>
      </c>
      <c r="BF497">
        <v>3744</v>
      </c>
      <c r="BG497">
        <v>40</v>
      </c>
      <c r="BH497">
        <v>1</v>
      </c>
      <c r="BI497">
        <v>21</v>
      </c>
      <c r="BJ497">
        <v>0</v>
      </c>
      <c r="BK497">
        <v>354</v>
      </c>
      <c r="BL497">
        <v>60</v>
      </c>
      <c r="BM497">
        <v>1</v>
      </c>
      <c r="BN497">
        <v>-3</v>
      </c>
      <c r="BO497" t="s">
        <v>12</v>
      </c>
      <c r="BP497">
        <v>5.8819999999999997</v>
      </c>
      <c r="BQ497" t="s">
        <v>1666</v>
      </c>
      <c r="BR497" t="s">
        <v>1796</v>
      </c>
      <c r="BS497" s="4" t="str">
        <f>HYPERLINK("http://exon.niaid.nih.gov/transcriptome/C_felis/S1/links/CDD/cf-contig_649-CDD.txt","ND2")</f>
        <v>ND2</v>
      </c>
      <c r="BT497" t="str">
        <f>HYPERLINK("http://www.ncbi.nlm.nih.gov/Structure/cdd/cddsrv.cgi?uid=MTH00160&amp;version=v4.0","0.61")</f>
        <v>0.61</v>
      </c>
      <c r="BU497" t="s">
        <v>4057</v>
      </c>
      <c r="BV497" s="4" t="s">
        <v>42</v>
      </c>
      <c r="BW497" t="s">
        <v>42</v>
      </c>
      <c r="BX497" t="s">
        <v>42</v>
      </c>
      <c r="BY497" t="s">
        <v>42</v>
      </c>
      <c r="BZ497" t="s">
        <v>42</v>
      </c>
      <c r="CA497" t="s">
        <v>42</v>
      </c>
      <c r="CB497" t="s">
        <v>42</v>
      </c>
      <c r="CC497" t="s">
        <v>42</v>
      </c>
      <c r="CD497" t="s">
        <v>42</v>
      </c>
      <c r="CE497" t="s">
        <v>42</v>
      </c>
      <c r="CF497" t="s">
        <v>42</v>
      </c>
      <c r="CG497" t="s">
        <v>42</v>
      </c>
      <c r="CH497" t="s">
        <v>42</v>
      </c>
      <c r="CI497" t="s">
        <v>42</v>
      </c>
      <c r="CJ497" t="s">
        <v>42</v>
      </c>
      <c r="CK497" t="s">
        <v>42</v>
      </c>
      <c r="CL497" t="s">
        <v>42</v>
      </c>
      <c r="CM497" t="s">
        <v>42</v>
      </c>
      <c r="CN497" t="s">
        <v>42</v>
      </c>
      <c r="CO497" t="s">
        <v>42</v>
      </c>
      <c r="CP497" t="s">
        <v>42</v>
      </c>
      <c r="CQ497" t="s">
        <v>42</v>
      </c>
      <c r="CR497" t="s">
        <v>42</v>
      </c>
      <c r="CS497" s="4" t="str">
        <f>HYPERLINK("http://exon.niaid.nih.gov/transcriptome/C_felis/S1/links/KOG/cf-contig_649-KOG.txt","Predicted membrane protein")</f>
        <v>Predicted membrane protein</v>
      </c>
      <c r="CT497" t="str">
        <f>HYPERLINK("http://www.ncbi.nlm.nih.gov/COG/grace/shokog.cgi?KOG2490","3.0")</f>
        <v>3.0</v>
      </c>
      <c r="CU497" t="s">
        <v>1711</v>
      </c>
      <c r="CV497" s="4" t="str">
        <f>HYPERLINK("http://exon.niaid.nih.gov/transcriptome/C_felis/S1/links/PFAM/cf-contig_649-PFAM.txt","DUF747")</f>
        <v>DUF747</v>
      </c>
      <c r="CW497" t="str">
        <f>HYPERLINK("http://pfam.sanger.ac.uk/family?acc=PF05346","0.34")</f>
        <v>0.34</v>
      </c>
      <c r="CX497" s="4" t="str">
        <f>HYPERLINK("http://exon.niaid.nih.gov/transcriptome/C_felis/S1/links/SMART/cf-contig_649-SMART.txt","LA")</f>
        <v>LA</v>
      </c>
      <c r="CY497" t="str">
        <f>HYPERLINK("http://smart.embl-heidelberg.de/smart/do_annotation.pl?DOMAIN=LA&amp;BLAST=DUMMY","0.54")</f>
        <v>0.54</v>
      </c>
      <c r="CZ497" s="4" t="s">
        <v>42</v>
      </c>
      <c r="DA497" t="s">
        <v>42</v>
      </c>
      <c r="DB497" t="s">
        <v>42</v>
      </c>
      <c r="DC497" t="s">
        <v>42</v>
      </c>
      <c r="DD497" t="s">
        <v>42</v>
      </c>
      <c r="DE497" t="s">
        <v>42</v>
      </c>
      <c r="DF497" t="s">
        <v>42</v>
      </c>
      <c r="DG497" t="s">
        <v>42</v>
      </c>
      <c r="DH497" s="4" t="s">
        <v>42</v>
      </c>
      <c r="DI497" t="s">
        <v>42</v>
      </c>
      <c r="DJ497" s="4" t="s">
        <v>42</v>
      </c>
      <c r="DK497" t="s">
        <v>42</v>
      </c>
      <c r="DL497" s="4">
        <v>531</v>
      </c>
      <c r="DM497">
        <v>1</v>
      </c>
      <c r="DN497" s="4">
        <v>543</v>
      </c>
      <c r="DO497">
        <v>1</v>
      </c>
      <c r="DP497" s="4">
        <v>554</v>
      </c>
      <c r="DQ497">
        <v>1</v>
      </c>
      <c r="DR497" s="4">
        <v>574</v>
      </c>
      <c r="DS497">
        <v>1</v>
      </c>
      <c r="DT497" s="4">
        <v>587</v>
      </c>
      <c r="DU497">
        <v>1</v>
      </c>
      <c r="DV497" s="4">
        <v>601</v>
      </c>
      <c r="DW497">
        <v>1</v>
      </c>
      <c r="DX497" s="4">
        <v>610</v>
      </c>
      <c r="DY497">
        <v>1</v>
      </c>
      <c r="DZ497" s="4">
        <v>619</v>
      </c>
      <c r="EA497">
        <v>1</v>
      </c>
      <c r="EB497" s="4">
        <v>624</v>
      </c>
      <c r="EC497">
        <v>1</v>
      </c>
      <c r="ED497" s="4">
        <v>628</v>
      </c>
      <c r="EE497">
        <v>1</v>
      </c>
      <c r="EF497" s="4">
        <v>634</v>
      </c>
      <c r="EG497">
        <v>1</v>
      </c>
      <c r="EH497" s="4">
        <v>642</v>
      </c>
      <c r="EI497">
        <v>1</v>
      </c>
      <c r="EJ497" s="4">
        <v>649</v>
      </c>
      <c r="EK497">
        <v>1</v>
      </c>
    </row>
    <row r="498" spans="1:141" x14ac:dyDescent="0.2">
      <c r="A498" t="str">
        <f>HYPERLINK("http://exon.niaid.nih.gov/transcriptome/C_felis/S1/links/cf/cf-contig_657.txt","cf-contig_657")</f>
        <v>cf-contig_657</v>
      </c>
      <c r="B498">
        <v>1</v>
      </c>
      <c r="C498" s="10" t="s">
        <v>4600</v>
      </c>
      <c r="D498">
        <v>1</v>
      </c>
      <c r="E498" t="str">
        <f>HYPERLINK("http://exon.niaid.nih.gov/transcriptome/C_felis/S1/links/cf/cf-5-36-asb-657.txt","Contig-657")</f>
        <v>Contig-657</v>
      </c>
      <c r="F498" t="str">
        <f>HYPERLINK("http://exon.niaid.nih.gov/transcriptome/C_felis/S1/links/cf/cf-5-36-657-CLU.txt","Contig657")</f>
        <v>Contig657</v>
      </c>
      <c r="G498" t="str">
        <f>HYPERLINK("http://exon.niaid.nih.gov/transcriptome/C_felis/S1/links/cf/cf-5-36-657-qual.txt","26.")</f>
        <v>26.</v>
      </c>
      <c r="H498">
        <v>1.7</v>
      </c>
      <c r="I498">
        <v>55</v>
      </c>
      <c r="J498">
        <v>41</v>
      </c>
      <c r="K498" t="s">
        <v>12</v>
      </c>
      <c r="L498">
        <v>1</v>
      </c>
      <c r="M498" t="s">
        <v>670</v>
      </c>
      <c r="N498">
        <v>41</v>
      </c>
      <c r="O498">
        <v>60</v>
      </c>
      <c r="P498">
        <v>57</v>
      </c>
      <c r="Q498" t="s">
        <v>1476</v>
      </c>
      <c r="R498">
        <v>2</v>
      </c>
      <c r="S498" s="7" t="s">
        <v>4585</v>
      </c>
      <c r="U498">
        <v>1</v>
      </c>
      <c r="V498" s="4">
        <f>HYPERLINK("http://exon.niaid.nih.gov/transcriptome/C_felis/S1/links/cluster/cf-5-36-asb30-50-Id-CLU5.txt", 5)</f>
        <v>5</v>
      </c>
      <c r="W498">
        <f>HYPERLINK("http://exon.niaid.nih.gov/transcriptome/C_felis/S1/links/cluster/cf-5-36-asb30-50-Id-CLTL5.txt", 5)</f>
        <v>5</v>
      </c>
      <c r="X498" s="4">
        <f>HYPERLINK("http://exon.niaid.nih.gov/transcriptome/C_felis/S1/links/cluster/cf-5-36-asb35-50-Id-CLU5.txt", 5)</f>
        <v>5</v>
      </c>
      <c r="Y498">
        <f>HYPERLINK("http://exon.niaid.nih.gov/transcriptome/C_felis/S1/links/cluster/cf-5-36-asb35-50-Id-CLTL5.txt", 5)</f>
        <v>5</v>
      </c>
      <c r="Z498" s="4">
        <f>HYPERLINK("http://exon.niaid.nih.gov/transcriptome/C_felis/S1/links/cluster/cf-5-36-asb40-50-Id-CLU10.txt", 10)</f>
        <v>10</v>
      </c>
      <c r="AA498">
        <f>HYPERLINK("http://exon.niaid.nih.gov/transcriptome/C_felis/S1/links/cluster/cf-5-36-asb40-50-Id-CLTL10.txt", 4)</f>
        <v>4</v>
      </c>
      <c r="AB498" s="4" t="str">
        <f>HYPERLINK("http://exon.niaid.nih.gov/transcriptome/C_felis/S1/links/XC-ASB/cf-contig_657-XC-ASB.txt","XC-contig_28")</f>
        <v>XC-contig_28</v>
      </c>
      <c r="AC498">
        <v>7.5</v>
      </c>
      <c r="AD498" s="10" t="s">
        <v>4600</v>
      </c>
      <c r="AE498" t="s">
        <v>4601</v>
      </c>
      <c r="AI498" s="4" t="s">
        <v>42</v>
      </c>
      <c r="AJ498" t="s">
        <v>42</v>
      </c>
      <c r="AK498" t="s">
        <v>42</v>
      </c>
      <c r="AL498" t="s">
        <v>42</v>
      </c>
      <c r="AM498" t="s">
        <v>42</v>
      </c>
      <c r="AN498" t="s">
        <v>42</v>
      </c>
      <c r="AO498" t="s">
        <v>42</v>
      </c>
      <c r="AP498" t="s">
        <v>42</v>
      </c>
      <c r="AQ498" t="s">
        <v>42</v>
      </c>
      <c r="AR498" t="s">
        <v>42</v>
      </c>
      <c r="AS498" t="s">
        <v>42</v>
      </c>
      <c r="AT498" t="s">
        <v>42</v>
      </c>
      <c r="AU498" t="s">
        <v>42</v>
      </c>
      <c r="AV498" t="s">
        <v>42</v>
      </c>
      <c r="AW498" t="s">
        <v>42</v>
      </c>
      <c r="AX498" t="s">
        <v>42</v>
      </c>
      <c r="AY498" t="s">
        <v>42</v>
      </c>
      <c r="AZ498" t="s">
        <v>42</v>
      </c>
      <c r="BA498" s="4" t="s">
        <v>42</v>
      </c>
      <c r="BB498" t="s">
        <v>42</v>
      </c>
      <c r="BC498" t="s">
        <v>42</v>
      </c>
      <c r="BD498" t="s">
        <v>42</v>
      </c>
      <c r="BE498" t="s">
        <v>42</v>
      </c>
      <c r="BF498" t="s">
        <v>42</v>
      </c>
      <c r="BG498" t="s">
        <v>42</v>
      </c>
      <c r="BH498" t="s">
        <v>42</v>
      </c>
      <c r="BI498" t="s">
        <v>42</v>
      </c>
      <c r="BJ498" t="s">
        <v>42</v>
      </c>
      <c r="BK498" t="s">
        <v>42</v>
      </c>
      <c r="BL498" t="s">
        <v>42</v>
      </c>
      <c r="BM498" t="s">
        <v>42</v>
      </c>
      <c r="BN498" t="s">
        <v>42</v>
      </c>
      <c r="BO498" t="s">
        <v>42</v>
      </c>
      <c r="BP498" t="s">
        <v>42</v>
      </c>
      <c r="BQ498" t="s">
        <v>42</v>
      </c>
      <c r="BR498" t="s">
        <v>42</v>
      </c>
      <c r="BS498" s="4" t="str">
        <f>HYPERLINK("http://exon.niaid.nih.gov/transcriptome/C_felis/S1/links/CDD/cf-contig_657-CDD.txt","SpoVA")</f>
        <v>SpoVA</v>
      </c>
      <c r="BT498" t="str">
        <f>HYPERLINK("http://www.ncbi.nlm.nih.gov/Structure/cdd/cddsrv.cgi?uid=pfam03862&amp;version=v4.0","2.7")</f>
        <v>2.7</v>
      </c>
      <c r="BU498" t="s">
        <v>4079</v>
      </c>
      <c r="BV498" s="4" t="s">
        <v>42</v>
      </c>
      <c r="BW498" t="s">
        <v>42</v>
      </c>
      <c r="BX498" t="s">
        <v>42</v>
      </c>
      <c r="BY498" t="s">
        <v>42</v>
      </c>
      <c r="BZ498" t="s">
        <v>42</v>
      </c>
      <c r="CA498" t="s">
        <v>42</v>
      </c>
      <c r="CB498" t="s">
        <v>42</v>
      </c>
      <c r="CC498" t="s">
        <v>42</v>
      </c>
      <c r="CD498" t="s">
        <v>42</v>
      </c>
      <c r="CE498" t="s">
        <v>42</v>
      </c>
      <c r="CF498" t="s">
        <v>42</v>
      </c>
      <c r="CG498" t="s">
        <v>42</v>
      </c>
      <c r="CH498" t="s">
        <v>42</v>
      </c>
      <c r="CI498" t="s">
        <v>42</v>
      </c>
      <c r="CJ498" t="s">
        <v>42</v>
      </c>
      <c r="CK498" t="s">
        <v>42</v>
      </c>
      <c r="CL498" t="s">
        <v>42</v>
      </c>
      <c r="CM498" t="s">
        <v>42</v>
      </c>
      <c r="CN498" t="s">
        <v>42</v>
      </c>
      <c r="CO498" t="s">
        <v>42</v>
      </c>
      <c r="CP498" t="s">
        <v>42</v>
      </c>
      <c r="CQ498" t="s">
        <v>42</v>
      </c>
      <c r="CR498" t="s">
        <v>42</v>
      </c>
      <c r="CS498" s="4" t="s">
        <v>42</v>
      </c>
      <c r="CT498" t="s">
        <v>42</v>
      </c>
      <c r="CU498" t="s">
        <v>42</v>
      </c>
      <c r="CV498" s="4" t="str">
        <f>HYPERLINK("http://exon.niaid.nih.gov/transcriptome/C_felis/S1/links/PFAM/cf-contig_657-PFAM.txt","SpoVA")</f>
        <v>SpoVA</v>
      </c>
      <c r="CW498" t="str">
        <f>HYPERLINK("http://pfam.sanger.ac.uk/family?acc=PF03862","0.57")</f>
        <v>0.57</v>
      </c>
      <c r="CX498" s="4" t="str">
        <f>HYPERLINK("http://exon.niaid.nih.gov/transcriptome/C_felis/S1/links/SMART/cf-contig_657-SMART.txt","Zn_dep_PLPC")</f>
        <v>Zn_dep_PLPC</v>
      </c>
      <c r="CY498" t="str">
        <f>HYPERLINK("http://smart.embl-heidelberg.de/smart/do_annotation.pl?DOMAIN=Zn_dep_PLPC&amp;BLAST=DUMMY","0.58")</f>
        <v>0.58</v>
      </c>
      <c r="CZ498" s="4" t="s">
        <v>42</v>
      </c>
      <c r="DA498" t="s">
        <v>42</v>
      </c>
      <c r="DB498" t="s">
        <v>42</v>
      </c>
      <c r="DC498" t="s">
        <v>42</v>
      </c>
      <c r="DD498" t="s">
        <v>42</v>
      </c>
      <c r="DE498" t="s">
        <v>42</v>
      </c>
      <c r="DF498" t="s">
        <v>42</v>
      </c>
      <c r="DG498" t="s">
        <v>42</v>
      </c>
      <c r="DH498" s="4" t="s">
        <v>42</v>
      </c>
      <c r="DI498" t="s">
        <v>42</v>
      </c>
      <c r="DJ498" s="4" t="s">
        <v>42</v>
      </c>
      <c r="DK498" t="s">
        <v>42</v>
      </c>
      <c r="DL498" s="4">
        <f>HYPERLINK("http://exon.niaid.nih.gov/transcriptome/C_felis/S1/links/cluster/cf-5-36-asb30-50-Id-CLU5.txt", 5)</f>
        <v>5</v>
      </c>
      <c r="DM498">
        <f>HYPERLINK("http://exon.niaid.nih.gov/transcriptome/C_felis/S1/links/cluster/cf-5-36-asb30-50-Id-CLTL5.txt", 5)</f>
        <v>5</v>
      </c>
      <c r="DN498" s="4">
        <f>HYPERLINK("http://exon.niaid.nih.gov/transcriptome/C_felis/S1/links/cluster/cf-5-36-asb35-50-Id-CLU5.txt", 5)</f>
        <v>5</v>
      </c>
      <c r="DO498">
        <f>HYPERLINK("http://exon.niaid.nih.gov/transcriptome/C_felis/S1/links/cluster/cf-5-36-asb35-50-Id-CLTL5.txt", 5)</f>
        <v>5</v>
      </c>
      <c r="DP498" s="4">
        <f>HYPERLINK("http://exon.niaid.nih.gov/transcriptome/C_felis/S1/links/cluster/cf-5-36-asb40-50-Id-CLU10.txt", 10)</f>
        <v>10</v>
      </c>
      <c r="DQ498">
        <f>HYPERLINK("http://exon.niaid.nih.gov/transcriptome/C_felis/S1/links/cluster/cf-5-36-asb40-50-Id-CLTL10.txt", 4)</f>
        <v>4</v>
      </c>
      <c r="DR498" s="4">
        <f>HYPERLINK("http://exon.niaid.nih.gov/transcriptome/C_felis/S1/links/cluster/cf-5-36-asb45-50-Id-CLU16.txt", 16)</f>
        <v>16</v>
      </c>
      <c r="DS498">
        <f>HYPERLINK("http://exon.niaid.nih.gov/transcriptome/C_felis/S1/links/cluster/cf-5-36-asb45-50-Id-CLTL16.txt", 3)</f>
        <v>3</v>
      </c>
      <c r="DT498" s="4">
        <f>HYPERLINK("http://exon.niaid.nih.gov/transcriptome/C_felis/S1/links/cluster/cf-5-36-asb50-50-Id-CLU12.txt", 12)</f>
        <v>12</v>
      </c>
      <c r="DU498">
        <f>HYPERLINK("http://exon.niaid.nih.gov/transcriptome/C_felis/S1/links/cluster/cf-5-36-asb50-50-Id-CLTL12.txt", 3)</f>
        <v>3</v>
      </c>
      <c r="DV498" s="4">
        <f>HYPERLINK("http://exon.niaid.nih.gov/transcriptome/C_felis/S1/links/cluster/cf-5-36-asb55-50-Id-CLU11.txt", 11)</f>
        <v>11</v>
      </c>
      <c r="DW498">
        <f>HYPERLINK("http://exon.niaid.nih.gov/transcriptome/C_felis/S1/links/cluster/cf-5-36-asb55-50-Id-CLTL11.txt", 3)</f>
        <v>3</v>
      </c>
      <c r="DX498" s="4">
        <f>HYPERLINK("http://exon.niaid.nih.gov/transcriptome/C_felis/S1/links/cluster/cf-5-36-asb60-50-Id-CLU9.txt", 9)</f>
        <v>9</v>
      </c>
      <c r="DY498">
        <f>HYPERLINK("http://exon.niaid.nih.gov/transcriptome/C_felis/S1/links/cluster/cf-5-36-asb60-50-Id-CLTL9.txt", 3)</f>
        <v>3</v>
      </c>
      <c r="DZ498" s="4">
        <v>626</v>
      </c>
      <c r="EA498">
        <v>1</v>
      </c>
      <c r="EB498" s="4">
        <v>631</v>
      </c>
      <c r="EC498">
        <v>1</v>
      </c>
      <c r="ED498" s="4">
        <v>635</v>
      </c>
      <c r="EE498">
        <v>1</v>
      </c>
      <c r="EF498" s="4">
        <v>641</v>
      </c>
      <c r="EG498">
        <v>1</v>
      </c>
      <c r="EH498" s="4">
        <v>649</v>
      </c>
      <c r="EI498">
        <v>1</v>
      </c>
      <c r="EJ498" s="4">
        <v>657</v>
      </c>
      <c r="EK498">
        <v>1</v>
      </c>
    </row>
    <row r="499" spans="1:141" x14ac:dyDescent="0.2">
      <c r="A499" t="str">
        <f>HYPERLINK("http://exon.niaid.nih.gov/transcriptome/C_felis/S1/links/cf/cf-contig_658.txt","cf-contig_658")</f>
        <v>cf-contig_658</v>
      </c>
      <c r="B499">
        <v>1</v>
      </c>
      <c r="C499" s="10" t="s">
        <v>4600</v>
      </c>
      <c r="D499">
        <v>1</v>
      </c>
      <c r="E499" t="str">
        <f>HYPERLINK("http://exon.niaid.nih.gov/transcriptome/C_felis/S1/links/cf/cf-5-36-asb-658.txt","Contig-658")</f>
        <v>Contig-658</v>
      </c>
      <c r="F499" t="str">
        <f>HYPERLINK("http://exon.niaid.nih.gov/transcriptome/C_felis/S1/links/cf/cf-5-36-658-CLU.txt","Contig658")</f>
        <v>Contig658</v>
      </c>
      <c r="G499" t="str">
        <f>HYPERLINK("http://exon.niaid.nih.gov/transcriptome/C_felis/S1/links/cf/cf-5-36-658-qual.txt","50.4")</f>
        <v>50.4</v>
      </c>
      <c r="H499">
        <v>0.6</v>
      </c>
      <c r="I499">
        <v>62.3</v>
      </c>
      <c r="J499">
        <v>143</v>
      </c>
      <c r="K499" t="s">
        <v>12</v>
      </c>
      <c r="L499">
        <v>1</v>
      </c>
      <c r="M499" t="s">
        <v>671</v>
      </c>
      <c r="N499">
        <v>143</v>
      </c>
      <c r="O499">
        <v>162</v>
      </c>
      <c r="P499">
        <v>96</v>
      </c>
      <c r="Q499" t="s">
        <v>1477</v>
      </c>
      <c r="R499">
        <v>2</v>
      </c>
      <c r="S499" s="7" t="s">
        <v>4585</v>
      </c>
      <c r="U499">
        <v>1</v>
      </c>
      <c r="V499" s="4">
        <v>537</v>
      </c>
      <c r="W499">
        <v>1</v>
      </c>
      <c r="X499" s="4">
        <v>549</v>
      </c>
      <c r="Y499">
        <v>1</v>
      </c>
      <c r="Z499" s="4">
        <v>561</v>
      </c>
      <c r="AA499">
        <v>1</v>
      </c>
      <c r="AB499" s="4" t="str">
        <f>HYPERLINK("http://exon.niaid.nih.gov/transcriptome/C_felis/S1/links/XC-ASB/cf-contig_658-XC-ASB.txt","XC-contig_28")</f>
        <v>XC-contig_28</v>
      </c>
      <c r="AC499">
        <v>0.53</v>
      </c>
      <c r="AD499" s="10" t="s">
        <v>4600</v>
      </c>
      <c r="AE499" t="s">
        <v>4601</v>
      </c>
      <c r="AI499" s="4" t="s">
        <v>42</v>
      </c>
      <c r="AJ499" t="s">
        <v>42</v>
      </c>
      <c r="AK499" t="s">
        <v>42</v>
      </c>
      <c r="AL499" t="s">
        <v>42</v>
      </c>
      <c r="AM499" t="s">
        <v>42</v>
      </c>
      <c r="AN499" t="s">
        <v>42</v>
      </c>
      <c r="AO499" t="s">
        <v>42</v>
      </c>
      <c r="AP499" t="s">
        <v>42</v>
      </c>
      <c r="AQ499" t="s">
        <v>42</v>
      </c>
      <c r="AR499" t="s">
        <v>42</v>
      </c>
      <c r="AS499" t="s">
        <v>42</v>
      </c>
      <c r="AT499" t="s">
        <v>42</v>
      </c>
      <c r="AU499" t="s">
        <v>42</v>
      </c>
      <c r="AV499" t="s">
        <v>42</v>
      </c>
      <c r="AW499" t="s">
        <v>42</v>
      </c>
      <c r="AX499" t="s">
        <v>42</v>
      </c>
      <c r="AY499" t="s">
        <v>42</v>
      </c>
      <c r="AZ499" t="s">
        <v>42</v>
      </c>
      <c r="BA499" s="4" t="str">
        <f>HYPERLINK("http://exon.niaid.nih.gov/transcriptome/C_felis/S1/links/SWISSP/cf-contig_658-SWISSP.txt","Anthocyanidin 3-O-glucosyltransferase")</f>
        <v>Anthocyanidin 3-O-glucosyltransferase</v>
      </c>
      <c r="BB499" t="str">
        <f>HYPERLINK("http://www.uniprot.org/uniprot/Q43641","18")</f>
        <v>18</v>
      </c>
      <c r="BC499" t="s">
        <v>4080</v>
      </c>
      <c r="BD499">
        <v>28.1</v>
      </c>
      <c r="BE499">
        <v>29</v>
      </c>
      <c r="BF499">
        <v>433</v>
      </c>
      <c r="BG499">
        <v>46</v>
      </c>
      <c r="BH499">
        <v>7</v>
      </c>
      <c r="BI499">
        <v>16</v>
      </c>
      <c r="BJ499">
        <v>2</v>
      </c>
      <c r="BK499">
        <v>373</v>
      </c>
      <c r="BL499">
        <v>8</v>
      </c>
      <c r="BM499">
        <v>1</v>
      </c>
      <c r="BN499">
        <v>2</v>
      </c>
      <c r="BO499" t="s">
        <v>12</v>
      </c>
      <c r="BQ499" t="s">
        <v>1676</v>
      </c>
      <c r="BR499" t="s">
        <v>4081</v>
      </c>
      <c r="BS499" s="4" t="str">
        <f>HYPERLINK("http://exon.niaid.nih.gov/transcriptome/C_felis/S1/links/CDD/cf-contig_658-CDD.txt","PBP2_NikA")</f>
        <v>PBP2_NikA</v>
      </c>
      <c r="BT499" t="str">
        <f>HYPERLINK("http://www.ncbi.nlm.nih.gov/Structure/cdd/cddsrv.cgi?uid=cd08489&amp;version=v4.0","1.2")</f>
        <v>1.2</v>
      </c>
      <c r="BU499" t="s">
        <v>4082</v>
      </c>
      <c r="BV499" s="4" t="s">
        <v>42</v>
      </c>
      <c r="BW499" t="s">
        <v>42</v>
      </c>
      <c r="BX499" t="s">
        <v>42</v>
      </c>
      <c r="BY499" t="s">
        <v>42</v>
      </c>
      <c r="BZ499" t="s">
        <v>42</v>
      </c>
      <c r="CA499" t="s">
        <v>42</v>
      </c>
      <c r="CB499" t="s">
        <v>42</v>
      </c>
      <c r="CC499" t="s">
        <v>42</v>
      </c>
      <c r="CD499" t="s">
        <v>42</v>
      </c>
      <c r="CE499" t="s">
        <v>42</v>
      </c>
      <c r="CF499" t="s">
        <v>42</v>
      </c>
      <c r="CG499" t="s">
        <v>42</v>
      </c>
      <c r="CH499" t="s">
        <v>42</v>
      </c>
      <c r="CI499" t="s">
        <v>42</v>
      </c>
      <c r="CJ499" t="s">
        <v>42</v>
      </c>
      <c r="CK499" t="s">
        <v>42</v>
      </c>
      <c r="CL499" t="s">
        <v>42</v>
      </c>
      <c r="CM499" t="s">
        <v>42</v>
      </c>
      <c r="CN499" t="s">
        <v>42</v>
      </c>
      <c r="CO499" t="s">
        <v>42</v>
      </c>
      <c r="CP499" t="s">
        <v>42</v>
      </c>
      <c r="CQ499" t="s">
        <v>42</v>
      </c>
      <c r="CR499" t="s">
        <v>42</v>
      </c>
      <c r="CS499" s="4" t="str">
        <f>HYPERLINK("http://exon.niaid.nih.gov/transcriptome/C_felis/S1/links/KOG/cf-contig_658-KOG.txt","Sulfatases")</f>
        <v>Sulfatases</v>
      </c>
      <c r="CT499" t="str">
        <f>HYPERLINK("http://www.ncbi.nlm.nih.gov/COG/grace/shokog.cgi?KOG3731","7.1")</f>
        <v>7.1</v>
      </c>
      <c r="CU499" t="s">
        <v>1823</v>
      </c>
      <c r="CV499" s="4" t="str">
        <f>HYPERLINK("http://exon.niaid.nih.gov/transcriptome/C_felis/S1/links/PFAM/cf-contig_658-PFAM.txt","Glyco_hydro_63")</f>
        <v>Glyco_hydro_63</v>
      </c>
      <c r="CW499" t="str">
        <f>HYPERLINK("http://pfam.sanger.ac.uk/family?acc=PF03200","1.7")</f>
        <v>1.7</v>
      </c>
      <c r="CX499" s="4" t="str">
        <f>HYPERLINK("http://exon.niaid.nih.gov/transcriptome/C_felis/S1/links/SMART/cf-contig_658-SMART.txt","MYSc")</f>
        <v>MYSc</v>
      </c>
      <c r="CY499" t="str">
        <f>HYPERLINK("http://smart.embl-heidelberg.de/smart/do_annotation.pl?DOMAIN=MYSc&amp;BLAST=DUMMY","1.1")</f>
        <v>1.1</v>
      </c>
      <c r="CZ499" s="4" t="s">
        <v>42</v>
      </c>
      <c r="DA499" t="s">
        <v>42</v>
      </c>
      <c r="DB499" t="s">
        <v>42</v>
      </c>
      <c r="DC499" t="s">
        <v>42</v>
      </c>
      <c r="DD499" t="s">
        <v>42</v>
      </c>
      <c r="DE499" t="s">
        <v>42</v>
      </c>
      <c r="DF499" t="s">
        <v>42</v>
      </c>
      <c r="DG499" t="s">
        <v>42</v>
      </c>
      <c r="DH499" s="4" t="s">
        <v>42</v>
      </c>
      <c r="DI499" t="s">
        <v>42</v>
      </c>
      <c r="DJ499" s="4" t="s">
        <v>42</v>
      </c>
      <c r="DK499" t="s">
        <v>42</v>
      </c>
      <c r="DL499" s="4">
        <v>537</v>
      </c>
      <c r="DM499">
        <v>1</v>
      </c>
      <c r="DN499" s="4">
        <v>549</v>
      </c>
      <c r="DO499">
        <v>1</v>
      </c>
      <c r="DP499" s="4">
        <v>561</v>
      </c>
      <c r="DQ499">
        <v>1</v>
      </c>
      <c r="DR499" s="4">
        <v>581</v>
      </c>
      <c r="DS499">
        <v>1</v>
      </c>
      <c r="DT499" s="4">
        <v>594</v>
      </c>
      <c r="DU499">
        <v>1</v>
      </c>
      <c r="DV499" s="4">
        <v>608</v>
      </c>
      <c r="DW499">
        <v>1</v>
      </c>
      <c r="DX499" s="4">
        <v>617</v>
      </c>
      <c r="DY499">
        <v>1</v>
      </c>
      <c r="DZ499" s="4">
        <v>627</v>
      </c>
      <c r="EA499">
        <v>1</v>
      </c>
      <c r="EB499" s="4">
        <v>632</v>
      </c>
      <c r="EC499">
        <v>1</v>
      </c>
      <c r="ED499" s="4">
        <v>636</v>
      </c>
      <c r="EE499">
        <v>1</v>
      </c>
      <c r="EF499" s="4">
        <v>642</v>
      </c>
      <c r="EG499">
        <v>1</v>
      </c>
      <c r="EH499" s="4">
        <v>650</v>
      </c>
      <c r="EI499">
        <v>1</v>
      </c>
      <c r="EJ499" s="4">
        <v>658</v>
      </c>
      <c r="EK499">
        <v>1</v>
      </c>
    </row>
    <row r="500" spans="1:141" x14ac:dyDescent="0.2">
      <c r="A500" t="str">
        <f>HYPERLINK("http://exon.niaid.nih.gov/transcriptome/C_felis/S1/links/cf/cf-contig_665.txt","cf-contig_665")</f>
        <v>cf-contig_665</v>
      </c>
      <c r="B500">
        <v>1</v>
      </c>
      <c r="C500" s="10" t="s">
        <v>4600</v>
      </c>
      <c r="D500">
        <v>1</v>
      </c>
      <c r="E500" t="str">
        <f>HYPERLINK("http://exon.niaid.nih.gov/transcriptome/C_felis/S1/links/cf/cf-5-36-asb-665.txt","Contig-665")</f>
        <v>Contig-665</v>
      </c>
      <c r="F500" t="str">
        <f>HYPERLINK("http://exon.niaid.nih.gov/transcriptome/C_felis/S1/links/cf/cf-5-36-665-CLU.txt","Contig665")</f>
        <v>Contig665</v>
      </c>
      <c r="G500" t="str">
        <f>HYPERLINK("http://exon.niaid.nih.gov/transcriptome/C_felis/S1/links/cf/cf-5-36-665-qual.txt","55.7")</f>
        <v>55.7</v>
      </c>
      <c r="H500" t="s">
        <v>11</v>
      </c>
      <c r="I500">
        <v>73.599999999999994</v>
      </c>
      <c r="J500">
        <v>101</v>
      </c>
      <c r="K500" t="s">
        <v>12</v>
      </c>
      <c r="L500">
        <v>1</v>
      </c>
      <c r="M500" t="s">
        <v>678</v>
      </c>
      <c r="N500">
        <v>121</v>
      </c>
      <c r="O500">
        <v>140</v>
      </c>
      <c r="P500">
        <v>105</v>
      </c>
      <c r="Q500" t="s">
        <v>1484</v>
      </c>
      <c r="R500">
        <v>1</v>
      </c>
      <c r="S500" s="7" t="s">
        <v>4585</v>
      </c>
      <c r="U500">
        <v>1</v>
      </c>
      <c r="V500" s="4">
        <v>544</v>
      </c>
      <c r="W500">
        <v>1</v>
      </c>
      <c r="X500" s="4">
        <v>556</v>
      </c>
      <c r="Y500">
        <v>1</v>
      </c>
      <c r="Z500" s="4">
        <v>568</v>
      </c>
      <c r="AA500">
        <v>1</v>
      </c>
      <c r="AB500" s="4" t="str">
        <f>HYPERLINK("http://exon.niaid.nih.gov/transcriptome/C_felis/S1/links/XC-ASB/cf-contig_665-XC-ASB.txt","XC-contig_146")</f>
        <v>XC-contig_146</v>
      </c>
      <c r="AC500">
        <v>1.5</v>
      </c>
      <c r="AD500" s="10" t="s">
        <v>4600</v>
      </c>
      <c r="AE500" t="s">
        <v>4601</v>
      </c>
      <c r="AI500" s="4" t="s">
        <v>42</v>
      </c>
      <c r="AJ500" t="s">
        <v>42</v>
      </c>
      <c r="AK500" t="s">
        <v>42</v>
      </c>
      <c r="AL500" t="s">
        <v>42</v>
      </c>
      <c r="AM500" t="s">
        <v>42</v>
      </c>
      <c r="AN500" t="s">
        <v>42</v>
      </c>
      <c r="AO500" t="s">
        <v>42</v>
      </c>
      <c r="AP500" t="s">
        <v>42</v>
      </c>
      <c r="AQ500" t="s">
        <v>42</v>
      </c>
      <c r="AR500" t="s">
        <v>42</v>
      </c>
      <c r="AS500" t="s">
        <v>42</v>
      </c>
      <c r="AT500" t="s">
        <v>42</v>
      </c>
      <c r="AU500" t="s">
        <v>42</v>
      </c>
      <c r="AV500" t="s">
        <v>42</v>
      </c>
      <c r="AW500" t="s">
        <v>42</v>
      </c>
      <c r="AX500" t="s">
        <v>42</v>
      </c>
      <c r="AY500" t="s">
        <v>42</v>
      </c>
      <c r="AZ500" t="s">
        <v>42</v>
      </c>
      <c r="BA500" s="4" t="str">
        <f>HYPERLINK("http://exon.niaid.nih.gov/transcriptome/C_felis/S1/links/SWISSP/cf-contig_665-SWISSP.txt","Urea amidolyase")</f>
        <v>Urea amidolyase</v>
      </c>
      <c r="BB500" t="str">
        <f>HYPERLINK("http://www.uniprot.org/uniprot/P32528","68")</f>
        <v>68</v>
      </c>
      <c r="BC500" t="s">
        <v>4103</v>
      </c>
      <c r="BD500">
        <v>26.2</v>
      </c>
      <c r="BE500">
        <v>21</v>
      </c>
      <c r="BF500">
        <v>1835</v>
      </c>
      <c r="BG500">
        <v>36</v>
      </c>
      <c r="BH500">
        <v>1</v>
      </c>
      <c r="BI500">
        <v>14</v>
      </c>
      <c r="BJ500">
        <v>0</v>
      </c>
      <c r="BK500">
        <v>1453</v>
      </c>
      <c r="BL500">
        <v>34</v>
      </c>
      <c r="BM500">
        <v>1</v>
      </c>
      <c r="BN500">
        <v>1</v>
      </c>
      <c r="BO500" t="s">
        <v>12</v>
      </c>
      <c r="BQ500" t="s">
        <v>1676</v>
      </c>
      <c r="BR500" t="s">
        <v>1796</v>
      </c>
      <c r="BS500" s="4" t="str">
        <f>HYPERLINK("http://exon.niaid.nih.gov/transcriptome/C_felis/S1/links/CDD/cf-contig_665-CDD.txt","PRK13662")</f>
        <v>PRK13662</v>
      </c>
      <c r="BT500" t="str">
        <f>HYPERLINK("http://www.ncbi.nlm.nih.gov/Structure/cdd/cddsrv.cgi?uid=PRK13662&amp;version=v4.0","2.4")</f>
        <v>2.4</v>
      </c>
      <c r="BU500" t="s">
        <v>4104</v>
      </c>
      <c r="BV500" s="4" t="s">
        <v>42</v>
      </c>
      <c r="BW500" t="s">
        <v>42</v>
      </c>
      <c r="BX500" t="s">
        <v>42</v>
      </c>
      <c r="BY500" t="s">
        <v>42</v>
      </c>
      <c r="BZ500" t="s">
        <v>42</v>
      </c>
      <c r="CA500" t="s">
        <v>42</v>
      </c>
      <c r="CB500" t="s">
        <v>42</v>
      </c>
      <c r="CC500" t="s">
        <v>42</v>
      </c>
      <c r="CD500" t="s">
        <v>42</v>
      </c>
      <c r="CE500" t="s">
        <v>42</v>
      </c>
      <c r="CF500" t="s">
        <v>42</v>
      </c>
      <c r="CG500" t="s">
        <v>42</v>
      </c>
      <c r="CH500" t="s">
        <v>42</v>
      </c>
      <c r="CI500" t="s">
        <v>42</v>
      </c>
      <c r="CJ500" t="s">
        <v>42</v>
      </c>
      <c r="CK500" t="s">
        <v>42</v>
      </c>
      <c r="CL500" t="s">
        <v>42</v>
      </c>
      <c r="CM500" t="s">
        <v>42</v>
      </c>
      <c r="CN500" t="s">
        <v>42</v>
      </c>
      <c r="CO500" t="s">
        <v>42</v>
      </c>
      <c r="CP500" t="s">
        <v>42</v>
      </c>
      <c r="CQ500" t="s">
        <v>42</v>
      </c>
      <c r="CR500" t="s">
        <v>42</v>
      </c>
      <c r="CS500" s="4" t="str">
        <f>HYPERLINK("http://exon.niaid.nih.gov/transcriptome/C_felis/S1/links/KOG/cf-contig_665-KOG.txt","Predicted carbohydrate/phosphate translocator")</f>
        <v>Predicted carbohydrate/phosphate translocator</v>
      </c>
      <c r="CT500" t="str">
        <f>HYPERLINK("http://www.ncbi.nlm.nih.gov/COG/grace/shokog.cgi?KOG4314","5.4")</f>
        <v>5.4</v>
      </c>
      <c r="CU500" t="s">
        <v>1721</v>
      </c>
      <c r="CV500" s="4" t="str">
        <f>HYPERLINK("http://exon.niaid.nih.gov/transcriptome/C_felis/S1/links/PFAM/cf-contig_665-PFAM.txt","RYDR_ITPR")</f>
        <v>RYDR_ITPR</v>
      </c>
      <c r="CW500" t="str">
        <f>HYPERLINK("http://pfam.sanger.ac.uk/family?acc=PF01365","4.1")</f>
        <v>4.1</v>
      </c>
      <c r="CX500" s="4" t="str">
        <f>HYPERLINK("http://exon.niaid.nih.gov/transcriptome/C_felis/S1/links/SMART/cf-contig_665-SMART.txt","RPOLA_N")</f>
        <v>RPOLA_N</v>
      </c>
      <c r="CY500" t="str">
        <f>HYPERLINK("http://smart.embl-heidelberg.de/smart/do_annotation.pl?DOMAIN=RPOLA_N&amp;BLAST=DUMMY","0.39")</f>
        <v>0.39</v>
      </c>
      <c r="CZ500" s="4" t="s">
        <v>42</v>
      </c>
      <c r="DA500" t="s">
        <v>42</v>
      </c>
      <c r="DB500" t="s">
        <v>42</v>
      </c>
      <c r="DC500" t="s">
        <v>42</v>
      </c>
      <c r="DD500" t="s">
        <v>42</v>
      </c>
      <c r="DE500" t="s">
        <v>42</v>
      </c>
      <c r="DF500" t="s">
        <v>42</v>
      </c>
      <c r="DG500" t="s">
        <v>42</v>
      </c>
      <c r="DH500" s="4" t="s">
        <v>42</v>
      </c>
      <c r="DI500" t="s">
        <v>42</v>
      </c>
      <c r="DJ500" s="4" t="s">
        <v>42</v>
      </c>
      <c r="DK500" t="s">
        <v>42</v>
      </c>
      <c r="DL500" s="4">
        <v>544</v>
      </c>
      <c r="DM500">
        <v>1</v>
      </c>
      <c r="DN500" s="4">
        <v>556</v>
      </c>
      <c r="DO500">
        <v>1</v>
      </c>
      <c r="DP500" s="4">
        <v>568</v>
      </c>
      <c r="DQ500">
        <v>1</v>
      </c>
      <c r="DR500" s="4">
        <v>588</v>
      </c>
      <c r="DS500">
        <v>1</v>
      </c>
      <c r="DT500" s="4">
        <v>601</v>
      </c>
      <c r="DU500">
        <v>1</v>
      </c>
      <c r="DV500" s="4">
        <v>615</v>
      </c>
      <c r="DW500">
        <v>1</v>
      </c>
      <c r="DX500" s="4">
        <v>624</v>
      </c>
      <c r="DY500">
        <v>1</v>
      </c>
      <c r="DZ500" s="4">
        <v>634</v>
      </c>
      <c r="EA500">
        <v>1</v>
      </c>
      <c r="EB500" s="4">
        <v>639</v>
      </c>
      <c r="EC500">
        <v>1</v>
      </c>
      <c r="ED500" s="4">
        <v>643</v>
      </c>
      <c r="EE500">
        <v>1</v>
      </c>
      <c r="EF500" s="4">
        <v>649</v>
      </c>
      <c r="EG500">
        <v>1</v>
      </c>
      <c r="EH500" s="4">
        <v>657</v>
      </c>
      <c r="EI500">
        <v>1</v>
      </c>
      <c r="EJ500" s="4">
        <v>665</v>
      </c>
      <c r="EK500">
        <v>1</v>
      </c>
    </row>
    <row r="501" spans="1:141" x14ac:dyDescent="0.2">
      <c r="A501" t="str">
        <f>HYPERLINK("http://exon.niaid.nih.gov/transcriptome/C_felis/S1/links/cf/cf-contig_667.txt","cf-contig_667")</f>
        <v>cf-contig_667</v>
      </c>
      <c r="B501">
        <v>1</v>
      </c>
      <c r="C501" s="10" t="s">
        <v>4600</v>
      </c>
      <c r="D501">
        <v>1</v>
      </c>
      <c r="E501" t="str">
        <f>HYPERLINK("http://exon.niaid.nih.gov/transcriptome/C_felis/S1/links/cf/cf-5-36-asb-667.txt","Contig-667")</f>
        <v>Contig-667</v>
      </c>
      <c r="F501" t="str">
        <f>HYPERLINK("http://exon.niaid.nih.gov/transcriptome/C_felis/S1/links/cf/cf-5-36-667-CLU.txt","Contig667")</f>
        <v>Contig667</v>
      </c>
      <c r="G501" t="str">
        <f>HYPERLINK("http://exon.niaid.nih.gov/transcriptome/C_felis/S1/links/cf/cf-5-36-667-qual.txt","54.1")</f>
        <v>54.1</v>
      </c>
      <c r="H501" t="s">
        <v>11</v>
      </c>
      <c r="I501">
        <v>75.3</v>
      </c>
      <c r="J501">
        <v>70</v>
      </c>
      <c r="K501" t="s">
        <v>12</v>
      </c>
      <c r="L501">
        <v>1</v>
      </c>
      <c r="M501" t="s">
        <v>680</v>
      </c>
      <c r="N501">
        <v>70</v>
      </c>
      <c r="O501">
        <v>89</v>
      </c>
      <c r="P501">
        <v>51</v>
      </c>
      <c r="Q501" t="s">
        <v>1486</v>
      </c>
      <c r="R501">
        <v>1</v>
      </c>
      <c r="S501" s="7" t="s">
        <v>4585</v>
      </c>
      <c r="U501">
        <v>1</v>
      </c>
      <c r="V501" s="4">
        <v>546</v>
      </c>
      <c r="W501">
        <v>1</v>
      </c>
      <c r="X501" s="4">
        <v>558</v>
      </c>
      <c r="Y501">
        <v>1</v>
      </c>
      <c r="Z501" s="4">
        <v>570</v>
      </c>
      <c r="AA501">
        <v>1</v>
      </c>
      <c r="AB501" s="4" t="str">
        <f>HYPERLINK("http://exon.niaid.nih.gov/transcriptome/C_felis/S1/links/XC-ASB/cf-contig_667-XC-ASB.txt","XC-contig_16")</f>
        <v>XC-contig_16</v>
      </c>
      <c r="AC501">
        <v>0.47</v>
      </c>
      <c r="AD501" s="10" t="s">
        <v>4600</v>
      </c>
      <c r="AE501" t="s">
        <v>4601</v>
      </c>
      <c r="AI501" s="4" t="s">
        <v>42</v>
      </c>
      <c r="AJ501" t="s">
        <v>42</v>
      </c>
      <c r="AK501" t="s">
        <v>42</v>
      </c>
      <c r="AL501" t="s">
        <v>42</v>
      </c>
      <c r="AM501" t="s">
        <v>42</v>
      </c>
      <c r="AN501" t="s">
        <v>42</v>
      </c>
      <c r="AO501" t="s">
        <v>42</v>
      </c>
      <c r="AP501" t="s">
        <v>42</v>
      </c>
      <c r="AQ501" t="s">
        <v>42</v>
      </c>
      <c r="AR501" t="s">
        <v>42</v>
      </c>
      <c r="AS501" t="s">
        <v>42</v>
      </c>
      <c r="AT501" t="s">
        <v>42</v>
      </c>
      <c r="AU501" t="s">
        <v>42</v>
      </c>
      <c r="AV501" t="s">
        <v>42</v>
      </c>
      <c r="AW501" t="s">
        <v>42</v>
      </c>
      <c r="AX501" t="s">
        <v>42</v>
      </c>
      <c r="AY501" t="s">
        <v>42</v>
      </c>
      <c r="AZ501" t="s">
        <v>42</v>
      </c>
      <c r="BA501" s="4" t="s">
        <v>42</v>
      </c>
      <c r="BB501" t="s">
        <v>42</v>
      </c>
      <c r="BC501" t="s">
        <v>42</v>
      </c>
      <c r="BD501" t="s">
        <v>42</v>
      </c>
      <c r="BE501" t="s">
        <v>42</v>
      </c>
      <c r="BF501" t="s">
        <v>42</v>
      </c>
      <c r="BG501" t="s">
        <v>42</v>
      </c>
      <c r="BH501" t="s">
        <v>42</v>
      </c>
      <c r="BI501" t="s">
        <v>42</v>
      </c>
      <c r="BJ501" t="s">
        <v>42</v>
      </c>
      <c r="BK501" t="s">
        <v>42</v>
      </c>
      <c r="BL501" t="s">
        <v>42</v>
      </c>
      <c r="BM501" t="s">
        <v>42</v>
      </c>
      <c r="BN501" t="s">
        <v>42</v>
      </c>
      <c r="BO501" t="s">
        <v>42</v>
      </c>
      <c r="BP501" t="s">
        <v>42</v>
      </c>
      <c r="BQ501" t="s">
        <v>42</v>
      </c>
      <c r="BR501" t="s">
        <v>42</v>
      </c>
      <c r="BS501" s="4" t="s">
        <v>42</v>
      </c>
      <c r="BT501" t="s">
        <v>42</v>
      </c>
      <c r="BU501" t="s">
        <v>42</v>
      </c>
      <c r="BV501" s="4" t="s">
        <v>42</v>
      </c>
      <c r="BW501" t="s">
        <v>42</v>
      </c>
      <c r="BX501" t="s">
        <v>42</v>
      </c>
      <c r="BY501" t="s">
        <v>42</v>
      </c>
      <c r="BZ501" t="s">
        <v>42</v>
      </c>
      <c r="CA501" t="s">
        <v>42</v>
      </c>
      <c r="CB501" t="s">
        <v>42</v>
      </c>
      <c r="CC501" t="s">
        <v>42</v>
      </c>
      <c r="CD501" t="s">
        <v>42</v>
      </c>
      <c r="CE501" t="s">
        <v>42</v>
      </c>
      <c r="CF501" t="s">
        <v>42</v>
      </c>
      <c r="CG501" t="s">
        <v>42</v>
      </c>
      <c r="CH501" t="s">
        <v>42</v>
      </c>
      <c r="CI501" t="s">
        <v>42</v>
      </c>
      <c r="CJ501" t="s">
        <v>42</v>
      </c>
      <c r="CK501" t="s">
        <v>42</v>
      </c>
      <c r="CL501" t="s">
        <v>42</v>
      </c>
      <c r="CM501" t="s">
        <v>42</v>
      </c>
      <c r="CN501" t="s">
        <v>42</v>
      </c>
      <c r="CO501" t="s">
        <v>42</v>
      </c>
      <c r="CP501" t="s">
        <v>42</v>
      </c>
      <c r="CQ501" t="s">
        <v>42</v>
      </c>
      <c r="CR501" t="s">
        <v>42</v>
      </c>
      <c r="CS501" s="4" t="s">
        <v>42</v>
      </c>
      <c r="CT501" t="s">
        <v>42</v>
      </c>
      <c r="CU501" t="s">
        <v>42</v>
      </c>
      <c r="CV501" s="4" t="str">
        <f>HYPERLINK("http://exon.niaid.nih.gov/transcriptome/C_felis/S1/links/PFAM/cf-contig_667-PFAM.txt","Cse1")</f>
        <v>Cse1</v>
      </c>
      <c r="CW501" t="str">
        <f>HYPERLINK("http://pfam.sanger.ac.uk/family?acc=PF08506","3.4")</f>
        <v>3.4</v>
      </c>
      <c r="CX501" s="4" t="str">
        <f>HYPERLINK("http://exon.niaid.nih.gov/transcriptome/C_felis/S1/links/SMART/cf-contig_667-SMART.txt","EPH_lbd")</f>
        <v>EPH_lbd</v>
      </c>
      <c r="CY501" t="str">
        <f>HYPERLINK("http://smart.embl-heidelberg.de/smart/do_annotation.pl?DOMAIN=EPH_lbd&amp;BLAST=DUMMY","2.8")</f>
        <v>2.8</v>
      </c>
      <c r="CZ501" s="4" t="s">
        <v>42</v>
      </c>
      <c r="DA501" t="s">
        <v>42</v>
      </c>
      <c r="DB501" t="s">
        <v>42</v>
      </c>
      <c r="DC501" t="s">
        <v>42</v>
      </c>
      <c r="DD501" t="s">
        <v>42</v>
      </c>
      <c r="DE501" t="s">
        <v>42</v>
      </c>
      <c r="DF501" t="s">
        <v>42</v>
      </c>
      <c r="DG501" t="s">
        <v>42</v>
      </c>
      <c r="DH501" s="4" t="s">
        <v>42</v>
      </c>
      <c r="DI501" t="s">
        <v>42</v>
      </c>
      <c r="DJ501" s="4" t="s">
        <v>42</v>
      </c>
      <c r="DK501" t="s">
        <v>42</v>
      </c>
      <c r="DL501" s="4">
        <v>546</v>
      </c>
      <c r="DM501">
        <v>1</v>
      </c>
      <c r="DN501" s="4">
        <v>558</v>
      </c>
      <c r="DO501">
        <v>1</v>
      </c>
      <c r="DP501" s="4">
        <v>570</v>
      </c>
      <c r="DQ501">
        <v>1</v>
      </c>
      <c r="DR501" s="4">
        <v>590</v>
      </c>
      <c r="DS501">
        <v>1</v>
      </c>
      <c r="DT501" s="4">
        <v>603</v>
      </c>
      <c r="DU501">
        <v>1</v>
      </c>
      <c r="DV501" s="4">
        <v>617</v>
      </c>
      <c r="DW501">
        <v>1</v>
      </c>
      <c r="DX501" s="4">
        <v>626</v>
      </c>
      <c r="DY501">
        <v>1</v>
      </c>
      <c r="DZ501" s="4">
        <v>636</v>
      </c>
      <c r="EA501">
        <v>1</v>
      </c>
      <c r="EB501" s="4">
        <v>641</v>
      </c>
      <c r="EC501">
        <v>1</v>
      </c>
      <c r="ED501" s="4">
        <v>645</v>
      </c>
      <c r="EE501">
        <v>1</v>
      </c>
      <c r="EF501" s="4">
        <v>651</v>
      </c>
      <c r="EG501">
        <v>1</v>
      </c>
      <c r="EH501" s="4">
        <v>659</v>
      </c>
      <c r="EI501">
        <v>1</v>
      </c>
      <c r="EJ501" s="4">
        <v>667</v>
      </c>
      <c r="EK501">
        <v>1</v>
      </c>
    </row>
    <row r="502" spans="1:141" x14ac:dyDescent="0.2">
      <c r="A502" t="str">
        <f>HYPERLINK("http://exon.niaid.nih.gov/transcriptome/C_felis/S1/links/cf/cf-contig_670.txt","cf-contig_670")</f>
        <v>cf-contig_670</v>
      </c>
      <c r="B502">
        <v>1</v>
      </c>
      <c r="C502" s="10" t="s">
        <v>4600</v>
      </c>
      <c r="D502">
        <v>1</v>
      </c>
      <c r="E502" t="str">
        <f>HYPERLINK("http://exon.niaid.nih.gov/transcriptome/C_felis/S1/links/cf/cf-5-36-asb-670.txt","Contig-670")</f>
        <v>Contig-670</v>
      </c>
      <c r="F502" t="str">
        <f>HYPERLINK("http://exon.niaid.nih.gov/transcriptome/C_felis/S1/links/cf/cf-5-36-670-CLU.txt","Contig670")</f>
        <v>Contig670</v>
      </c>
      <c r="G502" t="str">
        <f>HYPERLINK("http://exon.niaid.nih.gov/transcriptome/C_felis/S1/links/cf/cf-5-36-670-qual.txt","36.6")</f>
        <v>36.6</v>
      </c>
      <c r="H502">
        <v>2.5</v>
      </c>
      <c r="I502">
        <v>60.8</v>
      </c>
      <c r="J502">
        <v>101</v>
      </c>
      <c r="K502" t="s">
        <v>12</v>
      </c>
      <c r="L502">
        <v>1</v>
      </c>
      <c r="M502" t="s">
        <v>683</v>
      </c>
      <c r="N502">
        <v>101</v>
      </c>
      <c r="O502">
        <v>120</v>
      </c>
      <c r="P502">
        <v>84</v>
      </c>
      <c r="Q502" t="s">
        <v>1489</v>
      </c>
      <c r="R502">
        <v>1</v>
      </c>
      <c r="S502" s="7" t="s">
        <v>4585</v>
      </c>
      <c r="U502">
        <v>1</v>
      </c>
      <c r="V502" s="4">
        <f>HYPERLINK("http://exon.niaid.nih.gov/transcriptome/C_felis/S1/links/cluster/cf-5-36-asb30-50-Id-CLU82.txt", 82)</f>
        <v>82</v>
      </c>
      <c r="W502">
        <f>HYPERLINK("http://exon.niaid.nih.gov/transcriptome/C_felis/S1/links/cluster/cf-5-36-asb30-50-Id-CLTL82.txt", 2)</f>
        <v>2</v>
      </c>
      <c r="X502" s="4">
        <f>HYPERLINK("http://exon.niaid.nih.gov/transcriptome/C_felis/S1/links/cluster/cf-5-36-asb35-50-Id-CLU74.txt", 74)</f>
        <v>74</v>
      </c>
      <c r="Y502">
        <f>HYPERLINK("http://exon.niaid.nih.gov/transcriptome/C_felis/S1/links/cluster/cf-5-36-asb35-50-Id-CLTL74.txt", 2)</f>
        <v>2</v>
      </c>
      <c r="Z502" s="4">
        <f>HYPERLINK("http://exon.niaid.nih.gov/transcriptome/C_felis/S1/links/cluster/cf-5-36-asb40-50-Id-CLU68.txt", 68)</f>
        <v>68</v>
      </c>
      <c r="AA502">
        <f>HYPERLINK("http://exon.niaid.nih.gov/transcriptome/C_felis/S1/links/cluster/cf-5-36-asb40-50-Id-CLTL68.txt", 2)</f>
        <v>2</v>
      </c>
      <c r="AB502" s="4" t="str">
        <f>HYPERLINK("http://exon.niaid.nih.gov/transcriptome/C_felis/S1/links/XC-ASB/cf-contig_670-XC-ASB.txt","XC-contig_136")</f>
        <v>XC-contig_136</v>
      </c>
      <c r="AC502">
        <v>0.71</v>
      </c>
      <c r="AD502" s="10" t="s">
        <v>4600</v>
      </c>
      <c r="AE502" t="s">
        <v>4601</v>
      </c>
      <c r="AI502" s="4" t="s">
        <v>42</v>
      </c>
      <c r="AJ502" t="s">
        <v>42</v>
      </c>
      <c r="AK502" t="s">
        <v>42</v>
      </c>
      <c r="AL502" t="s">
        <v>42</v>
      </c>
      <c r="AM502" t="s">
        <v>42</v>
      </c>
      <c r="AN502" t="s">
        <v>42</v>
      </c>
      <c r="AO502" t="s">
        <v>42</v>
      </c>
      <c r="AP502" t="s">
        <v>42</v>
      </c>
      <c r="AQ502" t="s">
        <v>42</v>
      </c>
      <c r="AR502" t="s">
        <v>42</v>
      </c>
      <c r="AS502" t="s">
        <v>42</v>
      </c>
      <c r="AT502" t="s">
        <v>42</v>
      </c>
      <c r="AU502" t="s">
        <v>42</v>
      </c>
      <c r="AV502" t="s">
        <v>42</v>
      </c>
      <c r="AW502" t="s">
        <v>42</v>
      </c>
      <c r="AX502" t="s">
        <v>42</v>
      </c>
      <c r="AY502" t="s">
        <v>42</v>
      </c>
      <c r="AZ502" t="s">
        <v>42</v>
      </c>
      <c r="BA502" s="4" t="str">
        <f>HYPERLINK("http://exon.niaid.nih.gov/transcriptome/C_felis/S1/links/SWISSP/cf-contig_670-SWISSP.txt","Taurine-binding periplasmic protein")</f>
        <v>Taurine-binding periplasmic protein</v>
      </c>
      <c r="BB502" t="str">
        <f>HYPERLINK("http://www.uniprot.org/uniprot/Q47537","18")</f>
        <v>18</v>
      </c>
      <c r="BC502" t="s">
        <v>4113</v>
      </c>
      <c r="BD502">
        <v>28.1</v>
      </c>
      <c r="BE502">
        <v>17</v>
      </c>
      <c r="BF502">
        <v>320</v>
      </c>
      <c r="BG502">
        <v>55</v>
      </c>
      <c r="BH502">
        <v>6</v>
      </c>
      <c r="BI502">
        <v>8</v>
      </c>
      <c r="BJ502">
        <v>0</v>
      </c>
      <c r="BK502">
        <v>134</v>
      </c>
      <c r="BL502">
        <v>22</v>
      </c>
      <c r="BM502">
        <v>1</v>
      </c>
      <c r="BN502">
        <v>-1</v>
      </c>
      <c r="BO502" t="s">
        <v>12</v>
      </c>
      <c r="BQ502" t="s">
        <v>1666</v>
      </c>
      <c r="BR502" t="s">
        <v>2941</v>
      </c>
      <c r="BS502" s="4" t="str">
        <f>HYPERLINK("http://exon.niaid.nih.gov/transcriptome/C_felis/S1/links/CDD/cf-contig_670-CDD.txt","tauA")</f>
        <v>tauA</v>
      </c>
      <c r="BT502" t="str">
        <f>HYPERLINK("http://www.ncbi.nlm.nih.gov/Structure/cdd/cddsrv.cgi?uid=PRK11480&amp;version=v4.0","0.40")</f>
        <v>0.40</v>
      </c>
      <c r="BU502" t="s">
        <v>4114</v>
      </c>
      <c r="BV502" s="4" t="s">
        <v>42</v>
      </c>
      <c r="BW502" t="s">
        <v>42</v>
      </c>
      <c r="BX502" t="s">
        <v>42</v>
      </c>
      <c r="BY502" t="s">
        <v>42</v>
      </c>
      <c r="BZ502" t="s">
        <v>42</v>
      </c>
      <c r="CA502" t="s">
        <v>42</v>
      </c>
      <c r="CB502" t="s">
        <v>42</v>
      </c>
      <c r="CC502" t="s">
        <v>42</v>
      </c>
      <c r="CD502" t="s">
        <v>42</v>
      </c>
      <c r="CE502" t="s">
        <v>42</v>
      </c>
      <c r="CF502" t="s">
        <v>42</v>
      </c>
      <c r="CG502" t="s">
        <v>42</v>
      </c>
      <c r="CH502" t="s">
        <v>42</v>
      </c>
      <c r="CI502" t="s">
        <v>42</v>
      </c>
      <c r="CJ502" t="s">
        <v>42</v>
      </c>
      <c r="CK502" t="s">
        <v>42</v>
      </c>
      <c r="CL502" t="s">
        <v>42</v>
      </c>
      <c r="CM502" t="s">
        <v>42</v>
      </c>
      <c r="CN502" t="s">
        <v>42</v>
      </c>
      <c r="CO502" t="s">
        <v>42</v>
      </c>
      <c r="CP502" t="s">
        <v>42</v>
      </c>
      <c r="CQ502" t="s">
        <v>42</v>
      </c>
      <c r="CR502" t="s">
        <v>42</v>
      </c>
      <c r="CS502" s="4" t="s">
        <v>42</v>
      </c>
      <c r="CT502" t="s">
        <v>42</v>
      </c>
      <c r="CU502" t="s">
        <v>42</v>
      </c>
      <c r="CV502" s="4" t="str">
        <f>HYPERLINK("http://exon.niaid.nih.gov/transcriptome/C_felis/S1/links/PFAM/cf-contig_670-PFAM.txt","DUF412")</f>
        <v>DUF412</v>
      </c>
      <c r="CW502" t="str">
        <f>HYPERLINK("http://pfam.sanger.ac.uk/family?acc=PF04217","2.1")</f>
        <v>2.1</v>
      </c>
      <c r="CX502" s="4" t="str">
        <f>HYPERLINK("http://exon.niaid.nih.gov/transcriptome/C_felis/S1/links/SMART/cf-contig_670-SMART.txt","VWC")</f>
        <v>VWC</v>
      </c>
      <c r="CY502" t="str">
        <f>HYPERLINK("http://smart.embl-heidelberg.de/smart/do_annotation.pl?DOMAIN=VWC&amp;BLAST=DUMMY","1.6")</f>
        <v>1.6</v>
      </c>
      <c r="CZ502" s="4" t="s">
        <v>42</v>
      </c>
      <c r="DA502" t="s">
        <v>42</v>
      </c>
      <c r="DB502" t="s">
        <v>42</v>
      </c>
      <c r="DC502" t="s">
        <v>42</v>
      </c>
      <c r="DD502" t="s">
        <v>42</v>
      </c>
      <c r="DE502" t="s">
        <v>42</v>
      </c>
      <c r="DF502" t="s">
        <v>42</v>
      </c>
      <c r="DG502" t="s">
        <v>42</v>
      </c>
      <c r="DH502" s="4" t="s">
        <v>42</v>
      </c>
      <c r="DI502" t="s">
        <v>42</v>
      </c>
      <c r="DJ502" s="4" t="s">
        <v>42</v>
      </c>
      <c r="DK502" t="s">
        <v>42</v>
      </c>
      <c r="DL502" s="4">
        <f>HYPERLINK("http://exon.niaid.nih.gov/transcriptome/C_felis/S1/links/cluster/cf-5-36-asb30-50-Id-CLU82.txt", 82)</f>
        <v>82</v>
      </c>
      <c r="DM502">
        <f>HYPERLINK("http://exon.niaid.nih.gov/transcriptome/C_felis/S1/links/cluster/cf-5-36-asb30-50-Id-CLTL82.txt", 2)</f>
        <v>2</v>
      </c>
      <c r="DN502" s="4">
        <f>HYPERLINK("http://exon.niaid.nih.gov/transcriptome/C_felis/S1/links/cluster/cf-5-36-asb35-50-Id-CLU74.txt", 74)</f>
        <v>74</v>
      </c>
      <c r="DO502">
        <f>HYPERLINK("http://exon.niaid.nih.gov/transcriptome/C_felis/S1/links/cluster/cf-5-36-asb35-50-Id-CLTL74.txt", 2)</f>
        <v>2</v>
      </c>
      <c r="DP502" s="4">
        <f>HYPERLINK("http://exon.niaid.nih.gov/transcriptome/C_felis/S1/links/cluster/cf-5-36-asb40-50-Id-CLU68.txt", 68)</f>
        <v>68</v>
      </c>
      <c r="DQ502">
        <f>HYPERLINK("http://exon.niaid.nih.gov/transcriptome/C_felis/S1/links/cluster/cf-5-36-asb40-50-Id-CLTL68.txt", 2)</f>
        <v>2</v>
      </c>
      <c r="DR502" s="4">
        <f>HYPERLINK("http://exon.niaid.nih.gov/transcriptome/C_felis/S1/links/cluster/cf-5-36-asb45-50-Id-CLU55.txt", 55)</f>
        <v>55</v>
      </c>
      <c r="DS502">
        <f>HYPERLINK("http://exon.niaid.nih.gov/transcriptome/C_felis/S1/links/cluster/cf-5-36-asb45-50-Id-CLTL55.txt", 2)</f>
        <v>2</v>
      </c>
      <c r="DT502" s="4">
        <v>606</v>
      </c>
      <c r="DU502">
        <v>1</v>
      </c>
      <c r="DV502" s="4">
        <v>620</v>
      </c>
      <c r="DW502">
        <v>1</v>
      </c>
      <c r="DX502" s="4">
        <v>629</v>
      </c>
      <c r="DY502">
        <v>1</v>
      </c>
      <c r="DZ502" s="4">
        <v>639</v>
      </c>
      <c r="EA502">
        <v>1</v>
      </c>
      <c r="EB502" s="4">
        <v>644</v>
      </c>
      <c r="EC502">
        <v>1</v>
      </c>
      <c r="ED502" s="4">
        <v>648</v>
      </c>
      <c r="EE502">
        <v>1</v>
      </c>
      <c r="EF502" s="4">
        <v>654</v>
      </c>
      <c r="EG502">
        <v>1</v>
      </c>
      <c r="EH502" s="4">
        <v>662</v>
      </c>
      <c r="EI502">
        <v>1</v>
      </c>
      <c r="EJ502" s="4">
        <v>670</v>
      </c>
      <c r="EK502">
        <v>1</v>
      </c>
    </row>
    <row r="503" spans="1:141" x14ac:dyDescent="0.2">
      <c r="A503" t="str">
        <f>HYPERLINK("http://exon.niaid.nih.gov/transcriptome/C_felis/S1/links/cf/cf-contig_677.txt","cf-contig_677")</f>
        <v>cf-contig_677</v>
      </c>
      <c r="B503">
        <v>1</v>
      </c>
      <c r="C503" s="10" t="s">
        <v>4600</v>
      </c>
      <c r="D503">
        <v>1</v>
      </c>
      <c r="E503" t="str">
        <f>HYPERLINK("http://exon.niaid.nih.gov/transcriptome/C_felis/S1/links/cf/cf-5-36-asb-677.txt","Contig-677")</f>
        <v>Contig-677</v>
      </c>
      <c r="F503" t="str">
        <f>HYPERLINK("http://exon.niaid.nih.gov/transcriptome/C_felis/S1/links/cf/cf-5-36-677-CLU.txt","Contig677")</f>
        <v>Contig677</v>
      </c>
      <c r="G503" t="str">
        <f>HYPERLINK("http://exon.niaid.nih.gov/transcriptome/C_felis/S1/links/cf/cf-5-36-677-qual.txt","48.8")</f>
        <v>48.8</v>
      </c>
      <c r="H503">
        <v>0.9</v>
      </c>
      <c r="I503">
        <v>79.5</v>
      </c>
      <c r="J503">
        <v>93</v>
      </c>
      <c r="K503" t="s">
        <v>12</v>
      </c>
      <c r="L503">
        <v>1</v>
      </c>
      <c r="M503" t="s">
        <v>690</v>
      </c>
      <c r="N503">
        <v>93</v>
      </c>
      <c r="O503">
        <v>112</v>
      </c>
      <c r="P503">
        <v>84</v>
      </c>
      <c r="Q503" t="s">
        <v>1496</v>
      </c>
      <c r="R503">
        <v>1</v>
      </c>
      <c r="S503" s="7" t="s">
        <v>4585</v>
      </c>
      <c r="U503">
        <v>1</v>
      </c>
      <c r="V503" s="4">
        <v>552</v>
      </c>
      <c r="W503">
        <v>1</v>
      </c>
      <c r="X503" s="4">
        <v>565</v>
      </c>
      <c r="Y503">
        <v>1</v>
      </c>
      <c r="Z503" s="4">
        <v>577</v>
      </c>
      <c r="AA503">
        <v>1</v>
      </c>
      <c r="AB503" s="4" t="str">
        <f>HYPERLINK("http://exon.niaid.nih.gov/transcriptome/C_felis/S1/links/XC-ASB/cf-contig_677-XC-ASB.txt","XC-contig_103")</f>
        <v>XC-contig_103</v>
      </c>
      <c r="AC503">
        <v>0.35</v>
      </c>
      <c r="AD503" s="10" t="s">
        <v>4600</v>
      </c>
      <c r="AE503" t="s">
        <v>4601</v>
      </c>
      <c r="AI503" s="4" t="s">
        <v>42</v>
      </c>
      <c r="AJ503" t="s">
        <v>42</v>
      </c>
      <c r="AK503" t="s">
        <v>42</v>
      </c>
      <c r="AL503" t="s">
        <v>42</v>
      </c>
      <c r="AM503" t="s">
        <v>42</v>
      </c>
      <c r="AN503" t="s">
        <v>42</v>
      </c>
      <c r="AO503" t="s">
        <v>42</v>
      </c>
      <c r="AP503" t="s">
        <v>42</v>
      </c>
      <c r="AQ503" t="s">
        <v>42</v>
      </c>
      <c r="AR503" t="s">
        <v>42</v>
      </c>
      <c r="AS503" t="s">
        <v>42</v>
      </c>
      <c r="AT503" t="s">
        <v>42</v>
      </c>
      <c r="AU503" t="s">
        <v>42</v>
      </c>
      <c r="AV503" t="s">
        <v>42</v>
      </c>
      <c r="AW503" t="s">
        <v>42</v>
      </c>
      <c r="AX503" t="s">
        <v>42</v>
      </c>
      <c r="AY503" t="s">
        <v>42</v>
      </c>
      <c r="AZ503" t="s">
        <v>42</v>
      </c>
      <c r="BA503" s="4" t="str">
        <f>HYPERLINK("http://exon.niaid.nih.gov/transcriptome/C_felis/S1/links/SWISSP/cf-contig_677-SWISSP.txt","Probable aminoglycoside efflux pump")</f>
        <v>Probable aminoglycoside efflux pump</v>
      </c>
      <c r="BB503" t="str">
        <f>HYPERLINK("http://www.uniprot.org/uniprot/P24177","53")</f>
        <v>53</v>
      </c>
      <c r="BC503" t="s">
        <v>4131</v>
      </c>
      <c r="BD503">
        <v>26.6</v>
      </c>
      <c r="BE503">
        <v>20</v>
      </c>
      <c r="BF503">
        <v>1037</v>
      </c>
      <c r="BG503">
        <v>38</v>
      </c>
      <c r="BH503">
        <v>2</v>
      </c>
      <c r="BI503">
        <v>13</v>
      </c>
      <c r="BJ503">
        <v>0</v>
      </c>
      <c r="BK503">
        <v>6</v>
      </c>
      <c r="BL503">
        <v>23</v>
      </c>
      <c r="BM503">
        <v>1</v>
      </c>
      <c r="BN503">
        <v>2</v>
      </c>
      <c r="BO503" t="s">
        <v>12</v>
      </c>
      <c r="BQ503" t="s">
        <v>1676</v>
      </c>
      <c r="BR503" t="s">
        <v>2941</v>
      </c>
      <c r="BS503" s="4" t="str">
        <f>HYPERLINK("http://exon.niaid.nih.gov/transcriptome/C_felis/S1/links/CDD/cf-contig_677-CDD.txt","PRK10555")</f>
        <v>PRK10555</v>
      </c>
      <c r="BT503" t="str">
        <f>HYPERLINK("http://www.ncbi.nlm.nih.gov/Structure/cdd/cddsrv.cgi?uid=PRK10555&amp;version=v4.0","2.6")</f>
        <v>2.6</v>
      </c>
      <c r="BU503" t="s">
        <v>4132</v>
      </c>
      <c r="BV503" s="4" t="s">
        <v>42</v>
      </c>
      <c r="BW503" t="s">
        <v>42</v>
      </c>
      <c r="BX503" t="s">
        <v>42</v>
      </c>
      <c r="BY503" t="s">
        <v>42</v>
      </c>
      <c r="BZ503" t="s">
        <v>42</v>
      </c>
      <c r="CA503" t="s">
        <v>42</v>
      </c>
      <c r="CB503" t="s">
        <v>42</v>
      </c>
      <c r="CC503" t="s">
        <v>42</v>
      </c>
      <c r="CD503" t="s">
        <v>42</v>
      </c>
      <c r="CE503" t="s">
        <v>42</v>
      </c>
      <c r="CF503" t="s">
        <v>42</v>
      </c>
      <c r="CG503" t="s">
        <v>42</v>
      </c>
      <c r="CH503" t="s">
        <v>42</v>
      </c>
      <c r="CI503" t="s">
        <v>42</v>
      </c>
      <c r="CJ503" t="s">
        <v>42</v>
      </c>
      <c r="CK503" t="s">
        <v>42</v>
      </c>
      <c r="CL503" t="s">
        <v>42</v>
      </c>
      <c r="CM503" t="s">
        <v>42</v>
      </c>
      <c r="CN503" t="s">
        <v>42</v>
      </c>
      <c r="CO503" t="s">
        <v>42</v>
      </c>
      <c r="CP503" t="s">
        <v>42</v>
      </c>
      <c r="CQ503" t="s">
        <v>42</v>
      </c>
      <c r="CR503" t="s">
        <v>42</v>
      </c>
      <c r="CS503" s="4" t="str">
        <f>HYPERLINK("http://exon.niaid.nih.gov/transcriptome/C_felis/S1/links/KOG/cf-contig_677-KOG.txt","Transcription elongation factor SPT6")</f>
        <v>Transcription elongation factor SPT6</v>
      </c>
      <c r="CT503" t="str">
        <f>HYPERLINK("http://www.ncbi.nlm.nih.gov/COG/grace/shokog.cgi?KOG1856","7.0")</f>
        <v>7.0</v>
      </c>
      <c r="CU503" t="s">
        <v>1817</v>
      </c>
      <c r="CV503" s="4" t="str">
        <f>HYPERLINK("http://exon.niaid.nih.gov/transcriptome/C_felis/S1/links/PFAM/cf-contig_677-PFAM.txt","DUF1430")</f>
        <v>DUF1430</v>
      </c>
      <c r="CW503" t="str">
        <f>HYPERLINK("http://pfam.sanger.ac.uk/family?acc=PF07242","3.1")</f>
        <v>3.1</v>
      </c>
      <c r="CX503" s="4" t="str">
        <f>HYPERLINK("http://exon.niaid.nih.gov/transcriptome/C_felis/S1/links/SMART/cf-contig_677-SMART.txt","POLBc")</f>
        <v>POLBc</v>
      </c>
      <c r="CY503" t="str">
        <f>HYPERLINK("http://smart.embl-heidelberg.de/smart/do_annotation.pl?DOMAIN=POLBc&amp;BLAST=DUMMY","1.3")</f>
        <v>1.3</v>
      </c>
      <c r="CZ503" s="4" t="s">
        <v>42</v>
      </c>
      <c r="DA503" t="s">
        <v>42</v>
      </c>
      <c r="DB503" t="s">
        <v>42</v>
      </c>
      <c r="DC503" t="s">
        <v>42</v>
      </c>
      <c r="DD503" t="s">
        <v>42</v>
      </c>
      <c r="DE503" t="s">
        <v>42</v>
      </c>
      <c r="DF503" t="s">
        <v>42</v>
      </c>
      <c r="DG503" t="s">
        <v>42</v>
      </c>
      <c r="DH503" s="4" t="s">
        <v>42</v>
      </c>
      <c r="DI503" t="s">
        <v>42</v>
      </c>
      <c r="DJ503" s="4" t="s">
        <v>42</v>
      </c>
      <c r="DK503" t="s">
        <v>42</v>
      </c>
      <c r="DL503" s="4">
        <v>552</v>
      </c>
      <c r="DM503">
        <v>1</v>
      </c>
      <c r="DN503" s="4">
        <v>565</v>
      </c>
      <c r="DO503">
        <v>1</v>
      </c>
      <c r="DP503" s="4">
        <v>577</v>
      </c>
      <c r="DQ503">
        <v>1</v>
      </c>
      <c r="DR503" s="4">
        <v>598</v>
      </c>
      <c r="DS503">
        <v>1</v>
      </c>
      <c r="DT503" s="4">
        <v>612</v>
      </c>
      <c r="DU503">
        <v>1</v>
      </c>
      <c r="DV503" s="4">
        <v>626</v>
      </c>
      <c r="DW503">
        <v>1</v>
      </c>
      <c r="DX503" s="4">
        <v>635</v>
      </c>
      <c r="DY503">
        <v>1</v>
      </c>
      <c r="DZ503" s="4">
        <v>645</v>
      </c>
      <c r="EA503">
        <v>1</v>
      </c>
      <c r="EB503" s="4">
        <v>650</v>
      </c>
      <c r="EC503">
        <v>1</v>
      </c>
      <c r="ED503" s="4">
        <v>654</v>
      </c>
      <c r="EE503">
        <v>1</v>
      </c>
      <c r="EF503" s="4">
        <v>660</v>
      </c>
      <c r="EG503">
        <v>1</v>
      </c>
      <c r="EH503" s="4">
        <v>668</v>
      </c>
      <c r="EI503">
        <v>1</v>
      </c>
      <c r="EJ503" s="4">
        <v>677</v>
      </c>
      <c r="EK503">
        <v>1</v>
      </c>
    </row>
    <row r="504" spans="1:141" x14ac:dyDescent="0.2">
      <c r="A504" t="str">
        <f>HYPERLINK("http://exon.niaid.nih.gov/transcriptome/C_felis/S1/links/cf/cf-contig_689.txt","cf-contig_689")</f>
        <v>cf-contig_689</v>
      </c>
      <c r="B504">
        <v>1</v>
      </c>
      <c r="C504" s="10" t="s">
        <v>4600</v>
      </c>
      <c r="D504">
        <v>1</v>
      </c>
      <c r="E504" t="str">
        <f>HYPERLINK("http://exon.niaid.nih.gov/transcriptome/C_felis/S1/links/cf/cf-5-36-asb-689.txt","Contig-689")</f>
        <v>Contig-689</v>
      </c>
      <c r="F504" t="str">
        <f>HYPERLINK("http://exon.niaid.nih.gov/transcriptome/C_felis/S1/links/cf/cf-5-36-689-CLU.txt","Contig689")</f>
        <v>Contig689</v>
      </c>
      <c r="G504" t="str">
        <f>HYPERLINK("http://exon.niaid.nih.gov/transcriptome/C_felis/S1/links/cf/cf-5-36-689-qual.txt","52.4")</f>
        <v>52.4</v>
      </c>
      <c r="H504" t="s">
        <v>11</v>
      </c>
      <c r="I504">
        <v>89.3</v>
      </c>
      <c r="J504">
        <v>37</v>
      </c>
      <c r="K504" t="s">
        <v>12</v>
      </c>
      <c r="L504">
        <v>1</v>
      </c>
      <c r="M504" t="s">
        <v>702</v>
      </c>
      <c r="N504">
        <v>37</v>
      </c>
      <c r="O504">
        <v>56</v>
      </c>
      <c r="P504">
        <v>33</v>
      </c>
      <c r="Q504" t="s">
        <v>1508</v>
      </c>
      <c r="R504">
        <v>3</v>
      </c>
      <c r="S504" s="7" t="s">
        <v>4585</v>
      </c>
      <c r="U504">
        <v>1</v>
      </c>
      <c r="V504" s="4">
        <f>HYPERLINK("http://exon.niaid.nih.gov/transcriptome/C_felis/S1/links/cluster/cf-5-36-asb30-50-Id-CLU90.txt", 90)</f>
        <v>90</v>
      </c>
      <c r="W504">
        <f>HYPERLINK("http://exon.niaid.nih.gov/transcriptome/C_felis/S1/links/cluster/cf-5-36-asb30-50-Id-CLTL90.txt", 2)</f>
        <v>2</v>
      </c>
      <c r="X504" s="4">
        <f>HYPERLINK("http://exon.niaid.nih.gov/transcriptome/C_felis/S1/links/cluster/cf-5-36-asb35-50-Id-CLU83.txt", 83)</f>
        <v>83</v>
      </c>
      <c r="Y504">
        <f>HYPERLINK("http://exon.niaid.nih.gov/transcriptome/C_felis/S1/links/cluster/cf-5-36-asb35-50-Id-CLTL83.txt", 2)</f>
        <v>2</v>
      </c>
      <c r="Z504" s="4">
        <f>HYPERLINK("http://exon.niaid.nih.gov/transcriptome/C_felis/S1/links/cluster/cf-5-36-asb40-50-Id-CLU75.txt", 75)</f>
        <v>75</v>
      </c>
      <c r="AA504">
        <f>HYPERLINK("http://exon.niaid.nih.gov/transcriptome/C_felis/S1/links/cluster/cf-5-36-asb40-50-Id-CLTL75.txt", 2)</f>
        <v>2</v>
      </c>
      <c r="AB504" s="4" t="str">
        <f>HYPERLINK("http://exon.niaid.nih.gov/transcriptome/C_felis/S1/links/XC-ASB/cf-contig_689-XC-ASB.txt","XC-contig_119")</f>
        <v>XC-contig_119</v>
      </c>
      <c r="AC504">
        <v>1.1000000000000001</v>
      </c>
      <c r="AD504" s="10" t="s">
        <v>4600</v>
      </c>
      <c r="AE504" t="s">
        <v>4601</v>
      </c>
      <c r="AI504" s="4" t="s">
        <v>42</v>
      </c>
      <c r="AJ504" t="s">
        <v>42</v>
      </c>
      <c r="AK504" t="s">
        <v>42</v>
      </c>
      <c r="AL504" t="s">
        <v>42</v>
      </c>
      <c r="AM504" t="s">
        <v>42</v>
      </c>
      <c r="AN504" t="s">
        <v>42</v>
      </c>
      <c r="AO504" t="s">
        <v>42</v>
      </c>
      <c r="AP504" t="s">
        <v>42</v>
      </c>
      <c r="AQ504" t="s">
        <v>42</v>
      </c>
      <c r="AR504" t="s">
        <v>42</v>
      </c>
      <c r="AS504" t="s">
        <v>42</v>
      </c>
      <c r="AT504" t="s">
        <v>42</v>
      </c>
      <c r="AU504" t="s">
        <v>42</v>
      </c>
      <c r="AV504" t="s">
        <v>42</v>
      </c>
      <c r="AW504" t="s">
        <v>42</v>
      </c>
      <c r="AX504" t="s">
        <v>42</v>
      </c>
      <c r="AY504" t="s">
        <v>42</v>
      </c>
      <c r="AZ504" t="s">
        <v>42</v>
      </c>
      <c r="BA504" s="4" t="s">
        <v>42</v>
      </c>
      <c r="BB504" t="s">
        <v>42</v>
      </c>
      <c r="BC504" t="s">
        <v>42</v>
      </c>
      <c r="BD504" t="s">
        <v>42</v>
      </c>
      <c r="BE504" t="s">
        <v>42</v>
      </c>
      <c r="BF504" t="s">
        <v>42</v>
      </c>
      <c r="BG504" t="s">
        <v>42</v>
      </c>
      <c r="BH504" t="s">
        <v>42</v>
      </c>
      <c r="BI504" t="s">
        <v>42</v>
      </c>
      <c r="BJ504" t="s">
        <v>42</v>
      </c>
      <c r="BK504" t="s">
        <v>42</v>
      </c>
      <c r="BL504" t="s">
        <v>42</v>
      </c>
      <c r="BM504" t="s">
        <v>42</v>
      </c>
      <c r="BN504" t="s">
        <v>42</v>
      </c>
      <c r="BO504" t="s">
        <v>42</v>
      </c>
      <c r="BP504" t="s">
        <v>42</v>
      </c>
      <c r="BQ504" t="s">
        <v>42</v>
      </c>
      <c r="BR504" t="s">
        <v>42</v>
      </c>
      <c r="BS504" s="4" t="s">
        <v>42</v>
      </c>
      <c r="BT504" t="s">
        <v>42</v>
      </c>
      <c r="BU504" t="s">
        <v>42</v>
      </c>
      <c r="BV504" s="4" t="s">
        <v>42</v>
      </c>
      <c r="BW504" t="s">
        <v>42</v>
      </c>
      <c r="BX504" t="s">
        <v>42</v>
      </c>
      <c r="BY504" t="s">
        <v>42</v>
      </c>
      <c r="BZ504" t="s">
        <v>42</v>
      </c>
      <c r="CA504" t="s">
        <v>42</v>
      </c>
      <c r="CB504" t="s">
        <v>42</v>
      </c>
      <c r="CC504" t="s">
        <v>42</v>
      </c>
      <c r="CD504" t="s">
        <v>42</v>
      </c>
      <c r="CE504" t="s">
        <v>42</v>
      </c>
      <c r="CF504" t="s">
        <v>42</v>
      </c>
      <c r="CG504" t="s">
        <v>42</v>
      </c>
      <c r="CH504" t="s">
        <v>42</v>
      </c>
      <c r="CI504" t="s">
        <v>42</v>
      </c>
      <c r="CJ504" t="s">
        <v>42</v>
      </c>
      <c r="CK504" t="s">
        <v>42</v>
      </c>
      <c r="CL504" t="s">
        <v>42</v>
      </c>
      <c r="CM504" t="s">
        <v>42</v>
      </c>
      <c r="CN504" t="s">
        <v>42</v>
      </c>
      <c r="CO504" t="s">
        <v>42</v>
      </c>
      <c r="CP504" t="s">
        <v>42</v>
      </c>
      <c r="CQ504" t="s">
        <v>42</v>
      </c>
      <c r="CR504" t="s">
        <v>42</v>
      </c>
      <c r="CS504" s="4" t="s">
        <v>42</v>
      </c>
      <c r="CT504" t="s">
        <v>42</v>
      </c>
      <c r="CU504" t="s">
        <v>42</v>
      </c>
      <c r="CV504" s="4" t="s">
        <v>42</v>
      </c>
      <c r="CW504" t="s">
        <v>42</v>
      </c>
      <c r="CX504" s="4" t="str">
        <f>HYPERLINK("http://exon.niaid.nih.gov/transcriptome/C_felis/S1/links/SMART/cf-contig_689-SMART.txt","HTTM")</f>
        <v>HTTM</v>
      </c>
      <c r="CY504" t="str">
        <f>HYPERLINK("http://smart.embl-heidelberg.de/smart/do_annotation.pl?DOMAIN=HTTM&amp;BLAST=DUMMY","7.5")</f>
        <v>7.5</v>
      </c>
      <c r="CZ504" s="4" t="s">
        <v>42</v>
      </c>
      <c r="DA504" t="s">
        <v>42</v>
      </c>
      <c r="DB504" t="s">
        <v>42</v>
      </c>
      <c r="DC504" t="s">
        <v>42</v>
      </c>
      <c r="DD504" t="s">
        <v>42</v>
      </c>
      <c r="DE504" t="s">
        <v>42</v>
      </c>
      <c r="DF504" t="s">
        <v>42</v>
      </c>
      <c r="DG504" t="s">
        <v>42</v>
      </c>
      <c r="DH504" s="4" t="s">
        <v>42</v>
      </c>
      <c r="DI504" t="s">
        <v>42</v>
      </c>
      <c r="DJ504" s="4" t="s">
        <v>42</v>
      </c>
      <c r="DK504" t="s">
        <v>42</v>
      </c>
      <c r="DL504" s="4">
        <f>HYPERLINK("http://exon.niaid.nih.gov/transcriptome/C_felis/S1/links/cluster/cf-5-36-asb30-50-Id-CLU90.txt", 90)</f>
        <v>90</v>
      </c>
      <c r="DM504">
        <f>HYPERLINK("http://exon.niaid.nih.gov/transcriptome/C_felis/S1/links/cluster/cf-5-36-asb30-50-Id-CLTL90.txt", 2)</f>
        <v>2</v>
      </c>
      <c r="DN504" s="4">
        <f>HYPERLINK("http://exon.niaid.nih.gov/transcriptome/C_felis/S1/links/cluster/cf-5-36-asb35-50-Id-CLU83.txt", 83)</f>
        <v>83</v>
      </c>
      <c r="DO504">
        <f>HYPERLINK("http://exon.niaid.nih.gov/transcriptome/C_felis/S1/links/cluster/cf-5-36-asb35-50-Id-CLTL83.txt", 2)</f>
        <v>2</v>
      </c>
      <c r="DP504" s="4">
        <f>HYPERLINK("http://exon.niaid.nih.gov/transcriptome/C_felis/S1/links/cluster/cf-5-36-asb40-50-Id-CLU75.txt", 75)</f>
        <v>75</v>
      </c>
      <c r="DQ504">
        <f>HYPERLINK("http://exon.niaid.nih.gov/transcriptome/C_felis/S1/links/cluster/cf-5-36-asb40-50-Id-CLTL75.txt", 2)</f>
        <v>2</v>
      </c>
      <c r="DR504" s="4">
        <f>HYPERLINK("http://exon.niaid.nih.gov/transcriptome/C_felis/S1/links/cluster/cf-5-36-asb45-50-Id-CLU61.txt", 61)</f>
        <v>61</v>
      </c>
      <c r="DS504">
        <f>HYPERLINK("http://exon.niaid.nih.gov/transcriptome/C_felis/S1/links/cluster/cf-5-36-asb45-50-Id-CLTL61.txt", 2)</f>
        <v>2</v>
      </c>
      <c r="DT504" s="4">
        <f>HYPERLINK("http://exon.niaid.nih.gov/transcriptome/C_felis/S1/links/cluster/cf-5-36-asb50-50-Id-CLU54.txt", 54)</f>
        <v>54</v>
      </c>
      <c r="DU504">
        <f>HYPERLINK("http://exon.niaid.nih.gov/transcriptome/C_felis/S1/links/cluster/cf-5-36-asb50-50-Id-CLTL54.txt", 2)</f>
        <v>2</v>
      </c>
      <c r="DV504" s="4">
        <v>638</v>
      </c>
      <c r="DW504">
        <v>1</v>
      </c>
      <c r="DX504" s="4">
        <v>647</v>
      </c>
      <c r="DY504">
        <v>1</v>
      </c>
      <c r="DZ504" s="4">
        <v>657</v>
      </c>
      <c r="EA504">
        <v>1</v>
      </c>
      <c r="EB504" s="4">
        <v>662</v>
      </c>
      <c r="EC504">
        <v>1</v>
      </c>
      <c r="ED504" s="4">
        <v>666</v>
      </c>
      <c r="EE504">
        <v>1</v>
      </c>
      <c r="EF504" s="4">
        <v>672</v>
      </c>
      <c r="EG504">
        <v>1</v>
      </c>
      <c r="EH504" s="4">
        <v>680</v>
      </c>
      <c r="EI504">
        <v>1</v>
      </c>
      <c r="EJ504" s="4">
        <v>689</v>
      </c>
      <c r="EK504">
        <v>1</v>
      </c>
    </row>
    <row r="505" spans="1:141" x14ac:dyDescent="0.2">
      <c r="A505" t="str">
        <f>HYPERLINK("http://exon.niaid.nih.gov/transcriptome/C_felis/S1/links/cf/cf-contig_691.txt","cf-contig_691")</f>
        <v>cf-contig_691</v>
      </c>
      <c r="B505">
        <v>1</v>
      </c>
      <c r="C505" s="10" t="s">
        <v>4600</v>
      </c>
      <c r="D505">
        <v>1</v>
      </c>
      <c r="E505" t="str">
        <f>HYPERLINK("http://exon.niaid.nih.gov/transcriptome/C_felis/S1/links/cf/cf-5-36-asb-691.txt","Contig-691")</f>
        <v>Contig-691</v>
      </c>
      <c r="F505" t="str">
        <f>HYPERLINK("http://exon.niaid.nih.gov/transcriptome/C_felis/S1/links/cf/cf-5-36-691-CLU.txt","Contig691")</f>
        <v>Contig691</v>
      </c>
      <c r="G505" t="str">
        <f>HYPERLINK("http://exon.niaid.nih.gov/transcriptome/C_felis/S1/links/cf/cf-5-36-691-qual.txt","55.5")</f>
        <v>55.5</v>
      </c>
      <c r="H505" t="s">
        <v>11</v>
      </c>
      <c r="I505">
        <v>78.7</v>
      </c>
      <c r="J505">
        <v>108</v>
      </c>
      <c r="K505" t="s">
        <v>12</v>
      </c>
      <c r="L505">
        <v>1</v>
      </c>
      <c r="M505" t="s">
        <v>704</v>
      </c>
      <c r="N505">
        <v>108</v>
      </c>
      <c r="O505">
        <v>127</v>
      </c>
      <c r="P505">
        <v>105</v>
      </c>
      <c r="Q505" t="s">
        <v>1510</v>
      </c>
      <c r="R505">
        <v>2</v>
      </c>
      <c r="S505" s="7" t="s">
        <v>4585</v>
      </c>
      <c r="U505">
        <v>1</v>
      </c>
      <c r="V505" s="4">
        <v>563</v>
      </c>
      <c r="W505">
        <v>1</v>
      </c>
      <c r="X505" s="4">
        <v>578</v>
      </c>
      <c r="Y505">
        <v>1</v>
      </c>
      <c r="Z505" s="4">
        <v>590</v>
      </c>
      <c r="AA505">
        <v>1</v>
      </c>
      <c r="AB505" s="4" t="str">
        <f>HYPERLINK("http://exon.niaid.nih.gov/transcriptome/C_felis/S1/links/XC-ASB/cf-contig_691-XC-ASB.txt","XC-contig_213")</f>
        <v>XC-contig_213</v>
      </c>
      <c r="AC505">
        <v>1.9E-2</v>
      </c>
      <c r="AD505" s="10" t="s">
        <v>4600</v>
      </c>
      <c r="AE505" t="s">
        <v>4601</v>
      </c>
      <c r="AI505" s="4" t="s">
        <v>42</v>
      </c>
      <c r="AJ505" t="s">
        <v>42</v>
      </c>
      <c r="AK505" t="s">
        <v>42</v>
      </c>
      <c r="AL505" t="s">
        <v>42</v>
      </c>
      <c r="AM505" t="s">
        <v>42</v>
      </c>
      <c r="AN505" t="s">
        <v>42</v>
      </c>
      <c r="AO505" t="s">
        <v>42</v>
      </c>
      <c r="AP505" t="s">
        <v>42</v>
      </c>
      <c r="AQ505" t="s">
        <v>42</v>
      </c>
      <c r="AR505" t="s">
        <v>42</v>
      </c>
      <c r="AS505" t="s">
        <v>42</v>
      </c>
      <c r="AT505" t="s">
        <v>42</v>
      </c>
      <c r="AU505" t="s">
        <v>42</v>
      </c>
      <c r="AV505" t="s">
        <v>42</v>
      </c>
      <c r="AW505" t="s">
        <v>42</v>
      </c>
      <c r="AX505" t="s">
        <v>42</v>
      </c>
      <c r="AY505" t="s">
        <v>42</v>
      </c>
      <c r="AZ505" t="s">
        <v>42</v>
      </c>
      <c r="BA505" s="4" t="str">
        <f>HYPERLINK("http://exon.niaid.nih.gov/transcriptome/C_felis/S1/links/SWISSP/cf-contig_691-SWISSP.txt","Phospho-N-acetylmuramoyl-pentapeptide-transferase")</f>
        <v>Phospho-N-acetylmuramoyl-pentapeptide-transferase</v>
      </c>
      <c r="BB505" t="str">
        <f>HYPERLINK("http://www.uniprot.org/uniprot/Q661W1","14")</f>
        <v>14</v>
      </c>
      <c r="BC505" t="s">
        <v>4177</v>
      </c>
      <c r="BD505">
        <v>28.5</v>
      </c>
      <c r="BE505">
        <v>16</v>
      </c>
      <c r="BF505">
        <v>351</v>
      </c>
      <c r="BG505">
        <v>52</v>
      </c>
      <c r="BH505">
        <v>5</v>
      </c>
      <c r="BI505">
        <v>8</v>
      </c>
      <c r="BJ505">
        <v>0</v>
      </c>
      <c r="BK505">
        <v>75</v>
      </c>
      <c r="BL505">
        <v>51</v>
      </c>
      <c r="BM505">
        <v>1</v>
      </c>
      <c r="BN505">
        <v>3</v>
      </c>
      <c r="BO505" t="s">
        <v>12</v>
      </c>
      <c r="BQ505" t="s">
        <v>1676</v>
      </c>
      <c r="BR505" t="s">
        <v>4178</v>
      </c>
      <c r="BS505" s="4" t="str">
        <f>HYPERLINK("http://exon.niaid.nih.gov/transcriptome/C_felis/S1/links/CDD/cf-contig_691-CDD.txt","Arrestin_C")</f>
        <v>Arrestin_C</v>
      </c>
      <c r="BT505" t="str">
        <f>HYPERLINK("http://www.ncbi.nlm.nih.gov/Structure/cdd/cddsrv.cgi?uid=smart01017&amp;version=v4.0","2.0")</f>
        <v>2.0</v>
      </c>
      <c r="BU505" t="s">
        <v>4179</v>
      </c>
      <c r="BV505" s="4" t="s">
        <v>42</v>
      </c>
      <c r="BW505" t="s">
        <v>42</v>
      </c>
      <c r="BX505" t="s">
        <v>42</v>
      </c>
      <c r="BY505" t="s">
        <v>42</v>
      </c>
      <c r="BZ505" t="s">
        <v>42</v>
      </c>
      <c r="CA505" t="s">
        <v>42</v>
      </c>
      <c r="CB505" t="s">
        <v>42</v>
      </c>
      <c r="CC505" t="s">
        <v>42</v>
      </c>
      <c r="CD505" t="s">
        <v>42</v>
      </c>
      <c r="CE505" t="s">
        <v>42</v>
      </c>
      <c r="CF505" t="s">
        <v>42</v>
      </c>
      <c r="CG505" t="s">
        <v>42</v>
      </c>
      <c r="CH505" t="s">
        <v>42</v>
      </c>
      <c r="CI505" t="s">
        <v>42</v>
      </c>
      <c r="CJ505" t="s">
        <v>42</v>
      </c>
      <c r="CK505" t="s">
        <v>42</v>
      </c>
      <c r="CL505" t="s">
        <v>42</v>
      </c>
      <c r="CM505" t="s">
        <v>42</v>
      </c>
      <c r="CN505" t="s">
        <v>42</v>
      </c>
      <c r="CO505" t="s">
        <v>42</v>
      </c>
      <c r="CP505" t="s">
        <v>42</v>
      </c>
      <c r="CQ505" t="s">
        <v>42</v>
      </c>
      <c r="CR505" t="s">
        <v>42</v>
      </c>
      <c r="CS505" s="4" t="str">
        <f>HYPERLINK("http://exon.niaid.nih.gov/transcriptome/C_felis/S1/links/KOG/cf-contig_691-KOG.txt","Ligand-gated ion channel")</f>
        <v>Ligand-gated ion channel</v>
      </c>
      <c r="CT505" t="str">
        <f>HYPERLINK("http://www.ncbi.nlm.nih.gov/COG/grace/shokog.cgi?KOG3644","6.5")</f>
        <v>6.5</v>
      </c>
      <c r="CU505" t="s">
        <v>1780</v>
      </c>
      <c r="CV505" s="4" t="str">
        <f>HYPERLINK("http://exon.niaid.nih.gov/transcriptome/C_felis/S1/links/PFAM/cf-contig_691-PFAM.txt","Glyco_hydro_100")</f>
        <v>Glyco_hydro_100</v>
      </c>
      <c r="CW505" t="str">
        <f>HYPERLINK("http://pfam.sanger.ac.uk/family?acc=PF12899","1.5")</f>
        <v>1.5</v>
      </c>
      <c r="CX505" s="4" t="str">
        <f>HYPERLINK("http://exon.niaid.nih.gov/transcriptome/C_felis/S1/links/SMART/cf-contig_691-SMART.txt","Arrestin_C")</f>
        <v>Arrestin_C</v>
      </c>
      <c r="CY505" t="str">
        <f>HYPERLINK("http://smart.embl-heidelberg.de/smart/do_annotation.pl?DOMAIN=Arrestin_C&amp;BLAST=DUMMY","0.023")</f>
        <v>0.023</v>
      </c>
      <c r="CZ505" s="4" t="s">
        <v>42</v>
      </c>
      <c r="DA505" t="s">
        <v>42</v>
      </c>
      <c r="DB505" t="s">
        <v>42</v>
      </c>
      <c r="DC505" t="s">
        <v>42</v>
      </c>
      <c r="DD505" t="s">
        <v>42</v>
      </c>
      <c r="DE505" t="s">
        <v>42</v>
      </c>
      <c r="DF505" t="s">
        <v>42</v>
      </c>
      <c r="DG505" t="s">
        <v>42</v>
      </c>
      <c r="DH505" s="4" t="s">
        <v>42</v>
      </c>
      <c r="DI505" t="s">
        <v>42</v>
      </c>
      <c r="DJ505" s="4" t="s">
        <v>42</v>
      </c>
      <c r="DK505" t="s">
        <v>42</v>
      </c>
      <c r="DL505" s="4">
        <v>563</v>
      </c>
      <c r="DM505">
        <v>1</v>
      </c>
      <c r="DN505" s="4">
        <v>578</v>
      </c>
      <c r="DO505">
        <v>1</v>
      </c>
      <c r="DP505" s="4">
        <v>590</v>
      </c>
      <c r="DQ505">
        <v>1</v>
      </c>
      <c r="DR505" s="4">
        <v>611</v>
      </c>
      <c r="DS505">
        <v>1</v>
      </c>
      <c r="DT505" s="4">
        <v>625</v>
      </c>
      <c r="DU505">
        <v>1</v>
      </c>
      <c r="DV505" s="4">
        <v>640</v>
      </c>
      <c r="DW505">
        <v>1</v>
      </c>
      <c r="DX505" s="4">
        <v>649</v>
      </c>
      <c r="DY505">
        <v>1</v>
      </c>
      <c r="DZ505" s="4">
        <v>659</v>
      </c>
      <c r="EA505">
        <v>1</v>
      </c>
      <c r="EB505" s="4">
        <v>664</v>
      </c>
      <c r="EC505">
        <v>1</v>
      </c>
      <c r="ED505" s="4">
        <v>668</v>
      </c>
      <c r="EE505">
        <v>1</v>
      </c>
      <c r="EF505" s="4">
        <v>674</v>
      </c>
      <c r="EG505">
        <v>1</v>
      </c>
      <c r="EH505" s="4">
        <v>682</v>
      </c>
      <c r="EI505">
        <v>1</v>
      </c>
      <c r="EJ505" s="4">
        <v>691</v>
      </c>
      <c r="EK505">
        <v>1</v>
      </c>
    </row>
    <row r="506" spans="1:141" x14ac:dyDescent="0.2">
      <c r="A506" t="str">
        <f>HYPERLINK("http://exon.niaid.nih.gov/transcriptome/C_felis/S1/links/cf/cf-contig_699.txt","cf-contig_699")</f>
        <v>cf-contig_699</v>
      </c>
      <c r="B506">
        <v>1</v>
      </c>
      <c r="C506" s="10" t="s">
        <v>4600</v>
      </c>
      <c r="D506">
        <v>1</v>
      </c>
      <c r="E506" t="str">
        <f>HYPERLINK("http://exon.niaid.nih.gov/transcriptome/C_felis/S1/links/cf/cf-5-36-asb-699.txt","Contig-699")</f>
        <v>Contig-699</v>
      </c>
      <c r="F506" t="str">
        <f>HYPERLINK("http://exon.niaid.nih.gov/transcriptome/C_felis/S1/links/cf/cf-5-36-699-CLU.txt","Contig699")</f>
        <v>Contig699</v>
      </c>
      <c r="G506" t="str">
        <f>HYPERLINK("http://exon.niaid.nih.gov/transcriptome/C_felis/S1/links/cf/cf-5-36-699-qual.txt","58.6")</f>
        <v>58.6</v>
      </c>
      <c r="H506" t="s">
        <v>11</v>
      </c>
      <c r="I506">
        <v>78.599999999999994</v>
      </c>
      <c r="J506">
        <v>84</v>
      </c>
      <c r="K506" t="s">
        <v>12</v>
      </c>
      <c r="L506">
        <v>1</v>
      </c>
      <c r="M506" t="s">
        <v>712</v>
      </c>
      <c r="N506">
        <v>84</v>
      </c>
      <c r="O506">
        <v>103</v>
      </c>
      <c r="P506">
        <v>51</v>
      </c>
      <c r="Q506" t="s">
        <v>1518</v>
      </c>
      <c r="R506">
        <v>2</v>
      </c>
      <c r="S506" s="7" t="s">
        <v>4585</v>
      </c>
      <c r="U506">
        <v>1</v>
      </c>
      <c r="V506" s="4">
        <v>569</v>
      </c>
      <c r="W506">
        <v>1</v>
      </c>
      <c r="X506" s="4">
        <v>584</v>
      </c>
      <c r="Y506">
        <v>1</v>
      </c>
      <c r="Z506" s="4">
        <v>596</v>
      </c>
      <c r="AA506">
        <v>1</v>
      </c>
      <c r="AB506" s="4" t="str">
        <f>HYPERLINK("http://exon.niaid.nih.gov/transcriptome/C_felis/S1/links/XC-ASB/cf-contig_699-XC-ASB.txt","XC-contig_220")</f>
        <v>XC-contig_220</v>
      </c>
      <c r="AC506">
        <v>0.2</v>
      </c>
      <c r="AD506" s="10" t="s">
        <v>4600</v>
      </c>
      <c r="AE506" t="s">
        <v>4601</v>
      </c>
      <c r="AI506" s="4" t="s">
        <v>42</v>
      </c>
      <c r="AJ506" t="s">
        <v>42</v>
      </c>
      <c r="AK506" t="s">
        <v>42</v>
      </c>
      <c r="AL506" t="s">
        <v>42</v>
      </c>
      <c r="AM506" t="s">
        <v>42</v>
      </c>
      <c r="AN506" t="s">
        <v>42</v>
      </c>
      <c r="AO506" t="s">
        <v>42</v>
      </c>
      <c r="AP506" t="s">
        <v>42</v>
      </c>
      <c r="AQ506" t="s">
        <v>42</v>
      </c>
      <c r="AR506" t="s">
        <v>42</v>
      </c>
      <c r="AS506" t="s">
        <v>42</v>
      </c>
      <c r="AT506" t="s">
        <v>42</v>
      </c>
      <c r="AU506" t="s">
        <v>42</v>
      </c>
      <c r="AV506" t="s">
        <v>42</v>
      </c>
      <c r="AW506" t="s">
        <v>42</v>
      </c>
      <c r="AX506" t="s">
        <v>42</v>
      </c>
      <c r="AY506" t="s">
        <v>42</v>
      </c>
      <c r="AZ506" t="s">
        <v>42</v>
      </c>
      <c r="BA506" s="4" t="s">
        <v>42</v>
      </c>
      <c r="BB506" t="s">
        <v>42</v>
      </c>
      <c r="BC506" t="s">
        <v>42</v>
      </c>
      <c r="BD506" t="s">
        <v>42</v>
      </c>
      <c r="BE506" t="s">
        <v>42</v>
      </c>
      <c r="BF506" t="s">
        <v>42</v>
      </c>
      <c r="BG506" t="s">
        <v>42</v>
      </c>
      <c r="BH506" t="s">
        <v>42</v>
      </c>
      <c r="BI506" t="s">
        <v>42</v>
      </c>
      <c r="BJ506" t="s">
        <v>42</v>
      </c>
      <c r="BK506" t="s">
        <v>42</v>
      </c>
      <c r="BL506" t="s">
        <v>42</v>
      </c>
      <c r="BM506" t="s">
        <v>42</v>
      </c>
      <c r="BN506" t="s">
        <v>42</v>
      </c>
      <c r="BO506" t="s">
        <v>42</v>
      </c>
      <c r="BP506" t="s">
        <v>42</v>
      </c>
      <c r="BQ506" t="s">
        <v>42</v>
      </c>
      <c r="BR506" t="s">
        <v>42</v>
      </c>
      <c r="BS506" s="4" t="str">
        <f>HYPERLINK("http://exon.niaid.nih.gov/transcriptome/C_felis/S1/links/CDD/cf-contig_699-CDD.txt","2HCT")</f>
        <v>2HCT</v>
      </c>
      <c r="BT506" t="str">
        <f>HYPERLINK("http://www.ncbi.nlm.nih.gov/Structure/cdd/cddsrv.cgi?uid=pfam03390&amp;version=v4.0","4.0")</f>
        <v>4.0</v>
      </c>
      <c r="BU506" t="s">
        <v>4206</v>
      </c>
      <c r="BV506" s="4" t="s">
        <v>42</v>
      </c>
      <c r="BW506" t="s">
        <v>42</v>
      </c>
      <c r="BX506" t="s">
        <v>42</v>
      </c>
      <c r="BY506" t="s">
        <v>42</v>
      </c>
      <c r="BZ506" t="s">
        <v>42</v>
      </c>
      <c r="CA506" t="s">
        <v>42</v>
      </c>
      <c r="CB506" t="s">
        <v>42</v>
      </c>
      <c r="CC506" t="s">
        <v>42</v>
      </c>
      <c r="CD506" t="s">
        <v>42</v>
      </c>
      <c r="CE506" t="s">
        <v>42</v>
      </c>
      <c r="CF506" t="s">
        <v>42</v>
      </c>
      <c r="CG506" t="s">
        <v>42</v>
      </c>
      <c r="CH506" t="s">
        <v>42</v>
      </c>
      <c r="CI506" t="s">
        <v>42</v>
      </c>
      <c r="CJ506" t="s">
        <v>42</v>
      </c>
      <c r="CK506" t="s">
        <v>42</v>
      </c>
      <c r="CL506" t="s">
        <v>42</v>
      </c>
      <c r="CM506" t="s">
        <v>42</v>
      </c>
      <c r="CN506" t="s">
        <v>42</v>
      </c>
      <c r="CO506" t="s">
        <v>42</v>
      </c>
      <c r="CP506" t="s">
        <v>42</v>
      </c>
      <c r="CQ506" t="s">
        <v>42</v>
      </c>
      <c r="CR506" t="s">
        <v>42</v>
      </c>
      <c r="CS506" s="4" t="s">
        <v>42</v>
      </c>
      <c r="CT506" t="s">
        <v>42</v>
      </c>
      <c r="CU506" t="s">
        <v>42</v>
      </c>
      <c r="CV506" s="4" t="str">
        <f>HYPERLINK("http://exon.niaid.nih.gov/transcriptome/C_felis/S1/links/PFAM/cf-contig_699-PFAM.txt","2HCT")</f>
        <v>2HCT</v>
      </c>
      <c r="CW506" t="str">
        <f>HYPERLINK("http://pfam.sanger.ac.uk/family?acc=PF03390","0.83")</f>
        <v>0.83</v>
      </c>
      <c r="CX506" s="4" t="str">
        <f>HYPERLINK("http://exon.niaid.nih.gov/transcriptome/C_felis/S1/links/SMART/cf-contig_699-SMART.txt","G_alpha")</f>
        <v>G_alpha</v>
      </c>
      <c r="CY506" t="str">
        <f>HYPERLINK("http://smart.embl-heidelberg.de/smart/do_annotation.pl?DOMAIN=G_alpha&amp;BLAST=DUMMY","0.60")</f>
        <v>0.60</v>
      </c>
      <c r="CZ506" s="4" t="s">
        <v>42</v>
      </c>
      <c r="DA506" t="s">
        <v>42</v>
      </c>
      <c r="DB506" t="s">
        <v>42</v>
      </c>
      <c r="DC506" t="s">
        <v>42</v>
      </c>
      <c r="DD506" t="s">
        <v>42</v>
      </c>
      <c r="DE506" t="s">
        <v>42</v>
      </c>
      <c r="DF506" t="s">
        <v>42</v>
      </c>
      <c r="DG506" t="s">
        <v>42</v>
      </c>
      <c r="DH506" s="4" t="s">
        <v>42</v>
      </c>
      <c r="DI506" t="s">
        <v>42</v>
      </c>
      <c r="DJ506" s="4" t="s">
        <v>42</v>
      </c>
      <c r="DK506" t="s">
        <v>42</v>
      </c>
      <c r="DL506" s="4">
        <v>569</v>
      </c>
      <c r="DM506">
        <v>1</v>
      </c>
      <c r="DN506" s="4">
        <v>584</v>
      </c>
      <c r="DO506">
        <v>1</v>
      </c>
      <c r="DP506" s="4">
        <v>596</v>
      </c>
      <c r="DQ506">
        <v>1</v>
      </c>
      <c r="DR506" s="4">
        <v>617</v>
      </c>
      <c r="DS506">
        <v>1</v>
      </c>
      <c r="DT506" s="4">
        <v>631</v>
      </c>
      <c r="DU506">
        <v>1</v>
      </c>
      <c r="DV506" s="4">
        <v>646</v>
      </c>
      <c r="DW506">
        <v>1</v>
      </c>
      <c r="DX506" s="4">
        <v>656</v>
      </c>
      <c r="DY506">
        <v>1</v>
      </c>
      <c r="DZ506" s="4">
        <v>666</v>
      </c>
      <c r="EA506">
        <v>1</v>
      </c>
      <c r="EB506" s="4">
        <v>671</v>
      </c>
      <c r="EC506">
        <v>1</v>
      </c>
      <c r="ED506" s="4">
        <v>675</v>
      </c>
      <c r="EE506">
        <v>1</v>
      </c>
      <c r="EF506" s="4">
        <v>681</v>
      </c>
      <c r="EG506">
        <v>1</v>
      </c>
      <c r="EH506" s="4">
        <v>690</v>
      </c>
      <c r="EI506">
        <v>1</v>
      </c>
      <c r="EJ506" s="4">
        <v>699</v>
      </c>
      <c r="EK506">
        <v>1</v>
      </c>
    </row>
    <row r="507" spans="1:141" x14ac:dyDescent="0.2">
      <c r="A507" t="str">
        <f>HYPERLINK("http://exon.niaid.nih.gov/transcriptome/C_felis/S1/links/cf/cf-contig_704.txt","cf-contig_704")</f>
        <v>cf-contig_704</v>
      </c>
      <c r="B507">
        <v>1</v>
      </c>
      <c r="C507" s="10" t="s">
        <v>4600</v>
      </c>
      <c r="D507">
        <v>1</v>
      </c>
      <c r="E507" t="str">
        <f>HYPERLINK("http://exon.niaid.nih.gov/transcriptome/C_felis/S1/links/cf/cf-5-36-asb-704.txt","Contig-704")</f>
        <v>Contig-704</v>
      </c>
      <c r="F507" t="str">
        <f>HYPERLINK("http://exon.niaid.nih.gov/transcriptome/C_felis/S1/links/cf/cf-5-36-704-CLU.txt","Contig704")</f>
        <v>Contig704</v>
      </c>
      <c r="G507" t="str">
        <f>HYPERLINK("http://exon.niaid.nih.gov/transcriptome/C_felis/S1/links/cf/cf-5-36-704-qual.txt","30.9")</f>
        <v>30.9</v>
      </c>
      <c r="H507">
        <v>2.9</v>
      </c>
      <c r="I507">
        <v>59.8</v>
      </c>
      <c r="J507">
        <v>83</v>
      </c>
      <c r="K507" t="s">
        <v>12</v>
      </c>
      <c r="L507">
        <v>1</v>
      </c>
      <c r="M507" t="s">
        <v>717</v>
      </c>
      <c r="N507">
        <v>83</v>
      </c>
      <c r="O507">
        <v>102</v>
      </c>
      <c r="P507">
        <v>99</v>
      </c>
      <c r="Q507" t="s">
        <v>1523</v>
      </c>
      <c r="R507">
        <v>2</v>
      </c>
      <c r="S507" s="7" t="s">
        <v>4585</v>
      </c>
      <c r="U507">
        <v>1</v>
      </c>
      <c r="V507" s="4">
        <f>HYPERLINK("http://exon.niaid.nih.gov/transcriptome/C_felis/S1/links/cluster/cf-5-36-asb30-50-Id-CLU70.txt", 70)</f>
        <v>70</v>
      </c>
      <c r="W507">
        <f>HYPERLINK("http://exon.niaid.nih.gov/transcriptome/C_felis/S1/links/cluster/cf-5-36-asb30-50-Id-CLTL70.txt", 2)</f>
        <v>2</v>
      </c>
      <c r="X507" s="4">
        <f>HYPERLINK("http://exon.niaid.nih.gov/transcriptome/C_felis/S1/links/cluster/cf-5-36-asb35-50-Id-CLU62.txt", 62)</f>
        <v>62</v>
      </c>
      <c r="Y507">
        <f>HYPERLINK("http://exon.niaid.nih.gov/transcriptome/C_felis/S1/links/cluster/cf-5-36-asb35-50-Id-CLTL62.txt", 2)</f>
        <v>2</v>
      </c>
      <c r="Z507" s="4">
        <v>601</v>
      </c>
      <c r="AA507">
        <v>1</v>
      </c>
      <c r="AB507" s="4" t="str">
        <f>HYPERLINK("http://exon.niaid.nih.gov/transcriptome/C_felis/S1/links/XC-ASB/cf-contig_704-XC-ASB.txt","XC-contig_100")</f>
        <v>XC-contig_100</v>
      </c>
      <c r="AC507">
        <v>0.87</v>
      </c>
      <c r="AD507" s="10" t="s">
        <v>4600</v>
      </c>
      <c r="AE507" t="s">
        <v>4601</v>
      </c>
      <c r="AI507" s="4" t="s">
        <v>42</v>
      </c>
      <c r="AJ507" t="s">
        <v>42</v>
      </c>
      <c r="AK507" t="s">
        <v>42</v>
      </c>
      <c r="AL507" t="s">
        <v>42</v>
      </c>
      <c r="AM507" t="s">
        <v>42</v>
      </c>
      <c r="AN507" t="s">
        <v>42</v>
      </c>
      <c r="AO507" t="s">
        <v>42</v>
      </c>
      <c r="AP507" t="s">
        <v>42</v>
      </c>
      <c r="AQ507" t="s">
        <v>42</v>
      </c>
      <c r="AR507" t="s">
        <v>42</v>
      </c>
      <c r="AS507" t="s">
        <v>42</v>
      </c>
      <c r="AT507" t="s">
        <v>42</v>
      </c>
      <c r="AU507" t="s">
        <v>42</v>
      </c>
      <c r="AV507" t="s">
        <v>42</v>
      </c>
      <c r="AW507" t="s">
        <v>42</v>
      </c>
      <c r="AX507" t="s">
        <v>42</v>
      </c>
      <c r="AY507" t="s">
        <v>42</v>
      </c>
      <c r="AZ507" t="s">
        <v>42</v>
      </c>
      <c r="BA507" s="4" t="s">
        <v>42</v>
      </c>
      <c r="BB507" t="s">
        <v>42</v>
      </c>
      <c r="BC507" t="s">
        <v>42</v>
      </c>
      <c r="BD507" t="s">
        <v>42</v>
      </c>
      <c r="BE507" t="s">
        <v>42</v>
      </c>
      <c r="BF507" t="s">
        <v>42</v>
      </c>
      <c r="BG507" t="s">
        <v>42</v>
      </c>
      <c r="BH507" t="s">
        <v>42</v>
      </c>
      <c r="BI507" t="s">
        <v>42</v>
      </c>
      <c r="BJ507" t="s">
        <v>42</v>
      </c>
      <c r="BK507" t="s">
        <v>42</v>
      </c>
      <c r="BL507" t="s">
        <v>42</v>
      </c>
      <c r="BM507" t="s">
        <v>42</v>
      </c>
      <c r="BN507" t="s">
        <v>42</v>
      </c>
      <c r="BO507" t="s">
        <v>42</v>
      </c>
      <c r="BP507" t="s">
        <v>42</v>
      </c>
      <c r="BQ507" t="s">
        <v>42</v>
      </c>
      <c r="BR507" t="s">
        <v>42</v>
      </c>
      <c r="BS507" s="4" t="str">
        <f>HYPERLINK("http://exon.niaid.nih.gov/transcriptome/C_felis/S1/links/CDD/cf-contig_704-CDD.txt","UBP12")</f>
        <v>UBP12</v>
      </c>
      <c r="BT507" t="str">
        <f>HYPERLINK("http://www.ncbi.nlm.nih.gov/Structure/cdd/cddsrv.cgi?uid=COG5560&amp;version=v4.0","7.1")</f>
        <v>7.1</v>
      </c>
      <c r="BU507" t="s">
        <v>4221</v>
      </c>
      <c r="BV507" s="4" t="s">
        <v>42</v>
      </c>
      <c r="BW507" t="s">
        <v>42</v>
      </c>
      <c r="BX507" t="s">
        <v>42</v>
      </c>
      <c r="BY507" t="s">
        <v>42</v>
      </c>
      <c r="BZ507" t="s">
        <v>42</v>
      </c>
      <c r="CA507" t="s">
        <v>42</v>
      </c>
      <c r="CB507" t="s">
        <v>42</v>
      </c>
      <c r="CC507" t="s">
        <v>42</v>
      </c>
      <c r="CD507" t="s">
        <v>42</v>
      </c>
      <c r="CE507" t="s">
        <v>42</v>
      </c>
      <c r="CF507" t="s">
        <v>42</v>
      </c>
      <c r="CG507" t="s">
        <v>42</v>
      </c>
      <c r="CH507" t="s">
        <v>42</v>
      </c>
      <c r="CI507" t="s">
        <v>42</v>
      </c>
      <c r="CJ507" t="s">
        <v>42</v>
      </c>
      <c r="CK507" t="s">
        <v>42</v>
      </c>
      <c r="CL507" t="s">
        <v>42</v>
      </c>
      <c r="CM507" t="s">
        <v>42</v>
      </c>
      <c r="CN507" t="s">
        <v>42</v>
      </c>
      <c r="CO507" t="s">
        <v>42</v>
      </c>
      <c r="CP507" t="s">
        <v>42</v>
      </c>
      <c r="CQ507" t="s">
        <v>42</v>
      </c>
      <c r="CR507" t="s">
        <v>42</v>
      </c>
      <c r="CS507" s="4" t="str">
        <f>HYPERLINK("http://exon.niaid.nih.gov/transcriptome/C_felis/S1/links/KOG/cf-contig_704-KOG.txt","Ubiquitin C-terminal hydrolase")</f>
        <v>Ubiquitin C-terminal hydrolase</v>
      </c>
      <c r="CT507" t="str">
        <f>HYPERLINK("http://www.ncbi.nlm.nih.gov/COG/grace/shokog.cgi?KOG1870","1.8")</f>
        <v>1.8</v>
      </c>
      <c r="CU507" t="s">
        <v>2198</v>
      </c>
      <c r="CV507" s="4" t="str">
        <f>HYPERLINK("http://exon.niaid.nih.gov/transcriptome/C_felis/S1/links/PFAM/cf-contig_704-PFAM.txt","Ada_Zn_binding")</f>
        <v>Ada_Zn_binding</v>
      </c>
      <c r="CW507" t="str">
        <f>HYPERLINK("http://pfam.sanger.ac.uk/family?acc=PF02805","3.1")</f>
        <v>3.1</v>
      </c>
      <c r="CX507" s="4" t="str">
        <f>HYPERLINK("http://exon.niaid.nih.gov/transcriptome/C_felis/S1/links/SMART/cf-contig_704-SMART.txt","G_alpha")</f>
        <v>G_alpha</v>
      </c>
      <c r="CY507" t="str">
        <f>HYPERLINK("http://smart.embl-heidelberg.de/smart/do_annotation.pl?DOMAIN=G_alpha&amp;BLAST=DUMMY","2.0")</f>
        <v>2.0</v>
      </c>
      <c r="CZ507" s="4" t="s">
        <v>42</v>
      </c>
      <c r="DA507" t="s">
        <v>42</v>
      </c>
      <c r="DB507" t="s">
        <v>42</v>
      </c>
      <c r="DC507" t="s">
        <v>42</v>
      </c>
      <c r="DD507" t="s">
        <v>42</v>
      </c>
      <c r="DE507" t="s">
        <v>42</v>
      </c>
      <c r="DF507" t="s">
        <v>42</v>
      </c>
      <c r="DG507" t="s">
        <v>42</v>
      </c>
      <c r="DH507" s="4" t="s">
        <v>42</v>
      </c>
      <c r="DI507" t="s">
        <v>42</v>
      </c>
      <c r="DJ507" s="4" t="s">
        <v>42</v>
      </c>
      <c r="DK507" t="s">
        <v>42</v>
      </c>
      <c r="DL507" s="4">
        <f>HYPERLINK("http://exon.niaid.nih.gov/transcriptome/C_felis/S1/links/cluster/cf-5-36-asb30-50-Id-CLU70.txt", 70)</f>
        <v>70</v>
      </c>
      <c r="DM507">
        <f>HYPERLINK("http://exon.niaid.nih.gov/transcriptome/C_felis/S1/links/cluster/cf-5-36-asb30-50-Id-CLTL70.txt", 2)</f>
        <v>2</v>
      </c>
      <c r="DN507" s="4">
        <f>HYPERLINK("http://exon.niaid.nih.gov/transcriptome/C_felis/S1/links/cluster/cf-5-36-asb35-50-Id-CLU62.txt", 62)</f>
        <v>62</v>
      </c>
      <c r="DO507">
        <f>HYPERLINK("http://exon.niaid.nih.gov/transcriptome/C_felis/S1/links/cluster/cf-5-36-asb35-50-Id-CLTL62.txt", 2)</f>
        <v>2</v>
      </c>
      <c r="DP507" s="4">
        <v>601</v>
      </c>
      <c r="DQ507">
        <v>1</v>
      </c>
      <c r="DR507" s="4">
        <v>622</v>
      </c>
      <c r="DS507">
        <v>1</v>
      </c>
      <c r="DT507" s="4">
        <v>636</v>
      </c>
      <c r="DU507">
        <v>1</v>
      </c>
      <c r="DV507" s="4">
        <v>651</v>
      </c>
      <c r="DW507">
        <v>1</v>
      </c>
      <c r="DX507" s="4">
        <v>661</v>
      </c>
      <c r="DY507">
        <v>1</v>
      </c>
      <c r="DZ507" s="4">
        <v>671</v>
      </c>
      <c r="EA507">
        <v>1</v>
      </c>
      <c r="EB507" s="4">
        <v>676</v>
      </c>
      <c r="EC507">
        <v>1</v>
      </c>
      <c r="ED507" s="4">
        <v>680</v>
      </c>
      <c r="EE507">
        <v>1</v>
      </c>
      <c r="EF507" s="4">
        <v>686</v>
      </c>
      <c r="EG507">
        <v>1</v>
      </c>
      <c r="EH507" s="4">
        <v>695</v>
      </c>
      <c r="EI507">
        <v>1</v>
      </c>
      <c r="EJ507" s="4">
        <v>704</v>
      </c>
      <c r="EK507">
        <v>1</v>
      </c>
    </row>
    <row r="508" spans="1:141" x14ac:dyDescent="0.2">
      <c r="A508" t="str">
        <f>HYPERLINK("http://exon.niaid.nih.gov/transcriptome/C_felis/S1/links/cf/cf-contig_705.txt","cf-contig_705")</f>
        <v>cf-contig_705</v>
      </c>
      <c r="B508">
        <v>1</v>
      </c>
      <c r="C508" s="10" t="s">
        <v>4600</v>
      </c>
      <c r="D508">
        <v>1</v>
      </c>
      <c r="E508" t="str">
        <f>HYPERLINK("http://exon.niaid.nih.gov/transcriptome/C_felis/S1/links/cf/cf-5-36-asb-705.txt","Contig-705")</f>
        <v>Contig-705</v>
      </c>
      <c r="F508" t="str">
        <f>HYPERLINK("http://exon.niaid.nih.gov/transcriptome/C_felis/S1/links/cf/cf-5-36-705-CLU.txt","Contig705")</f>
        <v>Contig705</v>
      </c>
      <c r="G508" t="str">
        <f>HYPERLINK("http://exon.niaid.nih.gov/transcriptome/C_felis/S1/links/cf/cf-5-36-705-qual.txt","49.1")</f>
        <v>49.1</v>
      </c>
      <c r="H508">
        <v>1.3</v>
      </c>
      <c r="I508">
        <v>70.400000000000006</v>
      </c>
      <c r="J508">
        <v>133</v>
      </c>
      <c r="K508" t="s">
        <v>12</v>
      </c>
      <c r="L508">
        <v>1</v>
      </c>
      <c r="M508" t="s">
        <v>718</v>
      </c>
      <c r="N508">
        <v>133</v>
      </c>
      <c r="O508">
        <v>152</v>
      </c>
      <c r="P508">
        <v>63</v>
      </c>
      <c r="Q508" t="s">
        <v>1524</v>
      </c>
      <c r="R508">
        <v>3</v>
      </c>
      <c r="S508" s="7" t="s">
        <v>4585</v>
      </c>
      <c r="U508">
        <v>1</v>
      </c>
      <c r="V508" s="4">
        <f>HYPERLINK("http://exon.niaid.nih.gov/transcriptome/C_felis/S1/links/cluster/cf-5-36-asb30-50-Id-CLU24.txt", 24)</f>
        <v>24</v>
      </c>
      <c r="W508">
        <f>HYPERLINK("http://exon.niaid.nih.gov/transcriptome/C_felis/S1/links/cluster/cf-5-36-asb30-50-Id-CLTL24.txt", 3)</f>
        <v>3</v>
      </c>
      <c r="X508" s="4">
        <f>HYPERLINK("http://exon.niaid.nih.gov/transcriptome/C_felis/S1/links/cluster/cf-5-36-asb35-50-Id-CLU87.txt", 87)</f>
        <v>87</v>
      </c>
      <c r="Y508">
        <f>HYPERLINK("http://exon.niaid.nih.gov/transcriptome/C_felis/S1/links/cluster/cf-5-36-asb35-50-Id-CLTL87.txt", 2)</f>
        <v>2</v>
      </c>
      <c r="Z508" s="4">
        <f>HYPERLINK("http://exon.niaid.nih.gov/transcriptome/C_felis/S1/links/cluster/cf-5-36-asb40-50-Id-CLU78.txt", 78)</f>
        <v>78</v>
      </c>
      <c r="AA508">
        <f>HYPERLINK("http://exon.niaid.nih.gov/transcriptome/C_felis/S1/links/cluster/cf-5-36-asb40-50-Id-CLTL78.txt", 2)</f>
        <v>2</v>
      </c>
      <c r="AB508" s="4" t="str">
        <f>HYPERLINK("http://exon.niaid.nih.gov/transcriptome/C_felis/S1/links/XC-ASB/cf-contig_705-XC-ASB.txt","XC-contig_219")</f>
        <v>XC-contig_219</v>
      </c>
      <c r="AC508">
        <v>0.18</v>
      </c>
      <c r="AD508" s="10" t="s">
        <v>4600</v>
      </c>
      <c r="AE508" t="s">
        <v>4601</v>
      </c>
      <c r="AI508" s="4" t="s">
        <v>42</v>
      </c>
      <c r="AJ508" t="s">
        <v>42</v>
      </c>
      <c r="AK508" t="s">
        <v>42</v>
      </c>
      <c r="AL508" t="s">
        <v>42</v>
      </c>
      <c r="AM508" t="s">
        <v>42</v>
      </c>
      <c r="AN508" t="s">
        <v>42</v>
      </c>
      <c r="AO508" t="s">
        <v>42</v>
      </c>
      <c r="AP508" t="s">
        <v>42</v>
      </c>
      <c r="AQ508" t="s">
        <v>42</v>
      </c>
      <c r="AR508" t="s">
        <v>42</v>
      </c>
      <c r="AS508" t="s">
        <v>42</v>
      </c>
      <c r="AT508" t="s">
        <v>42</v>
      </c>
      <c r="AU508" t="s">
        <v>42</v>
      </c>
      <c r="AV508" t="s">
        <v>42</v>
      </c>
      <c r="AW508" t="s">
        <v>42</v>
      </c>
      <c r="AX508" t="s">
        <v>42</v>
      </c>
      <c r="AY508" t="s">
        <v>42</v>
      </c>
      <c r="AZ508" t="s">
        <v>42</v>
      </c>
      <c r="BA508" s="4" t="str">
        <f>HYPERLINK("http://exon.niaid.nih.gov/transcriptome/C_felis/S1/links/SWISSP/cf-contig_705-SWISSP.txt","Insulin receptor")</f>
        <v>Insulin receptor</v>
      </c>
      <c r="BB508" t="str">
        <f>HYPERLINK("http://www.uniprot.org/uniprot/P15208","31")</f>
        <v>31</v>
      </c>
      <c r="BC508" t="s">
        <v>4222</v>
      </c>
      <c r="BD508">
        <v>27.3</v>
      </c>
      <c r="BE508">
        <v>15</v>
      </c>
      <c r="BF508">
        <v>1372</v>
      </c>
      <c r="BG508">
        <v>62</v>
      </c>
      <c r="BH508">
        <v>1</v>
      </c>
      <c r="BI508">
        <v>6</v>
      </c>
      <c r="BJ508">
        <v>0</v>
      </c>
      <c r="BK508">
        <v>427</v>
      </c>
      <c r="BL508">
        <v>34</v>
      </c>
      <c r="BM508">
        <v>1</v>
      </c>
      <c r="BN508">
        <v>-3</v>
      </c>
      <c r="BO508" t="s">
        <v>12</v>
      </c>
      <c r="BQ508" t="s">
        <v>1666</v>
      </c>
      <c r="BR508" t="s">
        <v>1705</v>
      </c>
      <c r="BS508" s="4" t="str">
        <f>HYPERLINK("http://exon.niaid.nih.gov/transcriptome/C_felis/S1/links/CDD/cf-contig_705-CDD.txt","PRK12474")</f>
        <v>PRK12474</v>
      </c>
      <c r="BT508" t="str">
        <f>HYPERLINK("http://www.ncbi.nlm.nih.gov/Structure/cdd/cddsrv.cgi?uid=PRK12474&amp;version=v4.0","1.7")</f>
        <v>1.7</v>
      </c>
      <c r="BU508" t="s">
        <v>4223</v>
      </c>
      <c r="BV508" s="4" t="s">
        <v>42</v>
      </c>
      <c r="BW508" t="s">
        <v>42</v>
      </c>
      <c r="BX508" t="s">
        <v>42</v>
      </c>
      <c r="BY508" t="s">
        <v>42</v>
      </c>
      <c r="BZ508" t="s">
        <v>42</v>
      </c>
      <c r="CA508" t="s">
        <v>42</v>
      </c>
      <c r="CB508" t="s">
        <v>42</v>
      </c>
      <c r="CC508" t="s">
        <v>42</v>
      </c>
      <c r="CD508" t="s">
        <v>42</v>
      </c>
      <c r="CE508" t="s">
        <v>42</v>
      </c>
      <c r="CF508" t="s">
        <v>42</v>
      </c>
      <c r="CG508" t="s">
        <v>42</v>
      </c>
      <c r="CH508" t="s">
        <v>42</v>
      </c>
      <c r="CI508" t="s">
        <v>42</v>
      </c>
      <c r="CJ508" t="s">
        <v>42</v>
      </c>
      <c r="CK508" t="s">
        <v>42</v>
      </c>
      <c r="CL508" t="s">
        <v>42</v>
      </c>
      <c r="CM508" t="s">
        <v>42</v>
      </c>
      <c r="CN508" t="s">
        <v>42</v>
      </c>
      <c r="CO508" t="s">
        <v>42</v>
      </c>
      <c r="CP508" t="s">
        <v>42</v>
      </c>
      <c r="CQ508" t="s">
        <v>42</v>
      </c>
      <c r="CR508" t="s">
        <v>42</v>
      </c>
      <c r="CS508" s="4" t="str">
        <f>HYPERLINK("http://exon.niaid.nih.gov/transcriptome/C_felis/S1/links/KOG/cf-contig_705-KOG.txt","Insulin/growth factor receptor (contains protein kinase domain)")</f>
        <v>Insulin/growth factor receptor (contains protein kinase domain)</v>
      </c>
      <c r="CT508" t="str">
        <f>HYPERLINK("http://www.ncbi.nlm.nih.gov/COG/grace/shokog.cgi?KOG4258","1.1")</f>
        <v>1.1</v>
      </c>
      <c r="CU508" t="s">
        <v>1780</v>
      </c>
      <c r="CV508" s="4" t="str">
        <f>HYPERLINK("http://exon.niaid.nih.gov/transcriptome/C_felis/S1/links/PFAM/cf-contig_705-PFAM.txt","zf-DNA_Pol")</f>
        <v>zf-DNA_Pol</v>
      </c>
      <c r="CW508" t="str">
        <f>HYPERLINK("http://pfam.sanger.ac.uk/family?acc=PF08996","0.62")</f>
        <v>0.62</v>
      </c>
      <c r="CX508" s="4" t="str">
        <f>HYPERLINK("http://exon.niaid.nih.gov/transcriptome/C_felis/S1/links/SMART/cf-contig_705-SMART.txt","SWAP")</f>
        <v>SWAP</v>
      </c>
      <c r="CY508" t="str">
        <f>HYPERLINK("http://smart.embl-heidelberg.de/smart/do_annotation.pl?DOMAIN=SWAP&amp;BLAST=DUMMY","0.28")</f>
        <v>0.28</v>
      </c>
      <c r="CZ508" s="4" t="s">
        <v>42</v>
      </c>
      <c r="DA508" t="s">
        <v>42</v>
      </c>
      <c r="DB508" t="s">
        <v>42</v>
      </c>
      <c r="DC508" t="s">
        <v>42</v>
      </c>
      <c r="DD508" t="s">
        <v>42</v>
      </c>
      <c r="DE508" t="s">
        <v>42</v>
      </c>
      <c r="DF508" t="s">
        <v>42</v>
      </c>
      <c r="DG508" t="s">
        <v>42</v>
      </c>
      <c r="DH508" s="4" t="s">
        <v>42</v>
      </c>
      <c r="DI508" t="s">
        <v>42</v>
      </c>
      <c r="DJ508" s="4" t="s">
        <v>42</v>
      </c>
      <c r="DK508" t="s">
        <v>42</v>
      </c>
      <c r="DL508" s="4">
        <f>HYPERLINK("http://exon.niaid.nih.gov/transcriptome/C_felis/S1/links/cluster/cf-5-36-asb30-50-Id-CLU24.txt", 24)</f>
        <v>24</v>
      </c>
      <c r="DM508">
        <f>HYPERLINK("http://exon.niaid.nih.gov/transcriptome/C_felis/S1/links/cluster/cf-5-36-asb30-50-Id-CLTL24.txt", 3)</f>
        <v>3</v>
      </c>
      <c r="DN508" s="4">
        <f>HYPERLINK("http://exon.niaid.nih.gov/transcriptome/C_felis/S1/links/cluster/cf-5-36-asb35-50-Id-CLU87.txt", 87)</f>
        <v>87</v>
      </c>
      <c r="DO508">
        <f>HYPERLINK("http://exon.niaid.nih.gov/transcriptome/C_felis/S1/links/cluster/cf-5-36-asb35-50-Id-CLTL87.txt", 2)</f>
        <v>2</v>
      </c>
      <c r="DP508" s="4">
        <f>HYPERLINK("http://exon.niaid.nih.gov/transcriptome/C_felis/S1/links/cluster/cf-5-36-asb40-50-Id-CLU78.txt", 78)</f>
        <v>78</v>
      </c>
      <c r="DQ508">
        <f>HYPERLINK("http://exon.niaid.nih.gov/transcriptome/C_felis/S1/links/cluster/cf-5-36-asb40-50-Id-CLTL78.txt", 2)</f>
        <v>2</v>
      </c>
      <c r="DR508" s="4">
        <f>HYPERLINK("http://exon.niaid.nih.gov/transcriptome/C_felis/S1/links/cluster/cf-5-36-asb45-50-Id-CLU64.txt", 64)</f>
        <v>64</v>
      </c>
      <c r="DS508">
        <f>HYPERLINK("http://exon.niaid.nih.gov/transcriptome/C_felis/S1/links/cluster/cf-5-36-asb45-50-Id-CLTL64.txt", 2)</f>
        <v>2</v>
      </c>
      <c r="DT508" s="4">
        <f>HYPERLINK("http://exon.niaid.nih.gov/transcriptome/C_felis/S1/links/cluster/cf-5-36-asb50-50-Id-CLU56.txt", 56)</f>
        <v>56</v>
      </c>
      <c r="DU508">
        <f>HYPERLINK("http://exon.niaid.nih.gov/transcriptome/C_felis/S1/links/cluster/cf-5-36-asb50-50-Id-CLTL56.txt", 2)</f>
        <v>2</v>
      </c>
      <c r="DV508" s="4">
        <f>HYPERLINK("http://exon.niaid.nih.gov/transcriptome/C_felis/S1/links/cluster/cf-5-36-asb55-50-Id-CLU51.txt", 51)</f>
        <v>51</v>
      </c>
      <c r="DW508">
        <f>HYPERLINK("http://exon.niaid.nih.gov/transcriptome/C_felis/S1/links/cluster/cf-5-36-asb55-50-Id-CLTL51.txt", 2)</f>
        <v>2</v>
      </c>
      <c r="DX508" s="4">
        <f>HYPERLINK("http://exon.niaid.nih.gov/transcriptome/C_felis/S1/links/cluster/cf-5-36-asb60-50-Id-CLU662.txt", 662)</f>
        <v>662</v>
      </c>
      <c r="DY508">
        <f>HYPERLINK("http://exon.niaid.nih.gov/transcriptome/C_felis/S1/links/cluster/cf-5-36-asb60-50-Id-CLTL662.txt", 1)</f>
        <v>1</v>
      </c>
      <c r="DZ508" s="4">
        <v>672</v>
      </c>
      <c r="EA508">
        <v>1</v>
      </c>
      <c r="EB508" s="4">
        <v>677</v>
      </c>
      <c r="EC508">
        <v>1</v>
      </c>
      <c r="ED508" s="4">
        <v>681</v>
      </c>
      <c r="EE508">
        <v>1</v>
      </c>
      <c r="EF508" s="4">
        <v>687</v>
      </c>
      <c r="EG508">
        <v>1</v>
      </c>
      <c r="EH508" s="4">
        <v>696</v>
      </c>
      <c r="EI508">
        <v>1</v>
      </c>
      <c r="EJ508" s="4">
        <v>705</v>
      </c>
      <c r="EK508">
        <v>1</v>
      </c>
    </row>
    <row r="509" spans="1:141" x14ac:dyDescent="0.2">
      <c r="A509" t="str">
        <f>HYPERLINK("http://exon.niaid.nih.gov/transcriptome/C_felis/S1/links/cf/cf-contig_716.txt","cf-contig_716")</f>
        <v>cf-contig_716</v>
      </c>
      <c r="B509">
        <v>1</v>
      </c>
      <c r="C509" s="10" t="s">
        <v>4600</v>
      </c>
      <c r="D509">
        <v>1</v>
      </c>
      <c r="E509" t="str">
        <f>HYPERLINK("http://exon.niaid.nih.gov/transcriptome/C_felis/S1/links/cf/cf-5-36-asb-716.txt","Contig-716")</f>
        <v>Contig-716</v>
      </c>
      <c r="F509" t="str">
        <f>HYPERLINK("http://exon.niaid.nih.gov/transcriptome/C_felis/S1/links/cf/cf-5-36-716-CLU.txt","Contig716")</f>
        <v>Contig716</v>
      </c>
      <c r="G509" t="str">
        <f>HYPERLINK("http://exon.niaid.nih.gov/transcriptome/C_felis/S1/links/cf/cf-5-36-716-qual.txt","38.4")</f>
        <v>38.4</v>
      </c>
      <c r="H509">
        <v>1.4</v>
      </c>
      <c r="I509">
        <v>78.400000000000006</v>
      </c>
      <c r="J509">
        <v>55</v>
      </c>
      <c r="K509" t="s">
        <v>12</v>
      </c>
      <c r="L509">
        <v>1</v>
      </c>
      <c r="M509" t="s">
        <v>729</v>
      </c>
      <c r="N509">
        <v>55</v>
      </c>
      <c r="O509">
        <v>74</v>
      </c>
      <c r="P509">
        <v>69</v>
      </c>
      <c r="Q509" t="s">
        <v>1535</v>
      </c>
      <c r="R509">
        <v>2</v>
      </c>
      <c r="S509" s="7" t="s">
        <v>4585</v>
      </c>
      <c r="U509">
        <v>1</v>
      </c>
      <c r="V509" s="4">
        <f>HYPERLINK("http://exon.niaid.nih.gov/transcriptome/C_felis/S1/links/cluster/cf-5-36-asb30-50-Id-CLU95.txt", 95)</f>
        <v>95</v>
      </c>
      <c r="W509">
        <f>HYPERLINK("http://exon.niaid.nih.gov/transcriptome/C_felis/S1/links/cluster/cf-5-36-asb30-50-Id-CLTL95.txt", 2)</f>
        <v>2</v>
      </c>
      <c r="X509" s="4">
        <f>HYPERLINK("http://exon.niaid.nih.gov/transcriptome/C_felis/S1/links/cluster/cf-5-36-asb35-50-Id-CLU88.txt", 88)</f>
        <v>88</v>
      </c>
      <c r="Y509">
        <f>HYPERLINK("http://exon.niaid.nih.gov/transcriptome/C_felis/S1/links/cluster/cf-5-36-asb35-50-Id-CLTL88.txt", 2)</f>
        <v>2</v>
      </c>
      <c r="Z509" s="4">
        <f>HYPERLINK("http://exon.niaid.nih.gov/transcriptome/C_felis/S1/links/cluster/cf-5-36-asb40-50-Id-CLU79.txt", 79)</f>
        <v>79</v>
      </c>
      <c r="AA509">
        <f>HYPERLINK("http://exon.niaid.nih.gov/transcriptome/C_felis/S1/links/cluster/cf-5-36-asb40-50-Id-CLTL79.txt", 2)</f>
        <v>2</v>
      </c>
      <c r="AB509" s="4" t="str">
        <f>HYPERLINK("http://exon.niaid.nih.gov/transcriptome/C_felis/S1/links/XC-ASB/cf-contig_716-XC-ASB.txt","XC-contig_97")</f>
        <v>XC-contig_97</v>
      </c>
      <c r="AC509">
        <v>1.3</v>
      </c>
      <c r="AD509" s="10" t="s">
        <v>4600</v>
      </c>
      <c r="AE509" t="s">
        <v>4601</v>
      </c>
      <c r="AI509" s="4" t="s">
        <v>42</v>
      </c>
      <c r="AJ509" t="s">
        <v>42</v>
      </c>
      <c r="AK509" t="s">
        <v>42</v>
      </c>
      <c r="AL509" t="s">
        <v>42</v>
      </c>
      <c r="AM509" t="s">
        <v>42</v>
      </c>
      <c r="AN509" t="s">
        <v>42</v>
      </c>
      <c r="AO509" t="s">
        <v>42</v>
      </c>
      <c r="AP509" t="s">
        <v>42</v>
      </c>
      <c r="AQ509" t="s">
        <v>42</v>
      </c>
      <c r="AR509" t="s">
        <v>42</v>
      </c>
      <c r="AS509" t="s">
        <v>42</v>
      </c>
      <c r="AT509" t="s">
        <v>42</v>
      </c>
      <c r="AU509" t="s">
        <v>42</v>
      </c>
      <c r="AV509" t="s">
        <v>42</v>
      </c>
      <c r="AW509" t="s">
        <v>42</v>
      </c>
      <c r="AX509" t="s">
        <v>42</v>
      </c>
      <c r="AY509" t="s">
        <v>42</v>
      </c>
      <c r="AZ509" t="s">
        <v>42</v>
      </c>
      <c r="BA509" s="4" t="s">
        <v>42</v>
      </c>
      <c r="BB509" t="s">
        <v>42</v>
      </c>
      <c r="BC509" t="s">
        <v>42</v>
      </c>
      <c r="BD509" t="s">
        <v>42</v>
      </c>
      <c r="BE509" t="s">
        <v>42</v>
      </c>
      <c r="BF509" t="s">
        <v>42</v>
      </c>
      <c r="BG509" t="s">
        <v>42</v>
      </c>
      <c r="BH509" t="s">
        <v>42</v>
      </c>
      <c r="BI509" t="s">
        <v>42</v>
      </c>
      <c r="BJ509" t="s">
        <v>42</v>
      </c>
      <c r="BK509" t="s">
        <v>42</v>
      </c>
      <c r="BL509" t="s">
        <v>42</v>
      </c>
      <c r="BM509" t="s">
        <v>42</v>
      </c>
      <c r="BN509" t="s">
        <v>42</v>
      </c>
      <c r="BO509" t="s">
        <v>42</v>
      </c>
      <c r="BP509" t="s">
        <v>42</v>
      </c>
      <c r="BQ509" t="s">
        <v>42</v>
      </c>
      <c r="BR509" t="s">
        <v>42</v>
      </c>
      <c r="BS509" s="4" t="str">
        <f>HYPERLINK("http://exon.niaid.nih.gov/transcriptome/C_felis/S1/links/CDD/cf-contig_716-CDD.txt","cobQ")</f>
        <v>cobQ</v>
      </c>
      <c r="BT509" t="str">
        <f>HYPERLINK("http://www.ncbi.nlm.nih.gov/Structure/cdd/cddsrv.cgi?uid=TIGR00313&amp;version=v4.0","1.6")</f>
        <v>1.6</v>
      </c>
      <c r="BU509" t="s">
        <v>4263</v>
      </c>
      <c r="BV509" s="4" t="s">
        <v>42</v>
      </c>
      <c r="BW509" t="s">
        <v>42</v>
      </c>
      <c r="BX509" t="s">
        <v>42</v>
      </c>
      <c r="BY509" t="s">
        <v>42</v>
      </c>
      <c r="BZ509" t="s">
        <v>42</v>
      </c>
      <c r="CA509" t="s">
        <v>42</v>
      </c>
      <c r="CB509" t="s">
        <v>42</v>
      </c>
      <c r="CC509" t="s">
        <v>42</v>
      </c>
      <c r="CD509" t="s">
        <v>42</v>
      </c>
      <c r="CE509" t="s">
        <v>42</v>
      </c>
      <c r="CF509" t="s">
        <v>42</v>
      </c>
      <c r="CG509" t="s">
        <v>42</v>
      </c>
      <c r="CH509" t="s">
        <v>42</v>
      </c>
      <c r="CI509" t="s">
        <v>42</v>
      </c>
      <c r="CJ509" t="s">
        <v>42</v>
      </c>
      <c r="CK509" t="s">
        <v>42</v>
      </c>
      <c r="CL509" t="s">
        <v>42</v>
      </c>
      <c r="CM509" t="s">
        <v>42</v>
      </c>
      <c r="CN509" t="s">
        <v>42</v>
      </c>
      <c r="CO509" t="s">
        <v>42</v>
      </c>
      <c r="CP509" t="s">
        <v>42</v>
      </c>
      <c r="CQ509" t="s">
        <v>42</v>
      </c>
      <c r="CR509" t="s">
        <v>42</v>
      </c>
      <c r="CS509" s="4" t="s">
        <v>42</v>
      </c>
      <c r="CT509" t="s">
        <v>42</v>
      </c>
      <c r="CU509" t="s">
        <v>42</v>
      </c>
      <c r="CV509" s="4" t="str">
        <f>HYPERLINK("http://exon.niaid.nih.gov/transcriptome/C_felis/S1/links/PFAM/cf-contig_716-PFAM.txt","7TM_GPCR_Srh")</f>
        <v>7TM_GPCR_Srh</v>
      </c>
      <c r="CW509" t="str">
        <f>HYPERLINK("http://pfam.sanger.ac.uk/family?acc=PF10318","6.4")</f>
        <v>6.4</v>
      </c>
      <c r="CX509" s="4" t="str">
        <f>HYPERLINK("http://exon.niaid.nih.gov/transcriptome/C_felis/S1/links/SMART/cf-contig_716-SMART.txt","G_alpha")</f>
        <v>G_alpha</v>
      </c>
      <c r="CY509" t="str">
        <f>HYPERLINK("http://smart.embl-heidelberg.de/smart/do_annotation.pl?DOMAIN=G_alpha&amp;BLAST=DUMMY","0.22")</f>
        <v>0.22</v>
      </c>
      <c r="CZ509" s="4" t="s">
        <v>42</v>
      </c>
      <c r="DA509" t="s">
        <v>42</v>
      </c>
      <c r="DB509" t="s">
        <v>42</v>
      </c>
      <c r="DC509" t="s">
        <v>42</v>
      </c>
      <c r="DD509" t="s">
        <v>42</v>
      </c>
      <c r="DE509" t="s">
        <v>42</v>
      </c>
      <c r="DF509" t="s">
        <v>42</v>
      </c>
      <c r="DG509" t="s">
        <v>42</v>
      </c>
      <c r="DH509" s="4" t="s">
        <v>42</v>
      </c>
      <c r="DI509" t="s">
        <v>42</v>
      </c>
      <c r="DJ509" s="4" t="s">
        <v>42</v>
      </c>
      <c r="DK509" t="s">
        <v>42</v>
      </c>
      <c r="DL509" s="4">
        <f>HYPERLINK("http://exon.niaid.nih.gov/transcriptome/C_felis/S1/links/cluster/cf-5-36-asb30-50-Id-CLU95.txt", 95)</f>
        <v>95</v>
      </c>
      <c r="DM509">
        <f>HYPERLINK("http://exon.niaid.nih.gov/transcriptome/C_felis/S1/links/cluster/cf-5-36-asb30-50-Id-CLTL95.txt", 2)</f>
        <v>2</v>
      </c>
      <c r="DN509" s="4">
        <f>HYPERLINK("http://exon.niaid.nih.gov/transcriptome/C_felis/S1/links/cluster/cf-5-36-asb35-50-Id-CLU88.txt", 88)</f>
        <v>88</v>
      </c>
      <c r="DO509">
        <f>HYPERLINK("http://exon.niaid.nih.gov/transcriptome/C_felis/S1/links/cluster/cf-5-36-asb35-50-Id-CLTL88.txt", 2)</f>
        <v>2</v>
      </c>
      <c r="DP509" s="4">
        <f>HYPERLINK("http://exon.niaid.nih.gov/transcriptome/C_felis/S1/links/cluster/cf-5-36-asb40-50-Id-CLU79.txt", 79)</f>
        <v>79</v>
      </c>
      <c r="DQ509">
        <f>HYPERLINK("http://exon.niaid.nih.gov/transcriptome/C_felis/S1/links/cluster/cf-5-36-asb40-50-Id-CLTL79.txt", 2)</f>
        <v>2</v>
      </c>
      <c r="DR509" s="4">
        <f>HYPERLINK("http://exon.niaid.nih.gov/transcriptome/C_felis/S1/links/cluster/cf-5-36-asb45-50-Id-CLU65.txt", 65)</f>
        <v>65</v>
      </c>
      <c r="DS509">
        <f>HYPERLINK("http://exon.niaid.nih.gov/transcriptome/C_felis/S1/links/cluster/cf-5-36-asb45-50-Id-CLTL65.txt", 2)</f>
        <v>2</v>
      </c>
      <c r="DT509" s="4">
        <f>HYPERLINK("http://exon.niaid.nih.gov/transcriptome/C_felis/S1/links/cluster/cf-5-36-asb50-50-Id-CLU57.txt", 57)</f>
        <v>57</v>
      </c>
      <c r="DU509">
        <f>HYPERLINK("http://exon.niaid.nih.gov/transcriptome/C_felis/S1/links/cluster/cf-5-36-asb50-50-Id-CLTL57.txt", 2)</f>
        <v>2</v>
      </c>
      <c r="DV509" s="4">
        <f>HYPERLINK("http://exon.niaid.nih.gov/transcriptome/C_felis/S1/links/cluster/cf-5-36-asb55-50-Id-CLU52.txt", 52)</f>
        <v>52</v>
      </c>
      <c r="DW509">
        <f>HYPERLINK("http://exon.niaid.nih.gov/transcriptome/C_felis/S1/links/cluster/cf-5-36-asb55-50-Id-CLTL52.txt", 2)</f>
        <v>2</v>
      </c>
      <c r="DX509" s="4">
        <f>HYPERLINK("http://exon.niaid.nih.gov/transcriptome/C_felis/S1/links/cluster/cf-5-36-asb60-50-Id-CLU42.txt", 42)</f>
        <v>42</v>
      </c>
      <c r="DY509">
        <f>HYPERLINK("http://exon.niaid.nih.gov/transcriptome/C_felis/S1/links/cluster/cf-5-36-asb60-50-Id-CLTL42.txt", 2)</f>
        <v>2</v>
      </c>
      <c r="DZ509" s="4">
        <f>HYPERLINK("http://exon.niaid.nih.gov/transcriptome/C_felis/S1/links/cluster/cf-5-36-asb65-50-Id-CLU35.txt", 35)</f>
        <v>35</v>
      </c>
      <c r="EA509">
        <f>HYPERLINK("http://exon.niaid.nih.gov/transcriptome/C_felis/S1/links/cluster/cf-5-36-asb65-50-Id-CLTL35.txt", 2)</f>
        <v>2</v>
      </c>
      <c r="EB509" s="4">
        <v>687</v>
      </c>
      <c r="EC509">
        <v>1</v>
      </c>
      <c r="ED509" s="4">
        <v>691</v>
      </c>
      <c r="EE509">
        <v>1</v>
      </c>
      <c r="EF509" s="4">
        <v>697</v>
      </c>
      <c r="EG509">
        <v>1</v>
      </c>
      <c r="EH509" s="4">
        <v>707</v>
      </c>
      <c r="EI509">
        <v>1</v>
      </c>
      <c r="EJ509" s="4">
        <v>716</v>
      </c>
      <c r="EK509">
        <v>1</v>
      </c>
    </row>
    <row r="510" spans="1:141" x14ac:dyDescent="0.2">
      <c r="A510" t="str">
        <f>HYPERLINK("http://exon.niaid.nih.gov/transcriptome/C_felis/S1/links/cf/cf-contig_733.txt","cf-contig_733")</f>
        <v>cf-contig_733</v>
      </c>
      <c r="B510">
        <v>1</v>
      </c>
      <c r="C510" s="10" t="s">
        <v>4600</v>
      </c>
      <c r="D510">
        <v>1</v>
      </c>
      <c r="E510" t="str">
        <f>HYPERLINK("http://exon.niaid.nih.gov/transcriptome/C_felis/S1/links/cf/cf-5-36-asb-733.txt","Contig-733")</f>
        <v>Contig-733</v>
      </c>
      <c r="F510" t="str">
        <f>HYPERLINK("http://exon.niaid.nih.gov/transcriptome/C_felis/S1/links/cf/cf-5-36-733-CLU.txt","Contig733")</f>
        <v>Contig733</v>
      </c>
      <c r="G510" t="str">
        <f>HYPERLINK("http://exon.niaid.nih.gov/transcriptome/C_felis/S1/links/cf/cf-5-36-733-qual.txt","58.1")</f>
        <v>58.1</v>
      </c>
      <c r="H510" t="s">
        <v>11</v>
      </c>
      <c r="I510">
        <v>69.8</v>
      </c>
      <c r="J510">
        <v>120</v>
      </c>
      <c r="K510" t="s">
        <v>12</v>
      </c>
      <c r="L510">
        <v>1</v>
      </c>
      <c r="M510" t="s">
        <v>746</v>
      </c>
      <c r="N510">
        <v>120</v>
      </c>
      <c r="O510">
        <v>139</v>
      </c>
      <c r="P510">
        <v>117</v>
      </c>
      <c r="Q510" t="s">
        <v>1552</v>
      </c>
      <c r="R510">
        <v>2</v>
      </c>
      <c r="S510" s="7" t="s">
        <v>4585</v>
      </c>
      <c r="U510">
        <v>1</v>
      </c>
      <c r="V510" s="4">
        <f>HYPERLINK("http://exon.niaid.nih.gov/transcriptome/C_felis/S1/links/cluster/cf-5-36-asb30-50-Id-CLU91.txt", 91)</f>
        <v>91</v>
      </c>
      <c r="W510">
        <f>HYPERLINK("http://exon.niaid.nih.gov/transcriptome/C_felis/S1/links/cluster/cf-5-36-asb30-50-Id-CLTL91.txt", 2)</f>
        <v>2</v>
      </c>
      <c r="X510" s="4">
        <f>HYPERLINK("http://exon.niaid.nih.gov/transcriptome/C_felis/S1/links/cluster/cf-5-36-asb35-50-Id-CLU84.txt", 84)</f>
        <v>84</v>
      </c>
      <c r="Y510">
        <f>HYPERLINK("http://exon.niaid.nih.gov/transcriptome/C_felis/S1/links/cluster/cf-5-36-asb35-50-Id-CLTL84.txt", 2)</f>
        <v>2</v>
      </c>
      <c r="Z510" s="4">
        <v>623</v>
      </c>
      <c r="AA510">
        <v>1</v>
      </c>
      <c r="AB510" s="4" t="str">
        <f>HYPERLINK("http://exon.niaid.nih.gov/transcriptome/C_felis/S1/links/XC-ASB/cf-contig_733-XC-ASB.txt","XC-contig_95")</f>
        <v>XC-contig_95</v>
      </c>
      <c r="AC510">
        <v>0.41</v>
      </c>
      <c r="AD510" s="10" t="s">
        <v>4600</v>
      </c>
      <c r="AE510" t="s">
        <v>4601</v>
      </c>
      <c r="AI510" s="4" t="s">
        <v>42</v>
      </c>
      <c r="AJ510" t="s">
        <v>42</v>
      </c>
      <c r="AK510" t="s">
        <v>42</v>
      </c>
      <c r="AL510" t="s">
        <v>42</v>
      </c>
      <c r="AM510" t="s">
        <v>42</v>
      </c>
      <c r="AN510" t="s">
        <v>42</v>
      </c>
      <c r="AO510" t="s">
        <v>42</v>
      </c>
      <c r="AP510" t="s">
        <v>42</v>
      </c>
      <c r="AQ510" t="s">
        <v>42</v>
      </c>
      <c r="AR510" t="s">
        <v>42</v>
      </c>
      <c r="AS510" t="s">
        <v>42</v>
      </c>
      <c r="AT510" t="s">
        <v>42</v>
      </c>
      <c r="AU510" t="s">
        <v>42</v>
      </c>
      <c r="AV510" t="s">
        <v>42</v>
      </c>
      <c r="AW510" t="s">
        <v>42</v>
      </c>
      <c r="AX510" t="s">
        <v>42</v>
      </c>
      <c r="AY510" t="s">
        <v>42</v>
      </c>
      <c r="AZ510" t="s">
        <v>42</v>
      </c>
      <c r="BA510" s="4" t="str">
        <f>HYPERLINK("http://exon.niaid.nih.gov/transcriptome/C_felis/S1/links/SWISSP/cf-contig_733-SWISSP.txt","NAD(P)H-quinone oxidoreductase subunit 5, chloroplastic")</f>
        <v>NAD(P)H-quinone oxidoreductase subunit 5, chloroplastic</v>
      </c>
      <c r="BB510" t="str">
        <f>HYPERLINK("http://www.uniprot.org/uniprot/Q06FL7","14")</f>
        <v>14</v>
      </c>
      <c r="BC510" t="s">
        <v>4325</v>
      </c>
      <c r="BD510">
        <v>28.5</v>
      </c>
      <c r="BE510">
        <v>16</v>
      </c>
      <c r="BF510">
        <v>744</v>
      </c>
      <c r="BG510">
        <v>58</v>
      </c>
      <c r="BH510">
        <v>2</v>
      </c>
      <c r="BI510">
        <v>7</v>
      </c>
      <c r="BJ510">
        <v>0</v>
      </c>
      <c r="BK510">
        <v>724</v>
      </c>
      <c r="BL510">
        <v>36</v>
      </c>
      <c r="BM510">
        <v>1</v>
      </c>
      <c r="BN510">
        <v>3</v>
      </c>
      <c r="BO510" t="s">
        <v>12</v>
      </c>
      <c r="BQ510" t="s">
        <v>1676</v>
      </c>
      <c r="BR510" t="s">
        <v>4326</v>
      </c>
      <c r="BS510" s="4" t="str">
        <f>HYPERLINK("http://exon.niaid.nih.gov/transcriptome/C_felis/S1/links/CDD/cf-contig_733-CDD.txt","ND2")</f>
        <v>ND2</v>
      </c>
      <c r="BT510" t="str">
        <f>HYPERLINK("http://www.ncbi.nlm.nih.gov/Structure/cdd/cddsrv.cgi?uid=MTH00059&amp;version=v4.0","3.4")</f>
        <v>3.4</v>
      </c>
      <c r="BU510" t="s">
        <v>4327</v>
      </c>
      <c r="BV510" s="4" t="s">
        <v>42</v>
      </c>
      <c r="BW510" t="s">
        <v>42</v>
      </c>
      <c r="BX510" t="s">
        <v>42</v>
      </c>
      <c r="BY510" t="s">
        <v>42</v>
      </c>
      <c r="BZ510" t="s">
        <v>42</v>
      </c>
      <c r="CA510" t="s">
        <v>42</v>
      </c>
      <c r="CB510" t="s">
        <v>42</v>
      </c>
      <c r="CC510" t="s">
        <v>42</v>
      </c>
      <c r="CD510" t="s">
        <v>42</v>
      </c>
      <c r="CE510" t="s">
        <v>42</v>
      </c>
      <c r="CF510" t="s">
        <v>42</v>
      </c>
      <c r="CG510" t="s">
        <v>42</v>
      </c>
      <c r="CH510" t="s">
        <v>42</v>
      </c>
      <c r="CI510" t="s">
        <v>42</v>
      </c>
      <c r="CJ510" t="s">
        <v>42</v>
      </c>
      <c r="CK510" t="s">
        <v>42</v>
      </c>
      <c r="CL510" t="s">
        <v>42</v>
      </c>
      <c r="CM510" t="s">
        <v>42</v>
      </c>
      <c r="CN510" t="s">
        <v>42</v>
      </c>
      <c r="CO510" t="s">
        <v>42</v>
      </c>
      <c r="CP510" t="s">
        <v>42</v>
      </c>
      <c r="CQ510" t="s">
        <v>42</v>
      </c>
      <c r="CR510" t="s">
        <v>42</v>
      </c>
      <c r="CS510" s="4" t="str">
        <f>HYPERLINK("http://exon.niaid.nih.gov/transcriptome/C_felis/S1/links/KOG/cf-contig_733-KOG.txt","Ubiquitin carboxyl-terminal hydrolase")</f>
        <v>Ubiquitin carboxyl-terminal hydrolase</v>
      </c>
      <c r="CT510" t="str">
        <f>HYPERLINK("http://www.ncbi.nlm.nih.gov/COG/grace/shokog.cgi?KOG1866","9.4")</f>
        <v>9.4</v>
      </c>
      <c r="CU510" t="s">
        <v>2198</v>
      </c>
      <c r="CV510" s="4" t="str">
        <f>HYPERLINK("http://exon.niaid.nih.gov/transcriptome/C_felis/S1/links/PFAM/cf-contig_733-PFAM.txt","MucB_RseB")</f>
        <v>MucB_RseB</v>
      </c>
      <c r="CW510" t="str">
        <f>HYPERLINK("http://pfam.sanger.ac.uk/family?acc=PF03888","1.5")</f>
        <v>1.5</v>
      </c>
      <c r="CX510" s="4" t="str">
        <f>HYPERLINK("http://exon.niaid.nih.gov/transcriptome/C_felis/S1/links/SMART/cf-contig_733-SMART.txt","G_alpha")</f>
        <v>G_alpha</v>
      </c>
      <c r="CY510" t="str">
        <f>HYPERLINK("http://smart.embl-heidelberg.de/smart/do_annotation.pl?DOMAIN=G_alpha&amp;BLAST=DUMMY","0.47")</f>
        <v>0.47</v>
      </c>
      <c r="CZ510" s="4" t="s">
        <v>42</v>
      </c>
      <c r="DA510" t="s">
        <v>42</v>
      </c>
      <c r="DB510" t="s">
        <v>42</v>
      </c>
      <c r="DC510" t="s">
        <v>42</v>
      </c>
      <c r="DD510" t="s">
        <v>42</v>
      </c>
      <c r="DE510" t="s">
        <v>42</v>
      </c>
      <c r="DF510" t="s">
        <v>42</v>
      </c>
      <c r="DG510" t="s">
        <v>42</v>
      </c>
      <c r="DH510" s="4" t="s">
        <v>42</v>
      </c>
      <c r="DI510" t="s">
        <v>42</v>
      </c>
      <c r="DJ510" s="4" t="s">
        <v>42</v>
      </c>
      <c r="DK510" t="s">
        <v>42</v>
      </c>
      <c r="DL510" s="4">
        <f>HYPERLINK("http://exon.niaid.nih.gov/transcriptome/C_felis/S1/links/cluster/cf-5-36-asb30-50-Id-CLU91.txt", 91)</f>
        <v>91</v>
      </c>
      <c r="DM510">
        <f>HYPERLINK("http://exon.niaid.nih.gov/transcriptome/C_felis/S1/links/cluster/cf-5-36-asb30-50-Id-CLTL91.txt", 2)</f>
        <v>2</v>
      </c>
      <c r="DN510" s="4">
        <f>HYPERLINK("http://exon.niaid.nih.gov/transcriptome/C_felis/S1/links/cluster/cf-5-36-asb35-50-Id-CLU84.txt", 84)</f>
        <v>84</v>
      </c>
      <c r="DO510">
        <f>HYPERLINK("http://exon.niaid.nih.gov/transcriptome/C_felis/S1/links/cluster/cf-5-36-asb35-50-Id-CLTL84.txt", 2)</f>
        <v>2</v>
      </c>
      <c r="DP510" s="4">
        <v>623</v>
      </c>
      <c r="DQ510">
        <v>1</v>
      </c>
      <c r="DR510" s="4">
        <v>645</v>
      </c>
      <c r="DS510">
        <v>1</v>
      </c>
      <c r="DT510" s="4">
        <v>660</v>
      </c>
      <c r="DU510">
        <v>1</v>
      </c>
      <c r="DV510" s="4">
        <v>675</v>
      </c>
      <c r="DW510">
        <v>1</v>
      </c>
      <c r="DX510" s="4">
        <v>686</v>
      </c>
      <c r="DY510">
        <v>1</v>
      </c>
      <c r="DZ510" s="4">
        <v>696</v>
      </c>
      <c r="EA510">
        <v>1</v>
      </c>
      <c r="EB510" s="4">
        <v>702</v>
      </c>
      <c r="EC510">
        <v>1</v>
      </c>
      <c r="ED510" s="4">
        <v>707</v>
      </c>
      <c r="EE510">
        <v>1</v>
      </c>
      <c r="EF510" s="4">
        <v>713</v>
      </c>
      <c r="EG510">
        <v>1</v>
      </c>
      <c r="EH510" s="4">
        <v>724</v>
      </c>
      <c r="EI510">
        <v>1</v>
      </c>
      <c r="EJ510" s="4">
        <v>733</v>
      </c>
      <c r="EK510">
        <v>1</v>
      </c>
    </row>
    <row r="511" spans="1:141" x14ac:dyDescent="0.2">
      <c r="A511" t="str">
        <f>HYPERLINK("http://exon.niaid.nih.gov/transcriptome/C_felis/S1/links/cf/cf-contig_736.txt","cf-contig_736")</f>
        <v>cf-contig_736</v>
      </c>
      <c r="B511">
        <v>1</v>
      </c>
      <c r="C511" s="10" t="s">
        <v>4600</v>
      </c>
      <c r="D511">
        <v>1</v>
      </c>
      <c r="E511" t="str">
        <f>HYPERLINK("http://exon.niaid.nih.gov/transcriptome/C_felis/S1/links/cf/cf-5-36-asb-736.txt","Contig-736")</f>
        <v>Contig-736</v>
      </c>
      <c r="F511" t="str">
        <f>HYPERLINK("http://exon.niaid.nih.gov/transcriptome/C_felis/S1/links/cf/cf-5-36-736-CLU.txt","Contig736")</f>
        <v>Contig736</v>
      </c>
      <c r="G511" t="str">
        <f>HYPERLINK("http://exon.niaid.nih.gov/transcriptome/C_felis/S1/links/cf/cf-5-36-736-qual.txt","46.8")</f>
        <v>46.8</v>
      </c>
      <c r="H511">
        <v>0.8</v>
      </c>
      <c r="I511">
        <v>80.5</v>
      </c>
      <c r="J511">
        <v>104</v>
      </c>
      <c r="K511" t="s">
        <v>12</v>
      </c>
      <c r="L511">
        <v>1</v>
      </c>
      <c r="M511" t="s">
        <v>749</v>
      </c>
      <c r="N511">
        <v>104</v>
      </c>
      <c r="O511">
        <v>123</v>
      </c>
      <c r="P511">
        <v>78</v>
      </c>
      <c r="Q511" t="s">
        <v>1555</v>
      </c>
      <c r="R511">
        <v>3</v>
      </c>
      <c r="S511" s="7" t="s">
        <v>4585</v>
      </c>
      <c r="U511">
        <v>1</v>
      </c>
      <c r="V511" s="4">
        <v>596</v>
      </c>
      <c r="W511">
        <v>1</v>
      </c>
      <c r="X511" s="4">
        <v>612</v>
      </c>
      <c r="Y511">
        <v>1</v>
      </c>
      <c r="Z511" s="4">
        <v>626</v>
      </c>
      <c r="AA511">
        <v>1</v>
      </c>
      <c r="AB511" s="4" t="str">
        <f>HYPERLINK("http://exon.niaid.nih.gov/transcriptome/C_felis/S1/links/XC-ASB/cf-contig_736-XC-ASB.txt","XC-contig_27")</f>
        <v>XC-contig_27</v>
      </c>
      <c r="AC511">
        <v>0.28999999999999998</v>
      </c>
      <c r="AD511" s="10" t="s">
        <v>4600</v>
      </c>
      <c r="AE511" t="s">
        <v>4601</v>
      </c>
      <c r="AI511" s="4" t="s">
        <v>42</v>
      </c>
      <c r="AJ511" t="s">
        <v>42</v>
      </c>
      <c r="AK511" t="s">
        <v>42</v>
      </c>
      <c r="AL511" t="s">
        <v>42</v>
      </c>
      <c r="AM511" t="s">
        <v>42</v>
      </c>
      <c r="AN511" t="s">
        <v>42</v>
      </c>
      <c r="AO511" t="s">
        <v>42</v>
      </c>
      <c r="AP511" t="s">
        <v>42</v>
      </c>
      <c r="AQ511" t="s">
        <v>42</v>
      </c>
      <c r="AR511" t="s">
        <v>42</v>
      </c>
      <c r="AS511" t="s">
        <v>42</v>
      </c>
      <c r="AT511" t="s">
        <v>42</v>
      </c>
      <c r="AU511" t="s">
        <v>42</v>
      </c>
      <c r="AV511" t="s">
        <v>42</v>
      </c>
      <c r="AW511" t="s">
        <v>42</v>
      </c>
      <c r="AX511" t="s">
        <v>42</v>
      </c>
      <c r="AY511" t="s">
        <v>42</v>
      </c>
      <c r="AZ511" t="s">
        <v>42</v>
      </c>
      <c r="BA511" s="4" t="str">
        <f>HYPERLINK("http://exon.niaid.nih.gov/transcriptome/C_felis/S1/links/SWISSP/cf-contig_736-SWISSP.txt","Pentatricopeptide repeat-containing protein At5g57250, mitochondrial")</f>
        <v>Pentatricopeptide repeat-containing protein At5g57250, mitochondrial</v>
      </c>
      <c r="BB511" t="str">
        <f>HYPERLINK("http://www.uniprot.org/uniprot/Q9LVD3","90")</f>
        <v>90</v>
      </c>
      <c r="BC511" t="s">
        <v>4334</v>
      </c>
      <c r="BD511">
        <v>25.8</v>
      </c>
      <c r="BE511">
        <v>16</v>
      </c>
      <c r="BF511">
        <v>971</v>
      </c>
      <c r="BG511">
        <v>58</v>
      </c>
      <c r="BH511">
        <v>2</v>
      </c>
      <c r="BI511">
        <v>7</v>
      </c>
      <c r="BJ511">
        <v>0</v>
      </c>
      <c r="BK511">
        <v>751</v>
      </c>
      <c r="BL511">
        <v>8</v>
      </c>
      <c r="BM511">
        <v>1</v>
      </c>
      <c r="BN511">
        <v>2</v>
      </c>
      <c r="BO511" t="s">
        <v>12</v>
      </c>
      <c r="BQ511" t="s">
        <v>1676</v>
      </c>
      <c r="BR511" t="s">
        <v>1714</v>
      </c>
      <c r="BS511" s="4" t="str">
        <f>HYPERLINK("http://exon.niaid.nih.gov/transcriptome/C_felis/S1/links/CDD/cf-contig_736-CDD.txt","Anticodon_Ia_Va")</f>
        <v>Anticodon_Ia_Va</v>
      </c>
      <c r="BT511" t="str">
        <f>HYPERLINK("http://www.ncbi.nlm.nih.gov/Structure/cdd/cddsrv.cgi?uid=cd07962&amp;version=v4.0","4.1")</f>
        <v>4.1</v>
      </c>
      <c r="BU511" t="s">
        <v>4335</v>
      </c>
      <c r="BV511" s="4" t="s">
        <v>42</v>
      </c>
      <c r="BW511" t="s">
        <v>42</v>
      </c>
      <c r="BX511" t="s">
        <v>42</v>
      </c>
      <c r="BY511" t="s">
        <v>42</v>
      </c>
      <c r="BZ511" t="s">
        <v>42</v>
      </c>
      <c r="CA511" t="s">
        <v>42</v>
      </c>
      <c r="CB511" t="s">
        <v>42</v>
      </c>
      <c r="CC511" t="s">
        <v>42</v>
      </c>
      <c r="CD511" t="s">
        <v>42</v>
      </c>
      <c r="CE511" t="s">
        <v>42</v>
      </c>
      <c r="CF511" t="s">
        <v>42</v>
      </c>
      <c r="CG511" t="s">
        <v>42</v>
      </c>
      <c r="CH511" t="s">
        <v>42</v>
      </c>
      <c r="CI511" t="s">
        <v>42</v>
      </c>
      <c r="CJ511" t="s">
        <v>42</v>
      </c>
      <c r="CK511" t="s">
        <v>42</v>
      </c>
      <c r="CL511" t="s">
        <v>42</v>
      </c>
      <c r="CM511" t="s">
        <v>42</v>
      </c>
      <c r="CN511" t="s">
        <v>42</v>
      </c>
      <c r="CO511" t="s">
        <v>42</v>
      </c>
      <c r="CP511" t="s">
        <v>42</v>
      </c>
      <c r="CQ511" t="s">
        <v>42</v>
      </c>
      <c r="CR511" t="s">
        <v>42</v>
      </c>
      <c r="CS511" s="4" t="str">
        <f>HYPERLINK("http://exon.niaid.nih.gov/transcriptome/C_felis/S1/links/KOG/cf-contig_736-KOG.txt","Amphiphysin")</f>
        <v>Amphiphysin</v>
      </c>
      <c r="CT511" t="str">
        <f>HYPERLINK("http://www.ncbi.nlm.nih.gov/COG/grace/shokog.cgi?KOG3771","3.6")</f>
        <v>3.6</v>
      </c>
      <c r="CU511" t="s">
        <v>1686</v>
      </c>
      <c r="CV511" s="4" t="str">
        <f>HYPERLINK("http://exon.niaid.nih.gov/transcriptome/C_felis/S1/links/PFAM/cf-contig_736-PFAM.txt","RecU")</f>
        <v>RecU</v>
      </c>
      <c r="CW511" t="str">
        <f>HYPERLINK("http://pfam.sanger.ac.uk/family?acc=PF03838","1.2")</f>
        <v>1.2</v>
      </c>
      <c r="CX511" s="4" t="str">
        <f>HYPERLINK("http://exon.niaid.nih.gov/transcriptome/C_felis/S1/links/SMART/cf-contig_736-SMART.txt","CPW_WPC")</f>
        <v>CPW_WPC</v>
      </c>
      <c r="CY511" t="str">
        <f>HYPERLINK("http://smart.embl-heidelberg.de/smart/do_annotation.pl?DOMAIN=CPW_WPC&amp;BLAST=DUMMY","2.5")</f>
        <v>2.5</v>
      </c>
      <c r="CZ511" s="4" t="s">
        <v>42</v>
      </c>
      <c r="DA511" t="s">
        <v>42</v>
      </c>
      <c r="DB511" t="s">
        <v>42</v>
      </c>
      <c r="DC511" t="s">
        <v>42</v>
      </c>
      <c r="DD511" t="s">
        <v>42</v>
      </c>
      <c r="DE511" t="s">
        <v>42</v>
      </c>
      <c r="DF511" t="s">
        <v>42</v>
      </c>
      <c r="DG511" t="s">
        <v>42</v>
      </c>
      <c r="DH511" s="4" t="s">
        <v>42</v>
      </c>
      <c r="DI511" t="s">
        <v>42</v>
      </c>
      <c r="DJ511" s="4" t="s">
        <v>42</v>
      </c>
      <c r="DK511" t="s">
        <v>42</v>
      </c>
      <c r="DL511" s="4">
        <v>596</v>
      </c>
      <c r="DM511">
        <v>1</v>
      </c>
      <c r="DN511" s="4">
        <v>612</v>
      </c>
      <c r="DO511">
        <v>1</v>
      </c>
      <c r="DP511" s="4">
        <v>626</v>
      </c>
      <c r="DQ511">
        <v>1</v>
      </c>
      <c r="DR511" s="4">
        <v>648</v>
      </c>
      <c r="DS511">
        <v>1</v>
      </c>
      <c r="DT511" s="4">
        <v>663</v>
      </c>
      <c r="DU511">
        <v>1</v>
      </c>
      <c r="DV511" s="4">
        <v>678</v>
      </c>
      <c r="DW511">
        <v>1</v>
      </c>
      <c r="DX511" s="4">
        <v>689</v>
      </c>
      <c r="DY511">
        <v>1</v>
      </c>
      <c r="DZ511" s="4">
        <v>699</v>
      </c>
      <c r="EA511">
        <v>1</v>
      </c>
      <c r="EB511" s="4">
        <v>705</v>
      </c>
      <c r="EC511">
        <v>1</v>
      </c>
      <c r="ED511" s="4">
        <v>710</v>
      </c>
      <c r="EE511">
        <v>1</v>
      </c>
      <c r="EF511" s="4">
        <v>716</v>
      </c>
      <c r="EG511">
        <v>1</v>
      </c>
      <c r="EH511" s="4">
        <v>727</v>
      </c>
      <c r="EI511">
        <v>1</v>
      </c>
      <c r="EJ511" s="4">
        <v>736</v>
      </c>
      <c r="EK511">
        <v>1</v>
      </c>
    </row>
    <row r="512" spans="1:141" x14ac:dyDescent="0.2">
      <c r="A512" t="str">
        <f>HYPERLINK("http://exon.niaid.nih.gov/transcriptome/C_felis/S1/links/cf/cf-contig_741.txt","cf-contig_741")</f>
        <v>cf-contig_741</v>
      </c>
      <c r="B512">
        <v>1</v>
      </c>
      <c r="C512" s="10" t="s">
        <v>4600</v>
      </c>
      <c r="D512">
        <v>1</v>
      </c>
      <c r="E512" t="str">
        <f>HYPERLINK("http://exon.niaid.nih.gov/transcriptome/C_felis/S1/links/cf/cf-5-36-asb-741.txt","Contig-741")</f>
        <v>Contig-741</v>
      </c>
      <c r="F512" t="str">
        <f>HYPERLINK("http://exon.niaid.nih.gov/transcriptome/C_felis/S1/links/cf/cf-5-36-741-CLU.txt","Contig741")</f>
        <v>Contig741</v>
      </c>
      <c r="G512" t="str">
        <f>HYPERLINK("http://exon.niaid.nih.gov/transcriptome/C_felis/S1/links/cf/cf-5-36-741-qual.txt","29.3")</f>
        <v>29.3</v>
      </c>
      <c r="H512" t="s">
        <v>11</v>
      </c>
      <c r="I512">
        <v>58.1</v>
      </c>
      <c r="J512">
        <v>43</v>
      </c>
      <c r="K512" t="s">
        <v>12</v>
      </c>
      <c r="L512">
        <v>1</v>
      </c>
      <c r="M512" t="s">
        <v>754</v>
      </c>
      <c r="N512">
        <v>43</v>
      </c>
      <c r="O512">
        <v>62</v>
      </c>
      <c r="P512">
        <v>60</v>
      </c>
      <c r="Q512" t="s">
        <v>1560</v>
      </c>
      <c r="R512">
        <v>1</v>
      </c>
      <c r="S512" s="7" t="s">
        <v>4585</v>
      </c>
      <c r="U512">
        <v>1</v>
      </c>
      <c r="V512" s="4">
        <f>HYPERLINK("http://exon.niaid.nih.gov/transcriptome/C_felis/S1/links/cluster/cf-5-36-asb30-50-Id-CLU26.txt", 26)</f>
        <v>26</v>
      </c>
      <c r="W512">
        <f>HYPERLINK("http://exon.niaid.nih.gov/transcriptome/C_felis/S1/links/cluster/cf-5-36-asb30-50-Id-CLTL26.txt", 3)</f>
        <v>3</v>
      </c>
      <c r="X512" s="4">
        <v>617</v>
      </c>
      <c r="Y512">
        <v>1</v>
      </c>
      <c r="Z512" s="4">
        <v>631</v>
      </c>
      <c r="AA512">
        <v>1</v>
      </c>
      <c r="AB512" s="4" t="str">
        <f>HYPERLINK("http://exon.niaid.nih.gov/transcriptome/C_felis/S1/links/XC-ASB/cf-contig_741-XC-ASB.txt","XC-contig_181")</f>
        <v>XC-contig_181</v>
      </c>
      <c r="AC512">
        <v>2.1</v>
      </c>
      <c r="AD512" s="10" t="s">
        <v>4600</v>
      </c>
      <c r="AE512" t="s">
        <v>4601</v>
      </c>
      <c r="AI512" s="4" t="s">
        <v>42</v>
      </c>
      <c r="AJ512" t="s">
        <v>42</v>
      </c>
      <c r="AK512" t="s">
        <v>42</v>
      </c>
      <c r="AL512" t="s">
        <v>42</v>
      </c>
      <c r="AM512" t="s">
        <v>42</v>
      </c>
      <c r="AN512" t="s">
        <v>42</v>
      </c>
      <c r="AO512" t="s">
        <v>42</v>
      </c>
      <c r="AP512" t="s">
        <v>42</v>
      </c>
      <c r="AQ512" t="s">
        <v>42</v>
      </c>
      <c r="AR512" t="s">
        <v>42</v>
      </c>
      <c r="AS512" t="s">
        <v>42</v>
      </c>
      <c r="AT512" t="s">
        <v>42</v>
      </c>
      <c r="AU512" t="s">
        <v>42</v>
      </c>
      <c r="AV512" t="s">
        <v>42</v>
      </c>
      <c r="AW512" t="s">
        <v>42</v>
      </c>
      <c r="AX512" t="s">
        <v>42</v>
      </c>
      <c r="AY512" t="s">
        <v>42</v>
      </c>
      <c r="AZ512" t="s">
        <v>42</v>
      </c>
      <c r="BA512" s="4" t="s">
        <v>42</v>
      </c>
      <c r="BB512" t="s">
        <v>42</v>
      </c>
      <c r="BC512" t="s">
        <v>42</v>
      </c>
      <c r="BD512" t="s">
        <v>42</v>
      </c>
      <c r="BE512" t="s">
        <v>42</v>
      </c>
      <c r="BF512" t="s">
        <v>42</v>
      </c>
      <c r="BG512" t="s">
        <v>42</v>
      </c>
      <c r="BH512" t="s">
        <v>42</v>
      </c>
      <c r="BI512" t="s">
        <v>42</v>
      </c>
      <c r="BJ512" t="s">
        <v>42</v>
      </c>
      <c r="BK512" t="s">
        <v>42</v>
      </c>
      <c r="BL512" t="s">
        <v>42</v>
      </c>
      <c r="BM512" t="s">
        <v>42</v>
      </c>
      <c r="BN512" t="s">
        <v>42</v>
      </c>
      <c r="BO512" t="s">
        <v>42</v>
      </c>
      <c r="BP512" t="s">
        <v>42</v>
      </c>
      <c r="BQ512" t="s">
        <v>42</v>
      </c>
      <c r="BR512" t="s">
        <v>42</v>
      </c>
      <c r="BS512" s="4" t="s">
        <v>42</v>
      </c>
      <c r="BT512" t="s">
        <v>42</v>
      </c>
      <c r="BU512" t="s">
        <v>42</v>
      </c>
      <c r="BV512" s="4" t="s">
        <v>42</v>
      </c>
      <c r="BW512" t="s">
        <v>42</v>
      </c>
      <c r="BX512" t="s">
        <v>42</v>
      </c>
      <c r="BY512" t="s">
        <v>42</v>
      </c>
      <c r="BZ512" t="s">
        <v>42</v>
      </c>
      <c r="CA512" t="s">
        <v>42</v>
      </c>
      <c r="CB512" t="s">
        <v>42</v>
      </c>
      <c r="CC512" t="s">
        <v>42</v>
      </c>
      <c r="CD512" t="s">
        <v>42</v>
      </c>
      <c r="CE512" t="s">
        <v>42</v>
      </c>
      <c r="CF512" t="s">
        <v>42</v>
      </c>
      <c r="CG512" t="s">
        <v>42</v>
      </c>
      <c r="CH512" t="s">
        <v>42</v>
      </c>
      <c r="CI512" t="s">
        <v>42</v>
      </c>
      <c r="CJ512" t="s">
        <v>42</v>
      </c>
      <c r="CK512" t="s">
        <v>42</v>
      </c>
      <c r="CL512" t="s">
        <v>42</v>
      </c>
      <c r="CM512" t="s">
        <v>42</v>
      </c>
      <c r="CN512" t="s">
        <v>42</v>
      </c>
      <c r="CO512" t="s">
        <v>42</v>
      </c>
      <c r="CP512" t="s">
        <v>42</v>
      </c>
      <c r="CQ512" t="s">
        <v>42</v>
      </c>
      <c r="CR512" t="s">
        <v>42</v>
      </c>
      <c r="CS512" s="4" t="s">
        <v>42</v>
      </c>
      <c r="CT512" t="s">
        <v>42</v>
      </c>
      <c r="CU512" t="s">
        <v>42</v>
      </c>
      <c r="CV512" s="4" t="str">
        <f>HYPERLINK("http://exon.niaid.nih.gov/transcriptome/C_felis/S1/links/PFAM/cf-contig_741-PFAM.txt","Glt_symporter")</f>
        <v>Glt_symporter</v>
      </c>
      <c r="CW512" t="str">
        <f>HYPERLINK("http://pfam.sanger.ac.uk/family?acc=PF03616","3.7")</f>
        <v>3.7</v>
      </c>
      <c r="CX512" s="4" t="str">
        <f>HYPERLINK("http://exon.niaid.nih.gov/transcriptome/C_felis/S1/links/SMART/cf-contig_741-SMART.txt","Resolvase")</f>
        <v>Resolvase</v>
      </c>
      <c r="CY512" t="str">
        <f>HYPERLINK("http://smart.embl-heidelberg.de/smart/do_annotation.pl?DOMAIN=Resolvase&amp;BLAST=DUMMY","4.0")</f>
        <v>4.0</v>
      </c>
      <c r="CZ512" s="4" t="s">
        <v>42</v>
      </c>
      <c r="DA512" t="s">
        <v>42</v>
      </c>
      <c r="DB512" t="s">
        <v>42</v>
      </c>
      <c r="DC512" t="s">
        <v>42</v>
      </c>
      <c r="DD512" t="s">
        <v>42</v>
      </c>
      <c r="DE512" t="s">
        <v>42</v>
      </c>
      <c r="DF512" t="s">
        <v>42</v>
      </c>
      <c r="DG512" t="s">
        <v>42</v>
      </c>
      <c r="DH512" s="4" t="s">
        <v>42</v>
      </c>
      <c r="DI512" t="s">
        <v>42</v>
      </c>
      <c r="DJ512" s="4" t="s">
        <v>42</v>
      </c>
      <c r="DK512" t="s">
        <v>42</v>
      </c>
      <c r="DL512" s="4">
        <f>HYPERLINK("http://exon.niaid.nih.gov/transcriptome/C_felis/S1/links/cluster/cf-5-36-asb30-50-Id-CLU26.txt", 26)</f>
        <v>26</v>
      </c>
      <c r="DM512">
        <f>HYPERLINK("http://exon.niaid.nih.gov/transcriptome/C_felis/S1/links/cluster/cf-5-36-asb30-50-Id-CLTL26.txt", 3)</f>
        <v>3</v>
      </c>
      <c r="DN512" s="4">
        <v>617</v>
      </c>
      <c r="DO512">
        <v>1</v>
      </c>
      <c r="DP512" s="4">
        <v>631</v>
      </c>
      <c r="DQ512">
        <v>1</v>
      </c>
      <c r="DR512" s="4">
        <v>653</v>
      </c>
      <c r="DS512">
        <v>1</v>
      </c>
      <c r="DT512" s="4">
        <v>668</v>
      </c>
      <c r="DU512">
        <v>1</v>
      </c>
      <c r="DV512" s="4">
        <v>683</v>
      </c>
      <c r="DW512">
        <v>1</v>
      </c>
      <c r="DX512" s="4">
        <v>694</v>
      </c>
      <c r="DY512">
        <v>1</v>
      </c>
      <c r="DZ512" s="4">
        <v>704</v>
      </c>
      <c r="EA512">
        <v>1</v>
      </c>
      <c r="EB512" s="4">
        <v>710</v>
      </c>
      <c r="EC512">
        <v>1</v>
      </c>
      <c r="ED512" s="4">
        <v>715</v>
      </c>
      <c r="EE512">
        <v>1</v>
      </c>
      <c r="EF512" s="4">
        <v>721</v>
      </c>
      <c r="EG512">
        <v>1</v>
      </c>
      <c r="EH512" s="4">
        <v>732</v>
      </c>
      <c r="EI512">
        <v>1</v>
      </c>
      <c r="EJ512" s="4">
        <v>741</v>
      </c>
      <c r="EK512">
        <v>1</v>
      </c>
    </row>
    <row r="513" spans="1:141" x14ac:dyDescent="0.2">
      <c r="A513" t="str">
        <f>HYPERLINK("http://exon.niaid.nih.gov/transcriptome/C_felis/S1/links/cf/cf-contig_749.txt","cf-contig_749")</f>
        <v>cf-contig_749</v>
      </c>
      <c r="B513">
        <v>1</v>
      </c>
      <c r="C513" s="10" t="s">
        <v>4600</v>
      </c>
      <c r="D513">
        <v>1</v>
      </c>
      <c r="E513" t="str">
        <f>HYPERLINK("http://exon.niaid.nih.gov/transcriptome/C_felis/S1/links/cf/cf-5-36-asb-749.txt","Contig-749")</f>
        <v>Contig-749</v>
      </c>
      <c r="F513" t="str">
        <f>HYPERLINK("http://exon.niaid.nih.gov/transcriptome/C_felis/S1/links/cf/cf-5-36-749-CLU.txt","Contig749")</f>
        <v>Contig749</v>
      </c>
      <c r="G513" t="str">
        <f>HYPERLINK("http://exon.niaid.nih.gov/transcriptome/C_felis/S1/links/cf/cf-5-36-749-qual.txt","52.2")</f>
        <v>52.2</v>
      </c>
      <c r="H513">
        <v>1.3</v>
      </c>
      <c r="I513">
        <v>71.3</v>
      </c>
      <c r="J513">
        <v>141</v>
      </c>
      <c r="K513" t="s">
        <v>12</v>
      </c>
      <c r="L513">
        <v>1</v>
      </c>
      <c r="M513" t="s">
        <v>762</v>
      </c>
      <c r="N513">
        <v>141</v>
      </c>
      <c r="O513">
        <v>160</v>
      </c>
      <c r="P513">
        <v>90</v>
      </c>
      <c r="Q513" t="s">
        <v>1568</v>
      </c>
      <c r="R513">
        <v>3</v>
      </c>
      <c r="S513" s="7" t="s">
        <v>4585</v>
      </c>
      <c r="U513">
        <v>1</v>
      </c>
      <c r="V513" s="4">
        <v>603</v>
      </c>
      <c r="W513">
        <v>1</v>
      </c>
      <c r="X513" s="4">
        <v>623</v>
      </c>
      <c r="Y513">
        <v>1</v>
      </c>
      <c r="Z513" s="4">
        <v>637</v>
      </c>
      <c r="AA513">
        <v>1</v>
      </c>
      <c r="AB513" s="4" t="str">
        <f>HYPERLINK("http://exon.niaid.nih.gov/transcriptome/C_felis/S1/links/XC-ASB/cf-contig_749-XC-ASB.txt","XC-contig_135")</f>
        <v>XC-contig_135</v>
      </c>
      <c r="AC513">
        <v>6.7</v>
      </c>
      <c r="AD513" s="10" t="s">
        <v>4600</v>
      </c>
      <c r="AE513" t="s">
        <v>4601</v>
      </c>
      <c r="AI513" s="4" t="s">
        <v>42</v>
      </c>
      <c r="AJ513" t="s">
        <v>42</v>
      </c>
      <c r="AK513" t="s">
        <v>42</v>
      </c>
      <c r="AL513" t="s">
        <v>42</v>
      </c>
      <c r="AM513" t="s">
        <v>42</v>
      </c>
      <c r="AN513" t="s">
        <v>42</v>
      </c>
      <c r="AO513" t="s">
        <v>42</v>
      </c>
      <c r="AP513" t="s">
        <v>42</v>
      </c>
      <c r="AQ513" t="s">
        <v>42</v>
      </c>
      <c r="AR513" t="s">
        <v>42</v>
      </c>
      <c r="AS513" t="s">
        <v>42</v>
      </c>
      <c r="AT513" t="s">
        <v>42</v>
      </c>
      <c r="AU513" t="s">
        <v>42</v>
      </c>
      <c r="AV513" t="s">
        <v>42</v>
      </c>
      <c r="AW513" t="s">
        <v>42</v>
      </c>
      <c r="AX513" t="s">
        <v>42</v>
      </c>
      <c r="AY513" t="s">
        <v>42</v>
      </c>
      <c r="AZ513" t="s">
        <v>42</v>
      </c>
      <c r="BA513" s="4" t="str">
        <f>HYPERLINK("http://exon.niaid.nih.gov/transcriptome/C_felis/S1/links/SWISSP/cf-contig_749-SWISSP.txt","Defensin-like protein 109")</f>
        <v>Defensin-like protein 109</v>
      </c>
      <c r="BB513" t="str">
        <f>HYPERLINK("http://www.uniprot.org/uniprot/Q2V390","53")</f>
        <v>53</v>
      </c>
      <c r="BC513" t="s">
        <v>4387</v>
      </c>
      <c r="BD513">
        <v>26.6</v>
      </c>
      <c r="BE513">
        <v>13</v>
      </c>
      <c r="BF513">
        <v>79</v>
      </c>
      <c r="BG513">
        <v>78</v>
      </c>
      <c r="BH513">
        <v>18</v>
      </c>
      <c r="BI513">
        <v>3</v>
      </c>
      <c r="BJ513">
        <v>0</v>
      </c>
      <c r="BK513">
        <v>33</v>
      </c>
      <c r="BL513">
        <v>24</v>
      </c>
      <c r="BM513">
        <v>1</v>
      </c>
      <c r="BN513">
        <v>-3</v>
      </c>
      <c r="BO513" t="s">
        <v>12</v>
      </c>
      <c r="BQ513" t="s">
        <v>1666</v>
      </c>
      <c r="BR513" t="s">
        <v>1714</v>
      </c>
      <c r="BS513" s="4" t="str">
        <f>HYPERLINK("http://exon.niaid.nih.gov/transcriptome/C_felis/S1/links/CDD/cf-contig_749-CDD.txt","mtnA")</f>
        <v>mtnA</v>
      </c>
      <c r="BT513" t="str">
        <f>HYPERLINK("http://www.ncbi.nlm.nih.gov/Structure/cdd/cddsrv.cgi?uid=PRK05720&amp;version=v4.0","4.3")</f>
        <v>4.3</v>
      </c>
      <c r="BU513" t="s">
        <v>4388</v>
      </c>
      <c r="BV513" s="4" t="s">
        <v>42</v>
      </c>
      <c r="BW513" t="s">
        <v>42</v>
      </c>
      <c r="BX513" t="s">
        <v>42</v>
      </c>
      <c r="BY513" t="s">
        <v>42</v>
      </c>
      <c r="BZ513" t="s">
        <v>42</v>
      </c>
      <c r="CA513" t="s">
        <v>42</v>
      </c>
      <c r="CB513" t="s">
        <v>42</v>
      </c>
      <c r="CC513" t="s">
        <v>42</v>
      </c>
      <c r="CD513" t="s">
        <v>42</v>
      </c>
      <c r="CE513" t="s">
        <v>42</v>
      </c>
      <c r="CF513" t="s">
        <v>42</v>
      </c>
      <c r="CG513" t="s">
        <v>42</v>
      </c>
      <c r="CH513" t="s">
        <v>42</v>
      </c>
      <c r="CI513" t="s">
        <v>42</v>
      </c>
      <c r="CJ513" t="s">
        <v>42</v>
      </c>
      <c r="CK513" t="s">
        <v>42</v>
      </c>
      <c r="CL513" t="s">
        <v>42</v>
      </c>
      <c r="CM513" t="s">
        <v>42</v>
      </c>
      <c r="CN513" t="s">
        <v>42</v>
      </c>
      <c r="CO513" t="s">
        <v>42</v>
      </c>
      <c r="CP513" t="s">
        <v>42</v>
      </c>
      <c r="CQ513" t="s">
        <v>42</v>
      </c>
      <c r="CR513" t="s">
        <v>42</v>
      </c>
      <c r="CS513" s="4" t="str">
        <f>HYPERLINK("http://exon.niaid.nih.gov/transcriptome/C_felis/S1/links/KOG/cf-contig_749-KOG.txt","Long-chain acyl-CoA transporter, ABC superfamily (involved in peroxisome organization and biogenesis)")</f>
        <v>Long-chain acyl-CoA transporter, ABC superfamily (involved in peroxisome organization and biogenesis)</v>
      </c>
      <c r="CT513" t="str">
        <f>HYPERLINK("http://www.ncbi.nlm.nih.gov/COG/grace/shokog.cgi?KOG0060","3.7")</f>
        <v>3.7</v>
      </c>
      <c r="CU513" t="s">
        <v>1768</v>
      </c>
      <c r="CV513" s="4" t="str">
        <f>HYPERLINK("http://exon.niaid.nih.gov/transcriptome/C_felis/S1/links/PFAM/cf-contig_749-PFAM.txt","PAP_central")</f>
        <v>PAP_central</v>
      </c>
      <c r="CW513" t="str">
        <f>HYPERLINK("http://pfam.sanger.ac.uk/family?acc=PF04928","3.3")</f>
        <v>3.3</v>
      </c>
      <c r="CX513" s="4" t="str">
        <f>HYPERLINK("http://exon.niaid.nih.gov/transcriptome/C_felis/S1/links/SMART/cf-contig_749-SMART.txt","35EXOc")</f>
        <v>35EXOc</v>
      </c>
      <c r="CY513" t="str">
        <f>HYPERLINK("http://smart.embl-heidelberg.de/smart/do_annotation.pl?DOMAIN=35EXOc&amp;BLAST=DUMMY","0.43")</f>
        <v>0.43</v>
      </c>
      <c r="CZ513" s="4" t="s">
        <v>42</v>
      </c>
      <c r="DA513" t="s">
        <v>42</v>
      </c>
      <c r="DB513" t="s">
        <v>42</v>
      </c>
      <c r="DC513" t="s">
        <v>42</v>
      </c>
      <c r="DD513" t="s">
        <v>42</v>
      </c>
      <c r="DE513" t="s">
        <v>42</v>
      </c>
      <c r="DF513" t="s">
        <v>42</v>
      </c>
      <c r="DG513" t="s">
        <v>42</v>
      </c>
      <c r="DH513" s="4" t="s">
        <v>42</v>
      </c>
      <c r="DI513" t="s">
        <v>42</v>
      </c>
      <c r="DJ513" s="4" t="s">
        <v>42</v>
      </c>
      <c r="DK513" t="s">
        <v>42</v>
      </c>
      <c r="DL513" s="4">
        <v>603</v>
      </c>
      <c r="DM513">
        <v>1</v>
      </c>
      <c r="DN513" s="4">
        <v>623</v>
      </c>
      <c r="DO513">
        <v>1</v>
      </c>
      <c r="DP513" s="4">
        <v>637</v>
      </c>
      <c r="DQ513">
        <v>1</v>
      </c>
      <c r="DR513" s="4">
        <v>659</v>
      </c>
      <c r="DS513">
        <v>1</v>
      </c>
      <c r="DT513" s="4">
        <v>674</v>
      </c>
      <c r="DU513">
        <v>1</v>
      </c>
      <c r="DV513" s="4">
        <v>689</v>
      </c>
      <c r="DW513">
        <v>1</v>
      </c>
      <c r="DX513" s="4">
        <v>701</v>
      </c>
      <c r="DY513">
        <v>1</v>
      </c>
      <c r="DZ513" s="4">
        <v>712</v>
      </c>
      <c r="EA513">
        <v>1</v>
      </c>
      <c r="EB513" s="4">
        <v>718</v>
      </c>
      <c r="EC513">
        <v>1</v>
      </c>
      <c r="ED513" s="4">
        <v>723</v>
      </c>
      <c r="EE513">
        <v>1</v>
      </c>
      <c r="EF513" s="4">
        <v>729</v>
      </c>
      <c r="EG513">
        <v>1</v>
      </c>
      <c r="EH513" s="4">
        <v>740</v>
      </c>
      <c r="EI513">
        <v>1</v>
      </c>
      <c r="EJ513" s="4">
        <v>749</v>
      </c>
      <c r="EK513">
        <v>1</v>
      </c>
    </row>
    <row r="514" spans="1:141" x14ac:dyDescent="0.2">
      <c r="A514" t="str">
        <f>HYPERLINK("http://exon.niaid.nih.gov/transcriptome/C_felis/S1/links/cf/cf-contig_757.txt","cf-contig_757")</f>
        <v>cf-contig_757</v>
      </c>
      <c r="B514">
        <v>1</v>
      </c>
      <c r="C514" s="10" t="s">
        <v>4600</v>
      </c>
      <c r="D514">
        <v>1</v>
      </c>
      <c r="E514" t="str">
        <f>HYPERLINK("http://exon.niaid.nih.gov/transcriptome/C_felis/S1/links/cf/cf-5-36-asb-757.txt","Contig-757")</f>
        <v>Contig-757</v>
      </c>
      <c r="F514" t="str">
        <f>HYPERLINK("http://exon.niaid.nih.gov/transcriptome/C_felis/S1/links/cf/cf-5-36-757-CLU.txt","Contig757")</f>
        <v>Contig757</v>
      </c>
      <c r="G514" t="str">
        <f>HYPERLINK("http://exon.niaid.nih.gov/transcriptome/C_felis/S1/links/cf/cf-5-36-757-qual.txt","53.9")</f>
        <v>53.9</v>
      </c>
      <c r="H514">
        <v>1</v>
      </c>
      <c r="I514">
        <v>64.400000000000006</v>
      </c>
      <c r="J514">
        <v>85</v>
      </c>
      <c r="K514" t="s">
        <v>12</v>
      </c>
      <c r="L514">
        <v>1</v>
      </c>
      <c r="M514" t="s">
        <v>770</v>
      </c>
      <c r="N514">
        <v>85</v>
      </c>
      <c r="O514">
        <v>104</v>
      </c>
      <c r="P514">
        <v>72</v>
      </c>
      <c r="Q514" t="s">
        <v>1576</v>
      </c>
      <c r="R514">
        <v>1</v>
      </c>
      <c r="S514" s="7" t="s">
        <v>4585</v>
      </c>
      <c r="U514">
        <v>1</v>
      </c>
      <c r="V514" s="4">
        <v>609</v>
      </c>
      <c r="W514">
        <v>1</v>
      </c>
      <c r="X514" s="4">
        <v>629</v>
      </c>
      <c r="Y514">
        <v>1</v>
      </c>
      <c r="Z514" s="4">
        <v>643</v>
      </c>
      <c r="AA514">
        <v>1</v>
      </c>
      <c r="AB514" s="4" t="str">
        <f>HYPERLINK("http://exon.niaid.nih.gov/transcriptome/C_felis/S1/links/XC-ASB/cf-contig_757-XC-ASB.txt","XC-contig_206")</f>
        <v>XC-contig_206</v>
      </c>
      <c r="AC514">
        <v>0.14000000000000001</v>
      </c>
      <c r="AD514" s="10" t="s">
        <v>4600</v>
      </c>
      <c r="AE514" t="s">
        <v>4601</v>
      </c>
      <c r="AI514" s="4" t="s">
        <v>42</v>
      </c>
      <c r="AJ514" t="s">
        <v>42</v>
      </c>
      <c r="AK514" t="s">
        <v>42</v>
      </c>
      <c r="AL514" t="s">
        <v>42</v>
      </c>
      <c r="AM514" t="s">
        <v>42</v>
      </c>
      <c r="AN514" t="s">
        <v>42</v>
      </c>
      <c r="AO514" t="s">
        <v>42</v>
      </c>
      <c r="AP514" t="s">
        <v>42</v>
      </c>
      <c r="AQ514" t="s">
        <v>42</v>
      </c>
      <c r="AR514" t="s">
        <v>42</v>
      </c>
      <c r="AS514" t="s">
        <v>42</v>
      </c>
      <c r="AT514" t="s">
        <v>42</v>
      </c>
      <c r="AU514" t="s">
        <v>42</v>
      </c>
      <c r="AV514" t="s">
        <v>42</v>
      </c>
      <c r="AW514" t="s">
        <v>42</v>
      </c>
      <c r="AX514" t="s">
        <v>42</v>
      </c>
      <c r="AY514" t="s">
        <v>42</v>
      </c>
      <c r="AZ514" t="s">
        <v>42</v>
      </c>
      <c r="BA514" s="4" t="s">
        <v>42</v>
      </c>
      <c r="BB514" t="s">
        <v>42</v>
      </c>
      <c r="BC514" t="s">
        <v>42</v>
      </c>
      <c r="BD514" t="s">
        <v>42</v>
      </c>
      <c r="BE514" t="s">
        <v>42</v>
      </c>
      <c r="BF514" t="s">
        <v>42</v>
      </c>
      <c r="BG514" t="s">
        <v>42</v>
      </c>
      <c r="BH514" t="s">
        <v>42</v>
      </c>
      <c r="BI514" t="s">
        <v>42</v>
      </c>
      <c r="BJ514" t="s">
        <v>42</v>
      </c>
      <c r="BK514" t="s">
        <v>42</v>
      </c>
      <c r="BL514" t="s">
        <v>42</v>
      </c>
      <c r="BM514" t="s">
        <v>42</v>
      </c>
      <c r="BN514" t="s">
        <v>42</v>
      </c>
      <c r="BO514" t="s">
        <v>42</v>
      </c>
      <c r="BP514" t="s">
        <v>42</v>
      </c>
      <c r="BQ514" t="s">
        <v>42</v>
      </c>
      <c r="BR514" t="s">
        <v>42</v>
      </c>
      <c r="BS514" s="4" t="str">
        <f>HYPERLINK("http://exon.niaid.nih.gov/transcriptome/C_felis/S1/links/CDD/cf-contig_757-CDD.txt","PRK09737")</f>
        <v>PRK09737</v>
      </c>
      <c r="BT514" t="str">
        <f>HYPERLINK("http://www.ncbi.nlm.nih.gov/Structure/cdd/cddsrv.cgi?uid=PRK09737&amp;version=v4.0","1.3")</f>
        <v>1.3</v>
      </c>
      <c r="BU514" t="s">
        <v>4420</v>
      </c>
      <c r="BV514" s="4" t="s">
        <v>42</v>
      </c>
      <c r="BW514" t="s">
        <v>42</v>
      </c>
      <c r="BX514" t="s">
        <v>42</v>
      </c>
      <c r="BY514" t="s">
        <v>42</v>
      </c>
      <c r="BZ514" t="s">
        <v>42</v>
      </c>
      <c r="CA514" t="s">
        <v>42</v>
      </c>
      <c r="CB514" t="s">
        <v>42</v>
      </c>
      <c r="CC514" t="s">
        <v>42</v>
      </c>
      <c r="CD514" t="s">
        <v>42</v>
      </c>
      <c r="CE514" t="s">
        <v>42</v>
      </c>
      <c r="CF514" t="s">
        <v>42</v>
      </c>
      <c r="CG514" t="s">
        <v>42</v>
      </c>
      <c r="CH514" t="s">
        <v>42</v>
      </c>
      <c r="CI514" t="s">
        <v>42</v>
      </c>
      <c r="CJ514" t="s">
        <v>42</v>
      </c>
      <c r="CK514" t="s">
        <v>42</v>
      </c>
      <c r="CL514" t="s">
        <v>42</v>
      </c>
      <c r="CM514" t="s">
        <v>42</v>
      </c>
      <c r="CN514" t="s">
        <v>42</v>
      </c>
      <c r="CO514" t="s">
        <v>42</v>
      </c>
      <c r="CP514" t="s">
        <v>42</v>
      </c>
      <c r="CQ514" t="s">
        <v>42</v>
      </c>
      <c r="CR514" t="s">
        <v>42</v>
      </c>
      <c r="CS514" s="4" t="str">
        <f>HYPERLINK("http://exon.niaid.nih.gov/transcriptome/C_felis/S1/links/KOG/cf-contig_757-KOG.txt","Predicted acyltransferase")</f>
        <v>Predicted acyltransferase</v>
      </c>
      <c r="CT514" t="str">
        <f>HYPERLINK("http://www.ncbi.nlm.nih.gov/COG/grace/shokog.cgi?KOG3700","1.6")</f>
        <v>1.6</v>
      </c>
      <c r="CU514" t="s">
        <v>1721</v>
      </c>
      <c r="CV514" s="4" t="str">
        <f>HYPERLINK("http://exon.niaid.nih.gov/transcriptome/C_felis/S1/links/PFAM/cf-contig_757-PFAM.txt","Intg_mem_TP0381")</f>
        <v>Intg_mem_TP0381</v>
      </c>
      <c r="CW514" t="str">
        <f>HYPERLINK("http://pfam.sanger.ac.uk/family?acc=PF09529","0.95")</f>
        <v>0.95</v>
      </c>
      <c r="CX514" s="4" t="str">
        <f>HYPERLINK("http://exon.niaid.nih.gov/transcriptome/C_felis/S1/links/SMART/cf-contig_757-SMART.txt","TBC")</f>
        <v>TBC</v>
      </c>
      <c r="CY514" t="str">
        <f>HYPERLINK("http://smart.embl-heidelberg.de/smart/do_annotation.pl?DOMAIN=TBC&amp;BLAST=DUMMY","1.3")</f>
        <v>1.3</v>
      </c>
      <c r="CZ514" s="4" t="s">
        <v>42</v>
      </c>
      <c r="DA514" t="s">
        <v>42</v>
      </c>
      <c r="DB514" t="s">
        <v>42</v>
      </c>
      <c r="DC514" t="s">
        <v>42</v>
      </c>
      <c r="DD514" t="s">
        <v>42</v>
      </c>
      <c r="DE514" t="s">
        <v>42</v>
      </c>
      <c r="DF514" t="s">
        <v>42</v>
      </c>
      <c r="DG514" t="s">
        <v>42</v>
      </c>
      <c r="DH514" s="4" t="s">
        <v>42</v>
      </c>
      <c r="DI514" t="s">
        <v>42</v>
      </c>
      <c r="DJ514" s="4" t="s">
        <v>42</v>
      </c>
      <c r="DK514" t="s">
        <v>42</v>
      </c>
      <c r="DL514" s="4">
        <v>609</v>
      </c>
      <c r="DM514">
        <v>1</v>
      </c>
      <c r="DN514" s="4">
        <v>629</v>
      </c>
      <c r="DO514">
        <v>1</v>
      </c>
      <c r="DP514" s="4">
        <v>643</v>
      </c>
      <c r="DQ514">
        <v>1</v>
      </c>
      <c r="DR514" s="4">
        <v>665</v>
      </c>
      <c r="DS514">
        <v>1</v>
      </c>
      <c r="DT514" s="4">
        <v>680</v>
      </c>
      <c r="DU514">
        <v>1</v>
      </c>
      <c r="DV514" s="4">
        <v>695</v>
      </c>
      <c r="DW514">
        <v>1</v>
      </c>
      <c r="DX514" s="4">
        <v>708</v>
      </c>
      <c r="DY514">
        <v>1</v>
      </c>
      <c r="DZ514" s="4">
        <v>719</v>
      </c>
      <c r="EA514">
        <v>1</v>
      </c>
      <c r="EB514" s="4">
        <v>725</v>
      </c>
      <c r="EC514">
        <v>1</v>
      </c>
      <c r="ED514" s="4">
        <v>730</v>
      </c>
      <c r="EE514">
        <v>1</v>
      </c>
      <c r="EF514" s="4">
        <v>736</v>
      </c>
      <c r="EG514">
        <v>1</v>
      </c>
      <c r="EH514" s="4">
        <v>748</v>
      </c>
      <c r="EI514">
        <v>1</v>
      </c>
      <c r="EJ514" s="4">
        <v>757</v>
      </c>
      <c r="EK514">
        <v>1</v>
      </c>
    </row>
    <row r="515" spans="1:141" x14ac:dyDescent="0.2">
      <c r="A515" t="str">
        <f>HYPERLINK("http://exon.niaid.nih.gov/transcriptome/C_felis/S1/links/cf/cf-contig_765.txt","cf-contig_765")</f>
        <v>cf-contig_765</v>
      </c>
      <c r="B515">
        <v>1</v>
      </c>
      <c r="C515" s="10" t="s">
        <v>4600</v>
      </c>
      <c r="D515">
        <v>1</v>
      </c>
      <c r="E515" t="str">
        <f>HYPERLINK("http://exon.niaid.nih.gov/transcriptome/C_felis/S1/links/cf/cf-5-36-asb-765.txt","Contig-765")</f>
        <v>Contig-765</v>
      </c>
      <c r="F515" t="str">
        <f>HYPERLINK("http://exon.niaid.nih.gov/transcriptome/C_felis/S1/links/cf/cf-5-36-765-CLU.txt","Contig765")</f>
        <v>Contig765</v>
      </c>
      <c r="G515" t="str">
        <f>HYPERLINK("http://exon.niaid.nih.gov/transcriptome/C_felis/S1/links/cf/cf-5-36-765-qual.txt","53.4")</f>
        <v>53.4</v>
      </c>
      <c r="H515" t="s">
        <v>11</v>
      </c>
      <c r="I515">
        <v>87.5</v>
      </c>
      <c r="J515">
        <v>53</v>
      </c>
      <c r="K515" t="s">
        <v>12</v>
      </c>
      <c r="L515">
        <v>1</v>
      </c>
      <c r="M515" t="s">
        <v>778</v>
      </c>
      <c r="N515">
        <v>53</v>
      </c>
      <c r="O515">
        <v>72</v>
      </c>
      <c r="P515">
        <v>36</v>
      </c>
      <c r="Q515" t="s">
        <v>1584</v>
      </c>
      <c r="R515">
        <v>2</v>
      </c>
      <c r="S515" s="7" t="s">
        <v>4585</v>
      </c>
      <c r="U515">
        <v>1</v>
      </c>
      <c r="V515" s="4">
        <v>614</v>
      </c>
      <c r="W515">
        <v>1</v>
      </c>
      <c r="X515" s="4">
        <v>635</v>
      </c>
      <c r="Y515">
        <v>1</v>
      </c>
      <c r="Z515" s="4">
        <v>650</v>
      </c>
      <c r="AA515">
        <v>1</v>
      </c>
      <c r="AB515" s="4" t="str">
        <f>HYPERLINK("http://exon.niaid.nih.gov/transcriptome/C_felis/S1/links/XC-ASB/cf-contig_765-XC-ASB.txt","XC-contig_173")</f>
        <v>XC-contig_173</v>
      </c>
      <c r="AC515">
        <v>1.4999999999999999E-2</v>
      </c>
      <c r="AD515" s="10" t="s">
        <v>4600</v>
      </c>
      <c r="AE515" t="s">
        <v>4601</v>
      </c>
      <c r="AI515" s="4" t="s">
        <v>42</v>
      </c>
      <c r="AJ515" t="s">
        <v>42</v>
      </c>
      <c r="AK515" t="s">
        <v>42</v>
      </c>
      <c r="AL515" t="s">
        <v>42</v>
      </c>
      <c r="AM515" t="s">
        <v>42</v>
      </c>
      <c r="AN515" t="s">
        <v>42</v>
      </c>
      <c r="AO515" t="s">
        <v>42</v>
      </c>
      <c r="AP515" t="s">
        <v>42</v>
      </c>
      <c r="AQ515" t="s">
        <v>42</v>
      </c>
      <c r="AR515" t="s">
        <v>42</v>
      </c>
      <c r="AS515" t="s">
        <v>42</v>
      </c>
      <c r="AT515" t="s">
        <v>42</v>
      </c>
      <c r="AU515" t="s">
        <v>42</v>
      </c>
      <c r="AV515" t="s">
        <v>42</v>
      </c>
      <c r="AW515" t="s">
        <v>42</v>
      </c>
      <c r="AX515" t="s">
        <v>42</v>
      </c>
      <c r="AY515" t="s">
        <v>42</v>
      </c>
      <c r="AZ515" t="s">
        <v>42</v>
      </c>
      <c r="BA515" s="4" t="s">
        <v>42</v>
      </c>
      <c r="BB515" t="s">
        <v>42</v>
      </c>
      <c r="BC515" t="s">
        <v>42</v>
      </c>
      <c r="BD515" t="s">
        <v>42</v>
      </c>
      <c r="BE515" t="s">
        <v>42</v>
      </c>
      <c r="BF515" t="s">
        <v>42</v>
      </c>
      <c r="BG515" t="s">
        <v>42</v>
      </c>
      <c r="BH515" t="s">
        <v>42</v>
      </c>
      <c r="BI515" t="s">
        <v>42</v>
      </c>
      <c r="BJ515" t="s">
        <v>42</v>
      </c>
      <c r="BK515" t="s">
        <v>42</v>
      </c>
      <c r="BL515" t="s">
        <v>42</v>
      </c>
      <c r="BM515" t="s">
        <v>42</v>
      </c>
      <c r="BN515" t="s">
        <v>42</v>
      </c>
      <c r="BO515" t="s">
        <v>42</v>
      </c>
      <c r="BP515" t="s">
        <v>42</v>
      </c>
      <c r="BQ515" t="s">
        <v>42</v>
      </c>
      <c r="BR515" t="s">
        <v>42</v>
      </c>
      <c r="BS515" s="4" t="str">
        <f>HYPERLINK("http://exon.niaid.nih.gov/transcriptome/C_felis/S1/links/CDD/cf-contig_765-CDD.txt","Nodulin_late")</f>
        <v>Nodulin_late</v>
      </c>
      <c r="BT515" t="str">
        <f>HYPERLINK("http://www.ncbi.nlm.nih.gov/Structure/cdd/cddsrv.cgi?uid=pfam07127&amp;version=v4.0","6.0")</f>
        <v>6.0</v>
      </c>
      <c r="BU515" t="s">
        <v>4454</v>
      </c>
      <c r="BV515" s="4" t="s">
        <v>42</v>
      </c>
      <c r="BW515" t="s">
        <v>42</v>
      </c>
      <c r="BX515" t="s">
        <v>42</v>
      </c>
      <c r="BY515" t="s">
        <v>42</v>
      </c>
      <c r="BZ515" t="s">
        <v>42</v>
      </c>
      <c r="CA515" t="s">
        <v>42</v>
      </c>
      <c r="CB515" t="s">
        <v>42</v>
      </c>
      <c r="CC515" t="s">
        <v>42</v>
      </c>
      <c r="CD515" t="s">
        <v>42</v>
      </c>
      <c r="CE515" t="s">
        <v>42</v>
      </c>
      <c r="CF515" t="s">
        <v>42</v>
      </c>
      <c r="CG515" t="s">
        <v>42</v>
      </c>
      <c r="CH515" t="s">
        <v>42</v>
      </c>
      <c r="CI515" t="s">
        <v>42</v>
      </c>
      <c r="CJ515" t="s">
        <v>42</v>
      </c>
      <c r="CK515" t="s">
        <v>42</v>
      </c>
      <c r="CL515" t="s">
        <v>42</v>
      </c>
      <c r="CM515" t="s">
        <v>42</v>
      </c>
      <c r="CN515" t="s">
        <v>42</v>
      </c>
      <c r="CO515" t="s">
        <v>42</v>
      </c>
      <c r="CP515" t="s">
        <v>42</v>
      </c>
      <c r="CQ515" t="s">
        <v>42</v>
      </c>
      <c r="CR515" t="s">
        <v>42</v>
      </c>
      <c r="CS515" s="4" t="s">
        <v>42</v>
      </c>
      <c r="CT515" t="s">
        <v>42</v>
      </c>
      <c r="CU515" t="s">
        <v>42</v>
      </c>
      <c r="CV515" s="4" t="str">
        <f>HYPERLINK("http://exon.niaid.nih.gov/transcriptome/C_felis/S1/links/PFAM/cf-contig_765-PFAM.txt","Nodulin_late")</f>
        <v>Nodulin_late</v>
      </c>
      <c r="CW515" t="str">
        <f>HYPERLINK("http://pfam.sanger.ac.uk/family?acc=PF07127","1.3")</f>
        <v>1.3</v>
      </c>
      <c r="CX515" s="4" t="str">
        <f>HYPERLINK("http://exon.niaid.nih.gov/transcriptome/C_felis/S1/links/SMART/cf-contig_765-SMART.txt","SERPIN")</f>
        <v>SERPIN</v>
      </c>
      <c r="CY515" t="str">
        <f>HYPERLINK("http://smart.embl-heidelberg.de/smart/do_annotation.pl?DOMAIN=SERPIN&amp;BLAST=DUMMY","0.72")</f>
        <v>0.72</v>
      </c>
      <c r="CZ515" s="4" t="s">
        <v>42</v>
      </c>
      <c r="DA515" t="s">
        <v>42</v>
      </c>
      <c r="DB515" t="s">
        <v>42</v>
      </c>
      <c r="DC515" t="s">
        <v>42</v>
      </c>
      <c r="DD515" t="s">
        <v>42</v>
      </c>
      <c r="DE515" t="s">
        <v>42</v>
      </c>
      <c r="DF515" t="s">
        <v>42</v>
      </c>
      <c r="DG515" t="s">
        <v>42</v>
      </c>
      <c r="DH515" s="4" t="s">
        <v>42</v>
      </c>
      <c r="DI515" t="s">
        <v>42</v>
      </c>
      <c r="DJ515" s="4" t="s">
        <v>42</v>
      </c>
      <c r="DK515" t="s">
        <v>42</v>
      </c>
      <c r="DL515" s="4">
        <v>614</v>
      </c>
      <c r="DM515">
        <v>1</v>
      </c>
      <c r="DN515" s="4">
        <v>635</v>
      </c>
      <c r="DO515">
        <v>1</v>
      </c>
      <c r="DP515" s="4">
        <v>650</v>
      </c>
      <c r="DQ515">
        <v>1</v>
      </c>
      <c r="DR515" s="4">
        <v>672</v>
      </c>
      <c r="DS515">
        <v>1</v>
      </c>
      <c r="DT515" s="4">
        <v>687</v>
      </c>
      <c r="DU515">
        <v>1</v>
      </c>
      <c r="DV515" s="4">
        <v>702</v>
      </c>
      <c r="DW515">
        <v>1</v>
      </c>
      <c r="DX515" s="4">
        <v>716</v>
      </c>
      <c r="DY515">
        <v>1</v>
      </c>
      <c r="DZ515" s="4">
        <v>727</v>
      </c>
      <c r="EA515">
        <v>1</v>
      </c>
      <c r="EB515" s="4">
        <v>733</v>
      </c>
      <c r="EC515">
        <v>1</v>
      </c>
      <c r="ED515" s="4">
        <v>738</v>
      </c>
      <c r="EE515">
        <v>1</v>
      </c>
      <c r="EF515" s="4">
        <v>744</v>
      </c>
      <c r="EG515">
        <v>1</v>
      </c>
      <c r="EH515" s="4">
        <v>756</v>
      </c>
      <c r="EI515">
        <v>1</v>
      </c>
      <c r="EJ515" s="4">
        <v>765</v>
      </c>
      <c r="EK515">
        <v>1</v>
      </c>
    </row>
    <row r="516" spans="1:141" x14ac:dyDescent="0.2">
      <c r="A516" t="str">
        <f>HYPERLINK("http://exon.niaid.nih.gov/transcriptome/C_felis/S1/links/cf/cf-contig_774.txt","cf-contig_774")</f>
        <v>cf-contig_774</v>
      </c>
      <c r="B516">
        <v>1</v>
      </c>
      <c r="C516" s="10" t="s">
        <v>4600</v>
      </c>
      <c r="D516">
        <v>1</v>
      </c>
      <c r="E516" t="str">
        <f>HYPERLINK("http://exon.niaid.nih.gov/transcriptome/C_felis/S1/links/cf/cf-5-36-asb-774.txt","Contig-774")</f>
        <v>Contig-774</v>
      </c>
      <c r="F516" t="str">
        <f>HYPERLINK("http://exon.niaid.nih.gov/transcriptome/C_felis/S1/links/cf/cf-5-36-774-CLU.txt","Contig774")</f>
        <v>Contig774</v>
      </c>
      <c r="G516" t="str">
        <f>HYPERLINK("http://exon.niaid.nih.gov/transcriptome/C_felis/S1/links/cf/cf-5-36-774-qual.txt","29.5")</f>
        <v>29.5</v>
      </c>
      <c r="H516">
        <v>3.5</v>
      </c>
      <c r="I516">
        <v>61.9</v>
      </c>
      <c r="J516">
        <v>94</v>
      </c>
      <c r="K516" t="s">
        <v>12</v>
      </c>
      <c r="L516">
        <v>1</v>
      </c>
      <c r="M516" t="s">
        <v>787</v>
      </c>
      <c r="N516">
        <v>94</v>
      </c>
      <c r="O516">
        <v>113</v>
      </c>
      <c r="P516">
        <v>78</v>
      </c>
      <c r="Q516" t="s">
        <v>1593</v>
      </c>
      <c r="R516">
        <v>1</v>
      </c>
      <c r="S516" s="7" t="s">
        <v>4585</v>
      </c>
      <c r="U516">
        <v>1</v>
      </c>
      <c r="V516" s="4">
        <v>621</v>
      </c>
      <c r="W516">
        <v>1</v>
      </c>
      <c r="X516" s="4">
        <v>642</v>
      </c>
      <c r="Y516">
        <v>1</v>
      </c>
      <c r="Z516" s="4">
        <v>658</v>
      </c>
      <c r="AA516">
        <v>1</v>
      </c>
      <c r="AB516" s="4" t="str">
        <f>HYPERLINK("http://exon.niaid.nih.gov/transcriptome/C_felis/S1/links/XC-ASB/cf-contig_774-XC-ASB.txt","XC-contig_209")</f>
        <v>XC-contig_209</v>
      </c>
      <c r="AC516">
        <v>0.48</v>
      </c>
      <c r="AD516" s="10" t="s">
        <v>4600</v>
      </c>
      <c r="AE516" t="s">
        <v>4601</v>
      </c>
      <c r="AI516" s="4" t="s">
        <v>42</v>
      </c>
      <c r="AJ516" t="s">
        <v>42</v>
      </c>
      <c r="AK516" t="s">
        <v>42</v>
      </c>
      <c r="AL516" t="s">
        <v>42</v>
      </c>
      <c r="AM516" t="s">
        <v>42</v>
      </c>
      <c r="AN516" t="s">
        <v>42</v>
      </c>
      <c r="AO516" t="s">
        <v>42</v>
      </c>
      <c r="AP516" t="s">
        <v>42</v>
      </c>
      <c r="AQ516" t="s">
        <v>42</v>
      </c>
      <c r="AR516" t="s">
        <v>42</v>
      </c>
      <c r="AS516" t="s">
        <v>42</v>
      </c>
      <c r="AT516" t="s">
        <v>42</v>
      </c>
      <c r="AU516" t="s">
        <v>42</v>
      </c>
      <c r="AV516" t="s">
        <v>42</v>
      </c>
      <c r="AW516" t="s">
        <v>42</v>
      </c>
      <c r="AX516" t="s">
        <v>42</v>
      </c>
      <c r="AY516" t="s">
        <v>42</v>
      </c>
      <c r="AZ516" t="s">
        <v>42</v>
      </c>
      <c r="BA516" s="4" t="str">
        <f>HYPERLINK("http://exon.niaid.nih.gov/transcriptome/C_felis/S1/links/SWISSP/cf-contig_774-SWISSP.txt","Transcription elongation regulator 1")</f>
        <v>Transcription elongation regulator 1</v>
      </c>
      <c r="BB516" t="str">
        <f>HYPERLINK("http://www.uniprot.org/uniprot/O14776","53")</f>
        <v>53</v>
      </c>
      <c r="BC516" t="s">
        <v>4483</v>
      </c>
      <c r="BD516">
        <v>26.6</v>
      </c>
      <c r="BE516">
        <v>19</v>
      </c>
      <c r="BF516">
        <v>1098</v>
      </c>
      <c r="BG516">
        <v>50</v>
      </c>
      <c r="BH516">
        <v>2</v>
      </c>
      <c r="BI516">
        <v>10</v>
      </c>
      <c r="BJ516">
        <v>0</v>
      </c>
      <c r="BK516">
        <v>93</v>
      </c>
      <c r="BL516">
        <v>1</v>
      </c>
      <c r="BM516">
        <v>1</v>
      </c>
      <c r="BN516">
        <v>-3</v>
      </c>
      <c r="BO516" t="s">
        <v>12</v>
      </c>
      <c r="BQ516" t="s">
        <v>1666</v>
      </c>
      <c r="BR516" t="s">
        <v>1690</v>
      </c>
      <c r="BS516" s="4" t="str">
        <f>HYPERLINK("http://exon.niaid.nih.gov/transcriptome/C_felis/S1/links/CDD/cf-contig_774-CDD.txt","M20_ArgE_RocB")</f>
        <v>M20_ArgE_RocB</v>
      </c>
      <c r="BT516" t="str">
        <f>HYPERLINK("http://www.ncbi.nlm.nih.gov/Structure/cdd/cddsrv.cgi?uid=cd05654&amp;version=v4.0","5.9")</f>
        <v>5.9</v>
      </c>
      <c r="BU516" t="s">
        <v>4484</v>
      </c>
      <c r="BV516" s="4" t="s">
        <v>42</v>
      </c>
      <c r="BW516" t="s">
        <v>42</v>
      </c>
      <c r="BX516" t="s">
        <v>42</v>
      </c>
      <c r="BY516" t="s">
        <v>42</v>
      </c>
      <c r="BZ516" t="s">
        <v>42</v>
      </c>
      <c r="CA516" t="s">
        <v>42</v>
      </c>
      <c r="CB516" t="s">
        <v>42</v>
      </c>
      <c r="CC516" t="s">
        <v>42</v>
      </c>
      <c r="CD516" t="s">
        <v>42</v>
      </c>
      <c r="CE516" t="s">
        <v>42</v>
      </c>
      <c r="CF516" t="s">
        <v>42</v>
      </c>
      <c r="CG516" t="s">
        <v>42</v>
      </c>
      <c r="CH516" t="s">
        <v>42</v>
      </c>
      <c r="CI516" t="s">
        <v>42</v>
      </c>
      <c r="CJ516" t="s">
        <v>42</v>
      </c>
      <c r="CK516" t="s">
        <v>42</v>
      </c>
      <c r="CL516" t="s">
        <v>42</v>
      </c>
      <c r="CM516" t="s">
        <v>42</v>
      </c>
      <c r="CN516" t="s">
        <v>42</v>
      </c>
      <c r="CO516" t="s">
        <v>42</v>
      </c>
      <c r="CP516" t="s">
        <v>42</v>
      </c>
      <c r="CQ516" t="s">
        <v>42</v>
      </c>
      <c r="CR516" t="s">
        <v>42</v>
      </c>
      <c r="CS516" s="4" t="str">
        <f>HYPERLINK("http://exon.niaid.nih.gov/transcriptome/C_felis/S1/links/KOG/cf-contig_774-KOG.txt","Wiskott Aldrich syndrome proteins")</f>
        <v>Wiskott Aldrich syndrome proteins</v>
      </c>
      <c r="CT516" t="str">
        <f>HYPERLINK("http://www.ncbi.nlm.nih.gov/COG/grace/shokog.cgi?KOG1830","5.5")</f>
        <v>5.5</v>
      </c>
      <c r="CU516" t="s">
        <v>3092</v>
      </c>
      <c r="CV516" s="4" t="str">
        <f>HYPERLINK("http://exon.niaid.nih.gov/transcriptome/C_felis/S1/links/PFAM/cf-contig_774-PFAM.txt","ChiC")</f>
        <v>ChiC</v>
      </c>
      <c r="CW516" t="str">
        <f>HYPERLINK("http://pfam.sanger.ac.uk/family?acc=PF06483","2.3")</f>
        <v>2.3</v>
      </c>
      <c r="CX516" s="4" t="str">
        <f>HYPERLINK("http://exon.niaid.nih.gov/transcriptome/C_felis/S1/links/SMART/cf-contig_774-SMART.txt","RNB")</f>
        <v>RNB</v>
      </c>
      <c r="CY516" t="str">
        <f>HYPERLINK("http://smart.embl-heidelberg.de/smart/do_annotation.pl?DOMAIN=RNB&amp;BLAST=DUMMY","0.54")</f>
        <v>0.54</v>
      </c>
      <c r="CZ516" s="4" t="s">
        <v>42</v>
      </c>
      <c r="DA516" t="s">
        <v>42</v>
      </c>
      <c r="DB516" t="s">
        <v>42</v>
      </c>
      <c r="DC516" t="s">
        <v>42</v>
      </c>
      <c r="DD516" t="s">
        <v>42</v>
      </c>
      <c r="DE516" t="s">
        <v>42</v>
      </c>
      <c r="DF516" t="s">
        <v>42</v>
      </c>
      <c r="DG516" t="s">
        <v>42</v>
      </c>
      <c r="DH516" s="4" t="s">
        <v>42</v>
      </c>
      <c r="DI516" t="s">
        <v>42</v>
      </c>
      <c r="DJ516" s="4" t="s">
        <v>42</v>
      </c>
      <c r="DK516" t="s">
        <v>42</v>
      </c>
      <c r="DL516" s="4">
        <v>621</v>
      </c>
      <c r="DM516">
        <v>1</v>
      </c>
      <c r="DN516" s="4">
        <v>642</v>
      </c>
      <c r="DO516">
        <v>1</v>
      </c>
      <c r="DP516" s="4">
        <v>658</v>
      </c>
      <c r="DQ516">
        <v>1</v>
      </c>
      <c r="DR516" s="4">
        <v>680</v>
      </c>
      <c r="DS516">
        <v>1</v>
      </c>
      <c r="DT516" s="4">
        <v>696</v>
      </c>
      <c r="DU516">
        <v>1</v>
      </c>
      <c r="DV516" s="4">
        <v>711</v>
      </c>
      <c r="DW516">
        <v>1</v>
      </c>
      <c r="DX516" s="4">
        <v>725</v>
      </c>
      <c r="DY516">
        <v>1</v>
      </c>
      <c r="DZ516" s="4">
        <v>736</v>
      </c>
      <c r="EA516">
        <v>1</v>
      </c>
      <c r="EB516" s="4">
        <v>742</v>
      </c>
      <c r="EC516">
        <v>1</v>
      </c>
      <c r="ED516" s="4">
        <v>747</v>
      </c>
      <c r="EE516">
        <v>1</v>
      </c>
      <c r="EF516" s="4">
        <v>753</v>
      </c>
      <c r="EG516">
        <v>1</v>
      </c>
      <c r="EH516" s="4">
        <v>765</v>
      </c>
      <c r="EI516">
        <v>1</v>
      </c>
      <c r="EJ516" s="4">
        <v>774</v>
      </c>
      <c r="EK516">
        <v>1</v>
      </c>
    </row>
    <row r="517" spans="1:141" x14ac:dyDescent="0.2">
      <c r="A517" t="str">
        <f>HYPERLINK("http://exon.niaid.nih.gov/transcriptome/C_felis/S1/links/cf/cf-contig_776.txt","cf-contig_776")</f>
        <v>cf-contig_776</v>
      </c>
      <c r="B517">
        <v>1</v>
      </c>
      <c r="C517" s="10" t="s">
        <v>4600</v>
      </c>
      <c r="D517">
        <v>1</v>
      </c>
      <c r="E517" t="str">
        <f>HYPERLINK("http://exon.niaid.nih.gov/transcriptome/C_felis/S1/links/cf/cf-5-36-asb-776.txt","Contig-776")</f>
        <v>Contig-776</v>
      </c>
      <c r="F517" t="str">
        <f>HYPERLINK("http://exon.niaid.nih.gov/transcriptome/C_felis/S1/links/cf/cf-5-36-776-CLU.txt","Contig776")</f>
        <v>Contig776</v>
      </c>
      <c r="G517" t="str">
        <f>HYPERLINK("http://exon.niaid.nih.gov/transcriptome/C_felis/S1/links/cf/cf-5-36-776-qual.txt","39.7")</f>
        <v>39.7</v>
      </c>
      <c r="H517">
        <v>1.4</v>
      </c>
      <c r="I517">
        <v>78.400000000000006</v>
      </c>
      <c r="J517">
        <v>55</v>
      </c>
      <c r="K517" t="s">
        <v>12</v>
      </c>
      <c r="L517">
        <v>1</v>
      </c>
      <c r="M517" t="s">
        <v>789</v>
      </c>
      <c r="N517">
        <v>55</v>
      </c>
      <c r="O517">
        <v>74</v>
      </c>
      <c r="P517">
        <v>69</v>
      </c>
      <c r="Q517" t="s">
        <v>1595</v>
      </c>
      <c r="R517">
        <v>2</v>
      </c>
      <c r="S517" s="7" t="s">
        <v>4585</v>
      </c>
      <c r="U517">
        <v>1</v>
      </c>
      <c r="V517" s="4">
        <f>HYPERLINK("http://exon.niaid.nih.gov/transcriptome/C_felis/S1/links/cluster/cf-5-36-asb30-50-Id-CLU95.txt", 95)</f>
        <v>95</v>
      </c>
      <c r="W517">
        <f>HYPERLINK("http://exon.niaid.nih.gov/transcriptome/C_felis/S1/links/cluster/cf-5-36-asb30-50-Id-CLTL95.txt", 2)</f>
        <v>2</v>
      </c>
      <c r="X517" s="4">
        <f>HYPERLINK("http://exon.niaid.nih.gov/transcriptome/C_felis/S1/links/cluster/cf-5-36-asb35-50-Id-CLU88.txt", 88)</f>
        <v>88</v>
      </c>
      <c r="Y517">
        <f>HYPERLINK("http://exon.niaid.nih.gov/transcriptome/C_felis/S1/links/cluster/cf-5-36-asb35-50-Id-CLTL88.txt", 2)</f>
        <v>2</v>
      </c>
      <c r="Z517" s="4">
        <f>HYPERLINK("http://exon.niaid.nih.gov/transcriptome/C_felis/S1/links/cluster/cf-5-36-asb40-50-Id-CLU79.txt", 79)</f>
        <v>79</v>
      </c>
      <c r="AA517">
        <f>HYPERLINK("http://exon.niaid.nih.gov/transcriptome/C_felis/S1/links/cluster/cf-5-36-asb40-50-Id-CLTL79.txt", 2)</f>
        <v>2</v>
      </c>
      <c r="AB517" s="4" t="str">
        <f>HYPERLINK("http://exon.niaid.nih.gov/transcriptome/C_felis/S1/links/XC-ASB/cf-contig_776-XC-ASB.txt","XC-contig_95")</f>
        <v>XC-contig_95</v>
      </c>
      <c r="AC517">
        <v>1.7</v>
      </c>
      <c r="AD517" s="10" t="s">
        <v>4600</v>
      </c>
      <c r="AE517" t="s">
        <v>4601</v>
      </c>
      <c r="AI517" s="4" t="s">
        <v>42</v>
      </c>
      <c r="AJ517" t="s">
        <v>42</v>
      </c>
      <c r="AK517" t="s">
        <v>42</v>
      </c>
      <c r="AL517" t="s">
        <v>42</v>
      </c>
      <c r="AM517" t="s">
        <v>42</v>
      </c>
      <c r="AN517" t="s">
        <v>42</v>
      </c>
      <c r="AO517" t="s">
        <v>42</v>
      </c>
      <c r="AP517" t="s">
        <v>42</v>
      </c>
      <c r="AQ517" t="s">
        <v>42</v>
      </c>
      <c r="AR517" t="s">
        <v>42</v>
      </c>
      <c r="AS517" t="s">
        <v>42</v>
      </c>
      <c r="AT517" t="s">
        <v>42</v>
      </c>
      <c r="AU517" t="s">
        <v>42</v>
      </c>
      <c r="AV517" t="s">
        <v>42</v>
      </c>
      <c r="AW517" t="s">
        <v>42</v>
      </c>
      <c r="AX517" t="s">
        <v>42</v>
      </c>
      <c r="AY517" t="s">
        <v>42</v>
      </c>
      <c r="AZ517" t="s">
        <v>42</v>
      </c>
      <c r="BA517" s="4" t="s">
        <v>42</v>
      </c>
      <c r="BB517" t="s">
        <v>42</v>
      </c>
      <c r="BC517" t="s">
        <v>42</v>
      </c>
      <c r="BD517" t="s">
        <v>42</v>
      </c>
      <c r="BE517" t="s">
        <v>42</v>
      </c>
      <c r="BF517" t="s">
        <v>42</v>
      </c>
      <c r="BG517" t="s">
        <v>42</v>
      </c>
      <c r="BH517" t="s">
        <v>42</v>
      </c>
      <c r="BI517" t="s">
        <v>42</v>
      </c>
      <c r="BJ517" t="s">
        <v>42</v>
      </c>
      <c r="BK517" t="s">
        <v>42</v>
      </c>
      <c r="BL517" t="s">
        <v>42</v>
      </c>
      <c r="BM517" t="s">
        <v>42</v>
      </c>
      <c r="BN517" t="s">
        <v>42</v>
      </c>
      <c r="BO517" t="s">
        <v>42</v>
      </c>
      <c r="BP517" t="s">
        <v>42</v>
      </c>
      <c r="BQ517" t="s">
        <v>42</v>
      </c>
      <c r="BR517" t="s">
        <v>42</v>
      </c>
      <c r="BS517" s="4" t="str">
        <f>HYPERLINK("http://exon.niaid.nih.gov/transcriptome/C_felis/S1/links/CDD/cf-contig_776-CDD.txt","PRK00784")</f>
        <v>PRK00784</v>
      </c>
      <c r="BT517" t="str">
        <f>HYPERLINK("http://www.ncbi.nlm.nih.gov/Structure/cdd/cddsrv.cgi?uid=PRK00784&amp;version=v4.0","5.5")</f>
        <v>5.5</v>
      </c>
      <c r="BU517" t="s">
        <v>4488</v>
      </c>
      <c r="BV517" s="4" t="s">
        <v>42</v>
      </c>
      <c r="BW517" t="s">
        <v>42</v>
      </c>
      <c r="BX517" t="s">
        <v>42</v>
      </c>
      <c r="BY517" t="s">
        <v>42</v>
      </c>
      <c r="BZ517" t="s">
        <v>42</v>
      </c>
      <c r="CA517" t="s">
        <v>42</v>
      </c>
      <c r="CB517" t="s">
        <v>42</v>
      </c>
      <c r="CC517" t="s">
        <v>42</v>
      </c>
      <c r="CD517" t="s">
        <v>42</v>
      </c>
      <c r="CE517" t="s">
        <v>42</v>
      </c>
      <c r="CF517" t="s">
        <v>42</v>
      </c>
      <c r="CG517" t="s">
        <v>42</v>
      </c>
      <c r="CH517" t="s">
        <v>42</v>
      </c>
      <c r="CI517" t="s">
        <v>42</v>
      </c>
      <c r="CJ517" t="s">
        <v>42</v>
      </c>
      <c r="CK517" t="s">
        <v>42</v>
      </c>
      <c r="CL517" t="s">
        <v>42</v>
      </c>
      <c r="CM517" t="s">
        <v>42</v>
      </c>
      <c r="CN517" t="s">
        <v>42</v>
      </c>
      <c r="CO517" t="s">
        <v>42</v>
      </c>
      <c r="CP517" t="s">
        <v>42</v>
      </c>
      <c r="CQ517" t="s">
        <v>42</v>
      </c>
      <c r="CR517" t="s">
        <v>42</v>
      </c>
      <c r="CS517" s="4" t="s">
        <v>42</v>
      </c>
      <c r="CT517" t="s">
        <v>42</v>
      </c>
      <c r="CU517" t="s">
        <v>42</v>
      </c>
      <c r="CV517" s="4" t="str">
        <f>HYPERLINK("http://exon.niaid.nih.gov/transcriptome/C_felis/S1/links/PFAM/cf-contig_776-PFAM.txt","SCAMP")</f>
        <v>SCAMP</v>
      </c>
      <c r="CW517" t="str">
        <f>HYPERLINK("http://pfam.sanger.ac.uk/family?acc=PF04144","9.4")</f>
        <v>9.4</v>
      </c>
      <c r="CX517" s="4" t="str">
        <f>HYPERLINK("http://exon.niaid.nih.gov/transcriptome/C_felis/S1/links/SMART/cf-contig_776-SMART.txt","LITAF")</f>
        <v>LITAF</v>
      </c>
      <c r="CY517" t="str">
        <f>HYPERLINK("http://smart.embl-heidelberg.de/smart/do_annotation.pl?DOMAIN=LITAF&amp;BLAST=DUMMY","0.99")</f>
        <v>0.99</v>
      </c>
      <c r="CZ517" s="4" t="s">
        <v>42</v>
      </c>
      <c r="DA517" t="s">
        <v>42</v>
      </c>
      <c r="DB517" t="s">
        <v>42</v>
      </c>
      <c r="DC517" t="s">
        <v>42</v>
      </c>
      <c r="DD517" t="s">
        <v>42</v>
      </c>
      <c r="DE517" t="s">
        <v>42</v>
      </c>
      <c r="DF517" t="s">
        <v>42</v>
      </c>
      <c r="DG517" t="s">
        <v>42</v>
      </c>
      <c r="DH517" s="4" t="s">
        <v>42</v>
      </c>
      <c r="DI517" t="s">
        <v>42</v>
      </c>
      <c r="DJ517" s="4" t="s">
        <v>42</v>
      </c>
      <c r="DK517" t="s">
        <v>42</v>
      </c>
      <c r="DL517" s="4">
        <f>HYPERLINK("http://exon.niaid.nih.gov/transcriptome/C_felis/S1/links/cluster/cf-5-36-asb30-50-Id-CLU95.txt", 95)</f>
        <v>95</v>
      </c>
      <c r="DM517">
        <f>HYPERLINK("http://exon.niaid.nih.gov/transcriptome/C_felis/S1/links/cluster/cf-5-36-asb30-50-Id-CLTL95.txt", 2)</f>
        <v>2</v>
      </c>
      <c r="DN517" s="4">
        <f>HYPERLINK("http://exon.niaid.nih.gov/transcriptome/C_felis/S1/links/cluster/cf-5-36-asb35-50-Id-CLU88.txt", 88)</f>
        <v>88</v>
      </c>
      <c r="DO517">
        <f>HYPERLINK("http://exon.niaid.nih.gov/transcriptome/C_felis/S1/links/cluster/cf-5-36-asb35-50-Id-CLTL88.txt", 2)</f>
        <v>2</v>
      </c>
      <c r="DP517" s="4">
        <f>HYPERLINK("http://exon.niaid.nih.gov/transcriptome/C_felis/S1/links/cluster/cf-5-36-asb40-50-Id-CLU79.txt", 79)</f>
        <v>79</v>
      </c>
      <c r="DQ517">
        <f>HYPERLINK("http://exon.niaid.nih.gov/transcriptome/C_felis/S1/links/cluster/cf-5-36-asb40-50-Id-CLTL79.txt", 2)</f>
        <v>2</v>
      </c>
      <c r="DR517" s="4">
        <f>HYPERLINK("http://exon.niaid.nih.gov/transcriptome/C_felis/S1/links/cluster/cf-5-36-asb45-50-Id-CLU65.txt", 65)</f>
        <v>65</v>
      </c>
      <c r="DS517">
        <f>HYPERLINK("http://exon.niaid.nih.gov/transcriptome/C_felis/S1/links/cluster/cf-5-36-asb45-50-Id-CLTL65.txt", 2)</f>
        <v>2</v>
      </c>
      <c r="DT517" s="4">
        <f>HYPERLINK("http://exon.niaid.nih.gov/transcriptome/C_felis/S1/links/cluster/cf-5-36-asb50-50-Id-CLU57.txt", 57)</f>
        <v>57</v>
      </c>
      <c r="DU517">
        <f>HYPERLINK("http://exon.niaid.nih.gov/transcriptome/C_felis/S1/links/cluster/cf-5-36-asb50-50-Id-CLTL57.txt", 2)</f>
        <v>2</v>
      </c>
      <c r="DV517" s="4">
        <f>HYPERLINK("http://exon.niaid.nih.gov/transcriptome/C_felis/S1/links/cluster/cf-5-36-asb55-50-Id-CLU52.txt", 52)</f>
        <v>52</v>
      </c>
      <c r="DW517">
        <f>HYPERLINK("http://exon.niaid.nih.gov/transcriptome/C_felis/S1/links/cluster/cf-5-36-asb55-50-Id-CLTL52.txt", 2)</f>
        <v>2</v>
      </c>
      <c r="DX517" s="4">
        <f>HYPERLINK("http://exon.niaid.nih.gov/transcriptome/C_felis/S1/links/cluster/cf-5-36-asb60-50-Id-CLU42.txt", 42)</f>
        <v>42</v>
      </c>
      <c r="DY517">
        <f>HYPERLINK("http://exon.niaid.nih.gov/transcriptome/C_felis/S1/links/cluster/cf-5-36-asb60-50-Id-CLTL42.txt", 2)</f>
        <v>2</v>
      </c>
      <c r="DZ517" s="4">
        <f>HYPERLINK("http://exon.niaid.nih.gov/transcriptome/C_felis/S1/links/cluster/cf-5-36-asb65-50-Id-CLU35.txt", 35)</f>
        <v>35</v>
      </c>
      <c r="EA517">
        <f>HYPERLINK("http://exon.niaid.nih.gov/transcriptome/C_felis/S1/links/cluster/cf-5-36-asb65-50-Id-CLTL35.txt", 2)</f>
        <v>2</v>
      </c>
      <c r="EB517" s="4">
        <v>744</v>
      </c>
      <c r="EC517">
        <v>1</v>
      </c>
      <c r="ED517" s="4">
        <v>749</v>
      </c>
      <c r="EE517">
        <v>1</v>
      </c>
      <c r="EF517" s="4">
        <v>755</v>
      </c>
      <c r="EG517">
        <v>1</v>
      </c>
      <c r="EH517" s="4">
        <v>767</v>
      </c>
      <c r="EI517">
        <v>1</v>
      </c>
      <c r="EJ517" s="4">
        <v>776</v>
      </c>
      <c r="EK517">
        <v>1</v>
      </c>
    </row>
    <row r="518" spans="1:141" x14ac:dyDescent="0.2">
      <c r="A518" t="str">
        <f>HYPERLINK("http://exon.niaid.nih.gov/transcriptome/C_felis/S1/links/cf/cf-contig_784.txt","cf-contig_784")</f>
        <v>cf-contig_784</v>
      </c>
      <c r="B518">
        <v>1</v>
      </c>
      <c r="C518" s="10" t="s">
        <v>4600</v>
      </c>
      <c r="D518">
        <v>1</v>
      </c>
      <c r="E518" t="str">
        <f>HYPERLINK("http://exon.niaid.nih.gov/transcriptome/C_felis/S1/links/cf/cf-5-36-asb-784.txt","Contig-784")</f>
        <v>Contig-784</v>
      </c>
      <c r="F518" t="str">
        <f>HYPERLINK("http://exon.niaid.nih.gov/transcriptome/C_felis/S1/links/cf/cf-5-36-784-CLU.txt","Contig784")</f>
        <v>Contig784</v>
      </c>
      <c r="G518" t="str">
        <f>HYPERLINK("http://exon.niaid.nih.gov/transcriptome/C_felis/S1/links/cf/cf-5-36-784-qual.txt","57.")</f>
        <v>57.</v>
      </c>
      <c r="H518" t="s">
        <v>11</v>
      </c>
      <c r="I518">
        <v>80.8</v>
      </c>
      <c r="J518">
        <v>101</v>
      </c>
      <c r="K518" t="s">
        <v>12</v>
      </c>
      <c r="L518">
        <v>1</v>
      </c>
      <c r="M518" t="s">
        <v>797</v>
      </c>
      <c r="N518">
        <v>101</v>
      </c>
      <c r="O518">
        <v>120</v>
      </c>
      <c r="P518">
        <v>51</v>
      </c>
      <c r="Q518" t="s">
        <v>1603</v>
      </c>
      <c r="R518">
        <v>2</v>
      </c>
      <c r="S518" s="7" t="s">
        <v>4585</v>
      </c>
      <c r="U518">
        <v>1</v>
      </c>
      <c r="V518" s="4">
        <v>629</v>
      </c>
      <c r="W518">
        <v>1</v>
      </c>
      <c r="X518" s="4">
        <v>650</v>
      </c>
      <c r="Y518">
        <v>1</v>
      </c>
      <c r="Z518" s="4">
        <v>666</v>
      </c>
      <c r="AA518">
        <v>1</v>
      </c>
      <c r="AB518" s="4" t="str">
        <f>HYPERLINK("http://exon.niaid.nih.gov/transcriptome/C_felis/S1/links/XC-ASB/cf-contig_784-XC-ASB.txt","XC-contig_197")</f>
        <v>XC-contig_197</v>
      </c>
      <c r="AC518">
        <v>0.15</v>
      </c>
      <c r="AD518" s="10" t="s">
        <v>4600</v>
      </c>
      <c r="AE518" t="s">
        <v>4601</v>
      </c>
      <c r="AI518" s="4" t="s">
        <v>42</v>
      </c>
      <c r="AJ518" t="s">
        <v>42</v>
      </c>
      <c r="AK518" t="s">
        <v>42</v>
      </c>
      <c r="AL518" t="s">
        <v>42</v>
      </c>
      <c r="AM518" t="s">
        <v>42</v>
      </c>
      <c r="AN518" t="s">
        <v>42</v>
      </c>
      <c r="AO518" t="s">
        <v>42</v>
      </c>
      <c r="AP518" t="s">
        <v>42</v>
      </c>
      <c r="AQ518" t="s">
        <v>42</v>
      </c>
      <c r="AR518" t="s">
        <v>42</v>
      </c>
      <c r="AS518" t="s">
        <v>42</v>
      </c>
      <c r="AT518" t="s">
        <v>42</v>
      </c>
      <c r="AU518" t="s">
        <v>42</v>
      </c>
      <c r="AV518" t="s">
        <v>42</v>
      </c>
      <c r="AW518" t="s">
        <v>42</v>
      </c>
      <c r="AX518" t="s">
        <v>42</v>
      </c>
      <c r="AY518" t="s">
        <v>42</v>
      </c>
      <c r="AZ518" t="s">
        <v>42</v>
      </c>
      <c r="BA518" s="4" t="s">
        <v>42</v>
      </c>
      <c r="BB518" t="s">
        <v>42</v>
      </c>
      <c r="BC518" t="s">
        <v>42</v>
      </c>
      <c r="BD518" t="s">
        <v>42</v>
      </c>
      <c r="BE518" t="s">
        <v>42</v>
      </c>
      <c r="BF518" t="s">
        <v>42</v>
      </c>
      <c r="BG518" t="s">
        <v>42</v>
      </c>
      <c r="BH518" t="s">
        <v>42</v>
      </c>
      <c r="BI518" t="s">
        <v>42</v>
      </c>
      <c r="BJ518" t="s">
        <v>42</v>
      </c>
      <c r="BK518" t="s">
        <v>42</v>
      </c>
      <c r="BL518" t="s">
        <v>42</v>
      </c>
      <c r="BM518" t="s">
        <v>42</v>
      </c>
      <c r="BN518" t="s">
        <v>42</v>
      </c>
      <c r="BO518" t="s">
        <v>42</v>
      </c>
      <c r="BP518" t="s">
        <v>42</v>
      </c>
      <c r="BQ518" t="s">
        <v>42</v>
      </c>
      <c r="BR518" t="s">
        <v>42</v>
      </c>
      <c r="BS518" s="4" t="str">
        <f>HYPERLINK("http://exon.niaid.nih.gov/transcriptome/C_felis/S1/links/CDD/cf-contig_784-CDD.txt","VKG_Carbox")</f>
        <v>VKG_Carbox</v>
      </c>
      <c r="BT518" t="str">
        <f>HYPERLINK("http://www.ncbi.nlm.nih.gov/Structure/cdd/cddsrv.cgi?uid=pfam05090&amp;version=v4.0","3.3")</f>
        <v>3.3</v>
      </c>
      <c r="BU518" t="s">
        <v>4511</v>
      </c>
      <c r="BV518" s="4" t="s">
        <v>42</v>
      </c>
      <c r="BW518" t="s">
        <v>42</v>
      </c>
      <c r="BX518" t="s">
        <v>42</v>
      </c>
      <c r="BY518" t="s">
        <v>42</v>
      </c>
      <c r="BZ518" t="s">
        <v>42</v>
      </c>
      <c r="CA518" t="s">
        <v>42</v>
      </c>
      <c r="CB518" t="s">
        <v>42</v>
      </c>
      <c r="CC518" t="s">
        <v>42</v>
      </c>
      <c r="CD518" t="s">
        <v>42</v>
      </c>
      <c r="CE518" t="s">
        <v>42</v>
      </c>
      <c r="CF518" t="s">
        <v>42</v>
      </c>
      <c r="CG518" t="s">
        <v>42</v>
      </c>
      <c r="CH518" t="s">
        <v>42</v>
      </c>
      <c r="CI518" t="s">
        <v>42</v>
      </c>
      <c r="CJ518" t="s">
        <v>42</v>
      </c>
      <c r="CK518" t="s">
        <v>42</v>
      </c>
      <c r="CL518" t="s">
        <v>42</v>
      </c>
      <c r="CM518" t="s">
        <v>42</v>
      </c>
      <c r="CN518" t="s">
        <v>42</v>
      </c>
      <c r="CO518" t="s">
        <v>42</v>
      </c>
      <c r="CP518" t="s">
        <v>42</v>
      </c>
      <c r="CQ518" t="s">
        <v>42</v>
      </c>
      <c r="CR518" t="s">
        <v>42</v>
      </c>
      <c r="CS518" s="4" t="s">
        <v>42</v>
      </c>
      <c r="CT518" t="s">
        <v>42</v>
      </c>
      <c r="CU518" t="s">
        <v>42</v>
      </c>
      <c r="CV518" s="4" t="str">
        <f>HYPERLINK("http://exon.niaid.nih.gov/transcriptome/C_felis/S1/links/PFAM/cf-contig_784-PFAM.txt","VKG_Carbox")</f>
        <v>VKG_Carbox</v>
      </c>
      <c r="CW518" t="str">
        <f>HYPERLINK("http://pfam.sanger.ac.uk/family?acc=PF05090","0.70")</f>
        <v>0.70</v>
      </c>
      <c r="CX518" s="4" t="str">
        <f>HYPERLINK("http://exon.niaid.nih.gov/transcriptome/C_felis/S1/links/SMART/cf-contig_784-SMART.txt","TLC")</f>
        <v>TLC</v>
      </c>
      <c r="CY518" t="str">
        <f>HYPERLINK("http://smart.embl-heidelberg.de/smart/do_annotation.pl?DOMAIN=TLC&amp;BLAST=DUMMY","4.5")</f>
        <v>4.5</v>
      </c>
      <c r="CZ518" s="4" t="s">
        <v>42</v>
      </c>
      <c r="DA518" t="s">
        <v>42</v>
      </c>
      <c r="DB518" t="s">
        <v>42</v>
      </c>
      <c r="DC518" t="s">
        <v>42</v>
      </c>
      <c r="DD518" t="s">
        <v>42</v>
      </c>
      <c r="DE518" t="s">
        <v>42</v>
      </c>
      <c r="DF518" t="s">
        <v>42</v>
      </c>
      <c r="DG518" t="s">
        <v>42</v>
      </c>
      <c r="DH518" s="4" t="s">
        <v>42</v>
      </c>
      <c r="DI518" t="s">
        <v>42</v>
      </c>
      <c r="DJ518" s="4" t="s">
        <v>42</v>
      </c>
      <c r="DK518" t="s">
        <v>42</v>
      </c>
      <c r="DL518" s="4">
        <v>629</v>
      </c>
      <c r="DM518">
        <v>1</v>
      </c>
      <c r="DN518" s="4">
        <v>650</v>
      </c>
      <c r="DO518">
        <v>1</v>
      </c>
      <c r="DP518" s="4">
        <v>666</v>
      </c>
      <c r="DQ518">
        <v>1</v>
      </c>
      <c r="DR518" s="4">
        <v>688</v>
      </c>
      <c r="DS518">
        <v>1</v>
      </c>
      <c r="DT518" s="4">
        <v>704</v>
      </c>
      <c r="DU518">
        <v>1</v>
      </c>
      <c r="DV518" s="4">
        <v>719</v>
      </c>
      <c r="DW518">
        <v>1</v>
      </c>
      <c r="DX518" s="4">
        <v>733</v>
      </c>
      <c r="DY518">
        <v>1</v>
      </c>
      <c r="DZ518" s="4">
        <v>744</v>
      </c>
      <c r="EA518">
        <v>1</v>
      </c>
      <c r="EB518" s="4">
        <v>751</v>
      </c>
      <c r="EC518">
        <v>1</v>
      </c>
      <c r="ED518" s="4">
        <v>756</v>
      </c>
      <c r="EE518">
        <v>1</v>
      </c>
      <c r="EF518" s="4">
        <v>763</v>
      </c>
      <c r="EG518">
        <v>1</v>
      </c>
      <c r="EH518" s="4">
        <v>775</v>
      </c>
      <c r="EI518">
        <v>1</v>
      </c>
      <c r="EJ518" s="4">
        <v>784</v>
      </c>
      <c r="EK518">
        <v>1</v>
      </c>
    </row>
    <row r="519" spans="1:141" x14ac:dyDescent="0.2">
      <c r="A519" t="str">
        <f>HYPERLINK("http://exon.niaid.nih.gov/transcriptome/C_felis/S1/links/cf/cf-contig_786.txt","cf-contig_786")</f>
        <v>cf-contig_786</v>
      </c>
      <c r="B519">
        <v>1</v>
      </c>
      <c r="C519" s="10" t="s">
        <v>4600</v>
      </c>
      <c r="D519">
        <v>1</v>
      </c>
      <c r="E519" t="str">
        <f>HYPERLINK("http://exon.niaid.nih.gov/transcriptome/C_felis/S1/links/cf/cf-5-36-asb-786.txt","Contig-786")</f>
        <v>Contig-786</v>
      </c>
      <c r="F519" t="str">
        <f>HYPERLINK("http://exon.niaid.nih.gov/transcriptome/C_felis/S1/links/cf/cf-5-36-786-CLU.txt","Contig786")</f>
        <v>Contig786</v>
      </c>
      <c r="G519" t="str">
        <f>HYPERLINK("http://exon.niaid.nih.gov/transcriptome/C_felis/S1/links/cf/cf-5-36-786-qual.txt","34.3")</f>
        <v>34.3</v>
      </c>
      <c r="H519" t="s">
        <v>11</v>
      </c>
      <c r="I519">
        <v>75.3</v>
      </c>
      <c r="J519" t="s">
        <v>42</v>
      </c>
      <c r="K519" t="s">
        <v>12</v>
      </c>
      <c r="L519">
        <v>1</v>
      </c>
      <c r="M519" t="s">
        <v>799</v>
      </c>
      <c r="N519" t="s">
        <v>42</v>
      </c>
      <c r="O519">
        <v>85</v>
      </c>
      <c r="P519">
        <v>39</v>
      </c>
      <c r="Q519" t="s">
        <v>1605</v>
      </c>
      <c r="R519">
        <v>2</v>
      </c>
      <c r="S519" s="7" t="s">
        <v>4585</v>
      </c>
      <c r="U519">
        <v>1</v>
      </c>
      <c r="V519" s="4">
        <v>631</v>
      </c>
      <c r="W519">
        <v>1</v>
      </c>
      <c r="X519" s="4">
        <v>652</v>
      </c>
      <c r="Y519">
        <v>1</v>
      </c>
      <c r="Z519" s="4">
        <v>668</v>
      </c>
      <c r="AA519">
        <v>1</v>
      </c>
      <c r="AB519" s="4" t="str">
        <f>HYPERLINK("http://exon.niaid.nih.gov/transcriptome/C_felis/S1/links/XC-ASB/cf-contig_786-XC-ASB.txt","XC-contig_100")</f>
        <v>XC-contig_100</v>
      </c>
      <c r="AC519">
        <v>4.0000000000000001E-3</v>
      </c>
      <c r="AD519" s="10" t="s">
        <v>4600</v>
      </c>
      <c r="AE519" t="s">
        <v>4601</v>
      </c>
      <c r="AI519" s="4" t="s">
        <v>42</v>
      </c>
      <c r="AJ519" t="s">
        <v>42</v>
      </c>
      <c r="AK519" t="s">
        <v>42</v>
      </c>
      <c r="AL519" t="s">
        <v>42</v>
      </c>
      <c r="AM519" t="s">
        <v>42</v>
      </c>
      <c r="AN519" t="s">
        <v>42</v>
      </c>
      <c r="AO519" t="s">
        <v>42</v>
      </c>
      <c r="AP519" t="s">
        <v>42</v>
      </c>
      <c r="AQ519" t="s">
        <v>42</v>
      </c>
      <c r="AR519" t="s">
        <v>42</v>
      </c>
      <c r="AS519" t="s">
        <v>42</v>
      </c>
      <c r="AT519" t="s">
        <v>42</v>
      </c>
      <c r="AU519" t="s">
        <v>42</v>
      </c>
      <c r="AV519" t="s">
        <v>42</v>
      </c>
      <c r="AW519" t="s">
        <v>42</v>
      </c>
      <c r="AX519" t="s">
        <v>42</v>
      </c>
      <c r="AY519" t="s">
        <v>42</v>
      </c>
      <c r="AZ519" t="s">
        <v>42</v>
      </c>
      <c r="BA519" s="4" t="s">
        <v>42</v>
      </c>
      <c r="BB519" t="s">
        <v>42</v>
      </c>
      <c r="BC519" t="s">
        <v>42</v>
      </c>
      <c r="BD519" t="s">
        <v>42</v>
      </c>
      <c r="BE519" t="s">
        <v>42</v>
      </c>
      <c r="BF519" t="s">
        <v>42</v>
      </c>
      <c r="BG519" t="s">
        <v>42</v>
      </c>
      <c r="BH519" t="s">
        <v>42</v>
      </c>
      <c r="BI519" t="s">
        <v>42</v>
      </c>
      <c r="BJ519" t="s">
        <v>42</v>
      </c>
      <c r="BK519" t="s">
        <v>42</v>
      </c>
      <c r="BL519" t="s">
        <v>42</v>
      </c>
      <c r="BM519" t="s">
        <v>42</v>
      </c>
      <c r="BN519" t="s">
        <v>42</v>
      </c>
      <c r="BO519" t="s">
        <v>42</v>
      </c>
      <c r="BP519" t="s">
        <v>42</v>
      </c>
      <c r="BQ519" t="s">
        <v>42</v>
      </c>
      <c r="BR519" t="s">
        <v>42</v>
      </c>
      <c r="BS519" s="4" t="str">
        <f>HYPERLINK("http://exon.niaid.nih.gov/transcriptome/C_felis/S1/links/CDD/cf-contig_786-CDD.txt","GT8_like_2")</f>
        <v>GT8_like_2</v>
      </c>
      <c r="BT519" t="str">
        <f>HYPERLINK("http://www.ncbi.nlm.nih.gov/Structure/cdd/cddsrv.cgi?uid=cd06430&amp;version=v4.0","2.4")</f>
        <v>2.4</v>
      </c>
      <c r="BU519" t="s">
        <v>4515</v>
      </c>
      <c r="BV519" s="4" t="s">
        <v>42</v>
      </c>
      <c r="BW519" t="s">
        <v>42</v>
      </c>
      <c r="BX519" t="s">
        <v>42</v>
      </c>
      <c r="BY519" t="s">
        <v>42</v>
      </c>
      <c r="BZ519" t="s">
        <v>42</v>
      </c>
      <c r="CA519" t="s">
        <v>42</v>
      </c>
      <c r="CB519" t="s">
        <v>42</v>
      </c>
      <c r="CC519" t="s">
        <v>42</v>
      </c>
      <c r="CD519" t="s">
        <v>42</v>
      </c>
      <c r="CE519" t="s">
        <v>42</v>
      </c>
      <c r="CF519" t="s">
        <v>42</v>
      </c>
      <c r="CG519" t="s">
        <v>42</v>
      </c>
      <c r="CH519" t="s">
        <v>42</v>
      </c>
      <c r="CI519" t="s">
        <v>42</v>
      </c>
      <c r="CJ519" t="s">
        <v>42</v>
      </c>
      <c r="CK519" t="s">
        <v>42</v>
      </c>
      <c r="CL519" t="s">
        <v>42</v>
      </c>
      <c r="CM519" t="s">
        <v>42</v>
      </c>
      <c r="CN519" t="s">
        <v>42</v>
      </c>
      <c r="CO519" t="s">
        <v>42</v>
      </c>
      <c r="CP519" t="s">
        <v>42</v>
      </c>
      <c r="CQ519" t="s">
        <v>42</v>
      </c>
      <c r="CR519" t="s">
        <v>42</v>
      </c>
      <c r="CS519" s="4" t="s">
        <v>42</v>
      </c>
      <c r="CT519" t="s">
        <v>42</v>
      </c>
      <c r="CU519" t="s">
        <v>42</v>
      </c>
      <c r="CV519" s="4" t="str">
        <f>HYPERLINK("http://exon.niaid.nih.gov/transcriptome/C_felis/S1/links/PFAM/cf-contig_786-PFAM.txt","DUF2248")</f>
        <v>DUF2248</v>
      </c>
      <c r="CW519" t="str">
        <f>HYPERLINK("http://pfam.sanger.ac.uk/family?acc=PF10005","1.2")</f>
        <v>1.2</v>
      </c>
      <c r="CX519" s="4" t="str">
        <f>HYPERLINK("http://exon.niaid.nih.gov/transcriptome/C_felis/S1/links/SMART/cf-contig_786-SMART.txt","Tryp_SPc")</f>
        <v>Tryp_SPc</v>
      </c>
      <c r="CY519" t="str">
        <f>HYPERLINK("http://smart.embl-heidelberg.de/smart/do_annotation.pl?DOMAIN=Tryp_SPc&amp;BLAST=DUMMY","0.76")</f>
        <v>0.76</v>
      </c>
      <c r="CZ519" s="4" t="s">
        <v>42</v>
      </c>
      <c r="DA519" t="s">
        <v>42</v>
      </c>
      <c r="DB519" t="s">
        <v>42</v>
      </c>
      <c r="DC519" t="s">
        <v>42</v>
      </c>
      <c r="DD519" t="s">
        <v>42</v>
      </c>
      <c r="DE519" t="s">
        <v>42</v>
      </c>
      <c r="DF519" t="s">
        <v>42</v>
      </c>
      <c r="DG519" t="s">
        <v>42</v>
      </c>
      <c r="DH519" s="4" t="s">
        <v>42</v>
      </c>
      <c r="DI519" t="s">
        <v>42</v>
      </c>
      <c r="DJ519" s="4" t="s">
        <v>42</v>
      </c>
      <c r="DK519" t="s">
        <v>42</v>
      </c>
      <c r="DL519" s="4">
        <v>631</v>
      </c>
      <c r="DM519">
        <v>1</v>
      </c>
      <c r="DN519" s="4">
        <v>652</v>
      </c>
      <c r="DO519">
        <v>1</v>
      </c>
      <c r="DP519" s="4">
        <v>668</v>
      </c>
      <c r="DQ519">
        <v>1</v>
      </c>
      <c r="DR519" s="4">
        <v>690</v>
      </c>
      <c r="DS519">
        <v>1</v>
      </c>
      <c r="DT519" s="4">
        <v>706</v>
      </c>
      <c r="DU519">
        <v>1</v>
      </c>
      <c r="DV519" s="4">
        <v>721</v>
      </c>
      <c r="DW519">
        <v>1</v>
      </c>
      <c r="DX519" s="4">
        <v>735</v>
      </c>
      <c r="DY519">
        <v>1</v>
      </c>
      <c r="DZ519" s="4">
        <v>746</v>
      </c>
      <c r="EA519">
        <v>1</v>
      </c>
      <c r="EB519" s="4">
        <v>753</v>
      </c>
      <c r="EC519">
        <v>1</v>
      </c>
      <c r="ED519" s="4">
        <v>758</v>
      </c>
      <c r="EE519">
        <v>1</v>
      </c>
      <c r="EF519" s="4">
        <v>765</v>
      </c>
      <c r="EG519">
        <v>1</v>
      </c>
      <c r="EH519" s="4">
        <v>777</v>
      </c>
      <c r="EI519">
        <v>1</v>
      </c>
      <c r="EJ519" s="4">
        <v>786</v>
      </c>
      <c r="EK519">
        <v>1</v>
      </c>
    </row>
    <row r="520" spans="1:141" x14ac:dyDescent="0.2">
      <c r="A520" t="str">
        <f>HYPERLINK("http://exon.niaid.nih.gov/transcriptome/C_felis/S1/links/cf/cf-contig_793.txt","cf-contig_793")</f>
        <v>cf-contig_793</v>
      </c>
      <c r="B520">
        <v>1</v>
      </c>
      <c r="C520" s="10" t="s">
        <v>4600</v>
      </c>
      <c r="D520">
        <v>1</v>
      </c>
      <c r="E520" t="str">
        <f>HYPERLINK("http://exon.niaid.nih.gov/transcriptome/C_felis/S1/links/cf/cf-5-36-asb-793.txt","Contig-793")</f>
        <v>Contig-793</v>
      </c>
      <c r="F520" t="str">
        <f>HYPERLINK("http://exon.niaid.nih.gov/transcriptome/C_felis/S1/links/cf/cf-5-36-793-CLU.txt","Contig793")</f>
        <v>Contig793</v>
      </c>
      <c r="G520" t="str">
        <f>HYPERLINK("http://exon.niaid.nih.gov/transcriptome/C_felis/S1/links/cf/cf-5-36-793-qual.txt","41.5")</f>
        <v>41.5</v>
      </c>
      <c r="H520" t="s">
        <v>11</v>
      </c>
      <c r="I520">
        <v>66.7</v>
      </c>
      <c r="J520">
        <v>98</v>
      </c>
      <c r="K520" t="s">
        <v>12</v>
      </c>
      <c r="L520">
        <v>1</v>
      </c>
      <c r="M520" t="s">
        <v>806</v>
      </c>
      <c r="N520">
        <v>98</v>
      </c>
      <c r="O520">
        <v>117</v>
      </c>
      <c r="P520">
        <v>78</v>
      </c>
      <c r="Q520" t="s">
        <v>1612</v>
      </c>
      <c r="R520">
        <v>1</v>
      </c>
      <c r="S520" s="7" t="s">
        <v>4585</v>
      </c>
      <c r="U520">
        <v>1</v>
      </c>
      <c r="V520" s="4">
        <v>637</v>
      </c>
      <c r="W520">
        <v>1</v>
      </c>
      <c r="X520" s="4">
        <v>658</v>
      </c>
      <c r="Y520">
        <v>1</v>
      </c>
      <c r="Z520" s="4">
        <v>674</v>
      </c>
      <c r="AA520">
        <v>1</v>
      </c>
      <c r="AB520" s="4" t="str">
        <f>HYPERLINK("http://exon.niaid.nih.gov/transcriptome/C_felis/S1/links/XC-ASB/cf-contig_793-XC-ASB.txt","XC-contig_158")</f>
        <v>XC-contig_158</v>
      </c>
      <c r="AC520">
        <v>0.11</v>
      </c>
      <c r="AD520" s="10" t="s">
        <v>4600</v>
      </c>
      <c r="AE520" t="s">
        <v>4601</v>
      </c>
      <c r="AI520" s="4" t="s">
        <v>42</v>
      </c>
      <c r="AJ520" t="s">
        <v>42</v>
      </c>
      <c r="AK520" t="s">
        <v>42</v>
      </c>
      <c r="AL520" t="s">
        <v>42</v>
      </c>
      <c r="AM520" t="s">
        <v>42</v>
      </c>
      <c r="AN520" t="s">
        <v>42</v>
      </c>
      <c r="AO520" t="s">
        <v>42</v>
      </c>
      <c r="AP520" t="s">
        <v>42</v>
      </c>
      <c r="AQ520" t="s">
        <v>42</v>
      </c>
      <c r="AR520" t="s">
        <v>42</v>
      </c>
      <c r="AS520" t="s">
        <v>42</v>
      </c>
      <c r="AT520" t="s">
        <v>42</v>
      </c>
      <c r="AU520" t="s">
        <v>42</v>
      </c>
      <c r="AV520" t="s">
        <v>42</v>
      </c>
      <c r="AW520" t="s">
        <v>42</v>
      </c>
      <c r="AX520" t="s">
        <v>42</v>
      </c>
      <c r="AY520" t="s">
        <v>42</v>
      </c>
      <c r="AZ520" t="s">
        <v>42</v>
      </c>
      <c r="BA520" s="4" t="s">
        <v>42</v>
      </c>
      <c r="BB520" t="s">
        <v>42</v>
      </c>
      <c r="BC520" t="s">
        <v>42</v>
      </c>
      <c r="BD520" t="s">
        <v>42</v>
      </c>
      <c r="BE520" t="s">
        <v>42</v>
      </c>
      <c r="BF520" t="s">
        <v>42</v>
      </c>
      <c r="BG520" t="s">
        <v>42</v>
      </c>
      <c r="BH520" t="s">
        <v>42</v>
      </c>
      <c r="BI520" t="s">
        <v>42</v>
      </c>
      <c r="BJ520" t="s">
        <v>42</v>
      </c>
      <c r="BK520" t="s">
        <v>42</v>
      </c>
      <c r="BL520" t="s">
        <v>42</v>
      </c>
      <c r="BM520" t="s">
        <v>42</v>
      </c>
      <c r="BN520" t="s">
        <v>42</v>
      </c>
      <c r="BO520" t="s">
        <v>42</v>
      </c>
      <c r="BP520" t="s">
        <v>42</v>
      </c>
      <c r="BQ520" t="s">
        <v>42</v>
      </c>
      <c r="BR520" t="s">
        <v>42</v>
      </c>
      <c r="BS520" s="4" t="str">
        <f>HYPERLINK("http://exon.niaid.nih.gov/transcriptome/C_felis/S1/links/CDD/cf-contig_793-CDD.txt","PRK00635")</f>
        <v>PRK00635</v>
      </c>
      <c r="BT520" t="str">
        <f>HYPERLINK("http://www.ncbi.nlm.nih.gov/Structure/cdd/cddsrv.cgi?uid=PRK00635&amp;version=v4.0","5.2")</f>
        <v>5.2</v>
      </c>
      <c r="BU520" t="s">
        <v>4538</v>
      </c>
      <c r="BV520" s="4" t="s">
        <v>42</v>
      </c>
      <c r="BW520" t="s">
        <v>42</v>
      </c>
      <c r="BX520" t="s">
        <v>42</v>
      </c>
      <c r="BY520" t="s">
        <v>42</v>
      </c>
      <c r="BZ520" t="s">
        <v>42</v>
      </c>
      <c r="CA520" t="s">
        <v>42</v>
      </c>
      <c r="CB520" t="s">
        <v>42</v>
      </c>
      <c r="CC520" t="s">
        <v>42</v>
      </c>
      <c r="CD520" t="s">
        <v>42</v>
      </c>
      <c r="CE520" t="s">
        <v>42</v>
      </c>
      <c r="CF520" t="s">
        <v>42</v>
      </c>
      <c r="CG520" t="s">
        <v>42</v>
      </c>
      <c r="CH520" t="s">
        <v>42</v>
      </c>
      <c r="CI520" t="s">
        <v>42</v>
      </c>
      <c r="CJ520" t="s">
        <v>42</v>
      </c>
      <c r="CK520" t="s">
        <v>42</v>
      </c>
      <c r="CL520" t="s">
        <v>42</v>
      </c>
      <c r="CM520" t="s">
        <v>42</v>
      </c>
      <c r="CN520" t="s">
        <v>42</v>
      </c>
      <c r="CO520" t="s">
        <v>42</v>
      </c>
      <c r="CP520" t="s">
        <v>42</v>
      </c>
      <c r="CQ520" t="s">
        <v>42</v>
      </c>
      <c r="CR520" t="s">
        <v>42</v>
      </c>
      <c r="CS520" s="4" t="str">
        <f>HYPERLINK("http://exon.niaid.nih.gov/transcriptome/C_felis/S1/links/KOG/cf-contig_793-KOG.txt","Mitochondrial associated endoribonuclease MAR1 (isochorismatase superfamily)")</f>
        <v>Mitochondrial associated endoribonuclease MAR1 (isochorismatase superfamily)</v>
      </c>
      <c r="CT520" t="str">
        <f>HYPERLINK("http://www.ncbi.nlm.nih.gov/COG/grace/shokog.cgi?KOG4044","7.7")</f>
        <v>7.7</v>
      </c>
      <c r="CU520" t="s">
        <v>1721</v>
      </c>
      <c r="CV520" s="4" t="str">
        <f>HYPERLINK("http://exon.niaid.nih.gov/transcriptome/C_felis/S1/links/PFAM/cf-contig_793-PFAM.txt","Na_K-ATPase")</f>
        <v>Na_K-ATPase</v>
      </c>
      <c r="CW520" t="str">
        <f>HYPERLINK("http://pfam.sanger.ac.uk/family?acc=PF00287","2.1")</f>
        <v>2.1</v>
      </c>
      <c r="CX520" s="4" t="str">
        <f>HYPERLINK("http://exon.niaid.nih.gov/transcriptome/C_felis/S1/links/SMART/cf-contig_793-SMART.txt","ZnF_C4")</f>
        <v>ZnF_C4</v>
      </c>
      <c r="CY520" t="str">
        <f>HYPERLINK("http://smart.embl-heidelberg.de/smart/do_annotation.pl?DOMAIN=ZnF_C4&amp;BLAST=DUMMY","1.5")</f>
        <v>1.5</v>
      </c>
      <c r="CZ520" s="4" t="s">
        <v>42</v>
      </c>
      <c r="DA520" t="s">
        <v>42</v>
      </c>
      <c r="DB520" t="s">
        <v>42</v>
      </c>
      <c r="DC520" t="s">
        <v>42</v>
      </c>
      <c r="DD520" t="s">
        <v>42</v>
      </c>
      <c r="DE520" t="s">
        <v>42</v>
      </c>
      <c r="DF520" t="s">
        <v>42</v>
      </c>
      <c r="DG520" t="s">
        <v>42</v>
      </c>
      <c r="DH520" s="4" t="s">
        <v>42</v>
      </c>
      <c r="DI520" t="s">
        <v>42</v>
      </c>
      <c r="DJ520" s="4" t="s">
        <v>42</v>
      </c>
      <c r="DK520" t="s">
        <v>42</v>
      </c>
      <c r="DL520" s="4">
        <v>637</v>
      </c>
      <c r="DM520">
        <v>1</v>
      </c>
      <c r="DN520" s="4">
        <v>658</v>
      </c>
      <c r="DO520">
        <v>1</v>
      </c>
      <c r="DP520" s="4">
        <v>674</v>
      </c>
      <c r="DQ520">
        <v>1</v>
      </c>
      <c r="DR520" s="4">
        <v>696</v>
      </c>
      <c r="DS520">
        <v>1</v>
      </c>
      <c r="DT520" s="4">
        <v>712</v>
      </c>
      <c r="DU520">
        <v>1</v>
      </c>
      <c r="DV520" s="4">
        <v>727</v>
      </c>
      <c r="DW520">
        <v>1</v>
      </c>
      <c r="DX520" s="4">
        <v>741</v>
      </c>
      <c r="DY520">
        <v>1</v>
      </c>
      <c r="DZ520" s="4">
        <v>753</v>
      </c>
      <c r="EA520">
        <v>1</v>
      </c>
      <c r="EB520" s="4">
        <v>760</v>
      </c>
      <c r="EC520">
        <v>1</v>
      </c>
      <c r="ED520" s="4">
        <v>765</v>
      </c>
      <c r="EE520">
        <v>1</v>
      </c>
      <c r="EF520" s="4">
        <v>772</v>
      </c>
      <c r="EG520">
        <v>1</v>
      </c>
      <c r="EH520" s="4">
        <v>784</v>
      </c>
      <c r="EI520">
        <v>1</v>
      </c>
      <c r="EJ520" s="4">
        <v>793</v>
      </c>
      <c r="EK520">
        <v>1</v>
      </c>
    </row>
    <row r="521" spans="1:141" x14ac:dyDescent="0.2">
      <c r="A521" t="str">
        <f>HYPERLINK("http://exon.niaid.nih.gov/transcriptome/C_felis/S1/links/cf/cf-contig_803.txt","cf-contig_803")</f>
        <v>cf-contig_803</v>
      </c>
      <c r="B521">
        <v>1</v>
      </c>
      <c r="C521" s="10" t="s">
        <v>4600</v>
      </c>
      <c r="D521">
        <v>1</v>
      </c>
      <c r="E521" t="str">
        <f>HYPERLINK("http://exon.niaid.nih.gov/transcriptome/C_felis/S1/links/cf/cf-5-36-asb-803.txt","Contig-803")</f>
        <v>Contig-803</v>
      </c>
      <c r="F521" t="str">
        <f>HYPERLINK("http://exon.niaid.nih.gov/transcriptome/C_felis/S1/links/cf/cf-5-36-803-CLU.txt","Contig803")</f>
        <v>Contig803</v>
      </c>
      <c r="G521" t="str">
        <f>HYPERLINK("http://exon.niaid.nih.gov/transcriptome/C_felis/S1/links/cf/cf-5-36-803-qual.txt","61.7")</f>
        <v>61.7</v>
      </c>
      <c r="H521" t="s">
        <v>11</v>
      </c>
      <c r="I521">
        <v>72.7</v>
      </c>
      <c r="J521">
        <v>142</v>
      </c>
      <c r="K521" t="s">
        <v>12</v>
      </c>
      <c r="L521">
        <v>1</v>
      </c>
      <c r="M521" t="s">
        <v>816</v>
      </c>
      <c r="N521">
        <v>142</v>
      </c>
      <c r="O521">
        <v>161</v>
      </c>
      <c r="P521">
        <v>57</v>
      </c>
      <c r="Q521" t="s">
        <v>1622</v>
      </c>
      <c r="R521">
        <v>3</v>
      </c>
      <c r="S521" s="7" t="s">
        <v>4585</v>
      </c>
      <c r="U521">
        <v>1</v>
      </c>
      <c r="V521" s="4">
        <v>646</v>
      </c>
      <c r="W521">
        <v>1</v>
      </c>
      <c r="X521" s="4">
        <v>668</v>
      </c>
      <c r="Y521">
        <v>1</v>
      </c>
      <c r="Z521" s="4">
        <v>684</v>
      </c>
      <c r="AA521">
        <v>1</v>
      </c>
      <c r="AB521" s="4" t="str">
        <f>HYPERLINK("http://exon.niaid.nih.gov/transcriptome/C_felis/S1/links/XC-ASB/cf-contig_803-XC-ASB.txt","XC-contig_156")</f>
        <v>XC-contig_156</v>
      </c>
      <c r="AC521">
        <v>0.76</v>
      </c>
      <c r="AD521" s="10" t="s">
        <v>4600</v>
      </c>
      <c r="AE521" t="s">
        <v>4601</v>
      </c>
      <c r="AI521" s="4" t="s">
        <v>42</v>
      </c>
      <c r="AJ521" t="s">
        <v>42</v>
      </c>
      <c r="AK521" t="s">
        <v>42</v>
      </c>
      <c r="AL521" t="s">
        <v>42</v>
      </c>
      <c r="AM521" t="s">
        <v>42</v>
      </c>
      <c r="AN521" t="s">
        <v>42</v>
      </c>
      <c r="AO521" t="s">
        <v>42</v>
      </c>
      <c r="AP521" t="s">
        <v>42</v>
      </c>
      <c r="AQ521" t="s">
        <v>42</v>
      </c>
      <c r="AR521" t="s">
        <v>42</v>
      </c>
      <c r="AS521" t="s">
        <v>42</v>
      </c>
      <c r="AT521" t="s">
        <v>42</v>
      </c>
      <c r="AU521" t="s">
        <v>42</v>
      </c>
      <c r="AV521" t="s">
        <v>42</v>
      </c>
      <c r="AW521" t="s">
        <v>42</v>
      </c>
      <c r="AX521" t="s">
        <v>42</v>
      </c>
      <c r="AY521" t="s">
        <v>42</v>
      </c>
      <c r="AZ521" t="s">
        <v>42</v>
      </c>
      <c r="BA521" s="4" t="s">
        <v>42</v>
      </c>
      <c r="BB521" t="s">
        <v>42</v>
      </c>
      <c r="BC521" t="s">
        <v>42</v>
      </c>
      <c r="BD521" t="s">
        <v>42</v>
      </c>
      <c r="BE521" t="s">
        <v>42</v>
      </c>
      <c r="BF521" t="s">
        <v>42</v>
      </c>
      <c r="BG521" t="s">
        <v>42</v>
      </c>
      <c r="BH521" t="s">
        <v>42</v>
      </c>
      <c r="BI521" t="s">
        <v>42</v>
      </c>
      <c r="BJ521" t="s">
        <v>42</v>
      </c>
      <c r="BK521" t="s">
        <v>42</v>
      </c>
      <c r="BL521" t="s">
        <v>42</v>
      </c>
      <c r="BM521" t="s">
        <v>42</v>
      </c>
      <c r="BN521" t="s">
        <v>42</v>
      </c>
      <c r="BO521" t="s">
        <v>42</v>
      </c>
      <c r="BP521" t="s">
        <v>42</v>
      </c>
      <c r="BQ521" t="s">
        <v>42</v>
      </c>
      <c r="BR521" t="s">
        <v>42</v>
      </c>
      <c r="BS521" s="4" t="str">
        <f>HYPERLINK("http://exon.niaid.nih.gov/transcriptome/C_felis/S1/links/CDD/cf-contig_803-CDD.txt","GH20_chitobiase")</f>
        <v>GH20_chitobiase</v>
      </c>
      <c r="BT521" t="str">
        <f>HYPERLINK("http://www.ncbi.nlm.nih.gov/Structure/cdd/cddsrv.cgi?uid=cd06563&amp;version=v4.0","1.8")</f>
        <v>1.8</v>
      </c>
      <c r="BU521" t="s">
        <v>4572</v>
      </c>
      <c r="BV521" s="4" t="s">
        <v>42</v>
      </c>
      <c r="BW521" t="s">
        <v>42</v>
      </c>
      <c r="BX521" t="s">
        <v>42</v>
      </c>
      <c r="BY521" t="s">
        <v>42</v>
      </c>
      <c r="BZ521" t="s">
        <v>42</v>
      </c>
      <c r="CA521" t="s">
        <v>42</v>
      </c>
      <c r="CB521" t="s">
        <v>42</v>
      </c>
      <c r="CC521" t="s">
        <v>42</v>
      </c>
      <c r="CD521" t="s">
        <v>42</v>
      </c>
      <c r="CE521" t="s">
        <v>42</v>
      </c>
      <c r="CF521" t="s">
        <v>42</v>
      </c>
      <c r="CG521" t="s">
        <v>42</v>
      </c>
      <c r="CH521" t="s">
        <v>42</v>
      </c>
      <c r="CI521" t="s">
        <v>42</v>
      </c>
      <c r="CJ521" t="s">
        <v>42</v>
      </c>
      <c r="CK521" t="s">
        <v>42</v>
      </c>
      <c r="CL521" t="s">
        <v>42</v>
      </c>
      <c r="CM521" t="s">
        <v>42</v>
      </c>
      <c r="CN521" t="s">
        <v>42</v>
      </c>
      <c r="CO521" t="s">
        <v>42</v>
      </c>
      <c r="CP521" t="s">
        <v>42</v>
      </c>
      <c r="CQ521" t="s">
        <v>42</v>
      </c>
      <c r="CR521" t="s">
        <v>42</v>
      </c>
      <c r="CS521" s="4" t="s">
        <v>42</v>
      </c>
      <c r="CT521" t="s">
        <v>42</v>
      </c>
      <c r="CU521" t="s">
        <v>42</v>
      </c>
      <c r="CV521" s="4" t="str">
        <f>HYPERLINK("http://exon.niaid.nih.gov/transcriptome/C_felis/S1/links/PFAM/cf-contig_803-PFAM.txt","ORC3_N")</f>
        <v>ORC3_N</v>
      </c>
      <c r="CW521" t="str">
        <f>HYPERLINK("http://pfam.sanger.ac.uk/family?acc=PF07034","2.3")</f>
        <v>2.3</v>
      </c>
      <c r="CX521" s="4" t="str">
        <f>HYPERLINK("http://exon.niaid.nih.gov/transcriptome/C_felis/S1/links/SMART/cf-contig_803-SMART.txt","PCRF")</f>
        <v>PCRF</v>
      </c>
      <c r="CY521" t="str">
        <f>HYPERLINK("http://smart.embl-heidelberg.de/smart/do_annotation.pl?DOMAIN=PCRF&amp;BLAST=DUMMY","0.74")</f>
        <v>0.74</v>
      </c>
      <c r="CZ521" s="4" t="s">
        <v>42</v>
      </c>
      <c r="DA521" t="s">
        <v>42</v>
      </c>
      <c r="DB521" t="s">
        <v>42</v>
      </c>
      <c r="DC521" t="s">
        <v>42</v>
      </c>
      <c r="DD521" t="s">
        <v>42</v>
      </c>
      <c r="DE521" t="s">
        <v>42</v>
      </c>
      <c r="DF521" t="s">
        <v>42</v>
      </c>
      <c r="DG521" t="s">
        <v>42</v>
      </c>
      <c r="DH521" s="4" t="s">
        <v>42</v>
      </c>
      <c r="DI521" t="s">
        <v>42</v>
      </c>
      <c r="DJ521" s="4" t="s">
        <v>42</v>
      </c>
      <c r="DK521" t="s">
        <v>42</v>
      </c>
      <c r="DL521" s="4">
        <v>646</v>
      </c>
      <c r="DM521">
        <v>1</v>
      </c>
      <c r="DN521" s="4">
        <v>668</v>
      </c>
      <c r="DO521">
        <v>1</v>
      </c>
      <c r="DP521" s="4">
        <v>684</v>
      </c>
      <c r="DQ521">
        <v>1</v>
      </c>
      <c r="DR521" s="4">
        <v>706</v>
      </c>
      <c r="DS521">
        <v>1</v>
      </c>
      <c r="DT521" s="4">
        <v>722</v>
      </c>
      <c r="DU521">
        <v>1</v>
      </c>
      <c r="DV521" s="4">
        <v>737</v>
      </c>
      <c r="DW521">
        <v>1</v>
      </c>
      <c r="DX521" s="4">
        <v>751</v>
      </c>
      <c r="DY521">
        <v>1</v>
      </c>
      <c r="DZ521" s="4">
        <v>763</v>
      </c>
      <c r="EA521">
        <v>1</v>
      </c>
      <c r="EB521" s="4">
        <v>770</v>
      </c>
      <c r="EC521">
        <v>1</v>
      </c>
      <c r="ED521" s="4">
        <v>775</v>
      </c>
      <c r="EE521">
        <v>1</v>
      </c>
      <c r="EF521" s="4">
        <v>782</v>
      </c>
      <c r="EG521">
        <v>1</v>
      </c>
      <c r="EH521" s="4">
        <v>794</v>
      </c>
      <c r="EI521">
        <v>1</v>
      </c>
      <c r="EJ521" s="4">
        <v>803</v>
      </c>
      <c r="EK521">
        <v>1</v>
      </c>
    </row>
    <row r="522" spans="1:141" x14ac:dyDescent="0.2">
      <c r="A522" t="str">
        <f>HYPERLINK("http://exon.niaid.nih.gov/transcriptome/C_felis/S1/links/cf/cf-contig_444.txt","cf-contig_444")</f>
        <v>cf-contig_444</v>
      </c>
      <c r="B522">
        <v>1</v>
      </c>
      <c r="C522" s="10" t="s">
        <v>4600</v>
      </c>
      <c r="D522">
        <v>1</v>
      </c>
      <c r="E522" t="str">
        <f>HYPERLINK("http://exon.niaid.nih.gov/transcriptome/C_felis/S1/links/cf/cf-5-36-asb-444.txt","Contig-444")</f>
        <v>Contig-444</v>
      </c>
      <c r="F522" t="str">
        <f>HYPERLINK("http://exon.niaid.nih.gov/transcriptome/C_felis/S1/links/cf/cf-5-36-444-CLU.txt","Contig444")</f>
        <v>Contig444</v>
      </c>
      <c r="G522" t="str">
        <f>HYPERLINK("http://exon.niaid.nih.gov/transcriptome/C_felis/S1/links/cf/cf-5-36-444-qual.txt","64.7")</f>
        <v>64.7</v>
      </c>
      <c r="H522" t="s">
        <v>11</v>
      </c>
      <c r="I522">
        <v>70.2</v>
      </c>
      <c r="J522">
        <v>686</v>
      </c>
      <c r="K522" t="s">
        <v>12</v>
      </c>
      <c r="L522">
        <v>1</v>
      </c>
      <c r="M522" t="s">
        <v>457</v>
      </c>
      <c r="N522">
        <v>686</v>
      </c>
      <c r="O522">
        <v>705</v>
      </c>
      <c r="P522">
        <v>153</v>
      </c>
      <c r="Q522" t="s">
        <v>1263</v>
      </c>
      <c r="R522">
        <v>3</v>
      </c>
      <c r="S522" s="7" t="s">
        <v>4585</v>
      </c>
      <c r="U522">
        <v>1</v>
      </c>
      <c r="V522" s="4">
        <v>360</v>
      </c>
      <c r="W522">
        <v>1</v>
      </c>
      <c r="X522" s="4">
        <v>369</v>
      </c>
      <c r="Y522">
        <v>1</v>
      </c>
      <c r="Z522" s="4">
        <v>374</v>
      </c>
      <c r="AA522">
        <v>1</v>
      </c>
      <c r="AB522" s="4" t="str">
        <f>HYPERLINK("http://exon.niaid.nih.gov/transcriptome/C_felis/S1/links/XC-ASB/cf-contig_444-XC-ASB.txt","XC-contig_155")</f>
        <v>XC-contig_155</v>
      </c>
      <c r="AC522">
        <v>1.1000000000000001</v>
      </c>
      <c r="AD522" s="10" t="s">
        <v>4600</v>
      </c>
      <c r="AE522" t="s">
        <v>4601</v>
      </c>
      <c r="AI522" s="4" t="str">
        <f>HYPERLINK("http://exon.niaid.nih.gov/transcriptome/C_felis/S1/links/NR/cf-contig_444-NR.txt","hypothetical protein - Mycoplasma capricolum (fragment)")</f>
        <v>hypothetical protein - Mycoplasma capricolum (fragment)</v>
      </c>
      <c r="AJ522" t="str">
        <f>HYPERLINK("http://www.ncbi.nlm.nih.gov/sutils/blink.cgi?pid=629324","7.9")</f>
        <v>7.9</v>
      </c>
      <c r="AK522" t="str">
        <f>HYPERLINK("http://www.ncbi.nlm.nih.gov/protein/629324","gi|629324")</f>
        <v>gi|629324</v>
      </c>
      <c r="AL522">
        <v>35.4</v>
      </c>
      <c r="AM522">
        <v>48</v>
      </c>
      <c r="AN522">
        <v>80</v>
      </c>
      <c r="AO522">
        <v>38</v>
      </c>
      <c r="AP522">
        <v>61</v>
      </c>
      <c r="AQ522">
        <v>32</v>
      </c>
      <c r="AR522">
        <v>2</v>
      </c>
      <c r="AS522">
        <v>4</v>
      </c>
      <c r="AT522">
        <v>450</v>
      </c>
      <c r="AU522">
        <v>1</v>
      </c>
      <c r="AV522">
        <v>-2</v>
      </c>
      <c r="AW522" t="s">
        <v>12</v>
      </c>
      <c r="AY522" t="s">
        <v>1666</v>
      </c>
      <c r="AZ522" t="s">
        <v>42</v>
      </c>
      <c r="BA522" s="4" t="str">
        <f>HYPERLINK("http://exon.niaid.nih.gov/transcriptome/C_felis/S1/links/SWISSP/cf-contig_444-SWISSP.txt","Uncharacterized transmembrane protein DDB_G0291522")</f>
        <v>Uncharacterized transmembrane protein DDB_G0291522</v>
      </c>
      <c r="BB522" t="str">
        <f>HYPERLINK("http://www.uniprot.org/uniprot/Q54EG5","2.4")</f>
        <v>2.4</v>
      </c>
      <c r="BC522" t="s">
        <v>3264</v>
      </c>
      <c r="BD522">
        <v>32.700000000000003</v>
      </c>
      <c r="BE522">
        <v>49</v>
      </c>
      <c r="BF522">
        <v>175</v>
      </c>
      <c r="BG522">
        <v>34</v>
      </c>
      <c r="BH522">
        <v>29</v>
      </c>
      <c r="BI522">
        <v>33</v>
      </c>
      <c r="BJ522">
        <v>0</v>
      </c>
      <c r="BK522">
        <v>100</v>
      </c>
      <c r="BL522">
        <v>447</v>
      </c>
      <c r="BM522">
        <v>1</v>
      </c>
      <c r="BN522">
        <v>-2</v>
      </c>
      <c r="BO522" t="s">
        <v>12</v>
      </c>
      <c r="BQ522" t="s">
        <v>1666</v>
      </c>
      <c r="BR522" t="s">
        <v>1976</v>
      </c>
      <c r="BS522" s="4" t="str">
        <f>HYPERLINK("http://exon.niaid.nih.gov/transcriptome/C_felis/S1/links/CDD/cf-contig_444-CDD.txt","PHA03042")</f>
        <v>PHA03042</v>
      </c>
      <c r="BT522" t="str">
        <f>HYPERLINK("http://www.ncbi.nlm.nih.gov/Structure/cdd/cddsrv.cgi?uid=PHA03042&amp;version=v4.0","0.47")</f>
        <v>0.47</v>
      </c>
      <c r="BU522" t="s">
        <v>3265</v>
      </c>
      <c r="BV522" s="4" t="s">
        <v>42</v>
      </c>
      <c r="BW522" t="s">
        <v>42</v>
      </c>
      <c r="BX522" t="s">
        <v>42</v>
      </c>
      <c r="BY522" t="s">
        <v>42</v>
      </c>
      <c r="BZ522" t="s">
        <v>42</v>
      </c>
      <c r="CA522" t="s">
        <v>42</v>
      </c>
      <c r="CB522" t="s">
        <v>42</v>
      </c>
      <c r="CC522" t="s">
        <v>42</v>
      </c>
      <c r="CD522" t="s">
        <v>42</v>
      </c>
      <c r="CE522" t="s">
        <v>42</v>
      </c>
      <c r="CF522" t="s">
        <v>42</v>
      </c>
      <c r="CG522" t="s">
        <v>42</v>
      </c>
      <c r="CH522" t="s">
        <v>42</v>
      </c>
      <c r="CI522" t="s">
        <v>42</v>
      </c>
      <c r="CJ522" t="s">
        <v>42</v>
      </c>
      <c r="CK522" t="s">
        <v>42</v>
      </c>
      <c r="CL522" t="s">
        <v>42</v>
      </c>
      <c r="CM522" t="s">
        <v>42</v>
      </c>
      <c r="CN522" t="s">
        <v>42</v>
      </c>
      <c r="CO522" t="s">
        <v>42</v>
      </c>
      <c r="CP522" t="s">
        <v>42</v>
      </c>
      <c r="CQ522" t="s">
        <v>42</v>
      </c>
      <c r="CR522" t="s">
        <v>42</v>
      </c>
      <c r="CS522" s="4" t="str">
        <f>HYPERLINK("http://exon.niaid.nih.gov/transcriptome/C_felis/S1/links/KOG/cf-contig_444-KOG.txt","Proteins containing armadillo/beta-catenin-like repeat")</f>
        <v>Proteins containing armadillo/beta-catenin-like repeat</v>
      </c>
      <c r="CT522" t="str">
        <f>HYPERLINK("http://www.ncbi.nlm.nih.gov/COG/grace/shokog.cgi?KOG1293","0.66")</f>
        <v>0.66</v>
      </c>
      <c r="CU522" t="s">
        <v>1721</v>
      </c>
      <c r="CV522" s="4" t="str">
        <f>HYPERLINK("http://exon.niaid.nih.gov/transcriptome/C_felis/S1/links/PFAM/cf-contig_444-PFAM.txt","Frag1")</f>
        <v>Frag1</v>
      </c>
      <c r="CW522" t="str">
        <f>HYPERLINK("http://pfam.sanger.ac.uk/family?acc=PF10277","0.26")</f>
        <v>0.26</v>
      </c>
      <c r="CX522" s="4" t="str">
        <f>HYPERLINK("http://exon.niaid.nih.gov/transcriptome/C_felis/S1/links/SMART/cf-contig_444-SMART.txt","DWA")</f>
        <v>DWA</v>
      </c>
      <c r="CY522" t="str">
        <f>HYPERLINK("http://smart.embl-heidelberg.de/smart/do_annotation.pl?DOMAIN=DWA&amp;BLAST=DUMMY","0.35")</f>
        <v>0.35</v>
      </c>
      <c r="CZ522" s="4" t="s">
        <v>42</v>
      </c>
      <c r="DA522" t="s">
        <v>42</v>
      </c>
      <c r="DB522" t="s">
        <v>42</v>
      </c>
      <c r="DC522" t="s">
        <v>42</v>
      </c>
      <c r="DD522" t="s">
        <v>42</v>
      </c>
      <c r="DE522" t="s">
        <v>42</v>
      </c>
      <c r="DF522" t="s">
        <v>42</v>
      </c>
      <c r="DG522" t="s">
        <v>42</v>
      </c>
      <c r="DH522" s="4" t="s">
        <v>42</v>
      </c>
      <c r="DI522" t="s">
        <v>42</v>
      </c>
      <c r="DJ522" s="4" t="s">
        <v>42</v>
      </c>
      <c r="DK522" t="s">
        <v>42</v>
      </c>
      <c r="DL522" s="4">
        <v>360</v>
      </c>
      <c r="DM522">
        <v>1</v>
      </c>
      <c r="DN522" s="4">
        <v>369</v>
      </c>
      <c r="DO522">
        <v>1</v>
      </c>
      <c r="DP522" s="4">
        <v>374</v>
      </c>
      <c r="DQ522">
        <v>1</v>
      </c>
      <c r="DR522" s="4">
        <v>388</v>
      </c>
      <c r="DS522">
        <v>1</v>
      </c>
      <c r="DT522" s="4">
        <v>398</v>
      </c>
      <c r="DU522">
        <v>1</v>
      </c>
      <c r="DV522" s="4">
        <v>412</v>
      </c>
      <c r="DW522">
        <v>1</v>
      </c>
      <c r="DX522" s="4">
        <v>415</v>
      </c>
      <c r="DY522">
        <v>1</v>
      </c>
      <c r="DZ522" s="4">
        <v>420</v>
      </c>
      <c r="EA522">
        <v>1</v>
      </c>
      <c r="EB522" s="4">
        <v>425</v>
      </c>
      <c r="EC522">
        <v>1</v>
      </c>
      <c r="ED522" s="4">
        <v>429</v>
      </c>
      <c r="EE522">
        <v>1</v>
      </c>
      <c r="EF522" s="4">
        <v>434</v>
      </c>
      <c r="EG522">
        <v>1</v>
      </c>
      <c r="EH522" s="4">
        <v>438</v>
      </c>
      <c r="EI522">
        <v>1</v>
      </c>
      <c r="EJ522" s="4">
        <v>444</v>
      </c>
      <c r="EK522">
        <v>1</v>
      </c>
    </row>
    <row r="523" spans="1:141" x14ac:dyDescent="0.2">
      <c r="A523" t="str">
        <f>HYPERLINK("http://exon.niaid.nih.gov/transcriptome/C_felis/S1/links/cf/cf-contig_269.txt","cf-contig_269")</f>
        <v>cf-contig_269</v>
      </c>
      <c r="B523">
        <v>1</v>
      </c>
      <c r="C523" s="10" t="s">
        <v>4600</v>
      </c>
      <c r="D523">
        <v>1</v>
      </c>
      <c r="E523" t="str">
        <f>HYPERLINK("http://exon.niaid.nih.gov/transcriptome/C_felis/S1/links/cf/cf-5-36-asb-269.txt","Contig-269")</f>
        <v>Contig-269</v>
      </c>
      <c r="F523" t="str">
        <f>HYPERLINK("http://exon.niaid.nih.gov/transcriptome/C_felis/S1/links/cf/cf-5-36-269-CLU.txt","Contig269")</f>
        <v>Contig269</v>
      </c>
      <c r="G523" t="str">
        <f>HYPERLINK("http://exon.niaid.nih.gov/transcriptome/C_felis/S1/links/cf/cf-5-36-269-qual.txt","51.")</f>
        <v>51.</v>
      </c>
      <c r="H523" t="s">
        <v>11</v>
      </c>
      <c r="I523">
        <v>77.400000000000006</v>
      </c>
      <c r="J523">
        <v>127</v>
      </c>
      <c r="K523" t="s">
        <v>12</v>
      </c>
      <c r="L523">
        <v>1</v>
      </c>
      <c r="M523" t="s">
        <v>282</v>
      </c>
      <c r="N523">
        <v>127</v>
      </c>
      <c r="O523">
        <v>146</v>
      </c>
      <c r="P523">
        <v>66</v>
      </c>
      <c r="Q523" t="s">
        <v>1089</v>
      </c>
      <c r="R523">
        <v>2</v>
      </c>
      <c r="S523" s="7" t="s">
        <v>4585</v>
      </c>
      <c r="U523">
        <v>1</v>
      </c>
      <c r="V523" s="4">
        <f>HYPERLINK("http://exon.niaid.nih.gov/transcriptome/C_felis/S1/links/cluster/cf-5-36-asb30-50-Id-CLU61.txt", 61)</f>
        <v>61</v>
      </c>
      <c r="W523">
        <f>HYPERLINK("http://exon.niaid.nih.gov/transcriptome/C_felis/S1/links/cluster/cf-5-36-asb30-50-Id-CLTL61.txt", 2)</f>
        <v>2</v>
      </c>
      <c r="X523" s="4">
        <f>HYPERLINK("http://exon.niaid.nih.gov/transcriptome/C_felis/S1/links/cluster/cf-5-36-asb35-50-Id-CLU54.txt", 54)</f>
        <v>54</v>
      </c>
      <c r="Y523">
        <f>HYPERLINK("http://exon.niaid.nih.gov/transcriptome/C_felis/S1/links/cluster/cf-5-36-asb35-50-Id-CLTL54.txt", 2)</f>
        <v>2</v>
      </c>
      <c r="Z523" s="4">
        <f>HYPERLINK("http://exon.niaid.nih.gov/transcriptome/C_felis/S1/links/cluster/cf-5-36-asb40-50-Id-CLU50.txt", 50)</f>
        <v>50</v>
      </c>
      <c r="AA523">
        <f>HYPERLINK("http://exon.niaid.nih.gov/transcriptome/C_felis/S1/links/cluster/cf-5-36-asb40-50-Id-CLTL50.txt", 2)</f>
        <v>2</v>
      </c>
      <c r="AB523" s="4" t="str">
        <f>HYPERLINK("http://exon.niaid.nih.gov/transcriptome/C_felis/S1/links/XC-ASB/cf-contig_269-XC-ASB.txt","XC-contig_33")</f>
        <v>XC-contig_33</v>
      </c>
      <c r="AC523">
        <v>0.12</v>
      </c>
      <c r="AD523" s="10" t="s">
        <v>4600</v>
      </c>
      <c r="AE523" t="s">
        <v>4601</v>
      </c>
      <c r="AI523" s="4" t="str">
        <f>HYPERLINK("http://exon.niaid.nih.gov/transcriptome/C_felis/S1/links/NR/cf-contig_269-NR.txt","Putative membrane protein ycf1 C-terminal part")</f>
        <v>Putative membrane protein ycf1 C-terminal part</v>
      </c>
      <c r="AJ523" t="str">
        <f>HYPERLINK("http://www.ncbi.nlm.nih.gov/sutils/blink.cgi?pid=118574743","16")</f>
        <v>16</v>
      </c>
      <c r="AK523" t="str">
        <f>HYPERLINK("http://www.ncbi.nlm.nih.gov/protein/118574743","gi|118574743")</f>
        <v>gi|118574743</v>
      </c>
      <c r="AL523">
        <v>33.1</v>
      </c>
      <c r="AM523">
        <v>21</v>
      </c>
      <c r="AN523">
        <v>1535</v>
      </c>
      <c r="AO523">
        <v>63</v>
      </c>
      <c r="AP523">
        <v>1</v>
      </c>
      <c r="AQ523">
        <v>8</v>
      </c>
      <c r="AR523">
        <v>0</v>
      </c>
      <c r="AS523">
        <v>845</v>
      </c>
      <c r="AT523">
        <v>39</v>
      </c>
      <c r="AU523">
        <v>1</v>
      </c>
      <c r="AV523">
        <v>-1</v>
      </c>
      <c r="AW523" t="s">
        <v>12</v>
      </c>
      <c r="AX523">
        <v>4.7619999999999996</v>
      </c>
      <c r="AY523" t="s">
        <v>1666</v>
      </c>
      <c r="AZ523" t="s">
        <v>42</v>
      </c>
      <c r="BA523" s="4" t="str">
        <f>HYPERLINK("http://exon.niaid.nih.gov/transcriptome/C_felis/S1/links/SWISSP/cf-contig_269-SWISSP.txt","Putative membrane protein ycf1 C-terminal part")</f>
        <v>Putative membrane protein ycf1 C-terminal part</v>
      </c>
      <c r="BB523" t="str">
        <f>HYPERLINK("http://www.uniprot.org/uniprot/P0C262","0.57")</f>
        <v>0.57</v>
      </c>
      <c r="BC523" t="s">
        <v>2646</v>
      </c>
      <c r="BD523">
        <v>33.1</v>
      </c>
      <c r="BE523">
        <v>21</v>
      </c>
      <c r="BF523">
        <v>1535</v>
      </c>
      <c r="BG523">
        <v>63</v>
      </c>
      <c r="BH523">
        <v>1</v>
      </c>
      <c r="BI523">
        <v>8</v>
      </c>
      <c r="BJ523">
        <v>0</v>
      </c>
      <c r="BK523">
        <v>845</v>
      </c>
      <c r="BL523">
        <v>39</v>
      </c>
      <c r="BM523">
        <v>1</v>
      </c>
      <c r="BN523">
        <v>-1</v>
      </c>
      <c r="BO523" t="s">
        <v>12</v>
      </c>
      <c r="BP523">
        <v>4.7619999999999996</v>
      </c>
      <c r="BQ523" t="s">
        <v>1666</v>
      </c>
      <c r="BR523" t="s">
        <v>2647</v>
      </c>
      <c r="BS523" s="4" t="str">
        <f>HYPERLINK("http://exon.niaid.nih.gov/transcriptome/C_felis/S1/links/CDD/cf-contig_269-CDD.txt","GPDPase_memb")</f>
        <v>GPDPase_memb</v>
      </c>
      <c r="BT523" t="str">
        <f>HYPERLINK("http://www.ncbi.nlm.nih.gov/Structure/cdd/cddsrv.cgi?uid=pfam10110&amp;version=v4.0","0.36")</f>
        <v>0.36</v>
      </c>
      <c r="BU523" t="s">
        <v>2648</v>
      </c>
      <c r="BV523" s="4" t="s">
        <v>42</v>
      </c>
      <c r="BW523" t="s">
        <v>42</v>
      </c>
      <c r="BX523" t="s">
        <v>42</v>
      </c>
      <c r="BY523" t="s">
        <v>42</v>
      </c>
      <c r="BZ523" t="s">
        <v>42</v>
      </c>
      <c r="CA523" t="s">
        <v>42</v>
      </c>
      <c r="CB523" t="s">
        <v>42</v>
      </c>
      <c r="CC523" t="s">
        <v>42</v>
      </c>
      <c r="CD523" t="s">
        <v>42</v>
      </c>
      <c r="CE523" t="s">
        <v>42</v>
      </c>
      <c r="CF523" t="s">
        <v>42</v>
      </c>
      <c r="CG523" t="s">
        <v>42</v>
      </c>
      <c r="CH523" t="s">
        <v>42</v>
      </c>
      <c r="CI523" t="s">
        <v>42</v>
      </c>
      <c r="CJ523" t="s">
        <v>42</v>
      </c>
      <c r="CK523" t="s">
        <v>42</v>
      </c>
      <c r="CL523" t="s">
        <v>42</v>
      </c>
      <c r="CM523" t="s">
        <v>42</v>
      </c>
      <c r="CN523" t="s">
        <v>42</v>
      </c>
      <c r="CO523" t="s">
        <v>42</v>
      </c>
      <c r="CP523" t="s">
        <v>42</v>
      </c>
      <c r="CQ523" t="s">
        <v>42</v>
      </c>
      <c r="CR523" t="s">
        <v>42</v>
      </c>
      <c r="CS523" s="4" t="str">
        <f>HYPERLINK("http://exon.niaid.nih.gov/transcriptome/C_felis/S1/links/KOG/cf-contig_269-KOG.txt","O-acetyltransferase")</f>
        <v>O-acetyltransferase</v>
      </c>
      <c r="CT523" t="str">
        <f>HYPERLINK("http://www.ncbi.nlm.nih.gov/COG/grace/shokog.cgi?KOG1699","0.65")</f>
        <v>0.65</v>
      </c>
      <c r="CU523" t="s">
        <v>1721</v>
      </c>
      <c r="CV523" s="4" t="str">
        <f>HYPERLINK("http://exon.niaid.nih.gov/transcriptome/C_felis/S1/links/PFAM/cf-contig_269-PFAM.txt","GPDPase_memb")</f>
        <v>GPDPase_memb</v>
      </c>
      <c r="CW523" t="str">
        <f>HYPERLINK("http://pfam.sanger.ac.uk/family?acc=PF10110","0.076")</f>
        <v>0.076</v>
      </c>
      <c r="CX523" s="4" t="str">
        <f>HYPERLINK("http://exon.niaid.nih.gov/transcriptome/C_felis/S1/links/SMART/cf-contig_269-SMART.txt","TR_FER")</f>
        <v>TR_FER</v>
      </c>
      <c r="CY523" t="str">
        <f>HYPERLINK("http://smart.embl-heidelberg.de/smart/do_annotation.pl?DOMAIN=TR_FER&amp;BLAST=DUMMY","0.16")</f>
        <v>0.16</v>
      </c>
      <c r="CZ523" s="4" t="s">
        <v>42</v>
      </c>
      <c r="DA523" t="s">
        <v>42</v>
      </c>
      <c r="DB523" t="s">
        <v>42</v>
      </c>
      <c r="DC523" t="s">
        <v>42</v>
      </c>
      <c r="DD523" t="s">
        <v>42</v>
      </c>
      <c r="DE523" t="s">
        <v>42</v>
      </c>
      <c r="DF523" t="s">
        <v>42</v>
      </c>
      <c r="DG523" t="s">
        <v>42</v>
      </c>
      <c r="DH523" s="4" t="s">
        <v>42</v>
      </c>
      <c r="DI523" t="s">
        <v>42</v>
      </c>
      <c r="DJ523" s="4" t="s">
        <v>42</v>
      </c>
      <c r="DK523" t="s">
        <v>42</v>
      </c>
      <c r="DL523" s="4">
        <f>HYPERLINK("http://exon.niaid.nih.gov/transcriptome/C_felis/S1/links/cluster/cf-5-36-asb30-50-Id-CLU61.txt", 61)</f>
        <v>61</v>
      </c>
      <c r="DM523">
        <f>HYPERLINK("http://exon.niaid.nih.gov/transcriptome/C_felis/S1/links/cluster/cf-5-36-asb30-50-Id-CLTL61.txt", 2)</f>
        <v>2</v>
      </c>
      <c r="DN523" s="4">
        <f>HYPERLINK("http://exon.niaid.nih.gov/transcriptome/C_felis/S1/links/cluster/cf-5-36-asb35-50-Id-CLU54.txt", 54)</f>
        <v>54</v>
      </c>
      <c r="DO523">
        <f>HYPERLINK("http://exon.niaid.nih.gov/transcriptome/C_felis/S1/links/cluster/cf-5-36-asb35-50-Id-CLTL54.txt", 2)</f>
        <v>2</v>
      </c>
      <c r="DP523" s="4">
        <f>HYPERLINK("http://exon.niaid.nih.gov/transcriptome/C_felis/S1/links/cluster/cf-5-36-asb40-50-Id-CLU50.txt", 50)</f>
        <v>50</v>
      </c>
      <c r="DQ523">
        <f>HYPERLINK("http://exon.niaid.nih.gov/transcriptome/C_felis/S1/links/cluster/cf-5-36-asb40-50-Id-CLTL50.txt", 2)</f>
        <v>2</v>
      </c>
      <c r="DR523" s="4">
        <f>HYPERLINK("http://exon.niaid.nih.gov/transcriptome/C_felis/S1/links/cluster/cf-5-36-asb45-50-Id-CLU41.txt", 41)</f>
        <v>41</v>
      </c>
      <c r="DS523">
        <f>HYPERLINK("http://exon.niaid.nih.gov/transcriptome/C_felis/S1/links/cluster/cf-5-36-asb45-50-Id-CLTL41.txt", 2)</f>
        <v>2</v>
      </c>
      <c r="DT523" s="4">
        <f>HYPERLINK("http://exon.niaid.nih.gov/transcriptome/C_felis/S1/links/cluster/cf-5-36-asb50-50-Id-CLU36.txt", 36)</f>
        <v>36</v>
      </c>
      <c r="DU523">
        <f>HYPERLINK("http://exon.niaid.nih.gov/transcriptome/C_felis/S1/links/cluster/cf-5-36-asb50-50-Id-CLTL36.txt", 2)</f>
        <v>2</v>
      </c>
      <c r="DV523" s="4">
        <f>HYPERLINK("http://exon.niaid.nih.gov/transcriptome/C_felis/S1/links/cluster/cf-5-36-asb55-50-Id-CLU33.txt", 33)</f>
        <v>33</v>
      </c>
      <c r="DW523">
        <f>HYPERLINK("http://exon.niaid.nih.gov/transcriptome/C_felis/S1/links/cluster/cf-5-36-asb55-50-Id-CLTL33.txt", 2)</f>
        <v>2</v>
      </c>
      <c r="DX523" s="4">
        <f>HYPERLINK("http://exon.niaid.nih.gov/transcriptome/C_felis/S1/links/cluster/cf-5-36-asb60-50-Id-CLU30.txt", 30)</f>
        <v>30</v>
      </c>
      <c r="DY523">
        <f>HYPERLINK("http://exon.niaid.nih.gov/transcriptome/C_felis/S1/links/cluster/cf-5-36-asb60-50-Id-CLTL30.txt", 2)</f>
        <v>2</v>
      </c>
      <c r="DZ523" s="4">
        <v>251</v>
      </c>
      <c r="EA523">
        <v>1</v>
      </c>
      <c r="EB523" s="4">
        <v>256</v>
      </c>
      <c r="EC523">
        <v>1</v>
      </c>
      <c r="ED523" s="4">
        <v>259</v>
      </c>
      <c r="EE523">
        <v>1</v>
      </c>
      <c r="EF523" s="4">
        <v>262</v>
      </c>
      <c r="EG523">
        <v>1</v>
      </c>
      <c r="EH523" s="4">
        <v>264</v>
      </c>
      <c r="EI523">
        <v>1</v>
      </c>
      <c r="EJ523" s="4">
        <v>269</v>
      </c>
      <c r="EK523">
        <v>1</v>
      </c>
    </row>
    <row r="524" spans="1:141" x14ac:dyDescent="0.2">
      <c r="A524" t="str">
        <f>HYPERLINK("http://exon.niaid.nih.gov/transcriptome/C_felis/S1/links/cf/cf-contig_642.txt","cf-contig_642")</f>
        <v>cf-contig_642</v>
      </c>
      <c r="B524">
        <v>1</v>
      </c>
      <c r="C524" s="10" t="s">
        <v>4600</v>
      </c>
      <c r="D524">
        <v>1</v>
      </c>
      <c r="E524" t="str">
        <f>HYPERLINK("http://exon.niaid.nih.gov/transcriptome/C_felis/S1/links/cf/cf-5-36-asb-642.txt","Contig-642")</f>
        <v>Contig-642</v>
      </c>
      <c r="F524" t="str">
        <f>HYPERLINK("http://exon.niaid.nih.gov/transcriptome/C_felis/S1/links/cf/cf-5-36-642-CLU.txt","Contig642")</f>
        <v>Contig642</v>
      </c>
      <c r="G524" t="str">
        <f>HYPERLINK("http://exon.niaid.nih.gov/transcriptome/C_felis/S1/links/cf/cf-5-36-642-qual.txt","60.8")</f>
        <v>60.8</v>
      </c>
      <c r="H524" t="s">
        <v>11</v>
      </c>
      <c r="I524">
        <v>75.599999999999994</v>
      </c>
      <c r="J524">
        <v>112</v>
      </c>
      <c r="K524" t="s">
        <v>12</v>
      </c>
      <c r="L524">
        <v>1</v>
      </c>
      <c r="M524" t="s">
        <v>655</v>
      </c>
      <c r="N524">
        <v>112</v>
      </c>
      <c r="O524">
        <v>131</v>
      </c>
      <c r="P524">
        <v>63</v>
      </c>
      <c r="Q524" t="s">
        <v>1461</v>
      </c>
      <c r="R524">
        <v>2</v>
      </c>
      <c r="S524" s="7" t="s">
        <v>4585</v>
      </c>
      <c r="U524">
        <v>1</v>
      </c>
      <c r="V524" s="4">
        <f>HYPERLINK("http://exon.niaid.nih.gov/transcriptome/C_felis/S1/links/cluster/cf-5-36-asb30-50-Id-CLU61.txt", 61)</f>
        <v>61</v>
      </c>
      <c r="W524">
        <f>HYPERLINK("http://exon.niaid.nih.gov/transcriptome/C_felis/S1/links/cluster/cf-5-36-asb30-50-Id-CLTL61.txt", 2)</f>
        <v>2</v>
      </c>
      <c r="X524" s="4">
        <f>HYPERLINK("http://exon.niaid.nih.gov/transcriptome/C_felis/S1/links/cluster/cf-5-36-asb35-50-Id-CLU54.txt", 54)</f>
        <v>54</v>
      </c>
      <c r="Y524">
        <f>HYPERLINK("http://exon.niaid.nih.gov/transcriptome/C_felis/S1/links/cluster/cf-5-36-asb35-50-Id-CLTL54.txt", 2)</f>
        <v>2</v>
      </c>
      <c r="Z524" s="4">
        <f>HYPERLINK("http://exon.niaid.nih.gov/transcriptome/C_felis/S1/links/cluster/cf-5-36-asb40-50-Id-CLU50.txt", 50)</f>
        <v>50</v>
      </c>
      <c r="AA524">
        <f>HYPERLINK("http://exon.niaid.nih.gov/transcriptome/C_felis/S1/links/cluster/cf-5-36-asb40-50-Id-CLTL50.txt", 2)</f>
        <v>2</v>
      </c>
      <c r="AB524" s="4" t="str">
        <f>HYPERLINK("http://exon.niaid.nih.gov/transcriptome/C_felis/S1/links/XC-ASB/cf-contig_642-XC-ASB.txt","XC-contig_33")</f>
        <v>XC-contig_33</v>
      </c>
      <c r="AC524">
        <v>9.9000000000000005E-2</v>
      </c>
      <c r="AD524" s="10" t="s">
        <v>4600</v>
      </c>
      <c r="AE524" t="s">
        <v>4601</v>
      </c>
      <c r="AI524" s="4" t="str">
        <f>HYPERLINK("http://exon.niaid.nih.gov/transcriptome/C_felis/S1/links/NR/cf-contig_642-NR.txt","Putative membrane protein ycf1 C-terminal part")</f>
        <v>Putative membrane protein ycf1 C-terminal part</v>
      </c>
      <c r="AJ524" t="str">
        <f>HYPERLINK("http://www.ncbi.nlm.nih.gov/sutils/blink.cgi?pid=118574743","3.2")</f>
        <v>3.2</v>
      </c>
      <c r="AK524" t="str">
        <f>HYPERLINK("http://www.ncbi.nlm.nih.gov/protein/118574743","gi|118574743")</f>
        <v>gi|118574743</v>
      </c>
      <c r="AL524">
        <v>35.4</v>
      </c>
      <c r="AM524">
        <v>27</v>
      </c>
      <c r="AN524">
        <v>1535</v>
      </c>
      <c r="AO524">
        <v>53</v>
      </c>
      <c r="AP524">
        <v>2</v>
      </c>
      <c r="AQ524">
        <v>13</v>
      </c>
      <c r="AR524">
        <v>0</v>
      </c>
      <c r="AS524">
        <v>845</v>
      </c>
      <c r="AT524">
        <v>6</v>
      </c>
      <c r="AU524">
        <v>1</v>
      </c>
      <c r="AV524">
        <v>-1</v>
      </c>
      <c r="AW524" t="s">
        <v>12</v>
      </c>
      <c r="AX524">
        <v>3.7040000000000002</v>
      </c>
      <c r="AY524" t="s">
        <v>1666</v>
      </c>
      <c r="AZ524" t="s">
        <v>42</v>
      </c>
      <c r="BA524" s="4" t="str">
        <f>HYPERLINK("http://exon.niaid.nih.gov/transcriptome/C_felis/S1/links/SWISSP/cf-contig_642-SWISSP.txt","Putative membrane protein ycf1 C-terminal part")</f>
        <v>Putative membrane protein ycf1 C-terminal part</v>
      </c>
      <c r="BB524" t="str">
        <f>HYPERLINK("http://www.uniprot.org/uniprot/P0C262","0.11")</f>
        <v>0.11</v>
      </c>
      <c r="BC524" t="s">
        <v>2646</v>
      </c>
      <c r="BD524">
        <v>35.4</v>
      </c>
      <c r="BE524">
        <v>27</v>
      </c>
      <c r="BF524">
        <v>1535</v>
      </c>
      <c r="BG524">
        <v>53</v>
      </c>
      <c r="BH524">
        <v>2</v>
      </c>
      <c r="BI524">
        <v>13</v>
      </c>
      <c r="BJ524">
        <v>0</v>
      </c>
      <c r="BK524">
        <v>845</v>
      </c>
      <c r="BL524">
        <v>6</v>
      </c>
      <c r="BM524">
        <v>1</v>
      </c>
      <c r="BN524">
        <v>-1</v>
      </c>
      <c r="BO524" t="s">
        <v>12</v>
      </c>
      <c r="BP524">
        <v>3.7040000000000002</v>
      </c>
      <c r="BQ524" t="s">
        <v>1666</v>
      </c>
      <c r="BR524" t="s">
        <v>2647</v>
      </c>
      <c r="BS524" s="4" t="str">
        <f>HYPERLINK("http://exon.niaid.nih.gov/transcriptome/C_felis/S1/links/CDD/cf-contig_642-CDD.txt","GPDPase_memb")</f>
        <v>GPDPase_memb</v>
      </c>
      <c r="BT524" t="str">
        <f>HYPERLINK("http://www.ncbi.nlm.nih.gov/Structure/cdd/cddsrv.cgi?uid=pfam10110&amp;version=v4.0","0.49")</f>
        <v>0.49</v>
      </c>
      <c r="BU524" t="s">
        <v>4038</v>
      </c>
      <c r="BV524" s="4" t="s">
        <v>42</v>
      </c>
      <c r="BW524" t="s">
        <v>42</v>
      </c>
      <c r="BX524" t="s">
        <v>42</v>
      </c>
      <c r="BY524" t="s">
        <v>42</v>
      </c>
      <c r="BZ524" t="s">
        <v>42</v>
      </c>
      <c r="CA524" t="s">
        <v>42</v>
      </c>
      <c r="CB524" t="s">
        <v>42</v>
      </c>
      <c r="CC524" t="s">
        <v>42</v>
      </c>
      <c r="CD524" t="s">
        <v>42</v>
      </c>
      <c r="CE524" t="s">
        <v>42</v>
      </c>
      <c r="CF524" t="s">
        <v>42</v>
      </c>
      <c r="CG524" t="s">
        <v>42</v>
      </c>
      <c r="CH524" t="s">
        <v>42</v>
      </c>
      <c r="CI524" t="s">
        <v>42</v>
      </c>
      <c r="CJ524" t="s">
        <v>42</v>
      </c>
      <c r="CK524" t="s">
        <v>42</v>
      </c>
      <c r="CL524" t="s">
        <v>42</v>
      </c>
      <c r="CM524" t="s">
        <v>42</v>
      </c>
      <c r="CN524" t="s">
        <v>42</v>
      </c>
      <c r="CO524" t="s">
        <v>42</v>
      </c>
      <c r="CP524" t="s">
        <v>42</v>
      </c>
      <c r="CQ524" t="s">
        <v>42</v>
      </c>
      <c r="CR524" t="s">
        <v>42</v>
      </c>
      <c r="CS524" s="4" t="str">
        <f>HYPERLINK("http://exon.niaid.nih.gov/transcriptome/C_felis/S1/links/KOG/cf-contig_642-KOG.txt","O-acetyltransferase")</f>
        <v>O-acetyltransferase</v>
      </c>
      <c r="CT524" t="str">
        <f>HYPERLINK("http://www.ncbi.nlm.nih.gov/COG/grace/shokog.cgi?KOG1699","1.3")</f>
        <v>1.3</v>
      </c>
      <c r="CU524" t="s">
        <v>1721</v>
      </c>
      <c r="CV524" s="4" t="str">
        <f>HYPERLINK("http://exon.niaid.nih.gov/transcriptome/C_felis/S1/links/PFAM/cf-contig_642-PFAM.txt","GPDPase_memb")</f>
        <v>GPDPase_memb</v>
      </c>
      <c r="CW524" t="str">
        <f>HYPERLINK("http://pfam.sanger.ac.uk/family?acc=PF10110","0.10")</f>
        <v>0.10</v>
      </c>
      <c r="CX524" s="4" t="str">
        <f>HYPERLINK("http://exon.niaid.nih.gov/transcriptome/C_felis/S1/links/SMART/cf-contig_642-SMART.txt","TR_FER")</f>
        <v>TR_FER</v>
      </c>
      <c r="CY524" t="str">
        <f>HYPERLINK("http://smart.embl-heidelberg.de/smart/do_annotation.pl?DOMAIN=TR_FER&amp;BLAST=DUMMY","0.16")</f>
        <v>0.16</v>
      </c>
      <c r="CZ524" s="4" t="s">
        <v>42</v>
      </c>
      <c r="DA524" t="s">
        <v>42</v>
      </c>
      <c r="DB524" t="s">
        <v>42</v>
      </c>
      <c r="DC524" t="s">
        <v>42</v>
      </c>
      <c r="DD524" t="s">
        <v>42</v>
      </c>
      <c r="DE524" t="s">
        <v>42</v>
      </c>
      <c r="DF524" t="s">
        <v>42</v>
      </c>
      <c r="DG524" t="s">
        <v>42</v>
      </c>
      <c r="DH524" s="4" t="s">
        <v>42</v>
      </c>
      <c r="DI524" t="s">
        <v>42</v>
      </c>
      <c r="DJ524" s="4" t="s">
        <v>42</v>
      </c>
      <c r="DK524" t="s">
        <v>42</v>
      </c>
      <c r="DL524" s="4">
        <f>HYPERLINK("http://exon.niaid.nih.gov/transcriptome/C_felis/S1/links/cluster/cf-5-36-asb30-50-Id-CLU61.txt", 61)</f>
        <v>61</v>
      </c>
      <c r="DM524">
        <f>HYPERLINK("http://exon.niaid.nih.gov/transcriptome/C_felis/S1/links/cluster/cf-5-36-asb30-50-Id-CLTL61.txt", 2)</f>
        <v>2</v>
      </c>
      <c r="DN524" s="4">
        <f>HYPERLINK("http://exon.niaid.nih.gov/transcriptome/C_felis/S1/links/cluster/cf-5-36-asb35-50-Id-CLU54.txt", 54)</f>
        <v>54</v>
      </c>
      <c r="DO524">
        <f>HYPERLINK("http://exon.niaid.nih.gov/transcriptome/C_felis/S1/links/cluster/cf-5-36-asb35-50-Id-CLTL54.txt", 2)</f>
        <v>2</v>
      </c>
      <c r="DP524" s="4">
        <f>HYPERLINK("http://exon.niaid.nih.gov/transcriptome/C_felis/S1/links/cluster/cf-5-36-asb40-50-Id-CLU50.txt", 50)</f>
        <v>50</v>
      </c>
      <c r="DQ524">
        <f>HYPERLINK("http://exon.niaid.nih.gov/transcriptome/C_felis/S1/links/cluster/cf-5-36-asb40-50-Id-CLTL50.txt", 2)</f>
        <v>2</v>
      </c>
      <c r="DR524" s="4">
        <f>HYPERLINK("http://exon.niaid.nih.gov/transcriptome/C_felis/S1/links/cluster/cf-5-36-asb45-50-Id-CLU41.txt", 41)</f>
        <v>41</v>
      </c>
      <c r="DS524">
        <f>HYPERLINK("http://exon.niaid.nih.gov/transcriptome/C_felis/S1/links/cluster/cf-5-36-asb45-50-Id-CLTL41.txt", 2)</f>
        <v>2</v>
      </c>
      <c r="DT524" s="4">
        <f>HYPERLINK("http://exon.niaid.nih.gov/transcriptome/C_felis/S1/links/cluster/cf-5-36-asb50-50-Id-CLU36.txt", 36)</f>
        <v>36</v>
      </c>
      <c r="DU524">
        <f>HYPERLINK("http://exon.niaid.nih.gov/transcriptome/C_felis/S1/links/cluster/cf-5-36-asb50-50-Id-CLTL36.txt", 2)</f>
        <v>2</v>
      </c>
      <c r="DV524" s="4">
        <f>HYPERLINK("http://exon.niaid.nih.gov/transcriptome/C_felis/S1/links/cluster/cf-5-36-asb55-50-Id-CLU33.txt", 33)</f>
        <v>33</v>
      </c>
      <c r="DW524">
        <f>HYPERLINK("http://exon.niaid.nih.gov/transcriptome/C_felis/S1/links/cluster/cf-5-36-asb55-50-Id-CLTL33.txt", 2)</f>
        <v>2</v>
      </c>
      <c r="DX524" s="4">
        <f>HYPERLINK("http://exon.niaid.nih.gov/transcriptome/C_felis/S1/links/cluster/cf-5-36-asb60-50-Id-CLU30.txt", 30)</f>
        <v>30</v>
      </c>
      <c r="DY524">
        <f>HYPERLINK("http://exon.niaid.nih.gov/transcriptome/C_felis/S1/links/cluster/cf-5-36-asb60-50-Id-CLTL30.txt", 2)</f>
        <v>2</v>
      </c>
      <c r="DZ524" s="4">
        <v>612</v>
      </c>
      <c r="EA524">
        <v>1</v>
      </c>
      <c r="EB524" s="4">
        <v>617</v>
      </c>
      <c r="EC524">
        <v>1</v>
      </c>
      <c r="ED524" s="4">
        <v>621</v>
      </c>
      <c r="EE524">
        <v>1</v>
      </c>
      <c r="EF524" s="4">
        <v>627</v>
      </c>
      <c r="EG524">
        <v>1</v>
      </c>
      <c r="EH524" s="4">
        <v>635</v>
      </c>
      <c r="EI524">
        <v>1</v>
      </c>
      <c r="EJ524" s="4">
        <v>642</v>
      </c>
      <c r="EK524">
        <v>1</v>
      </c>
    </row>
    <row r="525" spans="1:141" x14ac:dyDescent="0.2">
      <c r="A525" t="str">
        <f>HYPERLINK("http://exon.niaid.nih.gov/transcriptome/C_felis/S1/links/cf/cf-contig_299.txt","cf-contig_299")</f>
        <v>cf-contig_299</v>
      </c>
      <c r="B525">
        <v>1</v>
      </c>
      <c r="C525" s="10" t="s">
        <v>4600</v>
      </c>
      <c r="D525">
        <v>1</v>
      </c>
      <c r="E525" t="str">
        <f>HYPERLINK("http://exon.niaid.nih.gov/transcriptome/C_felis/S1/links/cf/cf-5-36-asb-299.txt","Contig-299")</f>
        <v>Contig-299</v>
      </c>
      <c r="F525" t="str">
        <f>HYPERLINK("http://exon.niaid.nih.gov/transcriptome/C_felis/S1/links/cf/cf-5-36-299-CLU.txt","Contig299")</f>
        <v>Contig299</v>
      </c>
      <c r="G525" t="str">
        <f>HYPERLINK("http://exon.niaid.nih.gov/transcriptome/C_felis/S1/links/cf/cf-5-36-299-qual.txt","33.7")</f>
        <v>33.7</v>
      </c>
      <c r="H525" t="s">
        <v>11</v>
      </c>
      <c r="I525">
        <v>52.4</v>
      </c>
      <c r="J525">
        <v>227</v>
      </c>
      <c r="K525" t="s">
        <v>12</v>
      </c>
      <c r="L525">
        <v>1</v>
      </c>
      <c r="M525" t="s">
        <v>312</v>
      </c>
      <c r="N525">
        <v>227</v>
      </c>
      <c r="O525">
        <v>246</v>
      </c>
      <c r="P525">
        <v>171</v>
      </c>
      <c r="Q525" t="s">
        <v>1119</v>
      </c>
      <c r="R525">
        <v>3</v>
      </c>
      <c r="S525" s="7" t="s">
        <v>4585</v>
      </c>
      <c r="U525">
        <v>1</v>
      </c>
      <c r="V525" s="4">
        <f>HYPERLINK("http://exon.niaid.nih.gov/transcriptome/C_felis/S1/links/cluster/cf-5-36-asb30-50-Id-CLU63.txt", 63)</f>
        <v>63</v>
      </c>
      <c r="W525">
        <f>HYPERLINK("http://exon.niaid.nih.gov/transcriptome/C_felis/S1/links/cluster/cf-5-36-asb30-50-Id-CLTL63.txt", 2)</f>
        <v>2</v>
      </c>
      <c r="X525" s="4">
        <f>HYPERLINK("http://exon.niaid.nih.gov/transcriptome/C_felis/S1/links/cluster/cf-5-36-asb35-50-Id-CLU56.txt", 56)</f>
        <v>56</v>
      </c>
      <c r="Y525">
        <f>HYPERLINK("http://exon.niaid.nih.gov/transcriptome/C_felis/S1/links/cluster/cf-5-36-asb35-50-Id-CLTL56.txt", 2)</f>
        <v>2</v>
      </c>
      <c r="Z525" s="4">
        <f>HYPERLINK("http://exon.niaid.nih.gov/transcriptome/C_felis/S1/links/cluster/cf-5-36-asb40-50-Id-CLU53.txt", 53)</f>
        <v>53</v>
      </c>
      <c r="AA525">
        <f>HYPERLINK("http://exon.niaid.nih.gov/transcriptome/C_felis/S1/links/cluster/cf-5-36-asb40-50-Id-CLTL53.txt", 2)</f>
        <v>2</v>
      </c>
      <c r="AB525" s="4" t="str">
        <f>HYPERLINK("http://exon.niaid.nih.gov/transcriptome/C_felis/S1/links/XC-ASB/cf-contig_299-XC-ASB.txt","XC-contig_57")</f>
        <v>XC-contig_57</v>
      </c>
      <c r="AC525">
        <v>1.6E-2</v>
      </c>
      <c r="AD525" s="10" t="s">
        <v>4600</v>
      </c>
      <c r="AE525" t="s">
        <v>4601</v>
      </c>
      <c r="AI525" s="4" t="str">
        <f>HYPERLINK("http://exon.niaid.nih.gov/transcriptome/C_felis/S1/links/NR/cf-contig_299-NR.txt","eukaryotic translation initiation factor 5-like isoform 1")</f>
        <v>eukaryotic translation initiation factor 5-like isoform 1</v>
      </c>
      <c r="AJ525" t="str">
        <f>HYPERLINK("http://www.ncbi.nlm.nih.gov/sutils/blink.cgi?pid=328715160","9E-006")</f>
        <v>9E-006</v>
      </c>
      <c r="AK525" t="str">
        <f>HYPERLINK("http://www.ncbi.nlm.nih.gov/protein/328715160","gi|328715160")</f>
        <v>gi|328715160</v>
      </c>
      <c r="AL525">
        <v>53.9</v>
      </c>
      <c r="AM525">
        <v>53</v>
      </c>
      <c r="AN525">
        <v>444</v>
      </c>
      <c r="AO525">
        <v>54</v>
      </c>
      <c r="AP525">
        <v>12</v>
      </c>
      <c r="AQ525">
        <v>26</v>
      </c>
      <c r="AR525">
        <v>2</v>
      </c>
      <c r="AS525">
        <v>391</v>
      </c>
      <c r="AT525">
        <v>9</v>
      </c>
      <c r="AU525">
        <v>1</v>
      </c>
      <c r="AV525">
        <v>3</v>
      </c>
      <c r="AW525" t="s">
        <v>12</v>
      </c>
      <c r="AY525" t="s">
        <v>1676</v>
      </c>
      <c r="AZ525" t="s">
        <v>2726</v>
      </c>
      <c r="BA525" s="4" t="str">
        <f>HYPERLINK("http://exon.niaid.nih.gov/transcriptome/C_felis/S1/links/SWISSP/cf-contig_299-SWISSP.txt","Uncharacterized SDCCAG3 family protein")</f>
        <v>Uncharacterized SDCCAG3 family protein</v>
      </c>
      <c r="BB525" t="str">
        <f>HYPERLINK("http://www.uniprot.org/uniprot/Q54MB1","0.15")</f>
        <v>0.15</v>
      </c>
      <c r="BC525" t="s">
        <v>2727</v>
      </c>
      <c r="BD525">
        <v>35</v>
      </c>
      <c r="BE525">
        <v>45</v>
      </c>
      <c r="BF525">
        <v>517</v>
      </c>
      <c r="BG525">
        <v>32</v>
      </c>
      <c r="BH525">
        <v>9</v>
      </c>
      <c r="BI525">
        <v>31</v>
      </c>
      <c r="BJ525">
        <v>0</v>
      </c>
      <c r="BK525">
        <v>95</v>
      </c>
      <c r="BL525">
        <v>9</v>
      </c>
      <c r="BM525">
        <v>1</v>
      </c>
      <c r="BN525">
        <v>3</v>
      </c>
      <c r="BO525" t="s">
        <v>12</v>
      </c>
      <c r="BQ525" t="s">
        <v>1676</v>
      </c>
      <c r="BR525" t="s">
        <v>1976</v>
      </c>
      <c r="BS525" s="4" t="str">
        <f>HYPERLINK("http://exon.niaid.nih.gov/transcriptome/C_felis/S1/links/CDD/cf-contig_299-CDD.txt","Tom22")</f>
        <v>Tom22</v>
      </c>
      <c r="BT525" t="str">
        <f>HYPERLINK("http://www.ncbi.nlm.nih.gov/Structure/cdd/cddsrv.cgi?uid=pfam04281&amp;version=v4.0","0.001")</f>
        <v>0.001</v>
      </c>
      <c r="BU525" t="s">
        <v>2728</v>
      </c>
      <c r="BV525" s="4" t="s">
        <v>42</v>
      </c>
      <c r="BW525" t="s">
        <v>42</v>
      </c>
      <c r="BX525" t="s">
        <v>42</v>
      </c>
      <c r="BY525" t="s">
        <v>42</v>
      </c>
      <c r="BZ525" t="s">
        <v>42</v>
      </c>
      <c r="CA525" t="s">
        <v>42</v>
      </c>
      <c r="CB525" t="s">
        <v>42</v>
      </c>
      <c r="CC525" t="s">
        <v>42</v>
      </c>
      <c r="CD525" t="s">
        <v>42</v>
      </c>
      <c r="CE525" t="s">
        <v>42</v>
      </c>
      <c r="CF525" t="s">
        <v>42</v>
      </c>
      <c r="CG525" t="s">
        <v>42</v>
      </c>
      <c r="CH525" t="s">
        <v>42</v>
      </c>
      <c r="CI525" t="s">
        <v>42</v>
      </c>
      <c r="CJ525" t="s">
        <v>42</v>
      </c>
      <c r="CK525" t="s">
        <v>42</v>
      </c>
      <c r="CL525" t="s">
        <v>42</v>
      </c>
      <c r="CM525" t="s">
        <v>42</v>
      </c>
      <c r="CN525" t="s">
        <v>42</v>
      </c>
      <c r="CO525" t="s">
        <v>42</v>
      </c>
      <c r="CP525" t="s">
        <v>42</v>
      </c>
      <c r="CQ525" t="s">
        <v>42</v>
      </c>
      <c r="CR525" t="s">
        <v>42</v>
      </c>
      <c r="CS525" s="4" t="str">
        <f>HYPERLINK("http://exon.niaid.nih.gov/transcriptome/C_felis/S1/links/KOG/cf-contig_299-KOG.txt","HIV-1 Vpr-binding protein")</f>
        <v>HIV-1 Vpr-binding protein</v>
      </c>
      <c r="CT525" t="str">
        <f>HYPERLINK("http://www.ncbi.nlm.nih.gov/COG/grace/shokog.cgi?KOG1832","0.018")</f>
        <v>0.018</v>
      </c>
      <c r="CU525" t="s">
        <v>1750</v>
      </c>
      <c r="CV525" s="4" t="str">
        <f>HYPERLINK("http://exon.niaid.nih.gov/transcriptome/C_felis/S1/links/PFAM/cf-contig_299-PFAM.txt","Tom22")</f>
        <v>Tom22</v>
      </c>
      <c r="CW525" t="str">
        <f>HYPERLINK("http://pfam.sanger.ac.uk/family?acc=PF04281","2E-004")</f>
        <v>2E-004</v>
      </c>
      <c r="CX525" s="4" t="str">
        <f>HYPERLINK("http://exon.niaid.nih.gov/transcriptome/C_felis/S1/links/SMART/cf-contig_299-SMART.txt","SPT2")</f>
        <v>SPT2</v>
      </c>
      <c r="CY525" t="str">
        <f>HYPERLINK("http://smart.embl-heidelberg.de/smart/do_annotation.pl?DOMAIN=SPT2&amp;BLAST=DUMMY","0.007")</f>
        <v>0.007</v>
      </c>
      <c r="CZ525" s="4" t="s">
        <v>42</v>
      </c>
      <c r="DA525" t="s">
        <v>42</v>
      </c>
      <c r="DB525" t="s">
        <v>42</v>
      </c>
      <c r="DC525" t="s">
        <v>42</v>
      </c>
      <c r="DD525" t="s">
        <v>42</v>
      </c>
      <c r="DE525" t="s">
        <v>42</v>
      </c>
      <c r="DF525" t="s">
        <v>42</v>
      </c>
      <c r="DG525" t="s">
        <v>42</v>
      </c>
      <c r="DH525" s="4" t="s">
        <v>42</v>
      </c>
      <c r="DI525" t="s">
        <v>42</v>
      </c>
      <c r="DJ525" s="4" t="s">
        <v>42</v>
      </c>
      <c r="DK525" t="s">
        <v>42</v>
      </c>
      <c r="DL525" s="4">
        <f>HYPERLINK("http://exon.niaid.nih.gov/transcriptome/C_felis/S1/links/cluster/cf-5-36-asb30-50-Id-CLU63.txt", 63)</f>
        <v>63</v>
      </c>
      <c r="DM525">
        <f>HYPERLINK("http://exon.niaid.nih.gov/transcriptome/C_felis/S1/links/cluster/cf-5-36-asb30-50-Id-CLTL63.txt", 2)</f>
        <v>2</v>
      </c>
      <c r="DN525" s="4">
        <f>HYPERLINK("http://exon.niaid.nih.gov/transcriptome/C_felis/S1/links/cluster/cf-5-36-asb35-50-Id-CLU56.txt", 56)</f>
        <v>56</v>
      </c>
      <c r="DO525">
        <f>HYPERLINK("http://exon.niaid.nih.gov/transcriptome/C_felis/S1/links/cluster/cf-5-36-asb35-50-Id-CLTL56.txt", 2)</f>
        <v>2</v>
      </c>
      <c r="DP525" s="4">
        <f>HYPERLINK("http://exon.niaid.nih.gov/transcriptome/C_felis/S1/links/cluster/cf-5-36-asb40-50-Id-CLU53.txt", 53)</f>
        <v>53</v>
      </c>
      <c r="DQ525">
        <f>HYPERLINK("http://exon.niaid.nih.gov/transcriptome/C_felis/S1/links/cluster/cf-5-36-asb40-50-Id-CLTL53.txt", 2)</f>
        <v>2</v>
      </c>
      <c r="DR525" s="4">
        <f>HYPERLINK("http://exon.niaid.nih.gov/transcriptome/C_felis/S1/links/cluster/cf-5-36-asb45-50-Id-CLU44.txt", 44)</f>
        <v>44</v>
      </c>
      <c r="DS525">
        <f>HYPERLINK("http://exon.niaid.nih.gov/transcriptome/C_felis/S1/links/cluster/cf-5-36-asb45-50-Id-CLTL44.txt", 2)</f>
        <v>2</v>
      </c>
      <c r="DT525" s="4">
        <v>261</v>
      </c>
      <c r="DU525">
        <v>1</v>
      </c>
      <c r="DV525" s="4">
        <v>273</v>
      </c>
      <c r="DW525">
        <v>1</v>
      </c>
      <c r="DX525" s="4">
        <v>275</v>
      </c>
      <c r="DY525">
        <v>1</v>
      </c>
      <c r="DZ525" s="4">
        <v>280</v>
      </c>
      <c r="EA525">
        <v>1</v>
      </c>
      <c r="EB525" s="4">
        <v>285</v>
      </c>
      <c r="EC525">
        <v>1</v>
      </c>
      <c r="ED525" s="4">
        <v>288</v>
      </c>
      <c r="EE525">
        <v>1</v>
      </c>
      <c r="EF525" s="4">
        <v>292</v>
      </c>
      <c r="EG525">
        <v>1</v>
      </c>
      <c r="EH525" s="4">
        <v>294</v>
      </c>
      <c r="EI525">
        <v>1</v>
      </c>
      <c r="EJ525" s="4">
        <v>299</v>
      </c>
      <c r="EK525">
        <v>1</v>
      </c>
    </row>
    <row r="526" spans="1:141" x14ac:dyDescent="0.2">
      <c r="A526" t="str">
        <f>HYPERLINK("http://exon.niaid.nih.gov/transcriptome/C_felis/S1/links/cf/cf-contig_355.txt","cf-contig_355")</f>
        <v>cf-contig_355</v>
      </c>
      <c r="B526">
        <v>1</v>
      </c>
      <c r="C526" s="10" t="s">
        <v>4600</v>
      </c>
      <c r="D526">
        <v>1</v>
      </c>
      <c r="E526" t="str">
        <f>HYPERLINK("http://exon.niaid.nih.gov/transcriptome/C_felis/S1/links/cf/cf-5-36-asb-355.txt","Contig-355")</f>
        <v>Contig-355</v>
      </c>
      <c r="F526" t="str">
        <f>HYPERLINK("http://exon.niaid.nih.gov/transcriptome/C_felis/S1/links/cf/cf-5-36-355-CLU.txt","Contig355")</f>
        <v>Contig355</v>
      </c>
      <c r="G526" t="str">
        <f>HYPERLINK("http://exon.niaid.nih.gov/transcriptome/C_felis/S1/links/cf/cf-5-36-355-qual.txt","43.6")</f>
        <v>43.6</v>
      </c>
      <c r="H526" t="s">
        <v>11</v>
      </c>
      <c r="I526">
        <v>70.7</v>
      </c>
      <c r="J526">
        <v>121</v>
      </c>
      <c r="K526" t="s">
        <v>12</v>
      </c>
      <c r="L526">
        <v>1</v>
      </c>
      <c r="M526" t="s">
        <v>368</v>
      </c>
      <c r="N526">
        <v>121</v>
      </c>
      <c r="O526">
        <v>140</v>
      </c>
      <c r="P526">
        <v>105</v>
      </c>
      <c r="Q526" t="s">
        <v>1175</v>
      </c>
      <c r="R526">
        <v>1</v>
      </c>
      <c r="S526" s="7" t="s">
        <v>4585</v>
      </c>
      <c r="U526">
        <v>1</v>
      </c>
      <c r="V526" s="4">
        <v>286</v>
      </c>
      <c r="W526">
        <v>1</v>
      </c>
      <c r="X526" s="4">
        <v>293</v>
      </c>
      <c r="Y526">
        <v>1</v>
      </c>
      <c r="Z526" s="4">
        <v>293</v>
      </c>
      <c r="AA526">
        <v>1</v>
      </c>
      <c r="AB526" s="4" t="str">
        <f>HYPERLINK("http://exon.niaid.nih.gov/transcriptome/C_felis/S1/links/XC-ASB/cf-contig_355-XC-ASB.txt","XC-contig_56")</f>
        <v>XC-contig_56</v>
      </c>
      <c r="AC526">
        <v>0.56000000000000005</v>
      </c>
      <c r="AD526" s="10" t="s">
        <v>4600</v>
      </c>
      <c r="AE526" t="s">
        <v>4601</v>
      </c>
      <c r="AI526" s="4" t="str">
        <f>HYPERLINK("http://exon.niaid.nih.gov/transcriptome/C_felis/S1/links/NR/cf-contig_355-NR.txt","hypothetical protein LOC100570435")</f>
        <v>hypothetical protein LOC100570435</v>
      </c>
      <c r="AJ526" t="str">
        <f>HYPERLINK("http://www.ncbi.nlm.nih.gov/sutils/blink.cgi?pid=328724625","27")</f>
        <v>27</v>
      </c>
      <c r="AK526" t="str">
        <f>HYPERLINK("http://www.ncbi.nlm.nih.gov/protein/328724625","gi|328724625")</f>
        <v>gi|328724625</v>
      </c>
      <c r="AL526">
        <v>32.299999999999997</v>
      </c>
      <c r="AM526">
        <v>22</v>
      </c>
      <c r="AN526">
        <v>462</v>
      </c>
      <c r="AO526">
        <v>56</v>
      </c>
      <c r="AP526">
        <v>5</v>
      </c>
      <c r="AQ526">
        <v>10</v>
      </c>
      <c r="AR526">
        <v>0</v>
      </c>
      <c r="AS526">
        <v>430</v>
      </c>
      <c r="AT526">
        <v>28</v>
      </c>
      <c r="AU526">
        <v>1</v>
      </c>
      <c r="AV526">
        <v>1</v>
      </c>
      <c r="AW526" t="s">
        <v>12</v>
      </c>
      <c r="AY526" t="s">
        <v>1676</v>
      </c>
      <c r="AZ526" t="s">
        <v>2726</v>
      </c>
      <c r="BA526" s="4" t="str">
        <f>HYPERLINK("http://exon.niaid.nih.gov/transcriptome/C_felis/S1/links/SWISSP/cf-contig_355-SWISSP.txt","Granule-bound starch synthase 2, chloroplastic/amyloplastic")</f>
        <v>Granule-bound starch synthase 2, chloroplastic/amyloplastic</v>
      </c>
      <c r="BB526" t="str">
        <f>HYPERLINK("http://www.uniprot.org/uniprot/Q43093","68")</f>
        <v>68</v>
      </c>
      <c r="BC526" t="s">
        <v>2923</v>
      </c>
      <c r="BD526">
        <v>26.2</v>
      </c>
      <c r="BE526">
        <v>15</v>
      </c>
      <c r="BF526">
        <v>752</v>
      </c>
      <c r="BG526">
        <v>62</v>
      </c>
      <c r="BH526">
        <v>2</v>
      </c>
      <c r="BI526">
        <v>6</v>
      </c>
      <c r="BJ526">
        <v>0</v>
      </c>
      <c r="BK526">
        <v>431</v>
      </c>
      <c r="BL526">
        <v>13</v>
      </c>
      <c r="BM526">
        <v>1</v>
      </c>
      <c r="BN526">
        <v>1</v>
      </c>
      <c r="BO526" t="s">
        <v>12</v>
      </c>
      <c r="BQ526" t="s">
        <v>1676</v>
      </c>
      <c r="BR526" t="s">
        <v>2745</v>
      </c>
      <c r="BS526" s="4" t="str">
        <f>HYPERLINK("http://exon.niaid.nih.gov/transcriptome/C_felis/S1/links/CDD/cf-contig_355-CDD.txt","RR_TM4-6")</f>
        <v>RR_TM4-6</v>
      </c>
      <c r="BT526" t="str">
        <f>HYPERLINK("http://www.ncbi.nlm.nih.gov/Structure/cdd/cddsrv.cgi?uid=pfam06459&amp;version=v4.0","4.0")</f>
        <v>4.0</v>
      </c>
      <c r="BU526" t="s">
        <v>2924</v>
      </c>
      <c r="BV526" s="4" t="s">
        <v>42</v>
      </c>
      <c r="BW526" t="s">
        <v>42</v>
      </c>
      <c r="BX526" t="s">
        <v>42</v>
      </c>
      <c r="BY526" t="s">
        <v>42</v>
      </c>
      <c r="BZ526" t="s">
        <v>42</v>
      </c>
      <c r="CA526" t="s">
        <v>42</v>
      </c>
      <c r="CB526" t="s">
        <v>42</v>
      </c>
      <c r="CC526" t="s">
        <v>42</v>
      </c>
      <c r="CD526" t="s">
        <v>42</v>
      </c>
      <c r="CE526" t="s">
        <v>42</v>
      </c>
      <c r="CF526" t="s">
        <v>42</v>
      </c>
      <c r="CG526" t="s">
        <v>42</v>
      </c>
      <c r="CH526" t="s">
        <v>42</v>
      </c>
      <c r="CI526" t="s">
        <v>42</v>
      </c>
      <c r="CJ526" t="s">
        <v>42</v>
      </c>
      <c r="CK526" t="s">
        <v>42</v>
      </c>
      <c r="CL526" t="s">
        <v>42</v>
      </c>
      <c r="CM526" t="s">
        <v>42</v>
      </c>
      <c r="CN526" t="s">
        <v>42</v>
      </c>
      <c r="CO526" t="s">
        <v>42</v>
      </c>
      <c r="CP526" t="s">
        <v>42</v>
      </c>
      <c r="CQ526" t="s">
        <v>42</v>
      </c>
      <c r="CR526" t="s">
        <v>42</v>
      </c>
      <c r="CS526" s="4" t="str">
        <f>HYPERLINK("http://exon.niaid.nih.gov/transcriptome/C_felis/S1/links/KOG/cf-contig_355-KOG.txt","Inositol 1,4,5-trisphosphate receptor")</f>
        <v>Inositol 1,4,5-trisphosphate receptor</v>
      </c>
      <c r="CT526" t="str">
        <f>HYPERLINK("http://www.ncbi.nlm.nih.gov/COG/grace/shokog.cgi?KOG3533","2.9")</f>
        <v>2.9</v>
      </c>
      <c r="CU526" t="s">
        <v>1780</v>
      </c>
      <c r="CV526" s="4" t="str">
        <f>HYPERLINK("http://exon.niaid.nih.gov/transcriptome/C_felis/S1/links/PFAM/cf-contig_355-PFAM.txt","RR_TM4-6")</f>
        <v>RR_TM4-6</v>
      </c>
      <c r="CW526" t="str">
        <f>HYPERLINK("http://pfam.sanger.ac.uk/family?acc=PF06459","0.85")</f>
        <v>0.85</v>
      </c>
      <c r="CX526" s="4" t="str">
        <f>HYPERLINK("http://exon.niaid.nih.gov/transcriptome/C_felis/S1/links/SMART/cf-contig_355-SMART.txt","AKAP_110")</f>
        <v>AKAP_110</v>
      </c>
      <c r="CY526" t="str">
        <f>HYPERLINK("http://smart.embl-heidelberg.de/smart/do_annotation.pl?DOMAIN=AKAP_110&amp;BLAST=DUMMY","0.22")</f>
        <v>0.22</v>
      </c>
      <c r="CZ526" s="4" t="s">
        <v>42</v>
      </c>
      <c r="DA526" t="s">
        <v>42</v>
      </c>
      <c r="DB526" t="s">
        <v>42</v>
      </c>
      <c r="DC526" t="s">
        <v>42</v>
      </c>
      <c r="DD526" t="s">
        <v>42</v>
      </c>
      <c r="DE526" t="s">
        <v>42</v>
      </c>
      <c r="DF526" t="s">
        <v>42</v>
      </c>
      <c r="DG526" t="s">
        <v>42</v>
      </c>
      <c r="DH526" s="4" t="s">
        <v>42</v>
      </c>
      <c r="DI526" t="s">
        <v>42</v>
      </c>
      <c r="DJ526" s="4" t="s">
        <v>42</v>
      </c>
      <c r="DK526" t="s">
        <v>42</v>
      </c>
      <c r="DL526" s="4">
        <v>286</v>
      </c>
      <c r="DM526">
        <v>1</v>
      </c>
      <c r="DN526" s="4">
        <v>293</v>
      </c>
      <c r="DO526">
        <v>1</v>
      </c>
      <c r="DP526" s="4">
        <v>293</v>
      </c>
      <c r="DQ526">
        <v>1</v>
      </c>
      <c r="DR526" s="4">
        <v>303</v>
      </c>
      <c r="DS526">
        <v>1</v>
      </c>
      <c r="DT526" s="4">
        <v>313</v>
      </c>
      <c r="DU526">
        <v>1</v>
      </c>
      <c r="DV526" s="4">
        <v>326</v>
      </c>
      <c r="DW526">
        <v>1</v>
      </c>
      <c r="DX526" s="4">
        <v>329</v>
      </c>
      <c r="DY526">
        <v>1</v>
      </c>
      <c r="DZ526" s="4">
        <v>334</v>
      </c>
      <c r="EA526">
        <v>1</v>
      </c>
      <c r="EB526" s="4">
        <v>339</v>
      </c>
      <c r="EC526">
        <v>1</v>
      </c>
      <c r="ED526" s="4">
        <v>343</v>
      </c>
      <c r="EE526">
        <v>1</v>
      </c>
      <c r="EF526" s="4">
        <v>348</v>
      </c>
      <c r="EG526">
        <v>1</v>
      </c>
      <c r="EH526" s="4">
        <v>350</v>
      </c>
      <c r="EI526">
        <v>1</v>
      </c>
      <c r="EJ526" s="4">
        <v>355</v>
      </c>
      <c r="EK526">
        <v>1</v>
      </c>
    </row>
    <row r="527" spans="1:141" x14ac:dyDescent="0.2">
      <c r="A527" t="str">
        <f>HYPERLINK("http://exon.niaid.nih.gov/transcriptome/C_felis/S1/links/cf/cf-contig_583.txt","cf-contig_583")</f>
        <v>cf-contig_583</v>
      </c>
      <c r="B527">
        <v>1</v>
      </c>
      <c r="C527" s="10" t="s">
        <v>4600</v>
      </c>
      <c r="D527">
        <v>1</v>
      </c>
      <c r="E527" t="str">
        <f>HYPERLINK("http://exon.niaid.nih.gov/transcriptome/C_felis/S1/links/cf/cf-5-36-asb-583.txt","Contig-583")</f>
        <v>Contig-583</v>
      </c>
      <c r="F527" t="str">
        <f>HYPERLINK("http://exon.niaid.nih.gov/transcriptome/C_felis/S1/links/cf/cf-5-36-583-CLU.txt","Contig583")</f>
        <v>Contig583</v>
      </c>
      <c r="G527" t="str">
        <f>HYPERLINK("http://exon.niaid.nih.gov/transcriptome/C_felis/S1/links/cf/cf-5-36-583-qual.txt","64.1")</f>
        <v>64.1</v>
      </c>
      <c r="H527" t="s">
        <v>11</v>
      </c>
      <c r="I527">
        <v>69.7</v>
      </c>
      <c r="J527">
        <v>275</v>
      </c>
      <c r="K527" t="s">
        <v>12</v>
      </c>
      <c r="L527">
        <v>1</v>
      </c>
      <c r="M527" t="s">
        <v>596</v>
      </c>
      <c r="N527">
        <v>275</v>
      </c>
      <c r="O527">
        <v>294</v>
      </c>
      <c r="P527">
        <v>135</v>
      </c>
      <c r="Q527" t="s">
        <v>1402</v>
      </c>
      <c r="R527">
        <v>2</v>
      </c>
      <c r="S527" s="7" t="s">
        <v>4585</v>
      </c>
      <c r="U527">
        <v>1</v>
      </c>
      <c r="V527" s="4">
        <v>475</v>
      </c>
      <c r="W527">
        <v>1</v>
      </c>
      <c r="X527" s="4">
        <v>485</v>
      </c>
      <c r="Y527">
        <v>1</v>
      </c>
      <c r="Z527" s="4">
        <v>494</v>
      </c>
      <c r="AA527">
        <v>1</v>
      </c>
      <c r="AB527" s="4" t="str">
        <f>HYPERLINK("http://exon.niaid.nih.gov/transcriptome/C_felis/S1/links/XC-ASB/cf-contig_583-XC-ASB.txt","XC-contig_135")</f>
        <v>XC-contig_135</v>
      </c>
      <c r="AC527">
        <v>5.5E-2</v>
      </c>
      <c r="AD527" s="10" t="s">
        <v>4600</v>
      </c>
      <c r="AE527" t="s">
        <v>4601</v>
      </c>
      <c r="AI527" s="4" t="str">
        <f>HYPERLINK("http://exon.niaid.nih.gov/transcriptome/C_felis/S1/links/NR/cf-contig_583-NR.txt","tubulin alpha-1C chain-like")</f>
        <v>tubulin alpha-1C chain-like</v>
      </c>
      <c r="AJ527" t="str">
        <f>HYPERLINK("http://www.ncbi.nlm.nih.gov/sutils/blink.cgi?pid=328709074","1E-004")</f>
        <v>1E-004</v>
      </c>
      <c r="AK527" t="str">
        <f>HYPERLINK("http://www.ncbi.nlm.nih.gov/protein/328709074","gi|328709074")</f>
        <v>gi|328709074</v>
      </c>
      <c r="AL527">
        <v>50.4</v>
      </c>
      <c r="AM527">
        <v>29</v>
      </c>
      <c r="AN527">
        <v>450</v>
      </c>
      <c r="AO527">
        <v>80</v>
      </c>
      <c r="AP527">
        <v>7</v>
      </c>
      <c r="AQ527">
        <v>6</v>
      </c>
      <c r="AR527">
        <v>0</v>
      </c>
      <c r="AS527">
        <v>421</v>
      </c>
      <c r="AT527">
        <v>6</v>
      </c>
      <c r="AU527">
        <v>1</v>
      </c>
      <c r="AV527">
        <v>3</v>
      </c>
      <c r="AW527" t="s">
        <v>12</v>
      </c>
      <c r="AY527" t="s">
        <v>1676</v>
      </c>
      <c r="AZ527" t="s">
        <v>2726</v>
      </c>
      <c r="BA527" s="4" t="str">
        <f>HYPERLINK("http://exon.niaid.nih.gov/transcriptome/C_felis/S1/links/SWISSP/cf-contig_583-SWISSP.txt","Tubulin alpha chain")</f>
        <v>Tubulin alpha chain</v>
      </c>
      <c r="BB527" t="str">
        <f>HYPERLINK("http://www.uniprot.org/uniprot/P50719","3E-005")</f>
        <v>3E-005</v>
      </c>
      <c r="BC527" t="s">
        <v>3795</v>
      </c>
      <c r="BD527">
        <v>47.4</v>
      </c>
      <c r="BE527">
        <v>29</v>
      </c>
      <c r="BF527">
        <v>450</v>
      </c>
      <c r="BG527">
        <v>73</v>
      </c>
      <c r="BH527">
        <v>7</v>
      </c>
      <c r="BI527">
        <v>8</v>
      </c>
      <c r="BJ527">
        <v>0</v>
      </c>
      <c r="BK527">
        <v>421</v>
      </c>
      <c r="BL527">
        <v>6</v>
      </c>
      <c r="BM527">
        <v>1</v>
      </c>
      <c r="BN527">
        <v>3</v>
      </c>
      <c r="BO527" t="s">
        <v>12</v>
      </c>
      <c r="BQ527" t="s">
        <v>1676</v>
      </c>
      <c r="BR527" t="s">
        <v>3796</v>
      </c>
      <c r="BS527" s="4" t="str">
        <f>HYPERLINK("http://exon.niaid.nih.gov/transcriptome/C_felis/S1/links/CDD/cf-contig_583-CDD.txt","PLN00221")</f>
        <v>PLN00221</v>
      </c>
      <c r="BT527" t="str">
        <f>HYPERLINK("http://www.ncbi.nlm.nih.gov/Structure/cdd/cddsrv.cgi?uid=PLN00221&amp;version=v4.0","2E-007")</f>
        <v>2E-007</v>
      </c>
      <c r="BU527" t="s">
        <v>3797</v>
      </c>
      <c r="BV527" s="4" t="s">
        <v>3798</v>
      </c>
      <c r="BW527">
        <f>HYPERLINK("http://exon.niaid.nih.gov/transcriptome/C_felis/S1/links/GO/cf-contig_583-GO.txt",0.00002)</f>
        <v>2.0000000000000002E-5</v>
      </c>
      <c r="BX527" t="str">
        <f>HYPERLINK("http://amigo.geneontology.org/cgi-bin/amigo/term_details?term=GO:0003924","GO:0003924")</f>
        <v>GO:0003924</v>
      </c>
      <c r="BY527" t="s">
        <v>3799</v>
      </c>
      <c r="BZ527" t="s">
        <v>3800</v>
      </c>
      <c r="CA527" t="s">
        <v>3801</v>
      </c>
      <c r="CB527" t="s">
        <v>42</v>
      </c>
      <c r="CD527">
        <v>2.0000000000000002E-5</v>
      </c>
      <c r="CE527" t="str">
        <f>HYPERLINK("http://amigo.geneontology.org/cgi-bin/amigo/term_details?term=GO:0043234","GO:0043234")</f>
        <v>GO:0043234</v>
      </c>
      <c r="CF527" t="s">
        <v>3802</v>
      </c>
      <c r="CG527" t="s">
        <v>3803</v>
      </c>
      <c r="CH527" t="s">
        <v>3804</v>
      </c>
      <c r="CI527" t="s">
        <v>42</v>
      </c>
      <c r="CK527">
        <v>2.0000000000000002E-5</v>
      </c>
      <c r="CL527" t="str">
        <f>HYPERLINK("http://amigo.geneontology.org/cgi-bin/amigo/term_details?term=GO:0051258","GO:0051258")</f>
        <v>GO:0051258</v>
      </c>
      <c r="CM527" t="s">
        <v>3805</v>
      </c>
      <c r="CN527" t="s">
        <v>3806</v>
      </c>
      <c r="CO527" t="s">
        <v>3807</v>
      </c>
      <c r="CP527" t="s">
        <v>42</v>
      </c>
      <c r="CR527">
        <v>2.0000000000000002E-5</v>
      </c>
      <c r="CS527" s="4" t="str">
        <f>HYPERLINK("http://exon.niaid.nih.gov/transcriptome/C_felis/S1/links/KOG/cf-contig_583-KOG.txt","Rhomboid family proteins")</f>
        <v>Rhomboid family proteins</v>
      </c>
      <c r="CT527" t="str">
        <f>HYPERLINK("http://www.ncbi.nlm.nih.gov/COG/grace/shokog.cgi?KOG2290","0.082")</f>
        <v>0.082</v>
      </c>
      <c r="CU527" t="s">
        <v>1780</v>
      </c>
      <c r="CV527" s="4" t="str">
        <f>HYPERLINK("http://exon.niaid.nih.gov/transcriptome/C_felis/S1/links/PFAM/cf-contig_583-PFAM.txt","7tm_7")</f>
        <v>7tm_7</v>
      </c>
      <c r="CW527" t="str">
        <f>HYPERLINK("http://pfam.sanger.ac.uk/family?acc=PF08395","0.16")</f>
        <v>0.16</v>
      </c>
      <c r="CX527" s="4" t="str">
        <f>HYPERLINK("http://exon.niaid.nih.gov/transcriptome/C_felis/S1/links/SMART/cf-contig_583-SMART.txt","Amelogenin")</f>
        <v>Amelogenin</v>
      </c>
      <c r="CY527" t="str">
        <f>HYPERLINK("http://smart.embl-heidelberg.de/smart/do_annotation.pl?DOMAIN=Amelogenin&amp;BLAST=DUMMY","0.031")</f>
        <v>0.031</v>
      </c>
      <c r="CZ527" s="4" t="s">
        <v>42</v>
      </c>
      <c r="DA527" t="s">
        <v>42</v>
      </c>
      <c r="DB527" t="s">
        <v>42</v>
      </c>
      <c r="DC527" t="s">
        <v>42</v>
      </c>
      <c r="DD527" t="s">
        <v>42</v>
      </c>
      <c r="DE527" t="s">
        <v>42</v>
      </c>
      <c r="DF527" t="s">
        <v>42</v>
      </c>
      <c r="DG527" t="s">
        <v>42</v>
      </c>
      <c r="DH527" s="4" t="s">
        <v>42</v>
      </c>
      <c r="DI527" t="s">
        <v>42</v>
      </c>
      <c r="DJ527" s="4" t="s">
        <v>42</v>
      </c>
      <c r="DK527" t="s">
        <v>42</v>
      </c>
      <c r="DL527" s="4">
        <v>475</v>
      </c>
      <c r="DM527">
        <v>1</v>
      </c>
      <c r="DN527" s="4">
        <v>485</v>
      </c>
      <c r="DO527">
        <v>1</v>
      </c>
      <c r="DP527" s="4">
        <v>494</v>
      </c>
      <c r="DQ527">
        <v>1</v>
      </c>
      <c r="DR527" s="4">
        <v>513</v>
      </c>
      <c r="DS527">
        <v>1</v>
      </c>
      <c r="DT527" s="4">
        <v>525</v>
      </c>
      <c r="DU527">
        <v>1</v>
      </c>
      <c r="DV527" s="4">
        <v>539</v>
      </c>
      <c r="DW527">
        <v>1</v>
      </c>
      <c r="DX527" s="4">
        <v>547</v>
      </c>
      <c r="DY527">
        <v>1</v>
      </c>
      <c r="DZ527" s="4">
        <v>555</v>
      </c>
      <c r="EA527">
        <v>1</v>
      </c>
      <c r="EB527" s="4">
        <v>560</v>
      </c>
      <c r="EC527">
        <v>1</v>
      </c>
      <c r="ED527" s="4">
        <v>564</v>
      </c>
      <c r="EE527">
        <v>1</v>
      </c>
      <c r="EF527" s="4">
        <v>569</v>
      </c>
      <c r="EG527">
        <v>1</v>
      </c>
      <c r="EH527" s="4">
        <v>576</v>
      </c>
      <c r="EI527">
        <v>1</v>
      </c>
      <c r="EJ527" s="4">
        <v>583</v>
      </c>
      <c r="EK527">
        <v>1</v>
      </c>
    </row>
    <row r="528" spans="1:141" x14ac:dyDescent="0.2">
      <c r="A528" t="str">
        <f>HYPERLINK("http://exon.niaid.nih.gov/transcriptome/C_felis/S1/links/cf/cf-contig_617.txt","cf-contig_617")</f>
        <v>cf-contig_617</v>
      </c>
      <c r="B528">
        <v>1</v>
      </c>
      <c r="C528" s="10" t="s">
        <v>4600</v>
      </c>
      <c r="D528">
        <v>1</v>
      </c>
      <c r="E528" t="str">
        <f>HYPERLINK("http://exon.niaid.nih.gov/transcriptome/C_felis/S1/links/cf/cf-5-36-asb-617.txt","Contig-617")</f>
        <v>Contig-617</v>
      </c>
      <c r="F528" t="str">
        <f>HYPERLINK("http://exon.niaid.nih.gov/transcriptome/C_felis/S1/links/cf/cf-5-36-617-CLU.txt","Contig617")</f>
        <v>Contig617</v>
      </c>
      <c r="G528" t="str">
        <f>HYPERLINK("http://exon.niaid.nih.gov/transcriptome/C_felis/S1/links/cf/cf-5-36-617-qual.txt","62.3")</f>
        <v>62.3</v>
      </c>
      <c r="H528" t="s">
        <v>11</v>
      </c>
      <c r="I528">
        <v>68.2</v>
      </c>
      <c r="J528">
        <v>154</v>
      </c>
      <c r="K528" t="s">
        <v>12</v>
      </c>
      <c r="L528">
        <v>1</v>
      </c>
      <c r="M528" t="s">
        <v>630</v>
      </c>
      <c r="N528">
        <v>154</v>
      </c>
      <c r="O528">
        <v>173</v>
      </c>
      <c r="P528">
        <v>102</v>
      </c>
      <c r="Q528" t="s">
        <v>1436</v>
      </c>
      <c r="R528">
        <v>1</v>
      </c>
      <c r="S528" s="7" t="s">
        <v>4585</v>
      </c>
      <c r="U528">
        <v>1</v>
      </c>
      <c r="V528" s="4">
        <v>503</v>
      </c>
      <c r="W528">
        <v>1</v>
      </c>
      <c r="X528" s="4">
        <v>515</v>
      </c>
      <c r="Y528">
        <v>1</v>
      </c>
      <c r="Z528" s="4">
        <v>525</v>
      </c>
      <c r="AA528">
        <v>1</v>
      </c>
      <c r="AB528" s="4" t="str">
        <f>HYPERLINK("http://exon.niaid.nih.gov/transcriptome/C_felis/S1/links/XC-ASB/cf-contig_617-XC-ASB.txt","XC-contig_152")</f>
        <v>XC-contig_152</v>
      </c>
      <c r="AC528">
        <v>4.8000000000000001E-2</v>
      </c>
      <c r="AD528" s="10" t="s">
        <v>4600</v>
      </c>
      <c r="AE528" t="s">
        <v>4601</v>
      </c>
      <c r="AI528" s="4" t="str">
        <f>HYPERLINK("http://exon.niaid.nih.gov/transcriptome/C_felis/S1/links/NR/cf-contig_617-NR.txt","3-ketoacyl-coa thiolase, mitochondrial (beta- ketothiolase) (acetyl-coa")</f>
        <v>3-ketoacyl-coa thiolase, mitochondrial (beta- ketothiolase) (acetyl-coa</v>
      </c>
      <c r="AJ528" t="str">
        <f>HYPERLINK("http://www.ncbi.nlm.nih.gov/sutils/blink.cgi?pid=157126970","0.034")</f>
        <v>0.034</v>
      </c>
      <c r="AK528" t="str">
        <f>HYPERLINK("http://www.ncbi.nlm.nih.gov/protein/157126970","gi|157126970")</f>
        <v>gi|157126970</v>
      </c>
      <c r="AL528">
        <v>42</v>
      </c>
      <c r="AM528">
        <v>19</v>
      </c>
      <c r="AN528">
        <v>398</v>
      </c>
      <c r="AO528">
        <v>100</v>
      </c>
      <c r="AP528">
        <v>5</v>
      </c>
      <c r="AQ528">
        <v>0</v>
      </c>
      <c r="AR528">
        <v>0</v>
      </c>
      <c r="AS528">
        <v>379</v>
      </c>
      <c r="AT528">
        <v>8</v>
      </c>
      <c r="AU528">
        <v>1</v>
      </c>
      <c r="AV528">
        <v>2</v>
      </c>
      <c r="AW528" t="s">
        <v>12</v>
      </c>
      <c r="AY528" t="s">
        <v>1676</v>
      </c>
      <c r="AZ528" t="s">
        <v>2267</v>
      </c>
      <c r="BA528" s="4" t="str">
        <f>HYPERLINK("http://exon.niaid.nih.gov/transcriptome/C_felis/S1/links/SWISSP/cf-contig_617-SWISSP.txt","3-ketoacyl-CoA thiolase, mitochondrial")</f>
        <v>3-ketoacyl-CoA thiolase, mitochondrial</v>
      </c>
      <c r="BB528" t="str">
        <f>HYPERLINK("http://www.uniprot.org/uniprot/Q5RES5","0.039")</f>
        <v>0.039</v>
      </c>
      <c r="BC528" t="s">
        <v>3938</v>
      </c>
      <c r="BD528">
        <v>37</v>
      </c>
      <c r="BE528">
        <v>18</v>
      </c>
      <c r="BF528">
        <v>397</v>
      </c>
      <c r="BG528">
        <v>78</v>
      </c>
      <c r="BH528">
        <v>5</v>
      </c>
      <c r="BI528">
        <v>4</v>
      </c>
      <c r="BJ528">
        <v>0</v>
      </c>
      <c r="BK528">
        <v>377</v>
      </c>
      <c r="BL528">
        <v>8</v>
      </c>
      <c r="BM528">
        <v>1</v>
      </c>
      <c r="BN528">
        <v>2</v>
      </c>
      <c r="BO528" t="s">
        <v>12</v>
      </c>
      <c r="BQ528" t="s">
        <v>1676</v>
      </c>
      <c r="BR528" t="s">
        <v>2347</v>
      </c>
      <c r="BS528" s="4" t="str">
        <f>HYPERLINK("http://exon.niaid.nih.gov/transcriptome/C_felis/S1/links/CDD/cf-contig_617-CDD.txt","PRK05790")</f>
        <v>PRK05790</v>
      </c>
      <c r="BT528" t="str">
        <f>HYPERLINK("http://www.ncbi.nlm.nih.gov/Structure/cdd/cddsrv.cgi?uid=PRK05790&amp;version=v4.0","4E-004")</f>
        <v>4E-004</v>
      </c>
      <c r="BU528" t="s">
        <v>3939</v>
      </c>
      <c r="BV528" s="4" t="s">
        <v>42</v>
      </c>
      <c r="BW528" t="s">
        <v>42</v>
      </c>
      <c r="BX528" t="s">
        <v>42</v>
      </c>
      <c r="BY528" t="s">
        <v>42</v>
      </c>
      <c r="BZ528" t="s">
        <v>42</v>
      </c>
      <c r="CA528" t="s">
        <v>42</v>
      </c>
      <c r="CB528" t="s">
        <v>42</v>
      </c>
      <c r="CC528" t="s">
        <v>42</v>
      </c>
      <c r="CD528" t="s">
        <v>42</v>
      </c>
      <c r="CE528" t="s">
        <v>42</v>
      </c>
      <c r="CF528" t="s">
        <v>42</v>
      </c>
      <c r="CG528" t="s">
        <v>42</v>
      </c>
      <c r="CH528" t="s">
        <v>42</v>
      </c>
      <c r="CI528" t="s">
        <v>42</v>
      </c>
      <c r="CJ528" t="s">
        <v>42</v>
      </c>
      <c r="CK528" t="s">
        <v>42</v>
      </c>
      <c r="CL528" t="s">
        <v>42</v>
      </c>
      <c r="CM528" t="s">
        <v>42</v>
      </c>
      <c r="CN528" t="s">
        <v>42</v>
      </c>
      <c r="CO528" t="s">
        <v>42</v>
      </c>
      <c r="CP528" t="s">
        <v>42</v>
      </c>
      <c r="CQ528" t="s">
        <v>42</v>
      </c>
      <c r="CR528" t="s">
        <v>42</v>
      </c>
      <c r="CS528" s="4" t="str">
        <f>HYPERLINK("http://exon.niaid.nih.gov/transcriptome/C_felis/S1/links/KOG/cf-contig_617-KOG.txt","Acetyl-CoA acetyltransferase")</f>
        <v>Acetyl-CoA acetyltransferase</v>
      </c>
      <c r="CT528" t="str">
        <f>HYPERLINK("http://www.ncbi.nlm.nih.gov/COG/grace/shokog.cgi?KOG1391","2E-005")</f>
        <v>2E-005</v>
      </c>
      <c r="CU528" t="s">
        <v>1761</v>
      </c>
      <c r="CV528" s="4" t="str">
        <f>HYPERLINK("http://exon.niaid.nih.gov/transcriptome/C_felis/S1/links/PFAM/cf-contig_617-PFAM.txt","Thiolase_C")</f>
        <v>Thiolase_C</v>
      </c>
      <c r="CW528" t="str">
        <f>HYPERLINK("http://pfam.sanger.ac.uk/family?acc=PF02803","4E-004")</f>
        <v>4E-004</v>
      </c>
      <c r="CX528" s="4" t="str">
        <f>HYPERLINK("http://exon.niaid.nih.gov/transcriptome/C_felis/S1/links/SMART/cf-contig_617-SMART.txt","CRM1_C")</f>
        <v>CRM1_C</v>
      </c>
      <c r="CY528" t="str">
        <f>HYPERLINK("http://smart.embl-heidelberg.de/smart/do_annotation.pl?DOMAIN=CRM1_C&amp;BLAST=DUMMY","0.67")</f>
        <v>0.67</v>
      </c>
      <c r="CZ528" s="4" t="s">
        <v>42</v>
      </c>
      <c r="DA528" t="s">
        <v>42</v>
      </c>
      <c r="DB528" t="s">
        <v>42</v>
      </c>
      <c r="DC528" t="s">
        <v>42</v>
      </c>
      <c r="DD528" t="s">
        <v>42</v>
      </c>
      <c r="DE528" t="s">
        <v>42</v>
      </c>
      <c r="DF528" t="s">
        <v>42</v>
      </c>
      <c r="DG528" t="s">
        <v>42</v>
      </c>
      <c r="DH528" s="4" t="s">
        <v>42</v>
      </c>
      <c r="DI528" t="s">
        <v>42</v>
      </c>
      <c r="DJ528" s="4" t="s">
        <v>42</v>
      </c>
      <c r="DK528" t="s">
        <v>42</v>
      </c>
      <c r="DL528" s="4">
        <v>503</v>
      </c>
      <c r="DM528">
        <v>1</v>
      </c>
      <c r="DN528" s="4">
        <v>515</v>
      </c>
      <c r="DO528">
        <v>1</v>
      </c>
      <c r="DP528" s="4">
        <v>525</v>
      </c>
      <c r="DQ528">
        <v>1</v>
      </c>
      <c r="DR528" s="4">
        <v>544</v>
      </c>
      <c r="DS528">
        <v>1</v>
      </c>
      <c r="DT528" s="4">
        <v>556</v>
      </c>
      <c r="DU528">
        <v>1</v>
      </c>
      <c r="DV528" s="4">
        <v>570</v>
      </c>
      <c r="DW528">
        <v>1</v>
      </c>
      <c r="DX528" s="4">
        <v>579</v>
      </c>
      <c r="DY528">
        <v>1</v>
      </c>
      <c r="DZ528" s="4">
        <v>587</v>
      </c>
      <c r="EA528">
        <v>1</v>
      </c>
      <c r="EB528" s="4">
        <v>592</v>
      </c>
      <c r="EC528">
        <v>1</v>
      </c>
      <c r="ED528" s="4">
        <v>596</v>
      </c>
      <c r="EE528">
        <v>1</v>
      </c>
      <c r="EF528" s="4">
        <v>602</v>
      </c>
      <c r="EG528">
        <v>1</v>
      </c>
      <c r="EH528" s="4">
        <v>610</v>
      </c>
      <c r="EI528">
        <v>1</v>
      </c>
      <c r="EJ528" s="4">
        <v>617</v>
      </c>
      <c r="EK528">
        <v>1</v>
      </c>
    </row>
    <row r="529" spans="1:141" x14ac:dyDescent="0.2">
      <c r="A529" t="str">
        <f>HYPERLINK("http://exon.niaid.nih.gov/transcriptome/C_felis/S1/links/cf/cf-contig_655.txt","cf-contig_655")</f>
        <v>cf-contig_655</v>
      </c>
      <c r="B529">
        <v>1</v>
      </c>
      <c r="C529" s="10" t="s">
        <v>4600</v>
      </c>
      <c r="D529">
        <v>1</v>
      </c>
      <c r="E529" t="str">
        <f>HYPERLINK("http://exon.niaid.nih.gov/transcriptome/C_felis/S1/links/cf/cf-5-36-asb-655.txt","Contig-655")</f>
        <v>Contig-655</v>
      </c>
      <c r="F529" t="str">
        <f>HYPERLINK("http://exon.niaid.nih.gov/transcriptome/C_felis/S1/links/cf/cf-5-36-655-CLU.txt","Contig655")</f>
        <v>Contig655</v>
      </c>
      <c r="G529" t="str">
        <f>HYPERLINK("http://exon.niaid.nih.gov/transcriptome/C_felis/S1/links/cf/cf-5-36-655-qual.txt","63.9")</f>
        <v>63.9</v>
      </c>
      <c r="H529" t="s">
        <v>11</v>
      </c>
      <c r="I529">
        <v>68.900000000000006</v>
      </c>
      <c r="J529">
        <v>219</v>
      </c>
      <c r="K529" t="s">
        <v>12</v>
      </c>
      <c r="L529">
        <v>1</v>
      </c>
      <c r="M529" t="s">
        <v>668</v>
      </c>
      <c r="N529">
        <v>219</v>
      </c>
      <c r="O529">
        <v>238</v>
      </c>
      <c r="P529">
        <v>117</v>
      </c>
      <c r="Q529" t="s">
        <v>1474</v>
      </c>
      <c r="R529">
        <v>3</v>
      </c>
      <c r="S529" s="7" t="s">
        <v>4585</v>
      </c>
      <c r="U529">
        <v>1</v>
      </c>
      <c r="V529" s="4">
        <v>536</v>
      </c>
      <c r="W529">
        <v>1</v>
      </c>
      <c r="X529" s="4">
        <v>548</v>
      </c>
      <c r="Y529">
        <v>1</v>
      </c>
      <c r="Z529" s="4">
        <v>560</v>
      </c>
      <c r="AA529">
        <v>1</v>
      </c>
      <c r="AB529" s="4" t="str">
        <f>HYPERLINK("http://exon.niaid.nih.gov/transcriptome/C_felis/S1/links/XC-ASB/cf-contig_655-XC-ASB.txt","XC-contig_139")</f>
        <v>XC-contig_139</v>
      </c>
      <c r="AC529">
        <v>0.27</v>
      </c>
      <c r="AD529" s="10" t="s">
        <v>4600</v>
      </c>
      <c r="AE529" t="s">
        <v>4601</v>
      </c>
      <c r="AI529" s="4" t="str">
        <f>HYPERLINK("http://exon.niaid.nih.gov/transcriptome/C_felis/S1/links/NR/cf-contig_655-NR.txt","glucosidase ii beta subunit")</f>
        <v>glucosidase ii beta subunit</v>
      </c>
      <c r="AJ529" t="str">
        <f>HYPERLINK("http://www.ncbi.nlm.nih.gov/sutils/blink.cgi?pid=157132278","0.020")</f>
        <v>0.020</v>
      </c>
      <c r="AK529" t="str">
        <f>HYPERLINK("http://www.ncbi.nlm.nih.gov/protein/157132278","gi|157132278")</f>
        <v>gi|157132278</v>
      </c>
      <c r="AL529">
        <v>42.7</v>
      </c>
      <c r="AM529">
        <v>30</v>
      </c>
      <c r="AN529">
        <v>552</v>
      </c>
      <c r="AO529">
        <v>51</v>
      </c>
      <c r="AP529">
        <v>6</v>
      </c>
      <c r="AQ529">
        <v>15</v>
      </c>
      <c r="AR529">
        <v>0</v>
      </c>
      <c r="AS529">
        <v>522</v>
      </c>
      <c r="AT529">
        <v>11</v>
      </c>
      <c r="AU529">
        <v>1</v>
      </c>
      <c r="AV529">
        <v>2</v>
      </c>
      <c r="AW529" t="s">
        <v>12</v>
      </c>
      <c r="AY529" t="s">
        <v>1676</v>
      </c>
      <c r="AZ529" t="s">
        <v>2267</v>
      </c>
      <c r="BA529" s="4" t="str">
        <f>HYPERLINK("http://exon.niaid.nih.gov/transcriptome/C_felis/S1/links/SWISSP/cf-contig_655-SWISSP.txt","Glucosidase 2 subunit beta")</f>
        <v>Glucosidase 2 subunit beta</v>
      </c>
      <c r="BB529" t="str">
        <f>HYPERLINK("http://www.uniprot.org/uniprot/O08795","11")</f>
        <v>11</v>
      </c>
      <c r="BC529" t="s">
        <v>4073</v>
      </c>
      <c r="BD529">
        <v>28.9</v>
      </c>
      <c r="BE529">
        <v>31</v>
      </c>
      <c r="BF529">
        <v>521</v>
      </c>
      <c r="BG529">
        <v>43</v>
      </c>
      <c r="BH529">
        <v>6</v>
      </c>
      <c r="BI529">
        <v>18</v>
      </c>
      <c r="BJ529">
        <v>1</v>
      </c>
      <c r="BK529">
        <v>490</v>
      </c>
      <c r="BL529">
        <v>11</v>
      </c>
      <c r="BM529">
        <v>1</v>
      </c>
      <c r="BN529">
        <v>2</v>
      </c>
      <c r="BO529" t="s">
        <v>12</v>
      </c>
      <c r="BQ529" t="s">
        <v>1676</v>
      </c>
      <c r="BR529" t="s">
        <v>1705</v>
      </c>
      <c r="BS529" s="4" t="str">
        <f>HYPERLINK("http://exon.niaid.nih.gov/transcriptome/C_felis/S1/links/CDD/cf-contig_655-CDD.txt","ND4")</f>
        <v>ND4</v>
      </c>
      <c r="BT529" t="str">
        <f>HYPERLINK("http://www.ncbi.nlm.nih.gov/Structure/cdd/cddsrv.cgi?uid=MTH00068&amp;version=v4.0","1.2")</f>
        <v>1.2</v>
      </c>
      <c r="BU529" t="s">
        <v>4074</v>
      </c>
      <c r="BV529" s="4" t="s">
        <v>42</v>
      </c>
      <c r="BW529" t="s">
        <v>42</v>
      </c>
      <c r="BX529" t="s">
        <v>42</v>
      </c>
      <c r="BY529" t="s">
        <v>42</v>
      </c>
      <c r="BZ529" t="s">
        <v>42</v>
      </c>
      <c r="CA529" t="s">
        <v>42</v>
      </c>
      <c r="CB529" t="s">
        <v>42</v>
      </c>
      <c r="CC529" t="s">
        <v>42</v>
      </c>
      <c r="CD529" t="s">
        <v>42</v>
      </c>
      <c r="CE529" t="s">
        <v>42</v>
      </c>
      <c r="CF529" t="s">
        <v>42</v>
      </c>
      <c r="CG529" t="s">
        <v>42</v>
      </c>
      <c r="CH529" t="s">
        <v>42</v>
      </c>
      <c r="CI529" t="s">
        <v>42</v>
      </c>
      <c r="CJ529" t="s">
        <v>42</v>
      </c>
      <c r="CK529" t="s">
        <v>42</v>
      </c>
      <c r="CL529" t="s">
        <v>42</v>
      </c>
      <c r="CM529" t="s">
        <v>42</v>
      </c>
      <c r="CN529" t="s">
        <v>42</v>
      </c>
      <c r="CO529" t="s">
        <v>42</v>
      </c>
      <c r="CP529" t="s">
        <v>42</v>
      </c>
      <c r="CQ529" t="s">
        <v>42</v>
      </c>
      <c r="CR529" t="s">
        <v>42</v>
      </c>
      <c r="CS529" s="4" t="str">
        <f>HYPERLINK("http://exon.niaid.nih.gov/transcriptome/C_felis/S1/links/KOG/cf-contig_655-KOG.txt","Protein kinase C substrate, 80 KD protein, heavy chain")</f>
        <v>Protein kinase C substrate, 80 KD protein, heavy chain</v>
      </c>
      <c r="CT529" t="str">
        <f>HYPERLINK("http://www.ncbi.nlm.nih.gov/COG/grace/shokog.cgi?KOG2397","0.004")</f>
        <v>0.004</v>
      </c>
      <c r="CU529" t="s">
        <v>1780</v>
      </c>
      <c r="CV529" s="4" t="str">
        <f>HYPERLINK("http://exon.niaid.nih.gov/transcriptome/C_felis/S1/links/PFAM/cf-contig_655-PFAM.txt","OATP")</f>
        <v>OATP</v>
      </c>
      <c r="CW529" t="str">
        <f>HYPERLINK("http://pfam.sanger.ac.uk/family?acc=PF03137","0.38")</f>
        <v>0.38</v>
      </c>
      <c r="CX529" s="4" t="str">
        <f>HYPERLINK("http://exon.niaid.nih.gov/transcriptome/C_felis/S1/links/SMART/cf-contig_655-SMART.txt","START")</f>
        <v>START</v>
      </c>
      <c r="CY529" t="str">
        <f>HYPERLINK("http://smart.embl-heidelberg.de/smart/do_annotation.pl?DOMAIN=START&amp;BLAST=DUMMY","0.15")</f>
        <v>0.15</v>
      </c>
      <c r="CZ529" s="4" t="s">
        <v>42</v>
      </c>
      <c r="DA529" t="s">
        <v>42</v>
      </c>
      <c r="DB529" t="s">
        <v>42</v>
      </c>
      <c r="DC529" t="s">
        <v>42</v>
      </c>
      <c r="DD529" t="s">
        <v>42</v>
      </c>
      <c r="DE529" t="s">
        <v>42</v>
      </c>
      <c r="DF529" t="s">
        <v>42</v>
      </c>
      <c r="DG529" t="s">
        <v>42</v>
      </c>
      <c r="DH529" s="4" t="s">
        <v>42</v>
      </c>
      <c r="DI529" t="s">
        <v>42</v>
      </c>
      <c r="DJ529" s="4" t="s">
        <v>42</v>
      </c>
      <c r="DK529" t="s">
        <v>42</v>
      </c>
      <c r="DL529" s="4">
        <v>536</v>
      </c>
      <c r="DM529">
        <v>1</v>
      </c>
      <c r="DN529" s="4">
        <v>548</v>
      </c>
      <c r="DO529">
        <v>1</v>
      </c>
      <c r="DP529" s="4">
        <v>560</v>
      </c>
      <c r="DQ529">
        <v>1</v>
      </c>
      <c r="DR529" s="4">
        <v>580</v>
      </c>
      <c r="DS529">
        <v>1</v>
      </c>
      <c r="DT529" s="4">
        <v>593</v>
      </c>
      <c r="DU529">
        <v>1</v>
      </c>
      <c r="DV529" s="4">
        <v>607</v>
      </c>
      <c r="DW529">
        <v>1</v>
      </c>
      <c r="DX529" s="4">
        <v>616</v>
      </c>
      <c r="DY529">
        <v>1</v>
      </c>
      <c r="DZ529" s="4">
        <v>625</v>
      </c>
      <c r="EA529">
        <v>1</v>
      </c>
      <c r="EB529" s="4">
        <v>630</v>
      </c>
      <c r="EC529">
        <v>1</v>
      </c>
      <c r="ED529" s="4">
        <v>634</v>
      </c>
      <c r="EE529">
        <v>1</v>
      </c>
      <c r="EF529" s="4">
        <v>640</v>
      </c>
      <c r="EG529">
        <v>1</v>
      </c>
      <c r="EH529" s="4">
        <v>648</v>
      </c>
      <c r="EI529">
        <v>1</v>
      </c>
      <c r="EJ529" s="4">
        <v>655</v>
      </c>
      <c r="EK529">
        <v>1</v>
      </c>
    </row>
    <row r="530" spans="1:141" x14ac:dyDescent="0.2">
      <c r="A530" t="str">
        <f>HYPERLINK("http://exon.niaid.nih.gov/transcriptome/C_felis/S1/links/cf/cf-contig_313.txt","cf-contig_313")</f>
        <v>cf-contig_313</v>
      </c>
      <c r="B530">
        <v>1</v>
      </c>
      <c r="C530" s="10" t="s">
        <v>4600</v>
      </c>
      <c r="D530">
        <v>1</v>
      </c>
      <c r="E530" t="str">
        <f>HYPERLINK("http://exon.niaid.nih.gov/transcriptome/C_felis/S1/links/cf/cf-5-36-asb-313.txt","Contig-313")</f>
        <v>Contig-313</v>
      </c>
      <c r="F530" t="str">
        <f>HYPERLINK("http://exon.niaid.nih.gov/transcriptome/C_felis/S1/links/cf/cf-5-36-313-CLU.txt","Contig313")</f>
        <v>Contig313</v>
      </c>
      <c r="G530" t="str">
        <f>HYPERLINK("http://exon.niaid.nih.gov/transcriptome/C_felis/S1/links/cf/cf-5-36-313-qual.txt","65.8")</f>
        <v>65.8</v>
      </c>
      <c r="H530" t="s">
        <v>11</v>
      </c>
      <c r="I530">
        <v>72.900000000000006</v>
      </c>
      <c r="J530">
        <v>247</v>
      </c>
      <c r="K530" t="s">
        <v>12</v>
      </c>
      <c r="L530">
        <v>1</v>
      </c>
      <c r="M530" t="s">
        <v>326</v>
      </c>
      <c r="N530">
        <v>247</v>
      </c>
      <c r="O530">
        <v>266</v>
      </c>
      <c r="P530">
        <v>93</v>
      </c>
      <c r="Q530" t="s">
        <v>1133</v>
      </c>
      <c r="R530">
        <v>2</v>
      </c>
      <c r="S530" s="7" t="s">
        <v>4585</v>
      </c>
      <c r="U530">
        <v>1</v>
      </c>
      <c r="V530" s="4">
        <v>253</v>
      </c>
      <c r="W530">
        <v>1</v>
      </c>
      <c r="X530" s="4">
        <v>258</v>
      </c>
      <c r="Y530">
        <v>1</v>
      </c>
      <c r="Z530" s="4">
        <v>257</v>
      </c>
      <c r="AA530">
        <v>1</v>
      </c>
      <c r="AB530" s="4" t="str">
        <f>HYPERLINK("http://exon.niaid.nih.gov/transcriptome/C_felis/S1/links/XC-ASB/cf-contig_313-XC-ASB.txt","XC-contig_57")</f>
        <v>XC-contig_57</v>
      </c>
      <c r="AC530">
        <v>0.61</v>
      </c>
      <c r="AD530" s="10" t="s">
        <v>4600</v>
      </c>
      <c r="AE530" t="s">
        <v>4601</v>
      </c>
      <c r="AI530" s="4" t="str">
        <f>HYPERLINK("http://exon.niaid.nih.gov/transcriptome/C_felis/S1/links/NR/cf-contig_313-NR.txt","glutaredoxin, putative")</f>
        <v>glutaredoxin, putative</v>
      </c>
      <c r="AJ530" t="str">
        <f>HYPERLINK("http://www.ncbi.nlm.nih.gov/sutils/blink.cgi?pid=157131498","0.046")</f>
        <v>0.046</v>
      </c>
      <c r="AK530" t="str">
        <f>HYPERLINK("http://www.ncbi.nlm.nih.gov/protein/157131498","gi|157131498")</f>
        <v>gi|157131498</v>
      </c>
      <c r="AL530">
        <v>41.6</v>
      </c>
      <c r="AM530">
        <v>29</v>
      </c>
      <c r="AN530">
        <v>133</v>
      </c>
      <c r="AO530">
        <v>53</v>
      </c>
      <c r="AP530">
        <v>23</v>
      </c>
      <c r="AQ530">
        <v>14</v>
      </c>
      <c r="AR530">
        <v>0</v>
      </c>
      <c r="AS530">
        <v>104</v>
      </c>
      <c r="AT530">
        <v>2</v>
      </c>
      <c r="AU530">
        <v>1</v>
      </c>
      <c r="AV530">
        <v>2</v>
      </c>
      <c r="AW530" t="s">
        <v>12</v>
      </c>
      <c r="AY530" t="s">
        <v>1676</v>
      </c>
      <c r="AZ530" t="s">
        <v>2267</v>
      </c>
      <c r="BA530" s="4" t="str">
        <f>HYPERLINK("http://exon.niaid.nih.gov/transcriptome/C_felis/S1/links/SWISSP/cf-contig_313-SWISSP.txt","Thioredoxin domain-containing protein 17")</f>
        <v>Thioredoxin domain-containing protein 17</v>
      </c>
      <c r="BB530" t="str">
        <f>HYPERLINK("http://www.uniprot.org/uniprot/Q6DBT3","0.11")</f>
        <v>0.11</v>
      </c>
      <c r="BC530" t="s">
        <v>2790</v>
      </c>
      <c r="BD530">
        <v>35.4</v>
      </c>
      <c r="BE530">
        <v>28</v>
      </c>
      <c r="BF530">
        <v>123</v>
      </c>
      <c r="BG530">
        <v>48</v>
      </c>
      <c r="BH530">
        <v>24</v>
      </c>
      <c r="BI530">
        <v>15</v>
      </c>
      <c r="BJ530">
        <v>0</v>
      </c>
      <c r="BK530">
        <v>95</v>
      </c>
      <c r="BL530">
        <v>2</v>
      </c>
      <c r="BM530">
        <v>1</v>
      </c>
      <c r="BN530">
        <v>2</v>
      </c>
      <c r="BO530" t="s">
        <v>12</v>
      </c>
      <c r="BQ530" t="s">
        <v>1676</v>
      </c>
      <c r="BR530" t="s">
        <v>2736</v>
      </c>
      <c r="BS530" s="4" t="str">
        <f>HYPERLINK("http://exon.niaid.nih.gov/transcriptome/C_felis/S1/links/CDD/cf-contig_313-CDD.txt","DUF953")</f>
        <v>DUF953</v>
      </c>
      <c r="BT530" t="str">
        <f>HYPERLINK("http://www.ncbi.nlm.nih.gov/Structure/cdd/cddsrv.cgi?uid=pfam06110&amp;version=v4.0","1E-004")</f>
        <v>1E-004</v>
      </c>
      <c r="BU530" t="s">
        <v>2791</v>
      </c>
      <c r="BV530" s="4" t="s">
        <v>42</v>
      </c>
      <c r="BW530" t="s">
        <v>42</v>
      </c>
      <c r="BX530" t="s">
        <v>42</v>
      </c>
      <c r="BY530" t="s">
        <v>42</v>
      </c>
      <c r="BZ530" t="s">
        <v>42</v>
      </c>
      <c r="CA530" t="s">
        <v>42</v>
      </c>
      <c r="CB530" t="s">
        <v>42</v>
      </c>
      <c r="CC530" t="s">
        <v>42</v>
      </c>
      <c r="CD530" t="s">
        <v>42</v>
      </c>
      <c r="CE530" t="s">
        <v>42</v>
      </c>
      <c r="CF530" t="s">
        <v>42</v>
      </c>
      <c r="CG530" t="s">
        <v>42</v>
      </c>
      <c r="CH530" t="s">
        <v>42</v>
      </c>
      <c r="CI530" t="s">
        <v>42</v>
      </c>
      <c r="CJ530" t="s">
        <v>42</v>
      </c>
      <c r="CK530" t="s">
        <v>42</v>
      </c>
      <c r="CL530" t="s">
        <v>42</v>
      </c>
      <c r="CM530" t="s">
        <v>42</v>
      </c>
      <c r="CN530" t="s">
        <v>42</v>
      </c>
      <c r="CO530" t="s">
        <v>42</v>
      </c>
      <c r="CP530" t="s">
        <v>42</v>
      </c>
      <c r="CQ530" t="s">
        <v>42</v>
      </c>
      <c r="CR530" t="s">
        <v>42</v>
      </c>
      <c r="CS530" s="4" t="str">
        <f>HYPERLINK("http://exon.niaid.nih.gov/transcriptome/C_felis/S1/links/KOG/cf-contig_313-KOG.txt","Uncharacterized conserved protein")</f>
        <v>Uncharacterized conserved protein</v>
      </c>
      <c r="CT530" t="str">
        <f>HYPERLINK("http://www.ncbi.nlm.nih.gov/COG/grace/shokog.cgi?KOG3425","0.008")</f>
        <v>0.008</v>
      </c>
      <c r="CU530" t="s">
        <v>1711</v>
      </c>
      <c r="CV530" s="4" t="str">
        <f>HYPERLINK("http://exon.niaid.nih.gov/transcriptome/C_felis/S1/links/PFAM/cf-contig_313-PFAM.txt","DUF953")</f>
        <v>DUF953</v>
      </c>
      <c r="CW530" t="str">
        <f>HYPERLINK("http://pfam.sanger.ac.uk/family?acc=PF06110","2E-005")</f>
        <v>2E-005</v>
      </c>
      <c r="CX530" s="4" t="str">
        <f>HYPERLINK("http://exon.niaid.nih.gov/transcriptome/C_felis/S1/links/SMART/cf-contig_313-SMART.txt","APPLE")</f>
        <v>APPLE</v>
      </c>
      <c r="CY530" t="str">
        <f>HYPERLINK("http://smart.embl-heidelberg.de/smart/do_annotation.pl?DOMAIN=APPLE&amp;BLAST=DUMMY","0.20")</f>
        <v>0.20</v>
      </c>
      <c r="CZ530" s="4" t="s">
        <v>42</v>
      </c>
      <c r="DA530" t="s">
        <v>42</v>
      </c>
      <c r="DB530" t="s">
        <v>42</v>
      </c>
      <c r="DC530" t="s">
        <v>42</v>
      </c>
      <c r="DD530" t="s">
        <v>42</v>
      </c>
      <c r="DE530" t="s">
        <v>42</v>
      </c>
      <c r="DF530" t="s">
        <v>42</v>
      </c>
      <c r="DG530" t="s">
        <v>42</v>
      </c>
      <c r="DH530" s="4" t="s">
        <v>42</v>
      </c>
      <c r="DI530" t="s">
        <v>42</v>
      </c>
      <c r="DJ530" s="4" t="s">
        <v>42</v>
      </c>
      <c r="DK530" t="s">
        <v>42</v>
      </c>
      <c r="DL530" s="4">
        <v>253</v>
      </c>
      <c r="DM530">
        <v>1</v>
      </c>
      <c r="DN530" s="4">
        <v>258</v>
      </c>
      <c r="DO530">
        <v>1</v>
      </c>
      <c r="DP530" s="4">
        <v>257</v>
      </c>
      <c r="DQ530">
        <v>1</v>
      </c>
      <c r="DR530" s="4">
        <v>266</v>
      </c>
      <c r="DS530">
        <v>1</v>
      </c>
      <c r="DT530" s="4">
        <v>275</v>
      </c>
      <c r="DU530">
        <v>1</v>
      </c>
      <c r="DV530" s="4">
        <v>287</v>
      </c>
      <c r="DW530">
        <v>1</v>
      </c>
      <c r="DX530" s="4">
        <v>289</v>
      </c>
      <c r="DY530">
        <v>1</v>
      </c>
      <c r="DZ530" s="4">
        <v>294</v>
      </c>
      <c r="EA530">
        <v>1</v>
      </c>
      <c r="EB530" s="4">
        <v>299</v>
      </c>
      <c r="EC530">
        <v>1</v>
      </c>
      <c r="ED530" s="4">
        <v>302</v>
      </c>
      <c r="EE530">
        <v>1</v>
      </c>
      <c r="EF530" s="4">
        <v>306</v>
      </c>
      <c r="EG530">
        <v>1</v>
      </c>
      <c r="EH530" s="4">
        <v>308</v>
      </c>
      <c r="EI530">
        <v>1</v>
      </c>
      <c r="EJ530" s="4">
        <v>313</v>
      </c>
      <c r="EK530">
        <v>1</v>
      </c>
    </row>
    <row r="531" spans="1:141" x14ac:dyDescent="0.2">
      <c r="A531" t="str">
        <f>HYPERLINK("http://exon.niaid.nih.gov/transcriptome/C_felis/S1/links/cf/cf-contig_389.txt","cf-contig_389")</f>
        <v>cf-contig_389</v>
      </c>
      <c r="B531">
        <v>1</v>
      </c>
      <c r="C531" s="10" t="s">
        <v>4600</v>
      </c>
      <c r="D531">
        <v>1</v>
      </c>
      <c r="E531" t="str">
        <f>HYPERLINK("http://exon.niaid.nih.gov/transcriptome/C_felis/S1/links/cf/cf-5-36-asb-389.txt","Contig-389")</f>
        <v>Contig-389</v>
      </c>
      <c r="F531" t="str">
        <f>HYPERLINK("http://exon.niaid.nih.gov/transcriptome/C_felis/S1/links/cf/cf-5-36-389-CLU.txt","Contig389")</f>
        <v>Contig389</v>
      </c>
      <c r="G531" t="str">
        <f>HYPERLINK("http://exon.niaid.nih.gov/transcriptome/C_felis/S1/links/cf/cf-5-36-389-qual.txt","62.9")</f>
        <v>62.9</v>
      </c>
      <c r="H531" t="s">
        <v>11</v>
      </c>
      <c r="I531">
        <v>73.3</v>
      </c>
      <c r="J531">
        <v>258</v>
      </c>
      <c r="K531" t="s">
        <v>12</v>
      </c>
      <c r="L531">
        <v>1</v>
      </c>
      <c r="M531" t="s">
        <v>402</v>
      </c>
      <c r="N531">
        <v>258</v>
      </c>
      <c r="O531">
        <v>277</v>
      </c>
      <c r="P531">
        <v>147</v>
      </c>
      <c r="Q531" t="s">
        <v>1209</v>
      </c>
      <c r="R531">
        <v>2</v>
      </c>
      <c r="S531" s="7" t="str">
        <f>HYPERLINK("http://exon.niaid.nih.gov/transcriptome/C_felis/S1/links/Sigp/CF-CONTIG_389-SigP.txt","Cyt")</f>
        <v>Cyt</v>
      </c>
      <c r="U531">
        <v>1</v>
      </c>
      <c r="V531" s="4">
        <v>317</v>
      </c>
      <c r="W531">
        <v>1</v>
      </c>
      <c r="X531" s="4">
        <v>325</v>
      </c>
      <c r="Y531">
        <v>1</v>
      </c>
      <c r="Z531" s="4">
        <v>326</v>
      </c>
      <c r="AA531">
        <v>1</v>
      </c>
      <c r="AB531" s="4" t="str">
        <f>HYPERLINK("http://exon.niaid.nih.gov/transcriptome/C_felis/S1/links/XC-ASB/cf-contig_389-XC-ASB.txt","XC-contig_208")</f>
        <v>XC-contig_208</v>
      </c>
      <c r="AC531">
        <v>0.13</v>
      </c>
      <c r="AD531" s="10" t="s">
        <v>4600</v>
      </c>
      <c r="AE531" t="s">
        <v>4601</v>
      </c>
      <c r="AI531" s="4" t="str">
        <f>HYPERLINK("http://exon.niaid.nih.gov/transcriptome/C_felis/S1/links/NR/cf-contig_389-NR.txt","pho85 cyclin")</f>
        <v>pho85 cyclin</v>
      </c>
      <c r="AJ531" t="str">
        <f>HYPERLINK("http://www.ncbi.nlm.nih.gov/sutils/blink.cgi?pid=240278370","7.2")</f>
        <v>7.2</v>
      </c>
      <c r="AK531" t="str">
        <f>HYPERLINK("http://www.ncbi.nlm.nih.gov/protein/240278370","gi|240278370")</f>
        <v>gi|240278370</v>
      </c>
      <c r="AL531">
        <v>34.299999999999997</v>
      </c>
      <c r="AM531">
        <v>46</v>
      </c>
      <c r="AN531">
        <v>589</v>
      </c>
      <c r="AO531">
        <v>38</v>
      </c>
      <c r="AP531">
        <v>8</v>
      </c>
      <c r="AQ531">
        <v>29</v>
      </c>
      <c r="AR531">
        <v>0</v>
      </c>
      <c r="AS531">
        <v>424</v>
      </c>
      <c r="AT531">
        <v>62</v>
      </c>
      <c r="AU531">
        <v>1</v>
      </c>
      <c r="AV531">
        <v>2</v>
      </c>
      <c r="AW531" t="s">
        <v>12</v>
      </c>
      <c r="AX531">
        <v>2.1739999999999999</v>
      </c>
      <c r="AY531" t="s">
        <v>1676</v>
      </c>
      <c r="AZ531" t="s">
        <v>3051</v>
      </c>
      <c r="BA531" s="4" t="str">
        <f>HYPERLINK("http://exon.niaid.nih.gov/transcriptome/C_felis/S1/links/SWISSP/cf-contig_389-SWISSP.txt","Glycyl-tRNA synthetase alpha subunit")</f>
        <v>Glycyl-tRNA synthetase alpha subunit</v>
      </c>
      <c r="BB531" t="str">
        <f>HYPERLINK("http://www.uniprot.org/uniprot/B6EGT2","11")</f>
        <v>11</v>
      </c>
      <c r="BC531" t="s">
        <v>3052</v>
      </c>
      <c r="BD531">
        <v>28.9</v>
      </c>
      <c r="BE531">
        <v>32</v>
      </c>
      <c r="BF531">
        <v>310</v>
      </c>
      <c r="BG531">
        <v>30</v>
      </c>
      <c r="BH531">
        <v>11</v>
      </c>
      <c r="BI531">
        <v>23</v>
      </c>
      <c r="BJ531">
        <v>0</v>
      </c>
      <c r="BK531">
        <v>203</v>
      </c>
      <c r="BL531">
        <v>44</v>
      </c>
      <c r="BM531">
        <v>1</v>
      </c>
      <c r="BN531">
        <v>2</v>
      </c>
      <c r="BO531" t="s">
        <v>12</v>
      </c>
      <c r="BQ531" t="s">
        <v>1676</v>
      </c>
      <c r="BR531" t="s">
        <v>3053</v>
      </c>
      <c r="BS531" s="4" t="str">
        <f>HYPERLINK("http://exon.niaid.nih.gov/transcriptome/C_felis/S1/links/CDD/cf-contig_389-CDD.txt","ABC2_membrane_4")</f>
        <v>ABC2_membrane_4</v>
      </c>
      <c r="BT531" t="str">
        <f>HYPERLINK("http://www.ncbi.nlm.nih.gov/Structure/cdd/cddsrv.cgi?uid=pfam12730&amp;version=v4.0","0.37")</f>
        <v>0.37</v>
      </c>
      <c r="BU531" t="s">
        <v>3054</v>
      </c>
      <c r="BV531" s="4" t="s">
        <v>42</v>
      </c>
      <c r="BW531" t="s">
        <v>42</v>
      </c>
      <c r="BX531" t="s">
        <v>42</v>
      </c>
      <c r="BY531" t="s">
        <v>42</v>
      </c>
      <c r="BZ531" t="s">
        <v>42</v>
      </c>
      <c r="CA531" t="s">
        <v>42</v>
      </c>
      <c r="CB531" t="s">
        <v>42</v>
      </c>
      <c r="CC531" t="s">
        <v>42</v>
      </c>
      <c r="CD531" t="s">
        <v>42</v>
      </c>
      <c r="CE531" t="s">
        <v>42</v>
      </c>
      <c r="CF531" t="s">
        <v>42</v>
      </c>
      <c r="CG531" t="s">
        <v>42</v>
      </c>
      <c r="CH531" t="s">
        <v>42</v>
      </c>
      <c r="CI531" t="s">
        <v>42</v>
      </c>
      <c r="CJ531" t="s">
        <v>42</v>
      </c>
      <c r="CK531" t="s">
        <v>42</v>
      </c>
      <c r="CL531" t="s">
        <v>42</v>
      </c>
      <c r="CM531" t="s">
        <v>42</v>
      </c>
      <c r="CN531" t="s">
        <v>42</v>
      </c>
      <c r="CO531" t="s">
        <v>42</v>
      </c>
      <c r="CP531" t="s">
        <v>42</v>
      </c>
      <c r="CQ531" t="s">
        <v>42</v>
      </c>
      <c r="CR531" t="s">
        <v>42</v>
      </c>
      <c r="CS531" s="4" t="str">
        <f>HYPERLINK("http://exon.niaid.nih.gov/transcriptome/C_felis/S1/links/KOG/cf-contig_389-KOG.txt","Vesicle coat complex AP-1, gamma subunit")</f>
        <v>Vesicle coat complex AP-1, gamma subunit</v>
      </c>
      <c r="CT531" t="str">
        <f>HYPERLINK("http://www.ncbi.nlm.nih.gov/COG/grace/shokog.cgi?KOG1062","3.0")</f>
        <v>3.0</v>
      </c>
      <c r="CU531" t="s">
        <v>1686</v>
      </c>
      <c r="CV531" s="4" t="str">
        <f>HYPERLINK("http://exon.niaid.nih.gov/transcriptome/C_felis/S1/links/PFAM/cf-contig_389-PFAM.txt","ABC2_membrane_4")</f>
        <v>ABC2_membrane_4</v>
      </c>
      <c r="CW531" t="str">
        <f>HYPERLINK("http://pfam.sanger.ac.uk/family?acc=PF12730","0.079")</f>
        <v>0.079</v>
      </c>
      <c r="CX531" s="4" t="str">
        <f>HYPERLINK("http://exon.niaid.nih.gov/transcriptome/C_felis/S1/links/SMART/cf-contig_389-SMART.txt","Zn_dep_PLPC")</f>
        <v>Zn_dep_PLPC</v>
      </c>
      <c r="CY531" t="str">
        <f>HYPERLINK("http://smart.embl-heidelberg.de/smart/do_annotation.pl?DOMAIN=Zn_dep_PLPC&amp;BLAST=DUMMY","0.15")</f>
        <v>0.15</v>
      </c>
      <c r="CZ531" s="4" t="s">
        <v>42</v>
      </c>
      <c r="DA531" t="s">
        <v>42</v>
      </c>
      <c r="DB531" t="s">
        <v>42</v>
      </c>
      <c r="DC531" t="s">
        <v>42</v>
      </c>
      <c r="DD531" t="s">
        <v>42</v>
      </c>
      <c r="DE531" t="s">
        <v>42</v>
      </c>
      <c r="DF531" t="s">
        <v>42</v>
      </c>
      <c r="DG531" t="s">
        <v>42</v>
      </c>
      <c r="DH531" s="4" t="s">
        <v>42</v>
      </c>
      <c r="DI531" t="s">
        <v>42</v>
      </c>
      <c r="DJ531" s="4" t="s">
        <v>42</v>
      </c>
      <c r="DK531" t="s">
        <v>42</v>
      </c>
      <c r="DL531" s="4">
        <v>317</v>
      </c>
      <c r="DM531">
        <v>1</v>
      </c>
      <c r="DN531" s="4">
        <v>325</v>
      </c>
      <c r="DO531">
        <v>1</v>
      </c>
      <c r="DP531" s="4">
        <v>326</v>
      </c>
      <c r="DQ531">
        <v>1</v>
      </c>
      <c r="DR531" s="4">
        <v>337</v>
      </c>
      <c r="DS531">
        <v>1</v>
      </c>
      <c r="DT531" s="4">
        <v>347</v>
      </c>
      <c r="DU531">
        <v>1</v>
      </c>
      <c r="DV531" s="4">
        <v>360</v>
      </c>
      <c r="DW531">
        <v>1</v>
      </c>
      <c r="DX531" s="4">
        <v>363</v>
      </c>
      <c r="DY531">
        <v>1</v>
      </c>
      <c r="DZ531" s="4">
        <v>368</v>
      </c>
      <c r="EA531">
        <v>1</v>
      </c>
      <c r="EB531" s="4">
        <v>373</v>
      </c>
      <c r="EC531">
        <v>1</v>
      </c>
      <c r="ED531" s="4">
        <v>377</v>
      </c>
      <c r="EE531">
        <v>1</v>
      </c>
      <c r="EF531" s="4">
        <v>382</v>
      </c>
      <c r="EG531">
        <v>1</v>
      </c>
      <c r="EH531" s="4">
        <v>384</v>
      </c>
      <c r="EI531">
        <v>1</v>
      </c>
      <c r="EJ531" s="4">
        <v>389</v>
      </c>
      <c r="EK531">
        <v>1</v>
      </c>
    </row>
    <row r="532" spans="1:141" x14ac:dyDescent="0.2">
      <c r="A532" t="str">
        <f>HYPERLINK("http://exon.niaid.nih.gov/transcriptome/C_felis/S1/links/cf/cf-contig_708.txt","cf-contig_708")</f>
        <v>cf-contig_708</v>
      </c>
      <c r="B532">
        <v>1</v>
      </c>
      <c r="C532" s="10" t="s">
        <v>4600</v>
      </c>
      <c r="D532">
        <v>1</v>
      </c>
      <c r="E532" t="str">
        <f>HYPERLINK("http://exon.niaid.nih.gov/transcriptome/C_felis/S1/links/cf/cf-5-36-asb-708.txt","Contig-708")</f>
        <v>Contig-708</v>
      </c>
      <c r="F532" t="str">
        <f>HYPERLINK("http://exon.niaid.nih.gov/transcriptome/C_felis/S1/links/cf/cf-5-36-708-CLU.txt","Contig708")</f>
        <v>Contig708</v>
      </c>
      <c r="G532" t="str">
        <f>HYPERLINK("http://exon.niaid.nih.gov/transcriptome/C_felis/S1/links/cf/cf-5-36-708-qual.txt","63.2")</f>
        <v>63.2</v>
      </c>
      <c r="H532" t="s">
        <v>11</v>
      </c>
      <c r="I532">
        <v>70.5</v>
      </c>
      <c r="J532">
        <v>713</v>
      </c>
      <c r="K532" t="s">
        <v>12</v>
      </c>
      <c r="L532">
        <v>1</v>
      </c>
      <c r="M532" t="s">
        <v>721</v>
      </c>
      <c r="N532">
        <v>713</v>
      </c>
      <c r="O532">
        <v>732</v>
      </c>
      <c r="P532">
        <v>132</v>
      </c>
      <c r="Q532" t="s">
        <v>1527</v>
      </c>
      <c r="R532">
        <v>1</v>
      </c>
      <c r="S532" s="7" t="str">
        <f>HYPERLINK("http://exon.niaid.nih.gov/transcriptome/C_felis/S1/links/Sigp/CF-CONTIG_708-SigP.txt","Cyt")</f>
        <v>Cyt</v>
      </c>
      <c r="U532">
        <v>1</v>
      </c>
      <c r="V532" s="4">
        <v>575</v>
      </c>
      <c r="W532">
        <v>1</v>
      </c>
      <c r="X532" s="4">
        <v>591</v>
      </c>
      <c r="Y532">
        <v>1</v>
      </c>
      <c r="Z532" s="4">
        <v>604</v>
      </c>
      <c r="AA532">
        <v>1</v>
      </c>
      <c r="AB532" s="4" t="str">
        <f>HYPERLINK("http://exon.niaid.nih.gov/transcriptome/C_felis/S1/links/XC-ASB/cf-contig_708-XC-ASB.txt","XC-contig_125")</f>
        <v>XC-contig_125</v>
      </c>
      <c r="AC532">
        <v>0.23</v>
      </c>
      <c r="AD532" s="10" t="s">
        <v>4600</v>
      </c>
      <c r="AE532" t="s">
        <v>4601</v>
      </c>
      <c r="AI532" s="4" t="str">
        <f>HYPERLINK("http://exon.niaid.nih.gov/transcriptome/C_felis/S1/links/NR/cf-contig_708-NR.txt","conserved hypothetical protein")</f>
        <v>conserved hypothetical protein</v>
      </c>
      <c r="AJ532" t="str">
        <f>HYPERLINK("http://www.ncbi.nlm.nih.gov/sutils/blink.cgi?pid=325186547","6.5")</f>
        <v>6.5</v>
      </c>
      <c r="AK532" t="str">
        <f>HYPERLINK("http://www.ncbi.nlm.nih.gov/protein/325186547","gi|325186547")</f>
        <v>gi|325186547</v>
      </c>
      <c r="AL532">
        <v>35.799999999999997</v>
      </c>
      <c r="AM532">
        <v>25</v>
      </c>
      <c r="AN532">
        <v>591</v>
      </c>
      <c r="AO532">
        <v>48</v>
      </c>
      <c r="AP532">
        <v>4</v>
      </c>
      <c r="AQ532">
        <v>15</v>
      </c>
      <c r="AR532">
        <v>0</v>
      </c>
      <c r="AS532">
        <v>236</v>
      </c>
      <c r="AT532">
        <v>265</v>
      </c>
      <c r="AU532">
        <v>1</v>
      </c>
      <c r="AV532">
        <v>-1</v>
      </c>
      <c r="AW532" t="s">
        <v>12</v>
      </c>
      <c r="AX532">
        <v>4</v>
      </c>
      <c r="AY532" t="s">
        <v>1666</v>
      </c>
      <c r="AZ532" t="s">
        <v>4230</v>
      </c>
      <c r="BA532" s="4" t="str">
        <f>HYPERLINK("http://exon.niaid.nih.gov/transcriptome/C_felis/S1/links/SWISSP/cf-contig_708-SWISSP.txt","U10-ctenitoxin-Pk1a (Fragments)")</f>
        <v>U10-ctenitoxin-Pk1a (Fragments)</v>
      </c>
      <c r="BB532" t="str">
        <f>HYPERLINK("http://www.uniprot.org/uniprot/P85860","29")</f>
        <v>29</v>
      </c>
      <c r="BC532" t="s">
        <v>4231</v>
      </c>
      <c r="BD532">
        <v>29.3</v>
      </c>
      <c r="BE532">
        <v>52</v>
      </c>
      <c r="BF532">
        <v>147</v>
      </c>
      <c r="BG532">
        <v>26</v>
      </c>
      <c r="BH532">
        <v>36</v>
      </c>
      <c r="BI532">
        <v>39</v>
      </c>
      <c r="BJ532">
        <v>1</v>
      </c>
      <c r="BK532">
        <v>20</v>
      </c>
      <c r="BL532">
        <v>126</v>
      </c>
      <c r="BM532">
        <v>1</v>
      </c>
      <c r="BN532">
        <v>-2</v>
      </c>
      <c r="BO532" t="s">
        <v>12</v>
      </c>
      <c r="BP532">
        <v>1.923</v>
      </c>
      <c r="BQ532" t="s">
        <v>1666</v>
      </c>
      <c r="BR532" t="s">
        <v>4232</v>
      </c>
      <c r="BS532" s="4" t="str">
        <f>HYPERLINK("http://exon.niaid.nih.gov/transcriptome/C_felis/S1/links/CDD/cf-contig_708-CDD.txt","DUF1972")</f>
        <v>DUF1972</v>
      </c>
      <c r="BT532" t="str">
        <f>HYPERLINK("http://www.ncbi.nlm.nih.gov/Structure/cdd/cddsrv.cgi?uid=pfam09314&amp;version=v4.0","0.98")</f>
        <v>0.98</v>
      </c>
      <c r="BU532" t="s">
        <v>4233</v>
      </c>
      <c r="BV532" s="4" t="s">
        <v>42</v>
      </c>
      <c r="BW532" t="s">
        <v>42</v>
      </c>
      <c r="BX532" t="s">
        <v>42</v>
      </c>
      <c r="BY532" t="s">
        <v>42</v>
      </c>
      <c r="BZ532" t="s">
        <v>42</v>
      </c>
      <c r="CA532" t="s">
        <v>42</v>
      </c>
      <c r="CB532" t="s">
        <v>42</v>
      </c>
      <c r="CC532" t="s">
        <v>42</v>
      </c>
      <c r="CD532" t="s">
        <v>42</v>
      </c>
      <c r="CE532" t="s">
        <v>42</v>
      </c>
      <c r="CF532" t="s">
        <v>42</v>
      </c>
      <c r="CG532" t="s">
        <v>42</v>
      </c>
      <c r="CH532" t="s">
        <v>42</v>
      </c>
      <c r="CI532" t="s">
        <v>42</v>
      </c>
      <c r="CJ532" t="s">
        <v>42</v>
      </c>
      <c r="CK532" t="s">
        <v>42</v>
      </c>
      <c r="CL532" t="s">
        <v>42</v>
      </c>
      <c r="CM532" t="s">
        <v>42</v>
      </c>
      <c r="CN532" t="s">
        <v>42</v>
      </c>
      <c r="CO532" t="s">
        <v>42</v>
      </c>
      <c r="CP532" t="s">
        <v>42</v>
      </c>
      <c r="CQ532" t="s">
        <v>42</v>
      </c>
      <c r="CR532" t="s">
        <v>42</v>
      </c>
      <c r="CS532" s="4" t="str">
        <f>HYPERLINK("http://exon.niaid.nih.gov/transcriptome/C_felis/S1/links/KOG/cf-contig_708-KOG.txt","Transmembrane protein")</f>
        <v>Transmembrane protein</v>
      </c>
      <c r="CT532" t="str">
        <f>HYPERLINK("http://www.ncbi.nlm.nih.gov/COG/grace/shokog.cgi?KOG2489","0.86")</f>
        <v>0.86</v>
      </c>
      <c r="CU532" t="s">
        <v>1721</v>
      </c>
      <c r="CV532" s="4" t="str">
        <f>HYPERLINK("http://exon.niaid.nih.gov/transcriptome/C_felis/S1/links/PFAM/cf-contig_708-PFAM.txt","DUF1972")</f>
        <v>DUF1972</v>
      </c>
      <c r="CW532" t="str">
        <f>HYPERLINK("http://pfam.sanger.ac.uk/family?acc=PF09314","0.19")</f>
        <v>0.19</v>
      </c>
      <c r="CX532" s="4" t="str">
        <f>HYPERLINK("http://exon.niaid.nih.gov/transcriptome/C_felis/S1/links/SMART/cf-contig_708-SMART.txt","ACR")</f>
        <v>ACR</v>
      </c>
      <c r="CY532" t="str">
        <f>HYPERLINK("http://smart.embl-heidelberg.de/smart/do_annotation.pl?DOMAIN=ACR&amp;BLAST=DUMMY","0.13")</f>
        <v>0.13</v>
      </c>
      <c r="CZ532" s="4" t="s">
        <v>42</v>
      </c>
      <c r="DA532" t="s">
        <v>42</v>
      </c>
      <c r="DB532" t="s">
        <v>42</v>
      </c>
      <c r="DC532" t="s">
        <v>42</v>
      </c>
      <c r="DD532" t="s">
        <v>42</v>
      </c>
      <c r="DE532" t="s">
        <v>42</v>
      </c>
      <c r="DF532" t="s">
        <v>42</v>
      </c>
      <c r="DG532" t="s">
        <v>42</v>
      </c>
      <c r="DH532" s="4" t="s">
        <v>42</v>
      </c>
      <c r="DI532" t="s">
        <v>42</v>
      </c>
      <c r="DJ532" s="4" t="s">
        <v>42</v>
      </c>
      <c r="DK532" t="s">
        <v>42</v>
      </c>
      <c r="DL532" s="4">
        <v>575</v>
      </c>
      <c r="DM532">
        <v>1</v>
      </c>
      <c r="DN532" s="4">
        <v>591</v>
      </c>
      <c r="DO532">
        <v>1</v>
      </c>
      <c r="DP532" s="4">
        <v>604</v>
      </c>
      <c r="DQ532">
        <v>1</v>
      </c>
      <c r="DR532" s="4">
        <v>625</v>
      </c>
      <c r="DS532">
        <v>1</v>
      </c>
      <c r="DT532" s="4">
        <v>639</v>
      </c>
      <c r="DU532">
        <v>1</v>
      </c>
      <c r="DV532" s="4">
        <v>654</v>
      </c>
      <c r="DW532">
        <v>1</v>
      </c>
      <c r="DX532" s="4">
        <v>665</v>
      </c>
      <c r="DY532">
        <v>1</v>
      </c>
      <c r="DZ532" s="4">
        <v>675</v>
      </c>
      <c r="EA532">
        <v>1</v>
      </c>
      <c r="EB532" s="4">
        <v>680</v>
      </c>
      <c r="EC532">
        <v>1</v>
      </c>
      <c r="ED532" s="4">
        <v>684</v>
      </c>
      <c r="EE532">
        <v>1</v>
      </c>
      <c r="EF532" s="4">
        <v>690</v>
      </c>
      <c r="EG532">
        <v>1</v>
      </c>
      <c r="EH532" s="4">
        <v>699</v>
      </c>
      <c r="EI532">
        <v>1</v>
      </c>
      <c r="EJ532" s="4">
        <v>708</v>
      </c>
      <c r="EK532">
        <v>1</v>
      </c>
    </row>
    <row r="533" spans="1:141" x14ac:dyDescent="0.2">
      <c r="A533" t="str">
        <f>HYPERLINK("http://exon.niaid.nih.gov/transcriptome/C_felis/S1/links/cf/cf-contig_636.txt","cf-contig_636")</f>
        <v>cf-contig_636</v>
      </c>
      <c r="B533">
        <v>1</v>
      </c>
      <c r="C533" s="10" t="s">
        <v>4600</v>
      </c>
      <c r="D533">
        <v>1</v>
      </c>
      <c r="E533" t="str">
        <f>HYPERLINK("http://exon.niaid.nih.gov/transcriptome/C_felis/S1/links/cf/cf-5-36-asb-636.txt","Contig-636")</f>
        <v>Contig-636</v>
      </c>
      <c r="F533" t="str">
        <f>HYPERLINK("http://exon.niaid.nih.gov/transcriptome/C_felis/S1/links/cf/cf-5-36-636-CLU.txt","Contig636")</f>
        <v>Contig636</v>
      </c>
      <c r="G533" t="str">
        <f>HYPERLINK("http://exon.niaid.nih.gov/transcriptome/C_felis/S1/links/cf/cf-5-36-636-qual.txt","61.2")</f>
        <v>61.2</v>
      </c>
      <c r="H533" t="s">
        <v>11</v>
      </c>
      <c r="I533">
        <v>74.900000000000006</v>
      </c>
      <c r="J533">
        <v>164</v>
      </c>
      <c r="K533" t="s">
        <v>12</v>
      </c>
      <c r="L533">
        <v>1</v>
      </c>
      <c r="M533" t="s">
        <v>649</v>
      </c>
      <c r="N533">
        <v>164</v>
      </c>
      <c r="O533">
        <v>183</v>
      </c>
      <c r="P533">
        <v>102</v>
      </c>
      <c r="Q533" t="s">
        <v>1455</v>
      </c>
      <c r="R533">
        <v>1</v>
      </c>
      <c r="S533" s="7" t="s">
        <v>4585</v>
      </c>
      <c r="U533">
        <v>1</v>
      </c>
      <c r="V533" s="4">
        <v>520</v>
      </c>
      <c r="W533">
        <v>1</v>
      </c>
      <c r="X533" s="4">
        <v>532</v>
      </c>
      <c r="Y533">
        <v>1</v>
      </c>
      <c r="Z533" s="4">
        <v>542</v>
      </c>
      <c r="AA533">
        <v>1</v>
      </c>
      <c r="AB533" s="4" t="str">
        <f>HYPERLINK("http://exon.niaid.nih.gov/transcriptome/C_felis/S1/links/XC-ASB/cf-contig_636-XC-ASB.txt","XC-contig_228")</f>
        <v>XC-contig_228</v>
      </c>
      <c r="AC533">
        <v>0.18</v>
      </c>
      <c r="AD533" s="10" t="s">
        <v>4600</v>
      </c>
      <c r="AE533" t="s">
        <v>4601</v>
      </c>
      <c r="AI533" s="4" t="str">
        <f>HYPERLINK("http://exon.niaid.nih.gov/transcriptome/C_felis/S1/links/NR/cf-contig_636-NR.txt","hypothetical protein LOC100636670")</f>
        <v>hypothetical protein LOC100636670</v>
      </c>
      <c r="AJ533" t="str">
        <f>HYPERLINK("http://www.ncbi.nlm.nih.gov/sutils/blink.cgi?pid=340380402","48")</f>
        <v>48</v>
      </c>
      <c r="AK533" t="str">
        <f>HYPERLINK("http://www.ncbi.nlm.nih.gov/protein/340380402","gi|340380402")</f>
        <v>gi|340380402</v>
      </c>
      <c r="AL533">
        <v>31.6</v>
      </c>
      <c r="AM533">
        <v>44</v>
      </c>
      <c r="AN533">
        <v>1558</v>
      </c>
      <c r="AO533">
        <v>37</v>
      </c>
      <c r="AP533">
        <v>3</v>
      </c>
      <c r="AQ533">
        <v>28</v>
      </c>
      <c r="AR533">
        <v>1</v>
      </c>
      <c r="AS533">
        <v>1156</v>
      </c>
      <c r="AT533">
        <v>10</v>
      </c>
      <c r="AU533">
        <v>1</v>
      </c>
      <c r="AV533">
        <v>-1</v>
      </c>
      <c r="AW533" t="s">
        <v>12</v>
      </c>
      <c r="AX533">
        <v>2.2730000000000001</v>
      </c>
      <c r="AY533" t="s">
        <v>1666</v>
      </c>
      <c r="AZ533" t="s">
        <v>2578</v>
      </c>
      <c r="BA533" s="4" t="str">
        <f>HYPERLINK("http://exon.niaid.nih.gov/transcriptome/C_felis/S1/links/SWISSP/cf-contig_636-SWISSP.txt","Seryl-tRNA synthetase")</f>
        <v>Seryl-tRNA synthetase</v>
      </c>
      <c r="BB533" t="str">
        <f>HYPERLINK("http://www.uniprot.org/uniprot/P75107","10")</f>
        <v>10</v>
      </c>
      <c r="BC533" t="s">
        <v>4020</v>
      </c>
      <c r="BD533">
        <v>28.9</v>
      </c>
      <c r="BE533">
        <v>34</v>
      </c>
      <c r="BF533">
        <v>420</v>
      </c>
      <c r="BG533">
        <v>34</v>
      </c>
      <c r="BH533">
        <v>8</v>
      </c>
      <c r="BI533">
        <v>23</v>
      </c>
      <c r="BJ533">
        <v>0</v>
      </c>
      <c r="BK533">
        <v>205</v>
      </c>
      <c r="BL533">
        <v>49</v>
      </c>
      <c r="BM533">
        <v>1</v>
      </c>
      <c r="BN533">
        <v>1</v>
      </c>
      <c r="BO533" t="s">
        <v>12</v>
      </c>
      <c r="BP533">
        <v>2.9409999999999998</v>
      </c>
      <c r="BQ533" t="s">
        <v>1676</v>
      </c>
      <c r="BR533" t="s">
        <v>4021</v>
      </c>
      <c r="BS533" s="4" t="str">
        <f>HYPERLINK("http://exon.niaid.nih.gov/transcriptome/C_felis/S1/links/CDD/cf-contig_636-CDD.txt","Pat_PLPL")</f>
        <v>Pat_PLPL</v>
      </c>
      <c r="BT533" t="str">
        <f>HYPERLINK("http://www.ncbi.nlm.nih.gov/Structure/cdd/cddsrv.cgi?uid=cd07232&amp;version=v4.0","2.4")</f>
        <v>2.4</v>
      </c>
      <c r="BU533" t="s">
        <v>4022</v>
      </c>
      <c r="BV533" s="4" t="s">
        <v>42</v>
      </c>
      <c r="BW533" t="s">
        <v>42</v>
      </c>
      <c r="BX533" t="s">
        <v>42</v>
      </c>
      <c r="BY533" t="s">
        <v>42</v>
      </c>
      <c r="BZ533" t="s">
        <v>42</v>
      </c>
      <c r="CA533" t="s">
        <v>42</v>
      </c>
      <c r="CB533" t="s">
        <v>42</v>
      </c>
      <c r="CC533" t="s">
        <v>42</v>
      </c>
      <c r="CD533" t="s">
        <v>42</v>
      </c>
      <c r="CE533" t="s">
        <v>42</v>
      </c>
      <c r="CF533" t="s">
        <v>42</v>
      </c>
      <c r="CG533" t="s">
        <v>42</v>
      </c>
      <c r="CH533" t="s">
        <v>42</v>
      </c>
      <c r="CI533" t="s">
        <v>42</v>
      </c>
      <c r="CJ533" t="s">
        <v>42</v>
      </c>
      <c r="CK533" t="s">
        <v>42</v>
      </c>
      <c r="CL533" t="s">
        <v>42</v>
      </c>
      <c r="CM533" t="s">
        <v>42</v>
      </c>
      <c r="CN533" t="s">
        <v>42</v>
      </c>
      <c r="CO533" t="s">
        <v>42</v>
      </c>
      <c r="CP533" t="s">
        <v>42</v>
      </c>
      <c r="CQ533" t="s">
        <v>42</v>
      </c>
      <c r="CR533" t="s">
        <v>42</v>
      </c>
      <c r="CS533" s="4" t="str">
        <f>HYPERLINK("http://exon.niaid.nih.gov/transcriptome/C_felis/S1/links/KOG/cf-contig_636-KOG.txt","N-acetylglucosaminyltransferase complex, subunit PIG-Q/GPI1, required for phosphatidylinositol biosynthesis")</f>
        <v>N-acetylglucosaminyltransferase complex, subunit PIG-Q/GPI1, required for phosphatidylinositol biosynthesis</v>
      </c>
      <c r="CT533" t="str">
        <f>HYPERLINK("http://www.ncbi.nlm.nih.gov/COG/grace/shokog.cgi?KOG1183","4.7")</f>
        <v>4.7</v>
      </c>
      <c r="CU533" t="s">
        <v>1948</v>
      </c>
      <c r="CV533" s="4" t="str">
        <f>HYPERLINK("http://exon.niaid.nih.gov/transcriptome/C_felis/S1/links/PFAM/cf-contig_636-PFAM.txt","efThoc1")</f>
        <v>efThoc1</v>
      </c>
      <c r="CW533" t="str">
        <f>HYPERLINK("http://pfam.sanger.ac.uk/family?acc=PF11957","1.5")</f>
        <v>1.5</v>
      </c>
      <c r="CX533" s="4" t="str">
        <f>HYPERLINK("http://exon.niaid.nih.gov/transcriptome/C_felis/S1/links/SMART/cf-contig_636-SMART.txt","Piwi")</f>
        <v>Piwi</v>
      </c>
      <c r="CY533" t="str">
        <f>HYPERLINK("http://smart.embl-heidelberg.de/smart/do_annotation.pl?DOMAIN=Piwi&amp;BLAST=DUMMY","0.18")</f>
        <v>0.18</v>
      </c>
      <c r="CZ533" s="4" t="s">
        <v>42</v>
      </c>
      <c r="DA533" t="s">
        <v>42</v>
      </c>
      <c r="DB533" t="s">
        <v>42</v>
      </c>
      <c r="DC533" t="s">
        <v>42</v>
      </c>
      <c r="DD533" t="s">
        <v>42</v>
      </c>
      <c r="DE533" t="s">
        <v>42</v>
      </c>
      <c r="DF533" t="s">
        <v>42</v>
      </c>
      <c r="DG533" t="s">
        <v>42</v>
      </c>
      <c r="DH533" s="4" t="s">
        <v>42</v>
      </c>
      <c r="DI533" t="s">
        <v>42</v>
      </c>
      <c r="DJ533" s="4" t="s">
        <v>42</v>
      </c>
      <c r="DK533" t="s">
        <v>42</v>
      </c>
      <c r="DL533" s="4">
        <v>520</v>
      </c>
      <c r="DM533">
        <v>1</v>
      </c>
      <c r="DN533" s="4">
        <v>532</v>
      </c>
      <c r="DO533">
        <v>1</v>
      </c>
      <c r="DP533" s="4">
        <v>542</v>
      </c>
      <c r="DQ533">
        <v>1</v>
      </c>
      <c r="DR533" s="4">
        <v>562</v>
      </c>
      <c r="DS533">
        <v>1</v>
      </c>
      <c r="DT533" s="4">
        <v>575</v>
      </c>
      <c r="DU533">
        <v>1</v>
      </c>
      <c r="DV533" s="4">
        <v>589</v>
      </c>
      <c r="DW533">
        <v>1</v>
      </c>
      <c r="DX533" s="4">
        <v>598</v>
      </c>
      <c r="DY533">
        <v>1</v>
      </c>
      <c r="DZ533" s="4">
        <v>606</v>
      </c>
      <c r="EA533">
        <v>1</v>
      </c>
      <c r="EB533" s="4">
        <v>611</v>
      </c>
      <c r="EC533">
        <v>1</v>
      </c>
      <c r="ED533" s="4">
        <v>615</v>
      </c>
      <c r="EE533">
        <v>1</v>
      </c>
      <c r="EF533" s="4">
        <v>621</v>
      </c>
      <c r="EG533">
        <v>1</v>
      </c>
      <c r="EH533" s="4">
        <v>629</v>
      </c>
      <c r="EI533">
        <v>1</v>
      </c>
      <c r="EJ533" s="4">
        <v>636</v>
      </c>
      <c r="EK533">
        <v>1</v>
      </c>
    </row>
    <row r="534" spans="1:141" x14ac:dyDescent="0.2">
      <c r="A534" t="str">
        <f>HYPERLINK("http://exon.niaid.nih.gov/transcriptome/C_felis/S1/links/cf/cf-contig_338.txt","cf-contig_338")</f>
        <v>cf-contig_338</v>
      </c>
      <c r="B534">
        <v>1</v>
      </c>
      <c r="C534" s="10" t="s">
        <v>4600</v>
      </c>
      <c r="D534">
        <v>1</v>
      </c>
      <c r="E534" t="str">
        <f>HYPERLINK("http://exon.niaid.nih.gov/transcriptome/C_felis/S1/links/cf/cf-5-36-asb-338.txt","Contig-338")</f>
        <v>Contig-338</v>
      </c>
      <c r="F534" t="str">
        <f>HYPERLINK("http://exon.niaid.nih.gov/transcriptome/C_felis/S1/links/cf/cf-5-36-338-CLU.txt","Contig338")</f>
        <v>Contig338</v>
      </c>
      <c r="G534" t="str">
        <f>HYPERLINK("http://exon.niaid.nih.gov/transcriptome/C_felis/S1/links/cf/cf-5-36-338-qual.txt","58.1")</f>
        <v>58.1</v>
      </c>
      <c r="H534" t="s">
        <v>11</v>
      </c>
      <c r="I534">
        <v>72.2</v>
      </c>
      <c r="J534">
        <v>384</v>
      </c>
      <c r="K534" t="s">
        <v>12</v>
      </c>
      <c r="L534">
        <v>1</v>
      </c>
      <c r="M534" t="s">
        <v>351</v>
      </c>
      <c r="N534">
        <v>384</v>
      </c>
      <c r="O534">
        <v>403</v>
      </c>
      <c r="P534">
        <v>102</v>
      </c>
      <c r="Q534" t="s">
        <v>1158</v>
      </c>
      <c r="R534">
        <v>2</v>
      </c>
      <c r="S534" s="7" t="s">
        <v>4585</v>
      </c>
      <c r="U534">
        <v>1</v>
      </c>
      <c r="V534" s="4">
        <v>272</v>
      </c>
      <c r="W534">
        <v>1</v>
      </c>
      <c r="X534" s="4">
        <v>278</v>
      </c>
      <c r="Y534">
        <v>1</v>
      </c>
      <c r="Z534" s="4">
        <v>277</v>
      </c>
      <c r="AA534">
        <v>1</v>
      </c>
      <c r="AB534" s="4" t="str">
        <f>HYPERLINK("http://exon.niaid.nih.gov/transcriptome/C_felis/S1/links/XC-ASB/cf-contig_338-XC-ASB.txt","XC-contig_139")</f>
        <v>XC-contig_139</v>
      </c>
      <c r="AC534">
        <v>0.11</v>
      </c>
      <c r="AD534" s="10" t="s">
        <v>4600</v>
      </c>
      <c r="AE534" t="s">
        <v>4601</v>
      </c>
      <c r="AI534" s="4" t="str">
        <f>HYPERLINK("http://exon.niaid.nih.gov/transcriptome/C_felis/S1/links/NR/cf-contig_338-NR.txt","excision endonuclease subunit UvrC")</f>
        <v>excision endonuclease subunit UvrC</v>
      </c>
      <c r="AJ534" t="str">
        <f>HYPERLINK("http://www.ncbi.nlm.nih.gov/sutils/blink.cgi?pid=227499427","36")</f>
        <v>36</v>
      </c>
      <c r="AK534" t="str">
        <f>HYPERLINK("http://www.ncbi.nlm.nih.gov/protein/227499427","gi|227499427")</f>
        <v>gi|227499427</v>
      </c>
      <c r="AL534">
        <v>32</v>
      </c>
      <c r="AM534">
        <v>24</v>
      </c>
      <c r="AN534">
        <v>616</v>
      </c>
      <c r="AO534">
        <v>52</v>
      </c>
      <c r="AP534">
        <v>4</v>
      </c>
      <c r="AQ534">
        <v>12</v>
      </c>
      <c r="AR534">
        <v>0</v>
      </c>
      <c r="AS534">
        <v>152</v>
      </c>
      <c r="AT534">
        <v>99</v>
      </c>
      <c r="AU534">
        <v>1</v>
      </c>
      <c r="AV534">
        <v>-3</v>
      </c>
      <c r="AW534" t="s">
        <v>12</v>
      </c>
      <c r="AX534">
        <v>4.1669999999999998</v>
      </c>
      <c r="AY534" t="s">
        <v>1666</v>
      </c>
      <c r="AZ534" t="s">
        <v>2876</v>
      </c>
      <c r="BA534" s="4" t="str">
        <f>HYPERLINK("http://exon.niaid.nih.gov/transcriptome/C_felis/S1/links/SWISSP/cf-contig_338-SWISSP.txt","ATP synthase subunit alpha, mitochondrial")</f>
        <v>ATP synthase subunit alpha, mitochondrial</v>
      </c>
      <c r="BB534" t="str">
        <f>HYPERLINK("http://www.uniprot.org/uniprot/P35381","10")</f>
        <v>10</v>
      </c>
      <c r="BC534" t="s">
        <v>2877</v>
      </c>
      <c r="BD534">
        <v>28.9</v>
      </c>
      <c r="BE534">
        <v>17</v>
      </c>
      <c r="BF534">
        <v>552</v>
      </c>
      <c r="BG534">
        <v>77</v>
      </c>
      <c r="BH534">
        <v>3</v>
      </c>
      <c r="BI534">
        <v>4</v>
      </c>
      <c r="BJ534">
        <v>0</v>
      </c>
      <c r="BK534">
        <v>529</v>
      </c>
      <c r="BL534">
        <v>31</v>
      </c>
      <c r="BM534">
        <v>1</v>
      </c>
      <c r="BN534">
        <v>1</v>
      </c>
      <c r="BO534" t="s">
        <v>12</v>
      </c>
      <c r="BQ534" t="s">
        <v>1676</v>
      </c>
      <c r="BR534" t="s">
        <v>1804</v>
      </c>
      <c r="BS534" s="4" t="str">
        <f>HYPERLINK("http://exon.niaid.nih.gov/transcriptome/C_felis/S1/links/CDD/cf-contig_338-CDD.txt","PRK07143")</f>
        <v>PRK07143</v>
      </c>
      <c r="BT534" t="str">
        <f>HYPERLINK("http://www.ncbi.nlm.nih.gov/Structure/cdd/cddsrv.cgi?uid=PRK07143&amp;version=v4.0","0.018")</f>
        <v>0.018</v>
      </c>
      <c r="BU534" t="s">
        <v>2878</v>
      </c>
      <c r="BV534" s="4" t="s">
        <v>42</v>
      </c>
      <c r="BW534" t="s">
        <v>42</v>
      </c>
      <c r="BX534" t="s">
        <v>42</v>
      </c>
      <c r="BY534" t="s">
        <v>42</v>
      </c>
      <c r="BZ534" t="s">
        <v>42</v>
      </c>
      <c r="CA534" t="s">
        <v>42</v>
      </c>
      <c r="CB534" t="s">
        <v>42</v>
      </c>
      <c r="CC534" t="s">
        <v>42</v>
      </c>
      <c r="CD534" t="s">
        <v>42</v>
      </c>
      <c r="CE534" t="s">
        <v>42</v>
      </c>
      <c r="CF534" t="s">
        <v>42</v>
      </c>
      <c r="CG534" t="s">
        <v>42</v>
      </c>
      <c r="CH534" t="s">
        <v>42</v>
      </c>
      <c r="CI534" t="s">
        <v>42</v>
      </c>
      <c r="CJ534" t="s">
        <v>42</v>
      </c>
      <c r="CK534" t="s">
        <v>42</v>
      </c>
      <c r="CL534" t="s">
        <v>42</v>
      </c>
      <c r="CM534" t="s">
        <v>42</v>
      </c>
      <c r="CN534" t="s">
        <v>42</v>
      </c>
      <c r="CO534" t="s">
        <v>42</v>
      </c>
      <c r="CP534" t="s">
        <v>42</v>
      </c>
      <c r="CQ534" t="s">
        <v>42</v>
      </c>
      <c r="CR534" t="s">
        <v>42</v>
      </c>
      <c r="CS534" s="4" t="str">
        <f>HYPERLINK("http://exon.niaid.nih.gov/transcriptome/C_felis/S1/links/KOG/cf-contig_338-KOG.txt","Arylacetamide deacetylase")</f>
        <v>Arylacetamide deacetylase</v>
      </c>
      <c r="CT534" t="str">
        <f>HYPERLINK("http://www.ncbi.nlm.nih.gov/COG/grace/shokog.cgi?KOG1515","1.8")</f>
        <v>1.8</v>
      </c>
      <c r="CU534" t="s">
        <v>2659</v>
      </c>
      <c r="CV534" s="4" t="str">
        <f>HYPERLINK("http://exon.niaid.nih.gov/transcriptome/C_felis/S1/links/PFAM/cf-contig_338-PFAM.txt","B56")</f>
        <v>B56</v>
      </c>
      <c r="CW534" t="str">
        <f>HYPERLINK("http://pfam.sanger.ac.uk/family?acc=PF01603","0.048")</f>
        <v>0.048</v>
      </c>
      <c r="CX534" s="4" t="str">
        <f>HYPERLINK("http://exon.niaid.nih.gov/transcriptome/C_felis/S1/links/SMART/cf-contig_338-SMART.txt","Sec7")</f>
        <v>Sec7</v>
      </c>
      <c r="CY534" t="str">
        <f>HYPERLINK("http://smart.embl-heidelberg.de/smart/do_annotation.pl?DOMAIN=Sec7&amp;BLAST=DUMMY","0.16")</f>
        <v>0.16</v>
      </c>
      <c r="CZ534" s="4" t="s">
        <v>42</v>
      </c>
      <c r="DA534" t="s">
        <v>42</v>
      </c>
      <c r="DB534" t="s">
        <v>42</v>
      </c>
      <c r="DC534" t="s">
        <v>42</v>
      </c>
      <c r="DD534" t="s">
        <v>42</v>
      </c>
      <c r="DE534" t="s">
        <v>42</v>
      </c>
      <c r="DF534" t="s">
        <v>42</v>
      </c>
      <c r="DG534" t="s">
        <v>42</v>
      </c>
      <c r="DH534" s="4" t="s">
        <v>42</v>
      </c>
      <c r="DI534" t="s">
        <v>42</v>
      </c>
      <c r="DJ534" s="4" t="s">
        <v>42</v>
      </c>
      <c r="DK534" t="s">
        <v>42</v>
      </c>
      <c r="DL534" s="4">
        <v>272</v>
      </c>
      <c r="DM534">
        <v>1</v>
      </c>
      <c r="DN534" s="4">
        <v>278</v>
      </c>
      <c r="DO534">
        <v>1</v>
      </c>
      <c r="DP534" s="4">
        <v>277</v>
      </c>
      <c r="DQ534">
        <v>1</v>
      </c>
      <c r="DR534" s="4">
        <v>286</v>
      </c>
      <c r="DS534">
        <v>1</v>
      </c>
      <c r="DT534" s="4">
        <v>296</v>
      </c>
      <c r="DU534">
        <v>1</v>
      </c>
      <c r="DV534" s="4">
        <v>309</v>
      </c>
      <c r="DW534">
        <v>1</v>
      </c>
      <c r="DX534" s="4">
        <v>312</v>
      </c>
      <c r="DY534">
        <v>1</v>
      </c>
      <c r="DZ534" s="4">
        <v>317</v>
      </c>
      <c r="EA534">
        <v>1</v>
      </c>
      <c r="EB534" s="4">
        <v>322</v>
      </c>
      <c r="EC534">
        <v>1</v>
      </c>
      <c r="ED534" s="4">
        <v>326</v>
      </c>
      <c r="EE534">
        <v>1</v>
      </c>
      <c r="EF534" s="4">
        <v>331</v>
      </c>
      <c r="EG534">
        <v>1</v>
      </c>
      <c r="EH534" s="4">
        <v>333</v>
      </c>
      <c r="EI534">
        <v>1</v>
      </c>
      <c r="EJ534" s="4">
        <v>338</v>
      </c>
      <c r="EK534">
        <v>1</v>
      </c>
    </row>
    <row r="535" spans="1:141" x14ac:dyDescent="0.2">
      <c r="A535" t="str">
        <f>HYPERLINK("http://exon.niaid.nih.gov/transcriptome/C_felis/S1/links/cf/cf-contig_403.txt","cf-contig_403")</f>
        <v>cf-contig_403</v>
      </c>
      <c r="B535">
        <v>1</v>
      </c>
      <c r="C535" s="10" t="s">
        <v>4600</v>
      </c>
      <c r="D535">
        <v>1</v>
      </c>
      <c r="E535" t="str">
        <f>HYPERLINK("http://exon.niaid.nih.gov/transcriptome/C_felis/S1/links/cf/cf-5-36-asb-403.txt","Contig-403")</f>
        <v>Contig-403</v>
      </c>
      <c r="F535" t="str">
        <f>HYPERLINK("http://exon.niaid.nih.gov/transcriptome/C_felis/S1/links/cf/cf-5-36-403-CLU.txt","Contig403")</f>
        <v>Contig403</v>
      </c>
      <c r="G535" t="str">
        <f>HYPERLINK("http://exon.niaid.nih.gov/transcriptome/C_felis/S1/links/cf/cf-5-36-403-qual.txt","64.1")</f>
        <v>64.1</v>
      </c>
      <c r="H535" t="s">
        <v>11</v>
      </c>
      <c r="I535">
        <v>62.8</v>
      </c>
      <c r="J535" t="s">
        <v>42</v>
      </c>
      <c r="K535" t="s">
        <v>12</v>
      </c>
      <c r="L535">
        <v>1</v>
      </c>
      <c r="M535" t="s">
        <v>416</v>
      </c>
      <c r="N535" t="s">
        <v>42</v>
      </c>
      <c r="O535">
        <v>253</v>
      </c>
      <c r="P535">
        <v>114</v>
      </c>
      <c r="Q535" t="s">
        <v>1223</v>
      </c>
      <c r="R535">
        <v>2</v>
      </c>
      <c r="S535" s="7" t="s">
        <v>4585</v>
      </c>
      <c r="U535">
        <v>1</v>
      </c>
      <c r="V535" s="4">
        <v>329</v>
      </c>
      <c r="W535">
        <v>1</v>
      </c>
      <c r="X535" s="4">
        <v>337</v>
      </c>
      <c r="Y535">
        <v>1</v>
      </c>
      <c r="Z535" s="4">
        <v>338</v>
      </c>
      <c r="AA535">
        <v>1</v>
      </c>
      <c r="AB535" s="4" t="str">
        <f>HYPERLINK("http://exon.niaid.nih.gov/transcriptome/C_felis/S1/links/XC-ASB/cf-contig_403-XC-ASB.txt","XC-contig_69")</f>
        <v>XC-contig_69</v>
      </c>
      <c r="AC535">
        <v>0.56999999999999995</v>
      </c>
      <c r="AD535" s="10" t="s">
        <v>4600</v>
      </c>
      <c r="AE535" t="s">
        <v>4601</v>
      </c>
      <c r="AI535" s="4" t="str">
        <f>HYPERLINK("http://exon.niaid.nih.gov/transcriptome/C_felis/S1/links/NR/cf-contig_403-NR.txt","probable ATP-dependent RNA helicase DDX60-like")</f>
        <v>probable ATP-dependent RNA helicase DDX60-like</v>
      </c>
      <c r="AJ535" t="str">
        <f>HYPERLINK("http://www.ncbi.nlm.nih.gov/sutils/blink.cgi?pid=327278023","9.6")</f>
        <v>9.6</v>
      </c>
      <c r="AK535" t="str">
        <f>HYPERLINK("http://www.ncbi.nlm.nih.gov/protein/327278023","gi|327278023")</f>
        <v>gi|327278023</v>
      </c>
      <c r="AL535">
        <v>33.9</v>
      </c>
      <c r="AM535">
        <v>59</v>
      </c>
      <c r="AN535">
        <v>1698</v>
      </c>
      <c r="AO535">
        <v>33</v>
      </c>
      <c r="AP535">
        <v>4</v>
      </c>
      <c r="AQ535">
        <v>40</v>
      </c>
      <c r="AR535">
        <v>0</v>
      </c>
      <c r="AS535">
        <v>178</v>
      </c>
      <c r="AT535">
        <v>65</v>
      </c>
      <c r="AU535">
        <v>1</v>
      </c>
      <c r="AV535">
        <v>-1</v>
      </c>
      <c r="AW535" t="s">
        <v>12</v>
      </c>
      <c r="AX535">
        <v>5.085</v>
      </c>
      <c r="AY535" t="s">
        <v>1666</v>
      </c>
      <c r="AZ535" t="s">
        <v>3093</v>
      </c>
      <c r="BA535" s="4" t="str">
        <f>HYPERLINK("http://exon.niaid.nih.gov/transcriptome/C_felis/S1/links/SWISSP/cf-contig_403-SWISSP.txt","Uncharacterized protein C23H4.16c")</f>
        <v>Uncharacterized protein C23H4.16c</v>
      </c>
      <c r="BB535" t="str">
        <f>HYPERLINK("http://www.uniprot.org/uniprot/O13957","10")</f>
        <v>10</v>
      </c>
      <c r="BC535" t="s">
        <v>3094</v>
      </c>
      <c r="BD535">
        <v>28.9</v>
      </c>
      <c r="BE535">
        <v>71</v>
      </c>
      <c r="BF535">
        <v>328</v>
      </c>
      <c r="BG535">
        <v>25</v>
      </c>
      <c r="BH535">
        <v>22</v>
      </c>
      <c r="BI535">
        <v>54</v>
      </c>
      <c r="BJ535">
        <v>4</v>
      </c>
      <c r="BK535">
        <v>153</v>
      </c>
      <c r="BL535">
        <v>6</v>
      </c>
      <c r="BM535">
        <v>1</v>
      </c>
      <c r="BN535">
        <v>3</v>
      </c>
      <c r="BO535" t="s">
        <v>12</v>
      </c>
      <c r="BP535">
        <v>1.4079999999999999</v>
      </c>
      <c r="BQ535" t="s">
        <v>1676</v>
      </c>
      <c r="BR535" t="s">
        <v>1695</v>
      </c>
      <c r="BS535" s="4" t="str">
        <f>HYPERLINK("http://exon.niaid.nih.gov/transcriptome/C_felis/S1/links/CDD/cf-contig_403-CDD.txt","matK")</f>
        <v>matK</v>
      </c>
      <c r="BT535" t="str">
        <f>HYPERLINK("http://www.ncbi.nlm.nih.gov/Structure/cdd/cddsrv.cgi?uid=CHL00002&amp;version=v4.0","0.42")</f>
        <v>0.42</v>
      </c>
      <c r="BU535" t="s">
        <v>3095</v>
      </c>
      <c r="BV535" s="4" t="s">
        <v>42</v>
      </c>
      <c r="BW535" t="s">
        <v>42</v>
      </c>
      <c r="BX535" t="s">
        <v>42</v>
      </c>
      <c r="BY535" t="s">
        <v>42</v>
      </c>
      <c r="BZ535" t="s">
        <v>42</v>
      </c>
      <c r="CA535" t="s">
        <v>42</v>
      </c>
      <c r="CB535" t="s">
        <v>42</v>
      </c>
      <c r="CC535" t="s">
        <v>42</v>
      </c>
      <c r="CD535" t="s">
        <v>42</v>
      </c>
      <c r="CE535" t="s">
        <v>42</v>
      </c>
      <c r="CF535" t="s">
        <v>42</v>
      </c>
      <c r="CG535" t="s">
        <v>42</v>
      </c>
      <c r="CH535" t="s">
        <v>42</v>
      </c>
      <c r="CI535" t="s">
        <v>42</v>
      </c>
      <c r="CJ535" t="s">
        <v>42</v>
      </c>
      <c r="CK535" t="s">
        <v>42</v>
      </c>
      <c r="CL535" t="s">
        <v>42</v>
      </c>
      <c r="CM535" t="s">
        <v>42</v>
      </c>
      <c r="CN535" t="s">
        <v>42</v>
      </c>
      <c r="CO535" t="s">
        <v>42</v>
      </c>
      <c r="CP535" t="s">
        <v>42</v>
      </c>
      <c r="CQ535" t="s">
        <v>42</v>
      </c>
      <c r="CR535" t="s">
        <v>42</v>
      </c>
      <c r="CS535" s="4" t="str">
        <f>HYPERLINK("http://exon.niaid.nih.gov/transcriptome/C_felis/S1/links/KOG/cf-contig_403-KOG.txt","Peroxisome assembly factor 2 containing the AAA+-type ATPase domain")</f>
        <v>Peroxisome assembly factor 2 containing the AAA+-type ATPase domain</v>
      </c>
      <c r="CT535" t="str">
        <f>HYPERLINK("http://www.ncbi.nlm.nih.gov/COG/grace/shokog.cgi?KOG0736","7.6")</f>
        <v>7.6</v>
      </c>
      <c r="CU535" t="s">
        <v>2198</v>
      </c>
      <c r="CV535" s="4" t="str">
        <f>HYPERLINK("http://exon.niaid.nih.gov/transcriptome/C_felis/S1/links/PFAM/cf-contig_403-PFAM.txt","DUF1398")</f>
        <v>DUF1398</v>
      </c>
      <c r="CW535" t="str">
        <f>HYPERLINK("http://pfam.sanger.ac.uk/family?acc=PF07166","0.35")</f>
        <v>0.35</v>
      </c>
      <c r="CX535" s="4" t="str">
        <f>HYPERLINK("http://exon.niaid.nih.gov/transcriptome/C_felis/S1/links/SMART/cf-contig_403-SMART.txt","MeTrc")</f>
        <v>MeTrc</v>
      </c>
      <c r="CY535" t="str">
        <f>HYPERLINK("http://smart.embl-heidelberg.de/smart/do_annotation.pl?DOMAIN=MeTrc&amp;BLAST=DUMMY","0.53")</f>
        <v>0.53</v>
      </c>
      <c r="CZ535" s="4" t="s">
        <v>42</v>
      </c>
      <c r="DA535" t="s">
        <v>42</v>
      </c>
      <c r="DB535" t="s">
        <v>42</v>
      </c>
      <c r="DC535" t="s">
        <v>42</v>
      </c>
      <c r="DD535" t="s">
        <v>42</v>
      </c>
      <c r="DE535" t="s">
        <v>42</v>
      </c>
      <c r="DF535" t="s">
        <v>42</v>
      </c>
      <c r="DG535" t="s">
        <v>42</v>
      </c>
      <c r="DH535" s="4" t="s">
        <v>42</v>
      </c>
      <c r="DI535" t="s">
        <v>42</v>
      </c>
      <c r="DJ535" s="4" t="s">
        <v>42</v>
      </c>
      <c r="DK535" t="s">
        <v>42</v>
      </c>
      <c r="DL535" s="4">
        <v>329</v>
      </c>
      <c r="DM535">
        <v>1</v>
      </c>
      <c r="DN535" s="4">
        <v>337</v>
      </c>
      <c r="DO535">
        <v>1</v>
      </c>
      <c r="DP535" s="4">
        <v>338</v>
      </c>
      <c r="DQ535">
        <v>1</v>
      </c>
      <c r="DR535" s="4">
        <v>349</v>
      </c>
      <c r="DS535">
        <v>1</v>
      </c>
      <c r="DT535" s="4">
        <v>359</v>
      </c>
      <c r="DU535">
        <v>1</v>
      </c>
      <c r="DV535" s="4">
        <v>372</v>
      </c>
      <c r="DW535">
        <v>1</v>
      </c>
      <c r="DX535" s="4">
        <v>375</v>
      </c>
      <c r="DY535">
        <v>1</v>
      </c>
      <c r="DZ535" s="4">
        <v>380</v>
      </c>
      <c r="EA535">
        <v>1</v>
      </c>
      <c r="EB535" s="4">
        <v>385</v>
      </c>
      <c r="EC535">
        <v>1</v>
      </c>
      <c r="ED535" s="4">
        <v>389</v>
      </c>
      <c r="EE535">
        <v>1</v>
      </c>
      <c r="EF535" s="4">
        <v>394</v>
      </c>
      <c r="EG535">
        <v>1</v>
      </c>
      <c r="EH535" s="4">
        <v>397</v>
      </c>
      <c r="EI535">
        <v>1</v>
      </c>
      <c r="EJ535" s="4">
        <v>403</v>
      </c>
      <c r="EK535">
        <v>1</v>
      </c>
    </row>
    <row r="536" spans="1:141" x14ac:dyDescent="0.2">
      <c r="A536" t="str">
        <f>HYPERLINK("http://exon.niaid.nih.gov/transcriptome/C_felis/S1/links/cf/cf-contig_731.txt","cf-contig_731")</f>
        <v>cf-contig_731</v>
      </c>
      <c r="B536">
        <v>1</v>
      </c>
      <c r="C536" s="10" t="s">
        <v>4600</v>
      </c>
      <c r="D536">
        <v>1</v>
      </c>
      <c r="E536" t="str">
        <f>HYPERLINK("http://exon.niaid.nih.gov/transcriptome/C_felis/S1/links/cf/cf-5-36-asb-731.txt","Contig-731")</f>
        <v>Contig-731</v>
      </c>
      <c r="F536" t="str">
        <f>HYPERLINK("http://exon.niaid.nih.gov/transcriptome/C_felis/S1/links/cf/cf-5-36-731-CLU.txt","Contig731")</f>
        <v>Contig731</v>
      </c>
      <c r="G536" t="str">
        <f>HYPERLINK("http://exon.niaid.nih.gov/transcriptome/C_felis/S1/links/cf/cf-5-36-731-qual.txt","63.4")</f>
        <v>63.4</v>
      </c>
      <c r="H536" t="s">
        <v>11</v>
      </c>
      <c r="I536">
        <v>48.7</v>
      </c>
      <c r="J536">
        <v>246</v>
      </c>
      <c r="K536" t="s">
        <v>12</v>
      </c>
      <c r="L536">
        <v>1</v>
      </c>
      <c r="M536" t="s">
        <v>744</v>
      </c>
      <c r="N536">
        <v>246</v>
      </c>
      <c r="O536">
        <v>265</v>
      </c>
      <c r="P536">
        <v>207</v>
      </c>
      <c r="Q536" t="s">
        <v>1550</v>
      </c>
      <c r="R536">
        <v>1</v>
      </c>
      <c r="S536" s="7" t="s">
        <v>4585</v>
      </c>
      <c r="U536">
        <v>1</v>
      </c>
      <c r="V536" s="4">
        <v>592</v>
      </c>
      <c r="W536">
        <v>1</v>
      </c>
      <c r="X536" s="4">
        <v>608</v>
      </c>
      <c r="Y536">
        <v>1</v>
      </c>
      <c r="Z536" s="4">
        <v>621</v>
      </c>
      <c r="AA536">
        <v>1</v>
      </c>
      <c r="AB536" s="4" t="str">
        <f>HYPERLINK("http://exon.niaid.nih.gov/transcriptome/C_felis/S1/links/XC-ASB/cf-contig_731-XC-ASB.txt","XC-contig_227")</f>
        <v>XC-contig_227</v>
      </c>
      <c r="AC536">
        <v>1.6</v>
      </c>
      <c r="AD536" s="10" t="s">
        <v>4600</v>
      </c>
      <c r="AE536" t="s">
        <v>4601</v>
      </c>
      <c r="AI536" s="4" t="str">
        <f>HYPERLINK("http://exon.niaid.nih.gov/transcriptome/C_felis/S1/links/NR/cf-contig_731-NR.txt","suppressor of cytokine signaling 7-like")</f>
        <v>suppressor of cytokine signaling 7-like</v>
      </c>
      <c r="AJ536" t="str">
        <f>HYPERLINK("http://www.ncbi.nlm.nih.gov/sutils/blink.cgi?pid=327275768","0.23")</f>
        <v>0.23</v>
      </c>
      <c r="AK536" t="str">
        <f>HYPERLINK("http://www.ncbi.nlm.nih.gov/protein/327275768","gi|327275768")</f>
        <v>gi|327275768</v>
      </c>
      <c r="AL536">
        <v>39.299999999999997</v>
      </c>
      <c r="AM536">
        <v>60</v>
      </c>
      <c r="AN536">
        <v>590</v>
      </c>
      <c r="AO536">
        <v>41</v>
      </c>
      <c r="AP536">
        <v>10</v>
      </c>
      <c r="AQ536">
        <v>36</v>
      </c>
      <c r="AR536">
        <v>8</v>
      </c>
      <c r="AS536">
        <v>335</v>
      </c>
      <c r="AT536">
        <v>25</v>
      </c>
      <c r="AU536">
        <v>1</v>
      </c>
      <c r="AV536">
        <v>1</v>
      </c>
      <c r="AW536" t="s">
        <v>12</v>
      </c>
      <c r="AY536" t="s">
        <v>1676</v>
      </c>
      <c r="AZ536" t="s">
        <v>3093</v>
      </c>
      <c r="BA536" s="4" t="str">
        <f>HYPERLINK("http://exon.niaid.nih.gov/transcriptome/C_felis/S1/links/SWISSP/cf-contig_731-SWISSP.txt","OTU domain-containing protein 5")</f>
        <v>OTU domain-containing protein 5</v>
      </c>
      <c r="BB536" t="str">
        <f>HYPERLINK("http://www.uniprot.org/uniprot/Q96G74","0.030")</f>
        <v>0.030</v>
      </c>
      <c r="BC536" t="s">
        <v>4320</v>
      </c>
      <c r="BD536">
        <v>37.4</v>
      </c>
      <c r="BE536">
        <v>74</v>
      </c>
      <c r="BF536">
        <v>571</v>
      </c>
      <c r="BG536">
        <v>32</v>
      </c>
      <c r="BH536">
        <v>13</v>
      </c>
      <c r="BI536">
        <v>53</v>
      </c>
      <c r="BJ536">
        <v>11</v>
      </c>
      <c r="BK536">
        <v>11</v>
      </c>
      <c r="BL536">
        <v>4</v>
      </c>
      <c r="BM536">
        <v>2</v>
      </c>
      <c r="BN536">
        <v>1</v>
      </c>
      <c r="BO536" t="s">
        <v>1689</v>
      </c>
      <c r="BQ536" t="s">
        <v>1676</v>
      </c>
      <c r="BR536" t="s">
        <v>1690</v>
      </c>
      <c r="BS536" s="4" t="str">
        <f>HYPERLINK("http://exon.niaid.nih.gov/transcriptome/C_felis/S1/links/CDD/cf-contig_731-CDD.txt","Herpes_LMP2")</f>
        <v>Herpes_LMP2</v>
      </c>
      <c r="BT536" t="str">
        <f>HYPERLINK("http://www.ncbi.nlm.nih.gov/Structure/cdd/cddsrv.cgi?uid=pfam07415&amp;version=v4.0","0.098")</f>
        <v>0.098</v>
      </c>
      <c r="BU536" t="s">
        <v>4321</v>
      </c>
      <c r="BV536" s="4" t="s">
        <v>42</v>
      </c>
      <c r="BW536" t="s">
        <v>42</v>
      </c>
      <c r="BX536" t="s">
        <v>42</v>
      </c>
      <c r="BY536" t="s">
        <v>42</v>
      </c>
      <c r="BZ536" t="s">
        <v>42</v>
      </c>
      <c r="CA536" t="s">
        <v>42</v>
      </c>
      <c r="CB536" t="s">
        <v>42</v>
      </c>
      <c r="CC536" t="s">
        <v>42</v>
      </c>
      <c r="CD536" t="s">
        <v>42</v>
      </c>
      <c r="CE536" t="s">
        <v>42</v>
      </c>
      <c r="CF536" t="s">
        <v>42</v>
      </c>
      <c r="CG536" t="s">
        <v>42</v>
      </c>
      <c r="CH536" t="s">
        <v>42</v>
      </c>
      <c r="CI536" t="s">
        <v>42</v>
      </c>
      <c r="CJ536" t="s">
        <v>42</v>
      </c>
      <c r="CK536" t="s">
        <v>42</v>
      </c>
      <c r="CL536" t="s">
        <v>42</v>
      </c>
      <c r="CM536" t="s">
        <v>42</v>
      </c>
      <c r="CN536" t="s">
        <v>42</v>
      </c>
      <c r="CO536" t="s">
        <v>42</v>
      </c>
      <c r="CP536" t="s">
        <v>42</v>
      </c>
      <c r="CQ536" t="s">
        <v>42</v>
      </c>
      <c r="CR536" t="s">
        <v>42</v>
      </c>
      <c r="CS536" s="4" t="str">
        <f>HYPERLINK("http://exon.niaid.nih.gov/transcriptome/C_felis/S1/links/KOG/cf-contig_731-KOG.txt","RhoA GTPase effector DIA/Diaphanous")</f>
        <v>RhoA GTPase effector DIA/Diaphanous</v>
      </c>
      <c r="CT536" t="str">
        <f>HYPERLINK("http://www.ncbi.nlm.nih.gov/COG/grace/shokog.cgi?KOG1924","0.002")</f>
        <v>0.002</v>
      </c>
      <c r="CU536" t="s">
        <v>1671</v>
      </c>
      <c r="CV536" s="4" t="str">
        <f>HYPERLINK("http://exon.niaid.nih.gov/transcriptome/C_felis/S1/links/PFAM/cf-contig_731-PFAM.txt","Herpes_LMP2")</f>
        <v>Herpes_LMP2</v>
      </c>
      <c r="CW536" t="str">
        <f>HYPERLINK("http://pfam.sanger.ac.uk/family?acc=PF07415","0.020")</f>
        <v>0.020</v>
      </c>
      <c r="CX536" s="4" t="str">
        <f>HYPERLINK("http://exon.niaid.nih.gov/transcriptome/C_felis/S1/links/SMART/cf-contig_731-SMART.txt","RL11")</f>
        <v>RL11</v>
      </c>
      <c r="CY536" t="str">
        <f>HYPERLINK("http://smart.embl-heidelberg.de/smart/do_annotation.pl?DOMAIN=RL11&amp;BLAST=DUMMY","0.039")</f>
        <v>0.039</v>
      </c>
      <c r="CZ536" s="4" t="s">
        <v>42</v>
      </c>
      <c r="DA536" t="s">
        <v>42</v>
      </c>
      <c r="DB536" t="s">
        <v>42</v>
      </c>
      <c r="DC536" t="s">
        <v>42</v>
      </c>
      <c r="DD536" t="s">
        <v>42</v>
      </c>
      <c r="DE536" t="s">
        <v>42</v>
      </c>
      <c r="DF536" t="s">
        <v>42</v>
      </c>
      <c r="DG536" t="s">
        <v>42</v>
      </c>
      <c r="DH536" s="4" t="s">
        <v>42</v>
      </c>
      <c r="DI536" t="s">
        <v>42</v>
      </c>
      <c r="DJ536" s="4" t="s">
        <v>42</v>
      </c>
      <c r="DK536" t="s">
        <v>42</v>
      </c>
      <c r="DL536" s="4">
        <v>592</v>
      </c>
      <c r="DM536">
        <v>1</v>
      </c>
      <c r="DN536" s="4">
        <v>608</v>
      </c>
      <c r="DO536">
        <v>1</v>
      </c>
      <c r="DP536" s="4">
        <v>621</v>
      </c>
      <c r="DQ536">
        <v>1</v>
      </c>
      <c r="DR536" s="4">
        <v>643</v>
      </c>
      <c r="DS536">
        <v>1</v>
      </c>
      <c r="DT536" s="4">
        <v>658</v>
      </c>
      <c r="DU536">
        <v>1</v>
      </c>
      <c r="DV536" s="4">
        <v>673</v>
      </c>
      <c r="DW536">
        <v>1</v>
      </c>
      <c r="DX536" s="4">
        <v>684</v>
      </c>
      <c r="DY536">
        <v>1</v>
      </c>
      <c r="DZ536" s="4">
        <v>694</v>
      </c>
      <c r="EA536">
        <v>1</v>
      </c>
      <c r="EB536" s="4">
        <v>700</v>
      </c>
      <c r="EC536">
        <v>1</v>
      </c>
      <c r="ED536" s="4">
        <v>705</v>
      </c>
      <c r="EE536">
        <v>1</v>
      </c>
      <c r="EF536" s="4">
        <v>711</v>
      </c>
      <c r="EG536">
        <v>1</v>
      </c>
      <c r="EH536" s="4">
        <v>722</v>
      </c>
      <c r="EI536">
        <v>1</v>
      </c>
      <c r="EJ536" s="4">
        <v>731</v>
      </c>
      <c r="EK536">
        <v>1</v>
      </c>
    </row>
    <row r="537" spans="1:141" x14ac:dyDescent="0.2">
      <c r="A537" t="str">
        <f>HYPERLINK("http://exon.niaid.nih.gov/transcriptome/C_felis/S1/links/cf/cf-contig_309.txt","cf-contig_309")</f>
        <v>cf-contig_309</v>
      </c>
      <c r="B537">
        <v>1</v>
      </c>
      <c r="C537" s="10" t="s">
        <v>4600</v>
      </c>
      <c r="D537">
        <v>1</v>
      </c>
      <c r="E537" t="str">
        <f>HYPERLINK("http://exon.niaid.nih.gov/transcriptome/C_felis/S1/links/cf/cf-5-36-asb-309.txt","Contig-309")</f>
        <v>Contig-309</v>
      </c>
      <c r="F537" t="str">
        <f>HYPERLINK("http://exon.niaid.nih.gov/transcriptome/C_felis/S1/links/cf/cf-5-36-309-CLU.txt","Contig309")</f>
        <v>Contig309</v>
      </c>
      <c r="G537" t="str">
        <f>HYPERLINK("http://exon.niaid.nih.gov/transcriptome/C_felis/S1/links/cf/cf-5-36-309-qual.txt","61.2")</f>
        <v>61.2</v>
      </c>
      <c r="H537" t="s">
        <v>11</v>
      </c>
      <c r="I537">
        <v>70.099999999999994</v>
      </c>
      <c r="J537">
        <v>128</v>
      </c>
      <c r="K537" t="s">
        <v>12</v>
      </c>
      <c r="L537">
        <v>1</v>
      </c>
      <c r="M537" t="s">
        <v>322</v>
      </c>
      <c r="N537">
        <v>128</v>
      </c>
      <c r="O537">
        <v>147</v>
      </c>
      <c r="P537">
        <v>90</v>
      </c>
      <c r="Q537" t="s">
        <v>1129</v>
      </c>
      <c r="R537">
        <v>3</v>
      </c>
      <c r="S537" s="7" t="s">
        <v>4585</v>
      </c>
      <c r="U537">
        <v>1</v>
      </c>
      <c r="V537" s="4">
        <v>250</v>
      </c>
      <c r="W537">
        <v>1</v>
      </c>
      <c r="X537" s="4">
        <v>255</v>
      </c>
      <c r="Y537">
        <v>1</v>
      </c>
      <c r="Z537" s="4">
        <v>254</v>
      </c>
      <c r="AA537">
        <v>1</v>
      </c>
      <c r="AB537" s="4" t="str">
        <f>HYPERLINK("http://exon.niaid.nih.gov/transcriptome/C_felis/S1/links/XC-ASB/cf-contig_309-XC-ASB.txt","XC-contig_163")</f>
        <v>XC-contig_163</v>
      </c>
      <c r="AC537">
        <v>0.23</v>
      </c>
      <c r="AD537" s="10" t="s">
        <v>4600</v>
      </c>
      <c r="AE537" t="s">
        <v>4601</v>
      </c>
      <c r="AI537" s="4" t="str">
        <f>HYPERLINK("http://exon.niaid.nih.gov/transcriptome/C_felis/S1/links/NR/cf-contig_309-NR.txt","ribosomal protein S5 domain 2-like family protein")</f>
        <v>ribosomal protein S5 domain 2-like family protein</v>
      </c>
      <c r="AJ537" t="str">
        <f>HYPERLINK("http://www.ncbi.nlm.nih.gov/sutils/blink.cgi?pid=186517317","16")</f>
        <v>16</v>
      </c>
      <c r="AK537" t="str">
        <f>HYPERLINK("http://www.ncbi.nlm.nih.gov/protein/186517317","gi|186517317")</f>
        <v>gi|186517317</v>
      </c>
      <c r="AL537">
        <v>33.1</v>
      </c>
      <c r="AM537">
        <v>28</v>
      </c>
      <c r="AN537">
        <v>192</v>
      </c>
      <c r="AO537">
        <v>48</v>
      </c>
      <c r="AP537">
        <v>15</v>
      </c>
      <c r="AQ537">
        <v>15</v>
      </c>
      <c r="AR537">
        <v>0</v>
      </c>
      <c r="AS537">
        <v>163</v>
      </c>
      <c r="AT537">
        <v>2</v>
      </c>
      <c r="AU537">
        <v>1</v>
      </c>
      <c r="AV537">
        <v>-3</v>
      </c>
      <c r="AW537" t="s">
        <v>12</v>
      </c>
      <c r="AY537" t="s">
        <v>1666</v>
      </c>
      <c r="AZ537" t="s">
        <v>1714</v>
      </c>
      <c r="BA537" s="4" t="str">
        <f>HYPERLINK("http://exon.niaid.nih.gov/transcriptome/C_felis/S1/links/SWISSP/cf-contig_309-SWISSP.txt","Acetylcholine receptor subunit alpha-like 2")</f>
        <v>Acetylcholine receptor subunit alpha-like 2</v>
      </c>
      <c r="BB537" t="str">
        <f>HYPERLINK("http://www.uniprot.org/uniprot/P17644","2.2")</f>
        <v>2.2</v>
      </c>
      <c r="BC537" t="s">
        <v>2764</v>
      </c>
      <c r="BD537">
        <v>31.2</v>
      </c>
      <c r="BE537">
        <v>40</v>
      </c>
      <c r="BF537">
        <v>576</v>
      </c>
      <c r="BG537">
        <v>39</v>
      </c>
      <c r="BH537">
        <v>7</v>
      </c>
      <c r="BI537">
        <v>25</v>
      </c>
      <c r="BJ537">
        <v>1</v>
      </c>
      <c r="BK537">
        <v>250</v>
      </c>
      <c r="BL537">
        <v>2</v>
      </c>
      <c r="BM537">
        <v>1</v>
      </c>
      <c r="BN537">
        <v>-3</v>
      </c>
      <c r="BO537" t="s">
        <v>12</v>
      </c>
      <c r="BQ537" t="s">
        <v>1666</v>
      </c>
      <c r="BR537" t="s">
        <v>1804</v>
      </c>
      <c r="BS537" s="4" t="str">
        <f>HYPERLINK("http://exon.niaid.nih.gov/transcriptome/C_felis/S1/links/CDD/cf-contig_309-CDD.txt","7TM_GPCR_Srx")</f>
        <v>7TM_GPCR_Srx</v>
      </c>
      <c r="BT537" t="str">
        <f>HYPERLINK("http://www.ncbi.nlm.nih.gov/Structure/cdd/cddsrv.cgi?uid=pfam10328&amp;version=v4.0","3.1")</f>
        <v>3.1</v>
      </c>
      <c r="BU537" t="s">
        <v>2765</v>
      </c>
      <c r="BV537" s="4" t="s">
        <v>42</v>
      </c>
      <c r="BW537" t="s">
        <v>42</v>
      </c>
      <c r="BX537" t="s">
        <v>42</v>
      </c>
      <c r="BY537" t="s">
        <v>42</v>
      </c>
      <c r="BZ537" t="s">
        <v>42</v>
      </c>
      <c r="CA537" t="s">
        <v>42</v>
      </c>
      <c r="CB537" t="s">
        <v>42</v>
      </c>
      <c r="CC537" t="s">
        <v>42</v>
      </c>
      <c r="CD537" t="s">
        <v>42</v>
      </c>
      <c r="CE537" t="s">
        <v>42</v>
      </c>
      <c r="CF537" t="s">
        <v>42</v>
      </c>
      <c r="CG537" t="s">
        <v>42</v>
      </c>
      <c r="CH537" t="s">
        <v>42</v>
      </c>
      <c r="CI537" t="s">
        <v>42</v>
      </c>
      <c r="CJ537" t="s">
        <v>42</v>
      </c>
      <c r="CK537" t="s">
        <v>42</v>
      </c>
      <c r="CL537" t="s">
        <v>42</v>
      </c>
      <c r="CM537" t="s">
        <v>42</v>
      </c>
      <c r="CN537" t="s">
        <v>42</v>
      </c>
      <c r="CO537" t="s">
        <v>42</v>
      </c>
      <c r="CP537" t="s">
        <v>42</v>
      </c>
      <c r="CQ537" t="s">
        <v>42</v>
      </c>
      <c r="CR537" t="s">
        <v>42</v>
      </c>
      <c r="CS537" s="4" t="str">
        <f>HYPERLINK("http://exon.niaid.nih.gov/transcriptome/C_felis/S1/links/KOG/cf-contig_309-KOG.txt","Ca2+/H+ antiporter VCX1 and related proteins")</f>
        <v>Ca2+/H+ antiporter VCX1 and related proteins</v>
      </c>
      <c r="CT537" t="str">
        <f>HYPERLINK("http://www.ncbi.nlm.nih.gov/COG/grace/shokog.cgi?KOG1397","0.78")</f>
        <v>0.78</v>
      </c>
      <c r="CU537" t="s">
        <v>1681</v>
      </c>
      <c r="CV537" s="4" t="str">
        <f>HYPERLINK("http://exon.niaid.nih.gov/transcriptome/C_felis/S1/links/PFAM/cf-contig_309-PFAM.txt","7TM_GPCR_Srx")</f>
        <v>7TM_GPCR_Srx</v>
      </c>
      <c r="CW537" t="str">
        <f>HYPERLINK("http://pfam.sanger.ac.uk/family?acc=PF10328","0.67")</f>
        <v>0.67</v>
      </c>
      <c r="CX537" s="4" t="str">
        <f>HYPERLINK("http://exon.niaid.nih.gov/transcriptome/C_felis/S1/links/SMART/cf-contig_309-SMART.txt","PSN")</f>
        <v>PSN</v>
      </c>
      <c r="CY537" t="str">
        <f>HYPERLINK("http://smart.embl-heidelberg.de/smart/do_annotation.pl?DOMAIN=PSN&amp;BLAST=DUMMY","0.12")</f>
        <v>0.12</v>
      </c>
      <c r="CZ537" s="4" t="s">
        <v>42</v>
      </c>
      <c r="DA537" t="s">
        <v>42</v>
      </c>
      <c r="DB537" t="s">
        <v>42</v>
      </c>
      <c r="DC537" t="s">
        <v>42</v>
      </c>
      <c r="DD537" t="s">
        <v>42</v>
      </c>
      <c r="DE537" t="s">
        <v>42</v>
      </c>
      <c r="DF537" t="s">
        <v>42</v>
      </c>
      <c r="DG537" t="s">
        <v>42</v>
      </c>
      <c r="DH537" s="4" t="s">
        <v>42</v>
      </c>
      <c r="DI537" t="s">
        <v>42</v>
      </c>
      <c r="DJ537" s="4" t="s">
        <v>42</v>
      </c>
      <c r="DK537" t="s">
        <v>42</v>
      </c>
      <c r="DL537" s="4">
        <v>250</v>
      </c>
      <c r="DM537">
        <v>1</v>
      </c>
      <c r="DN537" s="4">
        <v>255</v>
      </c>
      <c r="DO537">
        <v>1</v>
      </c>
      <c r="DP537" s="4">
        <v>254</v>
      </c>
      <c r="DQ537">
        <v>1</v>
      </c>
      <c r="DR537" s="4">
        <v>263</v>
      </c>
      <c r="DS537">
        <v>1</v>
      </c>
      <c r="DT537" s="4">
        <v>271</v>
      </c>
      <c r="DU537">
        <v>1</v>
      </c>
      <c r="DV537" s="4">
        <v>283</v>
      </c>
      <c r="DW537">
        <v>1</v>
      </c>
      <c r="DX537" s="4">
        <v>285</v>
      </c>
      <c r="DY537">
        <v>1</v>
      </c>
      <c r="DZ537" s="4">
        <v>290</v>
      </c>
      <c r="EA537">
        <v>1</v>
      </c>
      <c r="EB537" s="4">
        <v>295</v>
      </c>
      <c r="EC537">
        <v>1</v>
      </c>
      <c r="ED537" s="4">
        <v>298</v>
      </c>
      <c r="EE537">
        <v>1</v>
      </c>
      <c r="EF537" s="4">
        <v>302</v>
      </c>
      <c r="EG537">
        <v>1</v>
      </c>
      <c r="EH537" s="4">
        <v>304</v>
      </c>
      <c r="EI537">
        <v>1</v>
      </c>
      <c r="EJ537" s="4">
        <v>309</v>
      </c>
      <c r="EK537">
        <v>1</v>
      </c>
    </row>
    <row r="538" spans="1:141" x14ac:dyDescent="0.2">
      <c r="A538" t="str">
        <f>HYPERLINK("http://exon.niaid.nih.gov/transcriptome/C_felis/S1/links/cf/cf-contig_438.txt","cf-contig_438")</f>
        <v>cf-contig_438</v>
      </c>
      <c r="B538">
        <v>1</v>
      </c>
      <c r="C538" s="10" t="s">
        <v>4600</v>
      </c>
      <c r="D538">
        <v>1</v>
      </c>
      <c r="E538" t="str">
        <f>HYPERLINK("http://exon.niaid.nih.gov/transcriptome/C_felis/S1/links/cf/cf-5-36-asb-438.txt","Contig-438")</f>
        <v>Contig-438</v>
      </c>
      <c r="F538" t="str">
        <f>HYPERLINK("http://exon.niaid.nih.gov/transcriptome/C_felis/S1/links/cf/cf-5-36-438-CLU.txt","Contig438")</f>
        <v>Contig438</v>
      </c>
      <c r="G538" t="str">
        <f>HYPERLINK("http://exon.niaid.nih.gov/transcriptome/C_felis/S1/links/cf/cf-5-36-438-qual.txt","64.8")</f>
        <v>64.8</v>
      </c>
      <c r="H538" t="s">
        <v>11</v>
      </c>
      <c r="I538">
        <v>67.900000000000006</v>
      </c>
      <c r="J538">
        <v>449</v>
      </c>
      <c r="K538" t="s">
        <v>12</v>
      </c>
      <c r="L538">
        <v>1</v>
      </c>
      <c r="M538" t="s">
        <v>451</v>
      </c>
      <c r="N538">
        <v>449</v>
      </c>
      <c r="O538">
        <v>468</v>
      </c>
      <c r="P538">
        <v>141</v>
      </c>
      <c r="Q538" t="s">
        <v>1257</v>
      </c>
      <c r="R538">
        <v>1</v>
      </c>
      <c r="S538" s="7" t="s">
        <v>4585</v>
      </c>
      <c r="U538">
        <v>1</v>
      </c>
      <c r="V538" s="4">
        <v>354</v>
      </c>
      <c r="W538">
        <v>1</v>
      </c>
      <c r="X538" s="4">
        <v>363</v>
      </c>
      <c r="Y538">
        <v>1</v>
      </c>
      <c r="Z538" s="4">
        <v>368</v>
      </c>
      <c r="AA538">
        <v>1</v>
      </c>
      <c r="AB538" s="4" t="str">
        <f>HYPERLINK("http://exon.niaid.nih.gov/transcriptome/C_felis/S1/links/XC-ASB/cf-contig_438-XC-ASB.txt","XC-contig_78")</f>
        <v>XC-contig_78</v>
      </c>
      <c r="AC538">
        <v>0.49</v>
      </c>
      <c r="AD538" s="10" t="s">
        <v>4600</v>
      </c>
      <c r="AE538" t="s">
        <v>4601</v>
      </c>
      <c r="AI538" s="4" t="str">
        <f>HYPERLINK("http://exon.niaid.nih.gov/transcriptome/C_felis/S1/links/NR/cf-contig_438-NR.txt","hypothetical protein AOL_s00006g4")</f>
        <v>hypothetical protein AOL_s00006g4</v>
      </c>
      <c r="AJ538" t="str">
        <f>HYPERLINK("http://www.ncbi.nlm.nih.gov/sutils/blink.cgi?pid=345570908","2.5")</f>
        <v>2.5</v>
      </c>
      <c r="AK538" t="str">
        <f>HYPERLINK("http://www.ncbi.nlm.nih.gov/protein/345570908","gi|345570908")</f>
        <v>gi|345570908</v>
      </c>
      <c r="AL538">
        <v>35.799999999999997</v>
      </c>
      <c r="AM538">
        <v>50</v>
      </c>
      <c r="AN538">
        <v>1215</v>
      </c>
      <c r="AO538">
        <v>45</v>
      </c>
      <c r="AP538">
        <v>4</v>
      </c>
      <c r="AQ538">
        <v>29</v>
      </c>
      <c r="AR538">
        <v>0</v>
      </c>
      <c r="AS538">
        <v>213</v>
      </c>
      <c r="AT538">
        <v>229</v>
      </c>
      <c r="AU538">
        <v>1</v>
      </c>
      <c r="AV538">
        <v>1</v>
      </c>
      <c r="AW538" t="s">
        <v>12</v>
      </c>
      <c r="AX538">
        <v>4</v>
      </c>
      <c r="AY538" t="s">
        <v>1676</v>
      </c>
      <c r="AZ538" t="s">
        <v>3230</v>
      </c>
      <c r="BA538" s="4" t="str">
        <f>HYPERLINK("http://exon.niaid.nih.gov/transcriptome/C_felis/S1/links/SWISSP/cf-contig_438-SWISSP.txt","Uncharacterized protein RP478")</f>
        <v>Uncharacterized protein RP478</v>
      </c>
      <c r="BB538" t="str">
        <f>HYPERLINK("http://www.uniprot.org/uniprot/Q9ZD66","2.9")</f>
        <v>2.9</v>
      </c>
      <c r="BC538" t="s">
        <v>3231</v>
      </c>
      <c r="BD538">
        <v>31.2</v>
      </c>
      <c r="BE538">
        <v>43</v>
      </c>
      <c r="BF538">
        <v>554</v>
      </c>
      <c r="BG538">
        <v>30</v>
      </c>
      <c r="BH538">
        <v>8</v>
      </c>
      <c r="BI538">
        <v>34</v>
      </c>
      <c r="BJ538">
        <v>0</v>
      </c>
      <c r="BK538">
        <v>328</v>
      </c>
      <c r="BL538">
        <v>3</v>
      </c>
      <c r="BM538">
        <v>1</v>
      </c>
      <c r="BN538">
        <v>-2</v>
      </c>
      <c r="BO538" t="s">
        <v>12</v>
      </c>
      <c r="BQ538" t="s">
        <v>1666</v>
      </c>
      <c r="BR538" t="s">
        <v>2793</v>
      </c>
      <c r="BS538" s="4" t="str">
        <f>HYPERLINK("http://exon.niaid.nih.gov/transcriptome/C_felis/S1/links/CDD/cf-contig_438-CDD.txt","PRK02868")</f>
        <v>PRK02868</v>
      </c>
      <c r="BT538" t="str">
        <f>HYPERLINK("http://www.ncbi.nlm.nih.gov/Structure/cdd/cddsrv.cgi?uid=PRK02868&amp;version=v4.0","1.1")</f>
        <v>1.1</v>
      </c>
      <c r="BU538" t="s">
        <v>3232</v>
      </c>
      <c r="BV538" s="4" t="s">
        <v>42</v>
      </c>
      <c r="BW538" t="s">
        <v>42</v>
      </c>
      <c r="BX538" t="s">
        <v>42</v>
      </c>
      <c r="BY538" t="s">
        <v>42</v>
      </c>
      <c r="BZ538" t="s">
        <v>42</v>
      </c>
      <c r="CA538" t="s">
        <v>42</v>
      </c>
      <c r="CB538" t="s">
        <v>42</v>
      </c>
      <c r="CC538" t="s">
        <v>42</v>
      </c>
      <c r="CD538" t="s">
        <v>42</v>
      </c>
      <c r="CE538" t="s">
        <v>42</v>
      </c>
      <c r="CF538" t="s">
        <v>42</v>
      </c>
      <c r="CG538" t="s">
        <v>42</v>
      </c>
      <c r="CH538" t="s">
        <v>42</v>
      </c>
      <c r="CI538" t="s">
        <v>42</v>
      </c>
      <c r="CJ538" t="s">
        <v>42</v>
      </c>
      <c r="CK538" t="s">
        <v>42</v>
      </c>
      <c r="CL538" t="s">
        <v>42</v>
      </c>
      <c r="CM538" t="s">
        <v>42</v>
      </c>
      <c r="CN538" t="s">
        <v>42</v>
      </c>
      <c r="CO538" t="s">
        <v>42</v>
      </c>
      <c r="CP538" t="s">
        <v>42</v>
      </c>
      <c r="CQ538" t="s">
        <v>42</v>
      </c>
      <c r="CR538" t="s">
        <v>42</v>
      </c>
      <c r="CS538" s="4" t="str">
        <f>HYPERLINK("http://exon.niaid.nih.gov/transcriptome/C_felis/S1/links/KOG/cf-contig_438-KOG.txt","WD40 repeat protein")</f>
        <v>WD40 repeat protein</v>
      </c>
      <c r="CT538" t="str">
        <f>HYPERLINK("http://www.ncbi.nlm.nih.gov/COG/grace/shokog.cgi?KOG2041","1.4")</f>
        <v>1.4</v>
      </c>
      <c r="CU538" t="s">
        <v>1721</v>
      </c>
      <c r="CV538" s="4" t="str">
        <f>HYPERLINK("http://exon.niaid.nih.gov/transcriptome/C_felis/S1/links/PFAM/cf-contig_438-PFAM.txt","FHIPEP")</f>
        <v>FHIPEP</v>
      </c>
      <c r="CW538" t="str">
        <f>HYPERLINK("http://pfam.sanger.ac.uk/family?acc=PF00771","0.25")</f>
        <v>0.25</v>
      </c>
      <c r="CX538" s="4" t="str">
        <f>HYPERLINK("http://exon.niaid.nih.gov/transcriptome/C_felis/S1/links/SMART/cf-contig_438-SMART.txt","EAL")</f>
        <v>EAL</v>
      </c>
      <c r="CY538" t="str">
        <f>HYPERLINK("http://smart.embl-heidelberg.de/smart/do_annotation.pl?DOMAIN=EAL&amp;BLAST=DUMMY","0.088")</f>
        <v>0.088</v>
      </c>
      <c r="CZ538" s="4" t="s">
        <v>42</v>
      </c>
      <c r="DA538" t="s">
        <v>42</v>
      </c>
      <c r="DB538" t="s">
        <v>42</v>
      </c>
      <c r="DC538" t="s">
        <v>42</v>
      </c>
      <c r="DD538" t="s">
        <v>42</v>
      </c>
      <c r="DE538" t="s">
        <v>42</v>
      </c>
      <c r="DF538" t="s">
        <v>42</v>
      </c>
      <c r="DG538" t="s">
        <v>42</v>
      </c>
      <c r="DH538" s="4" t="s">
        <v>42</v>
      </c>
      <c r="DI538" t="s">
        <v>42</v>
      </c>
      <c r="DJ538" s="4" t="s">
        <v>42</v>
      </c>
      <c r="DK538" t="s">
        <v>42</v>
      </c>
      <c r="DL538" s="4">
        <v>354</v>
      </c>
      <c r="DM538">
        <v>1</v>
      </c>
      <c r="DN538" s="4">
        <v>363</v>
      </c>
      <c r="DO538">
        <v>1</v>
      </c>
      <c r="DP538" s="4">
        <v>368</v>
      </c>
      <c r="DQ538">
        <v>1</v>
      </c>
      <c r="DR538" s="4">
        <v>382</v>
      </c>
      <c r="DS538">
        <v>1</v>
      </c>
      <c r="DT538" s="4">
        <v>392</v>
      </c>
      <c r="DU538">
        <v>1</v>
      </c>
      <c r="DV538" s="4">
        <v>406</v>
      </c>
      <c r="DW538">
        <v>1</v>
      </c>
      <c r="DX538" s="4">
        <v>409</v>
      </c>
      <c r="DY538">
        <v>1</v>
      </c>
      <c r="DZ538" s="4">
        <v>414</v>
      </c>
      <c r="EA538">
        <v>1</v>
      </c>
      <c r="EB538" s="4">
        <v>419</v>
      </c>
      <c r="EC538">
        <v>1</v>
      </c>
      <c r="ED538" s="4">
        <v>423</v>
      </c>
      <c r="EE538">
        <v>1</v>
      </c>
      <c r="EF538" s="4">
        <v>428</v>
      </c>
      <c r="EG538">
        <v>1</v>
      </c>
      <c r="EH538" s="4">
        <v>432</v>
      </c>
      <c r="EI538">
        <v>1</v>
      </c>
      <c r="EJ538" s="4">
        <v>438</v>
      </c>
      <c r="EK538">
        <v>1</v>
      </c>
    </row>
    <row r="539" spans="1:141" x14ac:dyDescent="0.2">
      <c r="A539" t="str">
        <f>HYPERLINK("http://exon.niaid.nih.gov/transcriptome/C_felis/S1/links/cf/cf-contig_662.txt","cf-contig_662")</f>
        <v>cf-contig_662</v>
      </c>
      <c r="B539">
        <v>1</v>
      </c>
      <c r="C539" s="10" t="s">
        <v>4600</v>
      </c>
      <c r="D539">
        <v>1</v>
      </c>
      <c r="E539" t="str">
        <f>HYPERLINK("http://exon.niaid.nih.gov/transcriptome/C_felis/S1/links/cf/cf-5-36-asb-662.txt","Contig-662")</f>
        <v>Contig-662</v>
      </c>
      <c r="F539" t="str">
        <f>HYPERLINK("http://exon.niaid.nih.gov/transcriptome/C_felis/S1/links/cf/cf-5-36-662-CLU.txt","Contig662")</f>
        <v>Contig662</v>
      </c>
      <c r="G539" t="str">
        <f>HYPERLINK("http://exon.niaid.nih.gov/transcriptome/C_felis/S1/links/cf/cf-5-36-662-qual.txt","61.6")</f>
        <v>61.6</v>
      </c>
      <c r="H539" t="s">
        <v>11</v>
      </c>
      <c r="I539">
        <v>87.3</v>
      </c>
      <c r="J539">
        <v>170</v>
      </c>
      <c r="K539" t="s">
        <v>12</v>
      </c>
      <c r="L539">
        <v>1</v>
      </c>
      <c r="M539" t="s">
        <v>675</v>
      </c>
      <c r="N539">
        <v>170</v>
      </c>
      <c r="O539">
        <v>189</v>
      </c>
      <c r="P539">
        <v>90</v>
      </c>
      <c r="Q539" t="s">
        <v>1481</v>
      </c>
      <c r="R539">
        <v>3</v>
      </c>
      <c r="S539" s="7" t="s">
        <v>4585</v>
      </c>
      <c r="U539">
        <v>1</v>
      </c>
      <c r="V539" s="4">
        <v>541</v>
      </c>
      <c r="W539">
        <v>1</v>
      </c>
      <c r="X539" s="4">
        <v>553</v>
      </c>
      <c r="Y539">
        <v>1</v>
      </c>
      <c r="Z539" s="4">
        <v>565</v>
      </c>
      <c r="AA539">
        <v>1</v>
      </c>
      <c r="AB539" s="4" t="str">
        <f>HYPERLINK("http://exon.niaid.nih.gov/transcriptome/C_felis/S1/links/XC-ASB/cf-contig_662-XC-ASB.txt","XC-contig_241")</f>
        <v>XC-contig_241</v>
      </c>
      <c r="AC539">
        <v>0.2</v>
      </c>
      <c r="AD539" s="10" t="s">
        <v>4600</v>
      </c>
      <c r="AE539" t="s">
        <v>4601</v>
      </c>
      <c r="AI539" s="4" t="str">
        <f>HYPERLINK("http://exon.niaid.nih.gov/transcriptome/C_felis/S1/links/NR/cf-contig_662-NR.txt","ubiquitin C-terminal hydrolase CreB")</f>
        <v>ubiquitin C-terminal hydrolase CreB</v>
      </c>
      <c r="AJ539" t="str">
        <f>HYPERLINK("http://www.ncbi.nlm.nih.gov/sutils/blink.cgi?pid=302503460","28")</f>
        <v>28</v>
      </c>
      <c r="AK539" t="str">
        <f>HYPERLINK("http://www.ncbi.nlm.nih.gov/protein/302503460","gi|302503460")</f>
        <v>gi|302503460</v>
      </c>
      <c r="AL539">
        <v>32.299999999999997</v>
      </c>
      <c r="AM539">
        <v>33</v>
      </c>
      <c r="AN539">
        <v>1147</v>
      </c>
      <c r="AO539">
        <v>38</v>
      </c>
      <c r="AP539">
        <v>3</v>
      </c>
      <c r="AQ539">
        <v>21</v>
      </c>
      <c r="AR539">
        <v>0</v>
      </c>
      <c r="AS539">
        <v>15</v>
      </c>
      <c r="AT539">
        <v>46</v>
      </c>
      <c r="AU539">
        <v>1</v>
      </c>
      <c r="AV539">
        <v>-1</v>
      </c>
      <c r="AW539" t="s">
        <v>12</v>
      </c>
      <c r="AY539" t="s">
        <v>1666</v>
      </c>
      <c r="AZ539" t="s">
        <v>4090</v>
      </c>
      <c r="BA539" s="4" t="str">
        <f>HYPERLINK("http://exon.niaid.nih.gov/transcriptome/C_felis/S1/links/SWISSP/cf-contig_662-SWISSP.txt","Uncharacterized protein HI_1671")</f>
        <v>Uncharacterized protein HI_1671</v>
      </c>
      <c r="BB539" t="str">
        <f>HYPERLINK("http://www.uniprot.org/uniprot/P44287","41")</f>
        <v>41</v>
      </c>
      <c r="BC539" t="s">
        <v>4091</v>
      </c>
      <c r="BD539">
        <v>26.9</v>
      </c>
      <c r="BE539">
        <v>35</v>
      </c>
      <c r="BF539">
        <v>416</v>
      </c>
      <c r="BG539">
        <v>33</v>
      </c>
      <c r="BH539">
        <v>9</v>
      </c>
      <c r="BI539">
        <v>26</v>
      </c>
      <c r="BJ539">
        <v>0</v>
      </c>
      <c r="BK539">
        <v>143</v>
      </c>
      <c r="BL539">
        <v>3</v>
      </c>
      <c r="BM539">
        <v>1</v>
      </c>
      <c r="BN539">
        <v>3</v>
      </c>
      <c r="BO539" t="s">
        <v>12</v>
      </c>
      <c r="BP539">
        <v>2.8570000000000002</v>
      </c>
      <c r="BQ539" t="s">
        <v>1676</v>
      </c>
      <c r="BR539" t="s">
        <v>2192</v>
      </c>
      <c r="BS539" s="4" t="str">
        <f>HYPERLINK("http://exon.niaid.nih.gov/transcriptome/C_felis/S1/links/CDD/cf-contig_662-CDD.txt","ND2")</f>
        <v>ND2</v>
      </c>
      <c r="BT539" t="str">
        <f>HYPERLINK("http://www.ncbi.nlm.nih.gov/Structure/cdd/cddsrv.cgi?uid=MTH00160&amp;version=v4.0","0.23")</f>
        <v>0.23</v>
      </c>
      <c r="BU539" t="s">
        <v>4092</v>
      </c>
      <c r="BV539" s="4" t="s">
        <v>42</v>
      </c>
      <c r="BW539" t="s">
        <v>42</v>
      </c>
      <c r="BX539" t="s">
        <v>42</v>
      </c>
      <c r="BY539" t="s">
        <v>42</v>
      </c>
      <c r="BZ539" t="s">
        <v>42</v>
      </c>
      <c r="CA539" t="s">
        <v>42</v>
      </c>
      <c r="CB539" t="s">
        <v>42</v>
      </c>
      <c r="CC539" t="s">
        <v>42</v>
      </c>
      <c r="CD539" t="s">
        <v>42</v>
      </c>
      <c r="CE539" t="s">
        <v>42</v>
      </c>
      <c r="CF539" t="s">
        <v>42</v>
      </c>
      <c r="CG539" t="s">
        <v>42</v>
      </c>
      <c r="CH539" t="s">
        <v>42</v>
      </c>
      <c r="CI539" t="s">
        <v>42</v>
      </c>
      <c r="CJ539" t="s">
        <v>42</v>
      </c>
      <c r="CK539" t="s">
        <v>42</v>
      </c>
      <c r="CL539" t="s">
        <v>42</v>
      </c>
      <c r="CM539" t="s">
        <v>42</v>
      </c>
      <c r="CN539" t="s">
        <v>42</v>
      </c>
      <c r="CO539" t="s">
        <v>42</v>
      </c>
      <c r="CP539" t="s">
        <v>42</v>
      </c>
      <c r="CQ539" t="s">
        <v>42</v>
      </c>
      <c r="CR539" t="s">
        <v>42</v>
      </c>
      <c r="CS539" s="4" t="str">
        <f>HYPERLINK("http://exon.niaid.nih.gov/transcriptome/C_felis/S1/links/KOG/cf-contig_662-KOG.txt","ER vesicle integral membrane protein involved in establishing cell polarity, signaling and protein degradation")</f>
        <v>ER vesicle integral membrane protein involved in establishing cell polarity, signaling and protein degradation</v>
      </c>
      <c r="CT539" t="str">
        <f>HYPERLINK("http://www.ncbi.nlm.nih.gov/COG/grace/shokog.cgi?KOG2729","4.8")</f>
        <v>4.8</v>
      </c>
      <c r="CU539" t="s">
        <v>3183</v>
      </c>
      <c r="CV539" s="4" t="str">
        <f>HYPERLINK("http://exon.niaid.nih.gov/transcriptome/C_felis/S1/links/PFAM/cf-contig_662-PFAM.txt","UFD1")</f>
        <v>UFD1</v>
      </c>
      <c r="CW539" t="str">
        <f>HYPERLINK("http://pfam.sanger.ac.uk/family?acc=PF03152","0.39")</f>
        <v>0.39</v>
      </c>
      <c r="CX539" s="4" t="str">
        <f>HYPERLINK("http://exon.niaid.nih.gov/transcriptome/C_felis/S1/links/SMART/cf-contig_662-SMART.txt","PSN")</f>
        <v>PSN</v>
      </c>
      <c r="CY539" t="str">
        <f>HYPERLINK("http://smart.embl-heidelberg.de/smart/do_annotation.pl?DOMAIN=PSN&amp;BLAST=DUMMY","0.30")</f>
        <v>0.30</v>
      </c>
      <c r="CZ539" s="4" t="s">
        <v>42</v>
      </c>
      <c r="DA539" t="s">
        <v>42</v>
      </c>
      <c r="DB539" t="s">
        <v>42</v>
      </c>
      <c r="DC539" t="s">
        <v>42</v>
      </c>
      <c r="DD539" t="s">
        <v>42</v>
      </c>
      <c r="DE539" t="s">
        <v>42</v>
      </c>
      <c r="DF539" t="s">
        <v>42</v>
      </c>
      <c r="DG539" t="s">
        <v>42</v>
      </c>
      <c r="DH539" s="4" t="s">
        <v>42</v>
      </c>
      <c r="DI539" t="s">
        <v>42</v>
      </c>
      <c r="DJ539" s="4" t="s">
        <v>42</v>
      </c>
      <c r="DK539" t="s">
        <v>42</v>
      </c>
      <c r="DL539" s="4">
        <v>541</v>
      </c>
      <c r="DM539">
        <v>1</v>
      </c>
      <c r="DN539" s="4">
        <v>553</v>
      </c>
      <c r="DO539">
        <v>1</v>
      </c>
      <c r="DP539" s="4">
        <v>565</v>
      </c>
      <c r="DQ539">
        <v>1</v>
      </c>
      <c r="DR539" s="4">
        <v>585</v>
      </c>
      <c r="DS539">
        <v>1</v>
      </c>
      <c r="DT539" s="4">
        <v>598</v>
      </c>
      <c r="DU539">
        <v>1</v>
      </c>
      <c r="DV539" s="4">
        <v>612</v>
      </c>
      <c r="DW539">
        <v>1</v>
      </c>
      <c r="DX539" s="4">
        <v>621</v>
      </c>
      <c r="DY539">
        <v>1</v>
      </c>
      <c r="DZ539" s="4">
        <v>631</v>
      </c>
      <c r="EA539">
        <v>1</v>
      </c>
      <c r="EB539" s="4">
        <v>636</v>
      </c>
      <c r="EC539">
        <v>1</v>
      </c>
      <c r="ED539" s="4">
        <v>640</v>
      </c>
      <c r="EE539">
        <v>1</v>
      </c>
      <c r="EF539" s="4">
        <v>646</v>
      </c>
      <c r="EG539">
        <v>1</v>
      </c>
      <c r="EH539" s="4">
        <v>654</v>
      </c>
      <c r="EI539">
        <v>1</v>
      </c>
      <c r="EJ539" s="4">
        <v>662</v>
      </c>
      <c r="EK539">
        <v>1</v>
      </c>
    </row>
    <row r="540" spans="1:141" x14ac:dyDescent="0.2">
      <c r="A540" t="str">
        <f>HYPERLINK("http://exon.niaid.nih.gov/transcriptome/C_felis/S1/links/cf/cf-contig_683.txt","cf-contig_683")</f>
        <v>cf-contig_683</v>
      </c>
      <c r="B540">
        <v>1</v>
      </c>
      <c r="C540" s="10" t="s">
        <v>4600</v>
      </c>
      <c r="D540">
        <v>1</v>
      </c>
      <c r="E540" t="str">
        <f>HYPERLINK("http://exon.niaid.nih.gov/transcriptome/C_felis/S1/links/cf/cf-5-36-asb-683.txt","Contig-683")</f>
        <v>Contig-683</v>
      </c>
      <c r="F540" t="str">
        <f>HYPERLINK("http://exon.niaid.nih.gov/transcriptome/C_felis/S1/links/cf/cf-5-36-683-CLU.txt","Contig683")</f>
        <v>Contig683</v>
      </c>
      <c r="G540" t="str">
        <f>HYPERLINK("http://exon.niaid.nih.gov/transcriptome/C_felis/S1/links/cf/cf-5-36-683-qual.txt","65.2")</f>
        <v>65.2</v>
      </c>
      <c r="H540">
        <v>0.2</v>
      </c>
      <c r="I540">
        <v>73.7</v>
      </c>
      <c r="J540">
        <v>463</v>
      </c>
      <c r="K540" t="s">
        <v>12</v>
      </c>
      <c r="L540">
        <v>1</v>
      </c>
      <c r="M540" t="s">
        <v>696</v>
      </c>
      <c r="N540">
        <v>463</v>
      </c>
      <c r="O540">
        <v>482</v>
      </c>
      <c r="P540">
        <v>252</v>
      </c>
      <c r="Q540" t="s">
        <v>1502</v>
      </c>
      <c r="R540">
        <v>2</v>
      </c>
      <c r="S540" s="7" t="str">
        <f>HYPERLINK("http://exon.niaid.nih.gov/transcriptome/C_felis/S1/links/Sigp/CF-CONTIG_683-SigP.txt","Cyt")</f>
        <v>Cyt</v>
      </c>
      <c r="U540">
        <v>1</v>
      </c>
      <c r="V540" s="4">
        <v>556</v>
      </c>
      <c r="W540">
        <v>1</v>
      </c>
      <c r="X540" s="4">
        <v>571</v>
      </c>
      <c r="Y540">
        <v>1</v>
      </c>
      <c r="Z540" s="4">
        <v>583</v>
      </c>
      <c r="AA540">
        <v>1</v>
      </c>
      <c r="AB540" s="4" t="str">
        <f>HYPERLINK("http://exon.niaid.nih.gov/transcriptome/C_felis/S1/links/XC-ASB/cf-contig_683-XC-ASB.txt","XC-contig_202")</f>
        <v>XC-contig_202</v>
      </c>
      <c r="AC540">
        <v>2.9000000000000001E-2</v>
      </c>
      <c r="AD540" s="10" t="s">
        <v>4600</v>
      </c>
      <c r="AE540" t="s">
        <v>4601</v>
      </c>
      <c r="AI540" s="4" t="str">
        <f>HYPERLINK("http://exon.niaid.nih.gov/transcriptome/C_felis/S1/links/NR/cf-contig_683-NR.txt","ADR273Cp")</f>
        <v>ADR273Cp</v>
      </c>
      <c r="AJ540" t="str">
        <f>HYPERLINK("http://www.ncbi.nlm.nih.gov/sutils/blink.cgi?pid=302307641","1.4")</f>
        <v>1.4</v>
      </c>
      <c r="AK540" t="str">
        <f>HYPERLINK("http://www.ncbi.nlm.nih.gov/protein/302307641","gi|302307641")</f>
        <v>gi|302307641</v>
      </c>
      <c r="AL540">
        <v>36.6</v>
      </c>
      <c r="AM540">
        <v>62</v>
      </c>
      <c r="AN540">
        <v>589</v>
      </c>
      <c r="AO540">
        <v>35</v>
      </c>
      <c r="AP540">
        <v>11</v>
      </c>
      <c r="AQ540">
        <v>41</v>
      </c>
      <c r="AR540">
        <v>0</v>
      </c>
      <c r="AS540">
        <v>135</v>
      </c>
      <c r="AT540">
        <v>178</v>
      </c>
      <c r="AU540">
        <v>1</v>
      </c>
      <c r="AV540">
        <v>1</v>
      </c>
      <c r="AW540" t="s">
        <v>12</v>
      </c>
      <c r="AX540">
        <v>3.226</v>
      </c>
      <c r="AY540" t="s">
        <v>1676</v>
      </c>
      <c r="AZ540" t="s">
        <v>4147</v>
      </c>
      <c r="BA540" s="4" t="str">
        <f>HYPERLINK("http://exon.niaid.nih.gov/transcriptome/C_felis/S1/links/SWISSP/cf-contig_683-SWISSP.txt","Nuclear rim protein 1")</f>
        <v>Nuclear rim protein 1</v>
      </c>
      <c r="BB540" t="str">
        <f>HYPERLINK("http://www.uniprot.org/uniprot/Q759K4","0.074")</f>
        <v>0.074</v>
      </c>
      <c r="BC540" t="s">
        <v>4148</v>
      </c>
      <c r="BD540">
        <v>36.6</v>
      </c>
      <c r="BE540">
        <v>62</v>
      </c>
      <c r="BF540">
        <v>589</v>
      </c>
      <c r="BG540">
        <v>35</v>
      </c>
      <c r="BH540">
        <v>11</v>
      </c>
      <c r="BI540">
        <v>41</v>
      </c>
      <c r="BJ540">
        <v>0</v>
      </c>
      <c r="BK540">
        <v>135</v>
      </c>
      <c r="BL540">
        <v>178</v>
      </c>
      <c r="BM540">
        <v>1</v>
      </c>
      <c r="BN540">
        <v>1</v>
      </c>
      <c r="BO540" t="s">
        <v>12</v>
      </c>
      <c r="BP540">
        <v>3.226</v>
      </c>
      <c r="BQ540" t="s">
        <v>1676</v>
      </c>
      <c r="BR540" t="s">
        <v>2094</v>
      </c>
      <c r="BS540" s="4" t="str">
        <f>HYPERLINK("http://exon.niaid.nih.gov/transcriptome/C_felis/S1/links/CDD/cf-contig_683-CDD.txt","PI3Kc_III")</f>
        <v>PI3Kc_III</v>
      </c>
      <c r="BT540" t="str">
        <f>HYPERLINK("http://www.ncbi.nlm.nih.gov/Structure/cdd/cddsrv.cgi?uid=cd00896&amp;version=v4.0","0.11")</f>
        <v>0.11</v>
      </c>
      <c r="BU540" t="s">
        <v>4149</v>
      </c>
      <c r="BV540" s="4" t="s">
        <v>42</v>
      </c>
      <c r="BW540" t="s">
        <v>42</v>
      </c>
      <c r="BX540" t="s">
        <v>42</v>
      </c>
      <c r="BY540" t="s">
        <v>42</v>
      </c>
      <c r="BZ540" t="s">
        <v>42</v>
      </c>
      <c r="CA540" t="s">
        <v>42</v>
      </c>
      <c r="CB540" t="s">
        <v>42</v>
      </c>
      <c r="CC540" t="s">
        <v>42</v>
      </c>
      <c r="CD540" t="s">
        <v>42</v>
      </c>
      <c r="CE540" t="s">
        <v>42</v>
      </c>
      <c r="CF540" t="s">
        <v>42</v>
      </c>
      <c r="CG540" t="s">
        <v>42</v>
      </c>
      <c r="CH540" t="s">
        <v>42</v>
      </c>
      <c r="CI540" t="s">
        <v>42</v>
      </c>
      <c r="CJ540" t="s">
        <v>42</v>
      </c>
      <c r="CK540" t="s">
        <v>42</v>
      </c>
      <c r="CL540" t="s">
        <v>42</v>
      </c>
      <c r="CM540" t="s">
        <v>42</v>
      </c>
      <c r="CN540" t="s">
        <v>42</v>
      </c>
      <c r="CO540" t="s">
        <v>42</v>
      </c>
      <c r="CP540" t="s">
        <v>42</v>
      </c>
      <c r="CQ540" t="s">
        <v>42</v>
      </c>
      <c r="CR540" t="s">
        <v>42</v>
      </c>
      <c r="CS540" s="4" t="str">
        <f>HYPERLINK("http://exon.niaid.nih.gov/transcriptome/C_felis/S1/links/KOG/cf-contig_683-KOG.txt","Ca2+-permeable cation channel OSM-9 and related channels (OTRPC family)")</f>
        <v>Ca2+-permeable cation channel OSM-9 and related channels (OTRPC family)</v>
      </c>
      <c r="CT540" t="str">
        <f>HYPERLINK("http://www.ncbi.nlm.nih.gov/COG/grace/shokog.cgi?KOG3676","0.046")</f>
        <v>0.046</v>
      </c>
      <c r="CU540" t="s">
        <v>1702</v>
      </c>
      <c r="CV540" s="4" t="str">
        <f>HYPERLINK("http://exon.niaid.nih.gov/transcriptome/C_felis/S1/links/PFAM/cf-contig_683-PFAM.txt","Mlo")</f>
        <v>Mlo</v>
      </c>
      <c r="CW540" t="str">
        <f>HYPERLINK("http://pfam.sanger.ac.uk/family?acc=PF03094","0.035")</f>
        <v>0.035</v>
      </c>
      <c r="CX540" s="4" t="str">
        <f>HYPERLINK("http://exon.niaid.nih.gov/transcriptome/C_felis/S1/links/SMART/cf-contig_683-SMART.txt","PSN")</f>
        <v>PSN</v>
      </c>
      <c r="CY540" t="str">
        <f>HYPERLINK("http://smart.embl-heidelberg.de/smart/do_annotation.pl?DOMAIN=PSN&amp;BLAST=DUMMY","0.029")</f>
        <v>0.029</v>
      </c>
      <c r="CZ540" s="4" t="s">
        <v>42</v>
      </c>
      <c r="DA540" t="s">
        <v>42</v>
      </c>
      <c r="DB540" t="s">
        <v>42</v>
      </c>
      <c r="DC540" t="s">
        <v>42</v>
      </c>
      <c r="DD540" t="s">
        <v>42</v>
      </c>
      <c r="DE540" t="s">
        <v>42</v>
      </c>
      <c r="DF540" t="s">
        <v>42</v>
      </c>
      <c r="DG540" t="s">
        <v>42</v>
      </c>
      <c r="DH540" s="4" t="s">
        <v>42</v>
      </c>
      <c r="DI540" t="s">
        <v>42</v>
      </c>
      <c r="DJ540" s="4" t="s">
        <v>42</v>
      </c>
      <c r="DK540" t="s">
        <v>42</v>
      </c>
      <c r="DL540" s="4">
        <v>556</v>
      </c>
      <c r="DM540">
        <v>1</v>
      </c>
      <c r="DN540" s="4">
        <v>571</v>
      </c>
      <c r="DO540">
        <v>1</v>
      </c>
      <c r="DP540" s="4">
        <v>583</v>
      </c>
      <c r="DQ540">
        <v>1</v>
      </c>
      <c r="DR540" s="4">
        <v>604</v>
      </c>
      <c r="DS540">
        <v>1</v>
      </c>
      <c r="DT540" s="4">
        <v>618</v>
      </c>
      <c r="DU540">
        <v>1</v>
      </c>
      <c r="DV540" s="4">
        <v>632</v>
      </c>
      <c r="DW540">
        <v>1</v>
      </c>
      <c r="DX540" s="4">
        <v>641</v>
      </c>
      <c r="DY540">
        <v>1</v>
      </c>
      <c r="DZ540" s="4">
        <v>651</v>
      </c>
      <c r="EA540">
        <v>1</v>
      </c>
      <c r="EB540" s="4">
        <v>656</v>
      </c>
      <c r="EC540">
        <v>1</v>
      </c>
      <c r="ED540" s="4">
        <v>660</v>
      </c>
      <c r="EE540">
        <v>1</v>
      </c>
      <c r="EF540" s="4">
        <v>666</v>
      </c>
      <c r="EG540">
        <v>1</v>
      </c>
      <c r="EH540" s="4">
        <v>674</v>
      </c>
      <c r="EI540">
        <v>1</v>
      </c>
      <c r="EJ540" s="4">
        <v>683</v>
      </c>
      <c r="EK540">
        <v>1</v>
      </c>
    </row>
    <row r="541" spans="1:141" x14ac:dyDescent="0.2">
      <c r="A541" t="str">
        <f>HYPERLINK("http://exon.niaid.nih.gov/transcriptome/C_felis/S1/links/cf/cf-contig_11.txt","cf-contig_11")</f>
        <v>cf-contig_11</v>
      </c>
      <c r="B541">
        <v>1</v>
      </c>
      <c r="C541" s="10" t="s">
        <v>4600</v>
      </c>
      <c r="D541">
        <v>1</v>
      </c>
      <c r="E541" t="str">
        <f>HYPERLINK("http://exon.niaid.nih.gov/transcriptome/C_felis/S1/links/cf/cf-5-36-asb-11.txt","Contig-11")</f>
        <v>Contig-11</v>
      </c>
      <c r="F541" t="str">
        <f>HYPERLINK("http://exon.niaid.nih.gov/transcriptome/C_felis/S1/links/cf/cf-5-36-11-CLU.txt","Contig11")</f>
        <v>Contig11</v>
      </c>
      <c r="G541" t="str">
        <f>HYPERLINK("http://exon.niaid.nih.gov/transcriptome/C_felis/S1/links/cf/cf-5-36-11-qual.txt","61.6")</f>
        <v>61.6</v>
      </c>
      <c r="H541" t="s">
        <v>11</v>
      </c>
      <c r="I541">
        <v>70.599999999999994</v>
      </c>
      <c r="J541">
        <v>178</v>
      </c>
      <c r="K541" t="s">
        <v>12</v>
      </c>
      <c r="L541">
        <v>1</v>
      </c>
      <c r="M541" t="s">
        <v>23</v>
      </c>
      <c r="N541">
        <v>178</v>
      </c>
      <c r="O541">
        <v>197</v>
      </c>
      <c r="P541">
        <v>108</v>
      </c>
      <c r="Q541" t="s">
        <v>834</v>
      </c>
      <c r="R541">
        <v>2</v>
      </c>
      <c r="S541" s="7" t="s">
        <v>4585</v>
      </c>
      <c r="U541">
        <v>1</v>
      </c>
      <c r="V541" s="4">
        <f>HYPERLINK("http://exon.niaid.nih.gov/transcriptome/C_felis/S1/links/cluster/cf-5-36-asb30-50-Id-CLU2.txt", 2)</f>
        <v>2</v>
      </c>
      <c r="W541">
        <f>HYPERLINK("http://exon.niaid.nih.gov/transcriptome/C_felis/S1/links/cluster/cf-5-36-asb30-50-Id-CLTL2.txt", 11)</f>
        <v>11</v>
      </c>
      <c r="X541" s="4">
        <f>HYPERLINK("http://exon.niaid.nih.gov/transcriptome/C_felis/S1/links/cluster/cf-5-36-asb35-50-Id-CLU1.txt", 1)</f>
        <v>1</v>
      </c>
      <c r="Y541">
        <f>HYPERLINK("http://exon.niaid.nih.gov/transcriptome/C_felis/S1/links/cluster/cf-5-36-asb35-50-Id-CLTL1.txt", 11)</f>
        <v>11</v>
      </c>
      <c r="Z541" s="4">
        <f>HYPERLINK("http://exon.niaid.nih.gov/transcriptome/C_felis/S1/links/cluster/cf-5-36-asb40-50-Id-CLU1.txt", 1)</f>
        <v>1</v>
      </c>
      <c r="AA541">
        <f>HYPERLINK("http://exon.niaid.nih.gov/transcriptome/C_felis/S1/links/cluster/cf-5-36-asb40-50-Id-CLTL1.txt", 11)</f>
        <v>11</v>
      </c>
      <c r="AB541" s="4" t="str">
        <f>HYPERLINK("http://exon.niaid.nih.gov/transcriptome/C_felis/S1/links/XC-ASB/cf-contig_11-XC-ASB.txt","XC-contig_77")</f>
        <v>XC-contig_77</v>
      </c>
      <c r="AC541">
        <v>0.21</v>
      </c>
      <c r="AD541" s="10" t="s">
        <v>4600</v>
      </c>
      <c r="AE541" t="s">
        <v>4601</v>
      </c>
      <c r="AI541" s="4" t="str">
        <f>HYPERLINK("http://exon.niaid.nih.gov/transcriptome/C_felis/S1/links/NR/cf-contig_11-NR.txt","actin associated protein Wsp1, putative")</f>
        <v>actin associated protein Wsp1, putative</v>
      </c>
      <c r="AJ541" t="str">
        <f>HYPERLINK("http://www.ncbi.nlm.nih.gov/sutils/blink.cgi?pid=121704024","2.5")</f>
        <v>2.5</v>
      </c>
      <c r="AK541" t="str">
        <f>HYPERLINK("http://www.ncbi.nlm.nih.gov/protein/121704024","gi|121704024")</f>
        <v>gi|121704024</v>
      </c>
      <c r="AL541">
        <v>35.799999999999997</v>
      </c>
      <c r="AM541">
        <v>23</v>
      </c>
      <c r="AN541">
        <v>642</v>
      </c>
      <c r="AO541">
        <v>66</v>
      </c>
      <c r="AP541">
        <v>4</v>
      </c>
      <c r="AQ541">
        <v>8</v>
      </c>
      <c r="AR541">
        <v>0</v>
      </c>
      <c r="AS541">
        <v>168</v>
      </c>
      <c r="AT541">
        <v>3</v>
      </c>
      <c r="AU541">
        <v>1</v>
      </c>
      <c r="AV541">
        <v>-1</v>
      </c>
      <c r="AW541" t="s">
        <v>12</v>
      </c>
      <c r="AY541" t="s">
        <v>1666</v>
      </c>
      <c r="AZ541" t="s">
        <v>1672</v>
      </c>
      <c r="BA541" s="4" t="str">
        <f>HYPERLINK("http://exon.niaid.nih.gov/transcriptome/C_felis/S1/links/SWISSP/cf-contig_11-SWISSP.txt","Neural Wiskott-Aldrich syndrome protein")</f>
        <v>Neural Wiskott-Aldrich syndrome protein</v>
      </c>
      <c r="BB541" t="str">
        <f>HYPERLINK("http://www.uniprot.org/uniprot/Q95107","0.73")</f>
        <v>0.73</v>
      </c>
      <c r="BC541" t="s">
        <v>1678</v>
      </c>
      <c r="BD541">
        <v>26.2</v>
      </c>
      <c r="BE541">
        <v>91</v>
      </c>
      <c r="BF541">
        <v>505</v>
      </c>
      <c r="BG541">
        <v>75</v>
      </c>
      <c r="BH541">
        <v>18</v>
      </c>
      <c r="BI541">
        <v>3</v>
      </c>
      <c r="BJ541">
        <v>0</v>
      </c>
      <c r="BK541">
        <v>283</v>
      </c>
      <c r="BL541">
        <v>3</v>
      </c>
      <c r="BM541">
        <v>4</v>
      </c>
      <c r="BN541">
        <v>-1</v>
      </c>
      <c r="BO541" t="s">
        <v>12</v>
      </c>
      <c r="BQ541" t="s">
        <v>1666</v>
      </c>
      <c r="BR541" t="s">
        <v>1679</v>
      </c>
      <c r="BS541" s="4" t="str">
        <f>HYPERLINK("http://exon.niaid.nih.gov/transcriptome/C_felis/S1/links/CDD/cf-contig_11-CDD.txt","NKAIN")</f>
        <v>NKAIN</v>
      </c>
      <c r="BT541" t="str">
        <f>HYPERLINK("http://www.ncbi.nlm.nih.gov/Structure/cdd/cddsrv.cgi?uid=pfam05640&amp;version=v4.0","0.080")</f>
        <v>0.080</v>
      </c>
      <c r="BU541" t="s">
        <v>1716</v>
      </c>
      <c r="BV541" s="4" t="s">
        <v>42</v>
      </c>
      <c r="BW541" t="s">
        <v>42</v>
      </c>
      <c r="BX541" t="s">
        <v>42</v>
      </c>
      <c r="BY541" t="s">
        <v>42</v>
      </c>
      <c r="BZ541" t="s">
        <v>42</v>
      </c>
      <c r="CA541" t="s">
        <v>42</v>
      </c>
      <c r="CB541" t="s">
        <v>42</v>
      </c>
      <c r="CC541" t="s">
        <v>42</v>
      </c>
      <c r="CD541" t="s">
        <v>42</v>
      </c>
      <c r="CE541" t="s">
        <v>42</v>
      </c>
      <c r="CF541" t="s">
        <v>42</v>
      </c>
      <c r="CG541" t="s">
        <v>42</v>
      </c>
      <c r="CH541" t="s">
        <v>42</v>
      </c>
      <c r="CI541" t="s">
        <v>42</v>
      </c>
      <c r="CJ541" t="s">
        <v>42</v>
      </c>
      <c r="CK541" t="s">
        <v>42</v>
      </c>
      <c r="CL541" t="s">
        <v>42</v>
      </c>
      <c r="CM541" t="s">
        <v>42</v>
      </c>
      <c r="CN541" t="s">
        <v>42</v>
      </c>
      <c r="CO541" t="s">
        <v>42</v>
      </c>
      <c r="CP541" t="s">
        <v>42</v>
      </c>
      <c r="CQ541" t="s">
        <v>42</v>
      </c>
      <c r="CR541" t="s">
        <v>42</v>
      </c>
      <c r="CS541" s="4" t="str">
        <f>HYPERLINK("http://exon.niaid.nih.gov/transcriptome/C_felis/S1/links/KOG/cf-contig_11-KOG.txt","Actin regulatory protein (Wiskott-Aldrich syndrome protein)")</f>
        <v>Actin regulatory protein (Wiskott-Aldrich syndrome protein)</v>
      </c>
      <c r="CT541" t="str">
        <f>HYPERLINK("http://www.ncbi.nlm.nih.gov/COG/grace/shokog.cgi?KOG3671","0.078")</f>
        <v>0.078</v>
      </c>
      <c r="CU541" t="s">
        <v>1671</v>
      </c>
      <c r="CV541" s="4" t="str">
        <f>HYPERLINK("http://exon.niaid.nih.gov/transcriptome/C_felis/S1/links/PFAM/cf-contig_11-PFAM.txt","NKAIN")</f>
        <v>NKAIN</v>
      </c>
      <c r="CW541" t="str">
        <f>HYPERLINK("http://pfam.sanger.ac.uk/family?acc=PF05640","0.017")</f>
        <v>0.017</v>
      </c>
      <c r="CX541" s="4" t="str">
        <f>HYPERLINK("http://exon.niaid.nih.gov/transcriptome/C_felis/S1/links/SMART/cf-contig_11-SMART.txt","TLC")</f>
        <v>TLC</v>
      </c>
      <c r="CY541" t="str">
        <f>HYPERLINK("http://smart.embl-heidelberg.de/smart/do_annotation.pl?DOMAIN=TLC&amp;BLAST=DUMMY","0.42")</f>
        <v>0.42</v>
      </c>
      <c r="CZ541" s="4" t="s">
        <v>42</v>
      </c>
      <c r="DA541" t="s">
        <v>42</v>
      </c>
      <c r="DB541" t="s">
        <v>42</v>
      </c>
      <c r="DC541" t="s">
        <v>42</v>
      </c>
      <c r="DD541" t="s">
        <v>42</v>
      </c>
      <c r="DE541" t="s">
        <v>42</v>
      </c>
      <c r="DF541" t="s">
        <v>42</v>
      </c>
      <c r="DG541" t="s">
        <v>42</v>
      </c>
      <c r="DH541" s="4" t="s">
        <v>42</v>
      </c>
      <c r="DI541" t="s">
        <v>42</v>
      </c>
      <c r="DJ541" s="4" t="s">
        <v>42</v>
      </c>
      <c r="DK541" t="s">
        <v>42</v>
      </c>
      <c r="DL541" s="4">
        <f>HYPERLINK("http://exon.niaid.nih.gov/transcriptome/C_felis/S1/links/cluster/cf-5-36-asb30-50-Id-CLU2.txt", 2)</f>
        <v>2</v>
      </c>
      <c r="DM541">
        <f>HYPERLINK("http://exon.niaid.nih.gov/transcriptome/C_felis/S1/links/cluster/cf-5-36-asb30-50-Id-CLTL2.txt", 11)</f>
        <v>11</v>
      </c>
      <c r="DN541" s="4">
        <f>HYPERLINK("http://exon.niaid.nih.gov/transcriptome/C_felis/S1/links/cluster/cf-5-36-asb35-50-Id-CLU1.txt", 1)</f>
        <v>1</v>
      </c>
      <c r="DO541">
        <f>HYPERLINK("http://exon.niaid.nih.gov/transcriptome/C_felis/S1/links/cluster/cf-5-36-asb35-50-Id-CLTL1.txt", 11)</f>
        <v>11</v>
      </c>
      <c r="DP541" s="4">
        <f>HYPERLINK("http://exon.niaid.nih.gov/transcriptome/C_felis/S1/links/cluster/cf-5-36-asb40-50-Id-CLU1.txt", 1)</f>
        <v>1</v>
      </c>
      <c r="DQ541">
        <f>HYPERLINK("http://exon.niaid.nih.gov/transcriptome/C_felis/S1/links/cluster/cf-5-36-asb40-50-Id-CLTL1.txt", 11)</f>
        <v>11</v>
      </c>
      <c r="DR541" s="4">
        <f>HYPERLINK("http://exon.niaid.nih.gov/transcriptome/C_felis/S1/links/cluster/cf-5-36-asb45-50-Id-CLU1.txt", 1)</f>
        <v>1</v>
      </c>
      <c r="DS541">
        <f>HYPERLINK("http://exon.niaid.nih.gov/transcriptome/C_felis/S1/links/cluster/cf-5-36-asb45-50-Id-CLTL1.txt", 9)</f>
        <v>9</v>
      </c>
      <c r="DT541" s="4">
        <f>HYPERLINK("http://exon.niaid.nih.gov/transcriptome/C_felis/S1/links/cluster/cf-5-36-asb50-50-Id-CLU1.txt", 1)</f>
        <v>1</v>
      </c>
      <c r="DU541">
        <f>HYPERLINK("http://exon.niaid.nih.gov/transcriptome/C_felis/S1/links/cluster/cf-5-36-asb50-50-Id-CLTL1.txt", 8)</f>
        <v>8</v>
      </c>
      <c r="DV541" s="4">
        <f>HYPERLINK("http://exon.niaid.nih.gov/transcriptome/C_felis/S1/links/cluster/cf-5-36-asb55-50-Id-CLU5.txt", 5)</f>
        <v>5</v>
      </c>
      <c r="DW541">
        <f>HYPERLINK("http://exon.niaid.nih.gov/transcriptome/C_felis/S1/links/cluster/cf-5-36-asb55-50-Id-CLTL5.txt", 3)</f>
        <v>3</v>
      </c>
      <c r="DX541" s="4">
        <f>HYPERLINK("http://exon.niaid.nih.gov/transcriptome/C_felis/S1/links/cluster/cf-5-36-asb60-50-Id-CLU3.txt", 3)</f>
        <v>3</v>
      </c>
      <c r="DY541">
        <f>HYPERLINK("http://exon.niaid.nih.gov/transcriptome/C_felis/S1/links/cluster/cf-5-36-asb60-50-Id-CLTL3.txt", 3)</f>
        <v>3</v>
      </c>
      <c r="DZ541" s="4">
        <v>44</v>
      </c>
      <c r="EA541">
        <v>1</v>
      </c>
      <c r="EB541" s="4">
        <v>38</v>
      </c>
      <c r="EC541">
        <v>1</v>
      </c>
      <c r="ED541" s="4">
        <v>36</v>
      </c>
      <c r="EE541">
        <v>1</v>
      </c>
      <c r="EF541" s="4">
        <v>30</v>
      </c>
      <c r="EG541">
        <v>1</v>
      </c>
      <c r="EH541" s="4">
        <v>18</v>
      </c>
      <c r="EI541">
        <v>1</v>
      </c>
      <c r="EJ541" s="4">
        <v>11</v>
      </c>
      <c r="EK541">
        <v>1</v>
      </c>
    </row>
    <row r="542" spans="1:141" x14ac:dyDescent="0.2">
      <c r="A542" t="str">
        <f>HYPERLINK("http://exon.niaid.nih.gov/transcriptome/C_felis/S1/links/cf/cf-contig_304.txt","cf-contig_304")</f>
        <v>cf-contig_304</v>
      </c>
      <c r="B542">
        <v>1</v>
      </c>
      <c r="C542" s="10" t="s">
        <v>4600</v>
      </c>
      <c r="D542">
        <v>1</v>
      </c>
      <c r="E542" t="str">
        <f>HYPERLINK("http://exon.niaid.nih.gov/transcriptome/C_felis/S1/links/cf/cf-5-36-asb-304.txt","Contig-304")</f>
        <v>Contig-304</v>
      </c>
      <c r="F542" t="str">
        <f>HYPERLINK("http://exon.niaid.nih.gov/transcriptome/C_felis/S1/links/cf/cf-5-36-304-CLU.txt","Contig304")</f>
        <v>Contig304</v>
      </c>
      <c r="G542" t="str">
        <f>HYPERLINK("http://exon.niaid.nih.gov/transcriptome/C_felis/S1/links/cf/cf-5-36-304-qual.txt","53.8")</f>
        <v>53.8</v>
      </c>
      <c r="H542" t="s">
        <v>11</v>
      </c>
      <c r="I542">
        <v>79.099999999999994</v>
      </c>
      <c r="J542">
        <v>211</v>
      </c>
      <c r="K542" t="s">
        <v>12</v>
      </c>
      <c r="L542">
        <v>1</v>
      </c>
      <c r="M542" t="s">
        <v>317</v>
      </c>
      <c r="N542">
        <v>211</v>
      </c>
      <c r="O542">
        <v>230</v>
      </c>
      <c r="P542">
        <v>69</v>
      </c>
      <c r="Q542" t="s">
        <v>1124</v>
      </c>
      <c r="R542">
        <v>2</v>
      </c>
      <c r="S542" s="7" t="s">
        <v>4585</v>
      </c>
      <c r="U542">
        <v>1</v>
      </c>
      <c r="V542" s="4">
        <v>245</v>
      </c>
      <c r="W542">
        <v>1</v>
      </c>
      <c r="X542" s="4">
        <v>250</v>
      </c>
      <c r="Y542">
        <v>1</v>
      </c>
      <c r="Z542" s="4">
        <v>249</v>
      </c>
      <c r="AA542">
        <v>1</v>
      </c>
      <c r="AB542" s="4" t="str">
        <f>HYPERLINK("http://exon.niaid.nih.gov/transcriptome/C_felis/S1/links/XC-ASB/cf-contig_304-XC-ASB.txt","XC-contig_44")</f>
        <v>XC-contig_44</v>
      </c>
      <c r="AC542">
        <v>5.0999999999999997E-2</v>
      </c>
      <c r="AD542" s="10" t="s">
        <v>4600</v>
      </c>
      <c r="AE542" t="s">
        <v>4601</v>
      </c>
      <c r="AI542" s="4" t="str">
        <f>HYPERLINK("http://exon.niaid.nih.gov/transcriptome/C_felis/S1/links/NR/cf-contig_304-NR.txt","multidrug resistance ABC transporter ATP-binding and permease protein")</f>
        <v>multidrug resistance ABC transporter ATP-binding and permease protein</v>
      </c>
      <c r="AJ542" t="str">
        <f>HYPERLINK("http://www.ncbi.nlm.nih.gov/sutils/blink.cgi?pid=85057309","21")</f>
        <v>21</v>
      </c>
      <c r="AK542" t="str">
        <f>HYPERLINK("http://www.ncbi.nlm.nih.gov/protein/85057309","gi|85057309")</f>
        <v>gi|85057309</v>
      </c>
      <c r="AL542">
        <v>32.700000000000003</v>
      </c>
      <c r="AM542">
        <v>49</v>
      </c>
      <c r="AN542">
        <v>614</v>
      </c>
      <c r="AO542">
        <v>38</v>
      </c>
      <c r="AP542">
        <v>8</v>
      </c>
      <c r="AQ542">
        <v>36</v>
      </c>
      <c r="AR542">
        <v>1</v>
      </c>
      <c r="AS542">
        <v>64</v>
      </c>
      <c r="AT542">
        <v>32</v>
      </c>
      <c r="AU542">
        <v>1</v>
      </c>
      <c r="AV542">
        <v>-2</v>
      </c>
      <c r="AW542" t="s">
        <v>12</v>
      </c>
      <c r="AX542">
        <v>8.1630000000000003</v>
      </c>
      <c r="AY542" t="s">
        <v>1666</v>
      </c>
      <c r="AZ542" t="s">
        <v>2740</v>
      </c>
      <c r="BA542" s="4" t="str">
        <f>HYPERLINK("http://exon.niaid.nih.gov/transcriptome/C_felis/S1/links/SWISSP/cf-contig_304-SWISSP.txt","Serpentine receptor class gamma-3")</f>
        <v>Serpentine receptor class gamma-3</v>
      </c>
      <c r="BB542" t="str">
        <f>HYPERLINK("http://www.uniprot.org/uniprot/P46572","31")</f>
        <v>31</v>
      </c>
      <c r="BC542" t="s">
        <v>2741</v>
      </c>
      <c r="BD542">
        <v>27.3</v>
      </c>
      <c r="BE542">
        <v>29</v>
      </c>
      <c r="BF542">
        <v>332</v>
      </c>
      <c r="BG542">
        <v>43</v>
      </c>
      <c r="BH542">
        <v>9</v>
      </c>
      <c r="BI542">
        <v>17</v>
      </c>
      <c r="BJ542">
        <v>0</v>
      </c>
      <c r="BK542">
        <v>10</v>
      </c>
      <c r="BL542">
        <v>39</v>
      </c>
      <c r="BM542">
        <v>1</v>
      </c>
      <c r="BN542">
        <v>-1</v>
      </c>
      <c r="BO542" t="s">
        <v>12</v>
      </c>
      <c r="BP542">
        <v>3.448</v>
      </c>
      <c r="BQ542" t="s">
        <v>1666</v>
      </c>
      <c r="BR542" t="s">
        <v>1735</v>
      </c>
      <c r="BS542" s="4" t="str">
        <f>HYPERLINK("http://exon.niaid.nih.gov/transcriptome/C_felis/S1/links/CDD/cf-contig_304-CDD.txt","ubiA")</f>
        <v>ubiA</v>
      </c>
      <c r="BT542" t="str">
        <f>HYPERLINK("http://www.ncbi.nlm.nih.gov/Structure/cdd/cddsrv.cgi?uid=PRK12847&amp;version=v4.0","0.21")</f>
        <v>0.21</v>
      </c>
      <c r="BU542" t="s">
        <v>2742</v>
      </c>
      <c r="BV542" s="4" t="s">
        <v>42</v>
      </c>
      <c r="BW542" t="s">
        <v>42</v>
      </c>
      <c r="BX542" t="s">
        <v>42</v>
      </c>
      <c r="BY542" t="s">
        <v>42</v>
      </c>
      <c r="BZ542" t="s">
        <v>42</v>
      </c>
      <c r="CA542" t="s">
        <v>42</v>
      </c>
      <c r="CB542" t="s">
        <v>42</v>
      </c>
      <c r="CC542" t="s">
        <v>42</v>
      </c>
      <c r="CD542" t="s">
        <v>42</v>
      </c>
      <c r="CE542" t="s">
        <v>42</v>
      </c>
      <c r="CF542" t="s">
        <v>42</v>
      </c>
      <c r="CG542" t="s">
        <v>42</v>
      </c>
      <c r="CH542" t="s">
        <v>42</v>
      </c>
      <c r="CI542" t="s">
        <v>42</v>
      </c>
      <c r="CJ542" t="s">
        <v>42</v>
      </c>
      <c r="CK542" t="s">
        <v>42</v>
      </c>
      <c r="CL542" t="s">
        <v>42</v>
      </c>
      <c r="CM542" t="s">
        <v>42</v>
      </c>
      <c r="CN542" t="s">
        <v>42</v>
      </c>
      <c r="CO542" t="s">
        <v>42</v>
      </c>
      <c r="CP542" t="s">
        <v>42</v>
      </c>
      <c r="CQ542" t="s">
        <v>42</v>
      </c>
      <c r="CR542" t="s">
        <v>42</v>
      </c>
      <c r="CS542" s="4" t="str">
        <f>HYPERLINK("http://exon.niaid.nih.gov/transcriptome/C_felis/S1/links/KOG/cf-contig_304-KOG.txt","Acyltransferase required for palmitoylation of Hedgehog (Hh) family of secreted signaling proteins")</f>
        <v>Acyltransferase required for palmitoylation of Hedgehog (Hh) family of secreted signaling proteins</v>
      </c>
      <c r="CT542" t="str">
        <f>HYPERLINK("http://www.ncbi.nlm.nih.gov/COG/grace/shokog.cgi?KOG3860","1.7")</f>
        <v>1.7</v>
      </c>
      <c r="CU542" t="s">
        <v>1780</v>
      </c>
      <c r="CV542" s="4" t="str">
        <f>HYPERLINK("http://exon.niaid.nih.gov/transcriptome/C_felis/S1/links/PFAM/cf-contig_304-PFAM.txt","UPF0220")</f>
        <v>UPF0220</v>
      </c>
      <c r="CW542" t="str">
        <f>HYPERLINK("http://pfam.sanger.ac.uk/family?acc=PF05255","0.15")</f>
        <v>0.15</v>
      </c>
      <c r="CX542" s="4" t="str">
        <f>HYPERLINK("http://exon.niaid.nih.gov/transcriptome/C_felis/S1/links/SMART/cf-contig_304-SMART.txt","TLC")</f>
        <v>TLC</v>
      </c>
      <c r="CY542" t="str">
        <f>HYPERLINK("http://smart.embl-heidelberg.de/smart/do_annotation.pl?DOMAIN=TLC&amp;BLAST=DUMMY","0.15")</f>
        <v>0.15</v>
      </c>
      <c r="CZ542" s="4" t="s">
        <v>42</v>
      </c>
      <c r="DA542" t="s">
        <v>42</v>
      </c>
      <c r="DB542" t="s">
        <v>42</v>
      </c>
      <c r="DC542" t="s">
        <v>42</v>
      </c>
      <c r="DD542" t="s">
        <v>42</v>
      </c>
      <c r="DE542" t="s">
        <v>42</v>
      </c>
      <c r="DF542" t="s">
        <v>42</v>
      </c>
      <c r="DG542" t="s">
        <v>42</v>
      </c>
      <c r="DH542" s="4" t="s">
        <v>42</v>
      </c>
      <c r="DI542" t="s">
        <v>42</v>
      </c>
      <c r="DJ542" s="4" t="s">
        <v>42</v>
      </c>
      <c r="DK542" t="s">
        <v>42</v>
      </c>
      <c r="DL542" s="4">
        <v>245</v>
      </c>
      <c r="DM542">
        <v>1</v>
      </c>
      <c r="DN542" s="4">
        <v>250</v>
      </c>
      <c r="DO542">
        <v>1</v>
      </c>
      <c r="DP542" s="4">
        <v>249</v>
      </c>
      <c r="DQ542">
        <v>1</v>
      </c>
      <c r="DR542" s="4">
        <v>258</v>
      </c>
      <c r="DS542">
        <v>1</v>
      </c>
      <c r="DT542" s="4">
        <v>266</v>
      </c>
      <c r="DU542">
        <v>1</v>
      </c>
      <c r="DV542" s="4">
        <v>278</v>
      </c>
      <c r="DW542">
        <v>1</v>
      </c>
      <c r="DX542" s="4">
        <v>280</v>
      </c>
      <c r="DY542">
        <v>1</v>
      </c>
      <c r="DZ542" s="4">
        <v>285</v>
      </c>
      <c r="EA542">
        <v>1</v>
      </c>
      <c r="EB542" s="4">
        <v>290</v>
      </c>
      <c r="EC542">
        <v>1</v>
      </c>
      <c r="ED542" s="4">
        <v>293</v>
      </c>
      <c r="EE542">
        <v>1</v>
      </c>
      <c r="EF542" s="4">
        <v>297</v>
      </c>
      <c r="EG542">
        <v>1</v>
      </c>
      <c r="EH542" s="4">
        <v>299</v>
      </c>
      <c r="EI542">
        <v>1</v>
      </c>
      <c r="EJ542" s="4">
        <v>304</v>
      </c>
      <c r="EK542">
        <v>1</v>
      </c>
    </row>
    <row r="543" spans="1:141" x14ac:dyDescent="0.2">
      <c r="A543" t="str">
        <f>HYPERLINK("http://exon.niaid.nih.gov/transcriptome/C_felis/S1/links/cf/cf-contig_316.txt","cf-contig_316")</f>
        <v>cf-contig_316</v>
      </c>
      <c r="B543">
        <v>1</v>
      </c>
      <c r="C543" s="10" t="s">
        <v>4600</v>
      </c>
      <c r="D543">
        <v>1</v>
      </c>
      <c r="E543" t="str">
        <f>HYPERLINK("http://exon.niaid.nih.gov/transcriptome/C_felis/S1/links/cf/cf-5-36-asb-316.txt","Contig-316")</f>
        <v>Contig-316</v>
      </c>
      <c r="F543" t="str">
        <f>HYPERLINK("http://exon.niaid.nih.gov/transcriptome/C_felis/S1/links/cf/cf-5-36-316-CLU.txt","Contig316")</f>
        <v>Contig316</v>
      </c>
      <c r="G543" t="str">
        <f>HYPERLINK("http://exon.niaid.nih.gov/transcriptome/C_felis/S1/links/cf/cf-5-36-316-qual.txt","39.1")</f>
        <v>39.1</v>
      </c>
      <c r="H543" t="s">
        <v>11</v>
      </c>
      <c r="I543">
        <v>71.599999999999994</v>
      </c>
      <c r="J543">
        <v>658</v>
      </c>
      <c r="K543" t="s">
        <v>12</v>
      </c>
      <c r="L543">
        <v>1</v>
      </c>
      <c r="M543" t="s">
        <v>329</v>
      </c>
      <c r="N543">
        <v>658</v>
      </c>
      <c r="O543">
        <v>677</v>
      </c>
      <c r="P543">
        <v>165</v>
      </c>
      <c r="Q543" t="s">
        <v>1136</v>
      </c>
      <c r="R543">
        <v>1</v>
      </c>
      <c r="S543" s="7" t="s">
        <v>4585</v>
      </c>
      <c r="U543">
        <v>1</v>
      </c>
      <c r="V543" s="4">
        <v>255</v>
      </c>
      <c r="W543">
        <v>1</v>
      </c>
      <c r="X543" s="4">
        <v>260</v>
      </c>
      <c r="Y543">
        <v>1</v>
      </c>
      <c r="Z543" s="4">
        <v>259</v>
      </c>
      <c r="AA543">
        <v>1</v>
      </c>
      <c r="AB543" s="4" t="str">
        <f>HYPERLINK("http://exon.niaid.nih.gov/transcriptome/C_felis/S1/links/XC-ASB/cf-contig_316-XC-ASB.txt","XC-contig_193")</f>
        <v>XC-contig_193</v>
      </c>
      <c r="AC543">
        <v>2.0000000000000002E-5</v>
      </c>
      <c r="AD543" s="10" t="s">
        <v>4600</v>
      </c>
      <c r="AE543" t="s">
        <v>4601</v>
      </c>
      <c r="AI543" s="4" t="str">
        <f>HYPERLINK("http://exon.niaid.nih.gov/transcriptome/C_felis/S1/links/NR/cf-contig_316-NR.txt","cytochrome oxidase subunit II")</f>
        <v>cytochrome oxidase subunit II</v>
      </c>
      <c r="AJ543" t="str">
        <f>HYPERLINK("http://www.ncbi.nlm.nih.gov/sutils/blink.cgi?pid=184186874","0.50")</f>
        <v>0.50</v>
      </c>
      <c r="AK543" t="str">
        <f>HYPERLINK("http://www.ncbi.nlm.nih.gov/protein/184186874","gi|184186874")</f>
        <v>gi|184186874</v>
      </c>
      <c r="AL543">
        <v>39.299999999999997</v>
      </c>
      <c r="AM543">
        <v>50</v>
      </c>
      <c r="AN543">
        <v>179</v>
      </c>
      <c r="AO543">
        <v>37</v>
      </c>
      <c r="AP543">
        <v>28</v>
      </c>
      <c r="AQ543">
        <v>32</v>
      </c>
      <c r="AR543">
        <v>2</v>
      </c>
      <c r="AS543">
        <v>23</v>
      </c>
      <c r="AT543">
        <v>312</v>
      </c>
      <c r="AU543">
        <v>1</v>
      </c>
      <c r="AV543">
        <v>-1</v>
      </c>
      <c r="AW543" t="s">
        <v>12</v>
      </c>
      <c r="AY543" t="s">
        <v>1666</v>
      </c>
      <c r="AZ543" t="s">
        <v>2806</v>
      </c>
      <c r="BA543" s="4" t="str">
        <f>HYPERLINK("http://exon.niaid.nih.gov/transcriptome/C_felis/S1/links/SWISSP/cf-contig_316-SWISSP.txt","Apicoplast 30S ribosomal protein S4")</f>
        <v>Apicoplast 30S ribosomal protein S4</v>
      </c>
      <c r="BB543" t="str">
        <f>HYPERLINK("http://www.uniprot.org/uniprot/Q7YN81","0.20")</f>
        <v>0.20</v>
      </c>
      <c r="BC543" t="s">
        <v>2807</v>
      </c>
      <c r="BD543">
        <v>36.200000000000003</v>
      </c>
      <c r="BE543">
        <v>54</v>
      </c>
      <c r="BF543">
        <v>200</v>
      </c>
      <c r="BG543">
        <v>32</v>
      </c>
      <c r="BH543">
        <v>28</v>
      </c>
      <c r="BI543">
        <v>37</v>
      </c>
      <c r="BJ543">
        <v>0</v>
      </c>
      <c r="BK543">
        <v>39</v>
      </c>
      <c r="BL543">
        <v>460</v>
      </c>
      <c r="BM543">
        <v>1</v>
      </c>
      <c r="BN543">
        <v>1</v>
      </c>
      <c r="BO543" t="s">
        <v>12</v>
      </c>
      <c r="BP543">
        <v>3.7040000000000002</v>
      </c>
      <c r="BQ543" t="s">
        <v>1676</v>
      </c>
      <c r="BR543" t="s">
        <v>2299</v>
      </c>
      <c r="BS543" s="4" t="str">
        <f>HYPERLINK("http://exon.niaid.nih.gov/transcriptome/C_felis/S1/links/CDD/cf-contig_316-CDD.txt","ND6")</f>
        <v>ND6</v>
      </c>
      <c r="BT543" t="str">
        <f>HYPERLINK("http://www.ncbi.nlm.nih.gov/Structure/cdd/cddsrv.cgi?uid=MTH00166&amp;version=v4.0","4E-004")</f>
        <v>4E-004</v>
      </c>
      <c r="BU543" t="s">
        <v>2808</v>
      </c>
      <c r="BV543" s="4" t="s">
        <v>42</v>
      </c>
      <c r="BW543" t="s">
        <v>42</v>
      </c>
      <c r="BX543" t="s">
        <v>42</v>
      </c>
      <c r="BY543" t="s">
        <v>42</v>
      </c>
      <c r="BZ543" t="s">
        <v>42</v>
      </c>
      <c r="CA543" t="s">
        <v>42</v>
      </c>
      <c r="CB543" t="s">
        <v>42</v>
      </c>
      <c r="CC543" t="s">
        <v>42</v>
      </c>
      <c r="CD543" t="s">
        <v>42</v>
      </c>
      <c r="CE543" t="s">
        <v>42</v>
      </c>
      <c r="CF543" t="s">
        <v>42</v>
      </c>
      <c r="CG543" t="s">
        <v>42</v>
      </c>
      <c r="CH543" t="s">
        <v>42</v>
      </c>
      <c r="CI543" t="s">
        <v>42</v>
      </c>
      <c r="CJ543" t="s">
        <v>42</v>
      </c>
      <c r="CK543" t="s">
        <v>42</v>
      </c>
      <c r="CL543" t="s">
        <v>42</v>
      </c>
      <c r="CM543" t="s">
        <v>42</v>
      </c>
      <c r="CN543" t="s">
        <v>42</v>
      </c>
      <c r="CO543" t="s">
        <v>42</v>
      </c>
      <c r="CP543" t="s">
        <v>42</v>
      </c>
      <c r="CQ543" t="s">
        <v>42</v>
      </c>
      <c r="CR543" t="s">
        <v>42</v>
      </c>
      <c r="CS543" s="4" t="str">
        <f>HYPERLINK("http://exon.niaid.nih.gov/transcriptome/C_felis/S1/links/KOG/cf-contig_316-KOG.txt","Transcription factor TCF20")</f>
        <v>Transcription factor TCF20</v>
      </c>
      <c r="CT543" t="str">
        <f>HYPERLINK("http://www.ncbi.nlm.nih.gov/COG/grace/shokog.cgi?KOG1084","0.59")</f>
        <v>0.59</v>
      </c>
      <c r="CU543" t="s">
        <v>1692</v>
      </c>
      <c r="CV543" s="4" t="str">
        <f>HYPERLINK("http://exon.niaid.nih.gov/transcriptome/C_felis/S1/links/PFAM/cf-contig_316-PFAM.txt","7TM_GPCR_Srz")</f>
        <v>7TM_GPCR_Srz</v>
      </c>
      <c r="CW543" t="str">
        <f>HYPERLINK("http://pfam.sanger.ac.uk/family?acc=PF10325","0.006")</f>
        <v>0.006</v>
      </c>
      <c r="CX543" s="4" t="str">
        <f>HYPERLINK("http://exon.niaid.nih.gov/transcriptome/C_felis/S1/links/SMART/cf-contig_316-SMART.txt","TLC")</f>
        <v>TLC</v>
      </c>
      <c r="CY543" t="str">
        <f>HYPERLINK("http://smart.embl-heidelberg.de/smart/do_annotation.pl?DOMAIN=TLC&amp;BLAST=DUMMY","0.013")</f>
        <v>0.013</v>
      </c>
      <c r="CZ543" s="4" t="s">
        <v>42</v>
      </c>
      <c r="DA543" t="s">
        <v>42</v>
      </c>
      <c r="DB543" t="s">
        <v>42</v>
      </c>
      <c r="DC543" t="s">
        <v>42</v>
      </c>
      <c r="DD543" t="s">
        <v>42</v>
      </c>
      <c r="DE543" t="s">
        <v>42</v>
      </c>
      <c r="DF543" t="s">
        <v>42</v>
      </c>
      <c r="DG543" t="s">
        <v>42</v>
      </c>
      <c r="DH543" s="4" t="s">
        <v>42</v>
      </c>
      <c r="DI543" t="s">
        <v>42</v>
      </c>
      <c r="DJ543" s="4" t="s">
        <v>42</v>
      </c>
      <c r="DK543" t="s">
        <v>42</v>
      </c>
      <c r="DL543" s="4">
        <v>255</v>
      </c>
      <c r="DM543">
        <v>1</v>
      </c>
      <c r="DN543" s="4">
        <v>260</v>
      </c>
      <c r="DO543">
        <v>1</v>
      </c>
      <c r="DP543" s="4">
        <v>259</v>
      </c>
      <c r="DQ543">
        <v>1</v>
      </c>
      <c r="DR543" s="4">
        <v>268</v>
      </c>
      <c r="DS543">
        <v>1</v>
      </c>
      <c r="DT543" s="4">
        <v>278</v>
      </c>
      <c r="DU543">
        <v>1</v>
      </c>
      <c r="DV543" s="4">
        <v>290</v>
      </c>
      <c r="DW543">
        <v>1</v>
      </c>
      <c r="DX543" s="4">
        <v>292</v>
      </c>
      <c r="DY543">
        <v>1</v>
      </c>
      <c r="DZ543" s="4">
        <v>297</v>
      </c>
      <c r="EA543">
        <v>1</v>
      </c>
      <c r="EB543" s="4">
        <v>302</v>
      </c>
      <c r="EC543">
        <v>1</v>
      </c>
      <c r="ED543" s="4">
        <v>305</v>
      </c>
      <c r="EE543">
        <v>1</v>
      </c>
      <c r="EF543" s="4">
        <v>309</v>
      </c>
      <c r="EG543">
        <v>1</v>
      </c>
      <c r="EH543" s="4">
        <v>311</v>
      </c>
      <c r="EI543">
        <v>1</v>
      </c>
      <c r="EJ543" s="4">
        <v>316</v>
      </c>
      <c r="EK543">
        <v>1</v>
      </c>
    </row>
    <row r="544" spans="1:141" x14ac:dyDescent="0.2">
      <c r="A544" t="str">
        <f>HYPERLINK("http://exon.niaid.nih.gov/transcriptome/C_felis/S1/links/cf/cf-contig_497.txt","cf-contig_497")</f>
        <v>cf-contig_497</v>
      </c>
      <c r="B544">
        <v>1</v>
      </c>
      <c r="C544" s="10" t="s">
        <v>4600</v>
      </c>
      <c r="D544">
        <v>1</v>
      </c>
      <c r="E544" t="str">
        <f>HYPERLINK("http://exon.niaid.nih.gov/transcriptome/C_felis/S1/links/cf/cf-5-36-asb-497.txt","Contig-497")</f>
        <v>Contig-497</v>
      </c>
      <c r="F544" t="str">
        <f>HYPERLINK("http://exon.niaid.nih.gov/transcriptome/C_felis/S1/links/cf/cf-5-36-497-CLU.txt","Contig497")</f>
        <v>Contig497</v>
      </c>
      <c r="G544" t="str">
        <f>HYPERLINK("http://exon.niaid.nih.gov/transcriptome/C_felis/S1/links/cf/cf-5-36-497-qual.txt","45.9")</f>
        <v>45.9</v>
      </c>
      <c r="H544">
        <v>0.4</v>
      </c>
      <c r="I544">
        <v>79</v>
      </c>
      <c r="J544">
        <v>219</v>
      </c>
      <c r="K544" t="s">
        <v>12</v>
      </c>
      <c r="L544">
        <v>1</v>
      </c>
      <c r="M544" t="s">
        <v>510</v>
      </c>
      <c r="N544">
        <v>219</v>
      </c>
      <c r="O544">
        <v>238</v>
      </c>
      <c r="P544">
        <v>87</v>
      </c>
      <c r="Q544" t="s">
        <v>1316</v>
      </c>
      <c r="R544">
        <v>3</v>
      </c>
      <c r="S544" s="7" t="s">
        <v>4585</v>
      </c>
      <c r="U544">
        <v>1</v>
      </c>
      <c r="V544" s="4">
        <v>405</v>
      </c>
      <c r="W544">
        <v>1</v>
      </c>
      <c r="X544" s="4">
        <v>414</v>
      </c>
      <c r="Y544">
        <v>1</v>
      </c>
      <c r="Z544" s="4">
        <v>419</v>
      </c>
      <c r="AA544">
        <v>1</v>
      </c>
      <c r="AB544" s="4" t="str">
        <f>HYPERLINK("http://exon.niaid.nih.gov/transcriptome/C_felis/S1/links/XC-ASB/cf-contig_497-XC-ASB.txt","XC-contig_209")</f>
        <v>XC-contig_209</v>
      </c>
      <c r="AC544">
        <v>2.9000000000000001E-2</v>
      </c>
      <c r="AD544" s="10" t="s">
        <v>4600</v>
      </c>
      <c r="AE544" t="s">
        <v>4601</v>
      </c>
      <c r="AI544" s="4" t="str">
        <f>HYPERLINK("http://exon.niaid.nih.gov/transcriptome/C_felis/S1/links/NR/cf-contig_497-NR.txt","NADH dehydrogenase subunit 3")</f>
        <v>NADH dehydrogenase subunit 3</v>
      </c>
      <c r="AJ544" t="str">
        <f>HYPERLINK("http://www.ncbi.nlm.nih.gov/sutils/blink.cgi?pid=42780825","16")</f>
        <v>16</v>
      </c>
      <c r="AK544" t="str">
        <f>HYPERLINK("http://www.ncbi.nlm.nih.gov/protein/42780825","gi|42780825")</f>
        <v>gi|42780825</v>
      </c>
      <c r="AL544">
        <v>33.1</v>
      </c>
      <c r="AM544">
        <v>26</v>
      </c>
      <c r="AN544">
        <v>103</v>
      </c>
      <c r="AO544">
        <v>53</v>
      </c>
      <c r="AP544">
        <v>26</v>
      </c>
      <c r="AQ544">
        <v>13</v>
      </c>
      <c r="AR544">
        <v>0</v>
      </c>
      <c r="AS544">
        <v>40</v>
      </c>
      <c r="AT544">
        <v>75</v>
      </c>
      <c r="AU544">
        <v>1</v>
      </c>
      <c r="AV544">
        <v>3</v>
      </c>
      <c r="AW544" t="s">
        <v>12</v>
      </c>
      <c r="AX544">
        <v>3.8460000000000001</v>
      </c>
      <c r="AY544" t="s">
        <v>1676</v>
      </c>
      <c r="AZ544" t="s">
        <v>3474</v>
      </c>
      <c r="BA544" s="4" t="str">
        <f>HYPERLINK("http://exon.niaid.nih.gov/transcriptome/C_felis/S1/links/SWISSP/cf-contig_497-SWISSP.txt","Putative uncharacterized protein YLL047W")</f>
        <v>Putative uncharacterized protein YLL047W</v>
      </c>
      <c r="BB544" t="str">
        <f>HYPERLINK("http://www.uniprot.org/uniprot/Q07881","31")</f>
        <v>31</v>
      </c>
      <c r="BC544" t="s">
        <v>3475</v>
      </c>
      <c r="BD544">
        <v>27.3</v>
      </c>
      <c r="BE544">
        <v>22</v>
      </c>
      <c r="BF544">
        <v>127</v>
      </c>
      <c r="BG544">
        <v>52</v>
      </c>
      <c r="BH544">
        <v>18</v>
      </c>
      <c r="BI544">
        <v>11</v>
      </c>
      <c r="BJ544">
        <v>0</v>
      </c>
      <c r="BK544">
        <v>11</v>
      </c>
      <c r="BL544">
        <v>94</v>
      </c>
      <c r="BM544">
        <v>1</v>
      </c>
      <c r="BN544">
        <v>1</v>
      </c>
      <c r="BO544" t="s">
        <v>12</v>
      </c>
      <c r="BP544">
        <v>4.5449999999999999</v>
      </c>
      <c r="BQ544" t="s">
        <v>1676</v>
      </c>
      <c r="BR544" t="s">
        <v>1796</v>
      </c>
      <c r="BS544" s="4" t="str">
        <f>HYPERLINK("http://exon.niaid.nih.gov/transcriptome/C_felis/S1/links/CDD/cf-contig_497-CDD.txt","COX3")</f>
        <v>COX3</v>
      </c>
      <c r="BT544" t="str">
        <f>HYPERLINK("http://www.ncbi.nlm.nih.gov/Structure/cdd/cddsrv.cgi?uid=MTH00049&amp;version=v4.0","0.072")</f>
        <v>0.072</v>
      </c>
      <c r="BU544" t="s">
        <v>3476</v>
      </c>
      <c r="BV544" s="4" t="s">
        <v>42</v>
      </c>
      <c r="BW544" t="s">
        <v>42</v>
      </c>
      <c r="BX544" t="s">
        <v>42</v>
      </c>
      <c r="BY544" t="s">
        <v>42</v>
      </c>
      <c r="BZ544" t="s">
        <v>42</v>
      </c>
      <c r="CA544" t="s">
        <v>42</v>
      </c>
      <c r="CB544" t="s">
        <v>42</v>
      </c>
      <c r="CC544" t="s">
        <v>42</v>
      </c>
      <c r="CD544" t="s">
        <v>42</v>
      </c>
      <c r="CE544" t="s">
        <v>42</v>
      </c>
      <c r="CF544" t="s">
        <v>42</v>
      </c>
      <c r="CG544" t="s">
        <v>42</v>
      </c>
      <c r="CH544" t="s">
        <v>42</v>
      </c>
      <c r="CI544" t="s">
        <v>42</v>
      </c>
      <c r="CJ544" t="s">
        <v>42</v>
      </c>
      <c r="CK544" t="s">
        <v>42</v>
      </c>
      <c r="CL544" t="s">
        <v>42</v>
      </c>
      <c r="CM544" t="s">
        <v>42</v>
      </c>
      <c r="CN544" t="s">
        <v>42</v>
      </c>
      <c r="CO544" t="s">
        <v>42</v>
      </c>
      <c r="CP544" t="s">
        <v>42</v>
      </c>
      <c r="CQ544" t="s">
        <v>42</v>
      </c>
      <c r="CR544" t="s">
        <v>42</v>
      </c>
      <c r="CS544" s="4" t="str">
        <f>HYPERLINK("http://exon.niaid.nih.gov/transcriptome/C_felis/S1/links/KOG/cf-contig_497-KOG.txt","Predicted small molecule transporter")</f>
        <v>Predicted small molecule transporter</v>
      </c>
      <c r="CT544" t="str">
        <f>HYPERLINK("http://www.ncbi.nlm.nih.gov/COG/grace/shokog.cgi?KOG1162","1.4")</f>
        <v>1.4</v>
      </c>
      <c r="CU544" t="s">
        <v>1686</v>
      </c>
      <c r="CV544" s="4" t="str">
        <f>HYPERLINK("http://exon.niaid.nih.gov/transcriptome/C_felis/S1/links/PFAM/cf-contig_497-PFAM.txt","NS3_envE")</f>
        <v>NS3_envE</v>
      </c>
      <c r="CW544" t="str">
        <f>HYPERLINK("http://pfam.sanger.ac.uk/family?acc=PF02723","0.21")</f>
        <v>0.21</v>
      </c>
      <c r="CX544" s="4" t="str">
        <f>HYPERLINK("http://exon.niaid.nih.gov/transcriptome/C_felis/S1/links/SMART/cf-contig_497-SMART.txt","AgrB")</f>
        <v>AgrB</v>
      </c>
      <c r="CY544" t="str">
        <f>HYPERLINK("http://smart.embl-heidelberg.de/smart/do_annotation.pl?DOMAIN=AgrB&amp;BLAST=DUMMY","0.048")</f>
        <v>0.048</v>
      </c>
      <c r="CZ544" s="4" t="s">
        <v>42</v>
      </c>
      <c r="DA544" t="s">
        <v>42</v>
      </c>
      <c r="DB544" t="s">
        <v>42</v>
      </c>
      <c r="DC544" t="s">
        <v>42</v>
      </c>
      <c r="DD544" t="s">
        <v>42</v>
      </c>
      <c r="DE544" t="s">
        <v>42</v>
      </c>
      <c r="DF544" t="s">
        <v>42</v>
      </c>
      <c r="DG544" t="s">
        <v>42</v>
      </c>
      <c r="DH544" s="4" t="s">
        <v>42</v>
      </c>
      <c r="DI544" t="s">
        <v>42</v>
      </c>
      <c r="DJ544" s="4" t="s">
        <v>42</v>
      </c>
      <c r="DK544" t="s">
        <v>42</v>
      </c>
      <c r="DL544" s="4">
        <v>405</v>
      </c>
      <c r="DM544">
        <v>1</v>
      </c>
      <c r="DN544" s="4">
        <v>414</v>
      </c>
      <c r="DO544">
        <v>1</v>
      </c>
      <c r="DP544" s="4">
        <v>419</v>
      </c>
      <c r="DQ544">
        <v>1</v>
      </c>
      <c r="DR544" s="4">
        <v>434</v>
      </c>
      <c r="DS544">
        <v>1</v>
      </c>
      <c r="DT544" s="4">
        <v>444</v>
      </c>
      <c r="DU544">
        <v>1</v>
      </c>
      <c r="DV544" s="4">
        <v>458</v>
      </c>
      <c r="DW544">
        <v>1</v>
      </c>
      <c r="DX544" s="4">
        <v>464</v>
      </c>
      <c r="DY544">
        <v>1</v>
      </c>
      <c r="DZ544" s="4">
        <v>471</v>
      </c>
      <c r="EA544">
        <v>1</v>
      </c>
      <c r="EB544" s="4">
        <v>476</v>
      </c>
      <c r="EC544">
        <v>1</v>
      </c>
      <c r="ED544" s="4">
        <v>480</v>
      </c>
      <c r="EE544">
        <v>1</v>
      </c>
      <c r="EF544" s="4">
        <v>485</v>
      </c>
      <c r="EG544">
        <v>1</v>
      </c>
      <c r="EH544" s="4">
        <v>491</v>
      </c>
      <c r="EI544">
        <v>1</v>
      </c>
      <c r="EJ544" s="4">
        <v>497</v>
      </c>
      <c r="EK544">
        <v>1</v>
      </c>
    </row>
    <row r="545" spans="1:141" x14ac:dyDescent="0.2">
      <c r="A545" t="str">
        <f>HYPERLINK("http://exon.niaid.nih.gov/transcriptome/C_felis/S1/links/cf/cf-contig_635.txt","cf-contig_635")</f>
        <v>cf-contig_635</v>
      </c>
      <c r="B545">
        <v>1</v>
      </c>
      <c r="C545" s="10" t="s">
        <v>4600</v>
      </c>
      <c r="D545">
        <v>1</v>
      </c>
      <c r="E545" t="str">
        <f>HYPERLINK("http://exon.niaid.nih.gov/transcriptome/C_felis/S1/links/cf/cf-5-36-asb-635.txt","Contig-635")</f>
        <v>Contig-635</v>
      </c>
      <c r="F545" t="str">
        <f>HYPERLINK("http://exon.niaid.nih.gov/transcriptome/C_felis/S1/links/cf/cf-5-36-635-CLU.txt","Contig635")</f>
        <v>Contig635</v>
      </c>
      <c r="G545" t="str">
        <f>HYPERLINK("http://exon.niaid.nih.gov/transcriptome/C_felis/S1/links/cf/cf-5-36-635-qual.txt","63.")</f>
        <v>63.</v>
      </c>
      <c r="H545" t="s">
        <v>11</v>
      </c>
      <c r="I545">
        <v>75.900000000000006</v>
      </c>
      <c r="J545">
        <v>768</v>
      </c>
      <c r="K545" t="s">
        <v>12</v>
      </c>
      <c r="L545">
        <v>1</v>
      </c>
      <c r="M545" t="s">
        <v>648</v>
      </c>
      <c r="N545">
        <v>768</v>
      </c>
      <c r="O545">
        <v>787</v>
      </c>
      <c r="P545">
        <v>138</v>
      </c>
      <c r="Q545" t="s">
        <v>1454</v>
      </c>
      <c r="R545">
        <v>2</v>
      </c>
      <c r="S545" s="7" t="str">
        <f>HYPERLINK("http://exon.niaid.nih.gov/transcriptome/C_felis/S1/links/Sigp/CF-CONTIG_635-SigP.txt","Cyt")</f>
        <v>Cyt</v>
      </c>
      <c r="U545">
        <v>1</v>
      </c>
      <c r="V545" s="4">
        <v>519</v>
      </c>
      <c r="W545">
        <v>1</v>
      </c>
      <c r="X545" s="4">
        <v>531</v>
      </c>
      <c r="Y545">
        <v>1</v>
      </c>
      <c r="Z545" s="4">
        <v>541</v>
      </c>
      <c r="AA545">
        <v>1</v>
      </c>
      <c r="AB545" s="4" t="str">
        <f>HYPERLINK("http://exon.niaid.nih.gov/transcriptome/C_felis/S1/links/XC-ASB/cf-contig_635-XC-ASB.txt","XC-contig_130")</f>
        <v>XC-contig_130</v>
      </c>
      <c r="AC545">
        <v>0.13</v>
      </c>
      <c r="AD545" s="10" t="s">
        <v>4600</v>
      </c>
      <c r="AE545" t="s">
        <v>4601</v>
      </c>
      <c r="AI545" s="4" t="str">
        <f>HYPERLINK("http://exon.niaid.nih.gov/transcriptome/C_felis/S1/links/NR/cf-contig_635-NR.txt","hypothetical protein HMPREF1018_01116")</f>
        <v>hypothetical protein HMPREF1018_01116</v>
      </c>
      <c r="AJ545" t="str">
        <f>HYPERLINK("http://www.ncbi.nlm.nih.gov/sutils/blink.cgi?pid=336408610","17")</f>
        <v>17</v>
      </c>
      <c r="AK545" t="str">
        <f>HYPERLINK("http://www.ncbi.nlm.nih.gov/protein/336408610","gi|336408610")</f>
        <v>gi|336408610</v>
      </c>
      <c r="AL545">
        <v>34.700000000000003</v>
      </c>
      <c r="AM545">
        <v>53</v>
      </c>
      <c r="AN545">
        <v>389</v>
      </c>
      <c r="AO545">
        <v>31</v>
      </c>
      <c r="AP545">
        <v>14</v>
      </c>
      <c r="AQ545">
        <v>37</v>
      </c>
      <c r="AR545">
        <v>0</v>
      </c>
      <c r="AS545">
        <v>334</v>
      </c>
      <c r="AT545">
        <v>26</v>
      </c>
      <c r="AU545">
        <v>1</v>
      </c>
      <c r="AV545">
        <v>2</v>
      </c>
      <c r="AW545" t="s">
        <v>12</v>
      </c>
      <c r="AX545">
        <v>1.887</v>
      </c>
      <c r="AY545" t="s">
        <v>1676</v>
      </c>
      <c r="AZ545" t="s">
        <v>4016</v>
      </c>
      <c r="BA545" s="4" t="str">
        <f>HYPERLINK("http://exon.niaid.nih.gov/transcriptome/C_felis/S1/links/SWISSP/cf-contig_635-SWISSP.txt","UPF0747 protein Aflv_1839")</f>
        <v>UPF0747 protein Aflv_1839</v>
      </c>
      <c r="BB545" t="str">
        <f>HYPERLINK("http://www.uniprot.org/uniprot/B7GGJ1","19")</f>
        <v>19</v>
      </c>
      <c r="BC545" t="s">
        <v>4017</v>
      </c>
      <c r="BD545">
        <v>30</v>
      </c>
      <c r="BE545">
        <v>65</v>
      </c>
      <c r="BF545">
        <v>536</v>
      </c>
      <c r="BG545">
        <v>27</v>
      </c>
      <c r="BH545">
        <v>12</v>
      </c>
      <c r="BI545">
        <v>48</v>
      </c>
      <c r="BJ545">
        <v>1</v>
      </c>
      <c r="BK545">
        <v>96</v>
      </c>
      <c r="BL545">
        <v>160</v>
      </c>
      <c r="BM545">
        <v>1</v>
      </c>
      <c r="BN545">
        <v>-2</v>
      </c>
      <c r="BO545" t="s">
        <v>12</v>
      </c>
      <c r="BP545">
        <v>3.077</v>
      </c>
      <c r="BQ545" t="s">
        <v>1666</v>
      </c>
      <c r="BR545" t="s">
        <v>4018</v>
      </c>
      <c r="BS545" s="4" t="str">
        <f>HYPERLINK("http://exon.niaid.nih.gov/transcriptome/C_felis/S1/links/CDD/cf-contig_635-CDD.txt","Cir_Bir_Yir")</f>
        <v>Cir_Bir_Yir</v>
      </c>
      <c r="BT545" t="str">
        <f>HYPERLINK("http://www.ncbi.nlm.nih.gov/Structure/cdd/cddsrv.cgi?uid=pfam06022&amp;version=v4.0","0.11")</f>
        <v>0.11</v>
      </c>
      <c r="BU545" t="s">
        <v>4019</v>
      </c>
      <c r="BV545" s="4" t="s">
        <v>42</v>
      </c>
      <c r="BW545" t="s">
        <v>42</v>
      </c>
      <c r="BX545" t="s">
        <v>42</v>
      </c>
      <c r="BY545" t="s">
        <v>42</v>
      </c>
      <c r="BZ545" t="s">
        <v>42</v>
      </c>
      <c r="CA545" t="s">
        <v>42</v>
      </c>
      <c r="CB545" t="s">
        <v>42</v>
      </c>
      <c r="CC545" t="s">
        <v>42</v>
      </c>
      <c r="CD545" t="s">
        <v>42</v>
      </c>
      <c r="CE545" t="s">
        <v>42</v>
      </c>
      <c r="CF545" t="s">
        <v>42</v>
      </c>
      <c r="CG545" t="s">
        <v>42</v>
      </c>
      <c r="CH545" t="s">
        <v>42</v>
      </c>
      <c r="CI545" t="s">
        <v>42</v>
      </c>
      <c r="CJ545" t="s">
        <v>42</v>
      </c>
      <c r="CK545" t="s">
        <v>42</v>
      </c>
      <c r="CL545" t="s">
        <v>42</v>
      </c>
      <c r="CM545" t="s">
        <v>42</v>
      </c>
      <c r="CN545" t="s">
        <v>42</v>
      </c>
      <c r="CO545" t="s">
        <v>42</v>
      </c>
      <c r="CP545" t="s">
        <v>42</v>
      </c>
      <c r="CQ545" t="s">
        <v>42</v>
      </c>
      <c r="CR545" t="s">
        <v>42</v>
      </c>
      <c r="CS545" s="4" t="str">
        <f>HYPERLINK("http://exon.niaid.nih.gov/transcriptome/C_felis/S1/links/KOG/cf-contig_635-KOG.txt","Ca2+-activated K+ channel Slowpoke, alpha subunit")</f>
        <v>Ca2+-activated K+ channel Slowpoke, alpha subunit</v>
      </c>
      <c r="CT545" t="str">
        <f>HYPERLINK("http://www.ncbi.nlm.nih.gov/COG/grace/shokog.cgi?KOG1420","2.7")</f>
        <v>2.7</v>
      </c>
      <c r="CU545" t="s">
        <v>1702</v>
      </c>
      <c r="CV545" s="4" t="str">
        <f>HYPERLINK("http://exon.niaid.nih.gov/transcriptome/C_felis/S1/links/PFAM/cf-contig_635-PFAM.txt","Cir_Bir_Yir")</f>
        <v>Cir_Bir_Yir</v>
      </c>
      <c r="CW545" t="str">
        <f>HYPERLINK("http://pfam.sanger.ac.uk/family?acc=PF06022","0.020")</f>
        <v>0.020</v>
      </c>
      <c r="CX545" s="4" t="str">
        <f>HYPERLINK("http://exon.niaid.nih.gov/transcriptome/C_felis/S1/links/SMART/cf-contig_635-SMART.txt","RAN")</f>
        <v>RAN</v>
      </c>
      <c r="CY545" t="str">
        <f>HYPERLINK("http://smart.embl-heidelberg.de/smart/do_annotation.pl?DOMAIN=RAN&amp;BLAST=DUMMY","0.028")</f>
        <v>0.028</v>
      </c>
      <c r="CZ545" s="4" t="s">
        <v>42</v>
      </c>
      <c r="DA545" t="s">
        <v>42</v>
      </c>
      <c r="DB545" t="s">
        <v>42</v>
      </c>
      <c r="DC545" t="s">
        <v>42</v>
      </c>
      <c r="DD545" t="s">
        <v>42</v>
      </c>
      <c r="DE545" t="s">
        <v>42</v>
      </c>
      <c r="DF545" t="s">
        <v>42</v>
      </c>
      <c r="DG545" t="s">
        <v>42</v>
      </c>
      <c r="DH545" s="4" t="s">
        <v>42</v>
      </c>
      <c r="DI545" t="s">
        <v>42</v>
      </c>
      <c r="DJ545" s="4" t="s">
        <v>42</v>
      </c>
      <c r="DK545" t="s">
        <v>42</v>
      </c>
      <c r="DL545" s="4">
        <v>519</v>
      </c>
      <c r="DM545">
        <v>1</v>
      </c>
      <c r="DN545" s="4">
        <v>531</v>
      </c>
      <c r="DO545">
        <v>1</v>
      </c>
      <c r="DP545" s="4">
        <v>541</v>
      </c>
      <c r="DQ545">
        <v>1</v>
      </c>
      <c r="DR545" s="4">
        <v>561</v>
      </c>
      <c r="DS545">
        <v>1</v>
      </c>
      <c r="DT545" s="4">
        <v>574</v>
      </c>
      <c r="DU545">
        <v>1</v>
      </c>
      <c r="DV545" s="4">
        <v>588</v>
      </c>
      <c r="DW545">
        <v>1</v>
      </c>
      <c r="DX545" s="4">
        <v>597</v>
      </c>
      <c r="DY545">
        <v>1</v>
      </c>
      <c r="DZ545" s="4">
        <v>605</v>
      </c>
      <c r="EA545">
        <v>1</v>
      </c>
      <c r="EB545" s="4">
        <v>610</v>
      </c>
      <c r="EC545">
        <v>1</v>
      </c>
      <c r="ED545" s="4">
        <v>614</v>
      </c>
      <c r="EE545">
        <v>1</v>
      </c>
      <c r="EF545" s="4">
        <v>620</v>
      </c>
      <c r="EG545">
        <v>1</v>
      </c>
      <c r="EH545" s="4">
        <v>628</v>
      </c>
      <c r="EI545">
        <v>1</v>
      </c>
      <c r="EJ545" s="4">
        <v>635</v>
      </c>
      <c r="EK545">
        <v>1</v>
      </c>
    </row>
    <row r="546" spans="1:141" x14ac:dyDescent="0.2">
      <c r="A546" t="str">
        <f>HYPERLINK("http://exon.niaid.nih.gov/transcriptome/C_felis/S1/links/cf/cf-contig_482.txt","cf-contig_482")</f>
        <v>cf-contig_482</v>
      </c>
      <c r="B546">
        <v>1</v>
      </c>
      <c r="C546" s="10" t="s">
        <v>4600</v>
      </c>
      <c r="D546">
        <v>1</v>
      </c>
      <c r="E546" t="str">
        <f>HYPERLINK("http://exon.niaid.nih.gov/transcriptome/C_felis/S1/links/cf/cf-5-36-asb-482.txt","Contig-482")</f>
        <v>Contig-482</v>
      </c>
      <c r="F546" t="str">
        <f>HYPERLINK("http://exon.niaid.nih.gov/transcriptome/C_felis/S1/links/cf/cf-5-36-482-CLU.txt","Contig482")</f>
        <v>Contig482</v>
      </c>
      <c r="G546" t="str">
        <f>HYPERLINK("http://exon.niaid.nih.gov/transcriptome/C_felis/S1/links/cf/cf-5-36-482-qual.txt","22.5")</f>
        <v>22.5</v>
      </c>
      <c r="H546" t="s">
        <v>11</v>
      </c>
      <c r="I546">
        <v>62.4</v>
      </c>
      <c r="J546">
        <v>146</v>
      </c>
      <c r="K546" t="s">
        <v>12</v>
      </c>
      <c r="L546">
        <v>1</v>
      </c>
      <c r="M546" t="s">
        <v>495</v>
      </c>
      <c r="N546">
        <v>146</v>
      </c>
      <c r="O546">
        <v>165</v>
      </c>
      <c r="P546">
        <v>126</v>
      </c>
      <c r="Q546" t="s">
        <v>1301</v>
      </c>
      <c r="R546">
        <v>3</v>
      </c>
      <c r="S546" s="7" t="s">
        <v>4585</v>
      </c>
      <c r="U546">
        <v>1</v>
      </c>
      <c r="V546" s="4">
        <v>392</v>
      </c>
      <c r="W546">
        <v>1</v>
      </c>
      <c r="X546" s="4">
        <v>401</v>
      </c>
      <c r="Y546">
        <v>1</v>
      </c>
      <c r="Z546" s="4">
        <v>406</v>
      </c>
      <c r="AA546">
        <v>1</v>
      </c>
      <c r="AB546" s="4" t="str">
        <f>HYPERLINK("http://exon.niaid.nih.gov/transcriptome/C_felis/S1/links/XC-ASB/cf-contig_482-XC-ASB.txt","XC-contig_223")</f>
        <v>XC-contig_223</v>
      </c>
      <c r="AC546">
        <v>5.0000000000000001E-3</v>
      </c>
      <c r="AD546" s="10" t="s">
        <v>4600</v>
      </c>
      <c r="AE546" t="s">
        <v>4601</v>
      </c>
      <c r="AI546" s="4" t="str">
        <f>HYPERLINK("http://exon.niaid.nih.gov/transcriptome/C_felis/S1/links/NR/cf-contig_482-NR.txt","hypothetical protein BACUNI_01069")</f>
        <v>hypothetical protein BACUNI_01069</v>
      </c>
      <c r="AJ546" t="str">
        <f>HYPERLINK("http://www.ncbi.nlm.nih.gov/sutils/blink.cgi?pid=160888652","47")</f>
        <v>47</v>
      </c>
      <c r="AK546" t="str">
        <f>HYPERLINK("http://www.ncbi.nlm.nih.gov/protein/160888652","gi|160888652")</f>
        <v>gi|160888652</v>
      </c>
      <c r="AL546">
        <v>31.6</v>
      </c>
      <c r="AM546">
        <v>22</v>
      </c>
      <c r="AN546">
        <v>984</v>
      </c>
      <c r="AO546">
        <v>52</v>
      </c>
      <c r="AP546">
        <v>2</v>
      </c>
      <c r="AQ546">
        <v>11</v>
      </c>
      <c r="AR546">
        <v>0</v>
      </c>
      <c r="AS546">
        <v>6</v>
      </c>
      <c r="AT546">
        <v>33</v>
      </c>
      <c r="AU546">
        <v>1</v>
      </c>
      <c r="AV546">
        <v>3</v>
      </c>
      <c r="AW546" t="s">
        <v>12</v>
      </c>
      <c r="AY546" t="s">
        <v>1676</v>
      </c>
      <c r="AZ546" t="s">
        <v>3422</v>
      </c>
      <c r="BA546" s="4" t="str">
        <f>HYPERLINK("http://exon.niaid.nih.gov/transcriptome/C_felis/S1/links/SWISSP/cf-contig_482-SWISSP.txt","ATP-dependent DNA helicase mph-1")</f>
        <v>ATP-dependent DNA helicase mph-1</v>
      </c>
      <c r="BB546" t="str">
        <f>HYPERLINK("http://www.uniprot.org/uniprot/Q7SDF3","6.2")</f>
        <v>6.2</v>
      </c>
      <c r="BC546" t="s">
        <v>3423</v>
      </c>
      <c r="BD546">
        <v>29.6</v>
      </c>
      <c r="BE546">
        <v>20</v>
      </c>
      <c r="BF546">
        <v>1168</v>
      </c>
      <c r="BG546">
        <v>52</v>
      </c>
      <c r="BH546">
        <v>2</v>
      </c>
      <c r="BI546">
        <v>10</v>
      </c>
      <c r="BJ546">
        <v>0</v>
      </c>
      <c r="BK546">
        <v>25</v>
      </c>
      <c r="BL546">
        <v>21</v>
      </c>
      <c r="BM546">
        <v>1</v>
      </c>
      <c r="BN546">
        <v>-2</v>
      </c>
      <c r="BO546" t="s">
        <v>12</v>
      </c>
      <c r="BQ546" t="s">
        <v>1666</v>
      </c>
      <c r="BR546" t="s">
        <v>3424</v>
      </c>
      <c r="BS546" s="4" t="str">
        <f>HYPERLINK("http://exon.niaid.nih.gov/transcriptome/C_felis/S1/links/CDD/cf-contig_482-CDD.txt","napH")</f>
        <v>napH</v>
      </c>
      <c r="BT546" t="str">
        <f>HYPERLINK("http://www.ncbi.nlm.nih.gov/Structure/cdd/cddsrv.cgi?uid=PRK09477&amp;version=v4.0","0.18")</f>
        <v>0.18</v>
      </c>
      <c r="BU546" t="s">
        <v>3425</v>
      </c>
      <c r="BV546" s="4" t="s">
        <v>42</v>
      </c>
      <c r="BW546" t="s">
        <v>42</v>
      </c>
      <c r="BX546" t="s">
        <v>42</v>
      </c>
      <c r="BY546" t="s">
        <v>42</v>
      </c>
      <c r="BZ546" t="s">
        <v>42</v>
      </c>
      <c r="CA546" t="s">
        <v>42</v>
      </c>
      <c r="CB546" t="s">
        <v>42</v>
      </c>
      <c r="CC546" t="s">
        <v>42</v>
      </c>
      <c r="CD546" t="s">
        <v>42</v>
      </c>
      <c r="CE546" t="s">
        <v>42</v>
      </c>
      <c r="CF546" t="s">
        <v>42</v>
      </c>
      <c r="CG546" t="s">
        <v>42</v>
      </c>
      <c r="CH546" t="s">
        <v>42</v>
      </c>
      <c r="CI546" t="s">
        <v>42</v>
      </c>
      <c r="CJ546" t="s">
        <v>42</v>
      </c>
      <c r="CK546" t="s">
        <v>42</v>
      </c>
      <c r="CL546" t="s">
        <v>42</v>
      </c>
      <c r="CM546" t="s">
        <v>42</v>
      </c>
      <c r="CN546" t="s">
        <v>42</v>
      </c>
      <c r="CO546" t="s">
        <v>42</v>
      </c>
      <c r="CP546" t="s">
        <v>42</v>
      </c>
      <c r="CQ546" t="s">
        <v>42</v>
      </c>
      <c r="CR546" t="s">
        <v>42</v>
      </c>
      <c r="CS546" s="4" t="str">
        <f>HYPERLINK("http://exon.niaid.nih.gov/transcriptome/C_felis/S1/links/KOG/cf-contig_482-KOG.txt","60S ribosomal protein L38")</f>
        <v>60S ribosomal protein L38</v>
      </c>
      <c r="CT546" t="str">
        <f>HYPERLINK("http://www.ncbi.nlm.nih.gov/COG/grace/shokog.cgi?KOG3499","0.49")</f>
        <v>0.49</v>
      </c>
      <c r="CU546" t="s">
        <v>1707</v>
      </c>
      <c r="CV546" s="4" t="str">
        <f>HYPERLINK("http://exon.niaid.nih.gov/transcriptome/C_felis/S1/links/PFAM/cf-contig_482-PFAM.txt","TrbL")</f>
        <v>TrbL</v>
      </c>
      <c r="CW546" t="str">
        <f>HYPERLINK("http://pfam.sanger.ac.uk/family?acc=PF04610","0.67")</f>
        <v>0.67</v>
      </c>
      <c r="CX546" s="4" t="str">
        <f>HYPERLINK("http://exon.niaid.nih.gov/transcriptome/C_felis/S1/links/SMART/cf-contig_482-SMART.txt","HECTc")</f>
        <v>HECTc</v>
      </c>
      <c r="CY546" t="str">
        <f>HYPERLINK("http://smart.embl-heidelberg.de/smart/do_annotation.pl?DOMAIN=HECTc&amp;BLAST=DUMMY","0.14")</f>
        <v>0.14</v>
      </c>
      <c r="CZ546" s="4" t="s">
        <v>42</v>
      </c>
      <c r="DA546" t="s">
        <v>42</v>
      </c>
      <c r="DB546" t="s">
        <v>42</v>
      </c>
      <c r="DC546" t="s">
        <v>42</v>
      </c>
      <c r="DD546" t="s">
        <v>42</v>
      </c>
      <c r="DE546" t="s">
        <v>42</v>
      </c>
      <c r="DF546" t="s">
        <v>42</v>
      </c>
      <c r="DG546" t="s">
        <v>42</v>
      </c>
      <c r="DH546" s="4" t="s">
        <v>42</v>
      </c>
      <c r="DI546" t="s">
        <v>42</v>
      </c>
      <c r="DJ546" s="4" t="s">
        <v>42</v>
      </c>
      <c r="DK546" t="s">
        <v>42</v>
      </c>
      <c r="DL546" s="4">
        <v>392</v>
      </c>
      <c r="DM546">
        <v>1</v>
      </c>
      <c r="DN546" s="4">
        <v>401</v>
      </c>
      <c r="DO546">
        <v>1</v>
      </c>
      <c r="DP546" s="4">
        <v>406</v>
      </c>
      <c r="DQ546">
        <v>1</v>
      </c>
      <c r="DR546" s="4">
        <v>421</v>
      </c>
      <c r="DS546">
        <v>1</v>
      </c>
      <c r="DT546" s="4">
        <v>431</v>
      </c>
      <c r="DU546">
        <v>1</v>
      </c>
      <c r="DV546" s="4">
        <v>445</v>
      </c>
      <c r="DW546">
        <v>1</v>
      </c>
      <c r="DX546" s="4">
        <v>449</v>
      </c>
      <c r="DY546">
        <v>1</v>
      </c>
      <c r="DZ546" s="4">
        <v>456</v>
      </c>
      <c r="EA546">
        <v>1</v>
      </c>
      <c r="EB546" s="4">
        <v>461</v>
      </c>
      <c r="EC546">
        <v>1</v>
      </c>
      <c r="ED546" s="4">
        <v>465</v>
      </c>
      <c r="EE546">
        <v>1</v>
      </c>
      <c r="EF546" s="4">
        <v>470</v>
      </c>
      <c r="EG546">
        <v>1</v>
      </c>
      <c r="EH546" s="4">
        <v>476</v>
      </c>
      <c r="EI546">
        <v>1</v>
      </c>
      <c r="EJ546" s="4">
        <v>482</v>
      </c>
      <c r="EK546">
        <v>1</v>
      </c>
    </row>
    <row r="547" spans="1:141" x14ac:dyDescent="0.2">
      <c r="A547" t="str">
        <f>HYPERLINK("http://exon.niaid.nih.gov/transcriptome/C_felis/S1/links/cf/cf-contig_42.txt","cf-contig_42")</f>
        <v>cf-contig_42</v>
      </c>
      <c r="B547">
        <v>1</v>
      </c>
      <c r="C547" s="10" t="s">
        <v>4600</v>
      </c>
      <c r="D547">
        <v>1</v>
      </c>
      <c r="E547" t="str">
        <f>HYPERLINK("http://exon.niaid.nih.gov/transcriptome/C_felis/S1/links/cf/cf-5-36-asb-42.txt","Contig-42")</f>
        <v>Contig-42</v>
      </c>
      <c r="F547" t="str">
        <f>HYPERLINK("http://exon.niaid.nih.gov/transcriptome/C_felis/S1/links/cf/cf-5-36-42-CLU.txt","Contig42")</f>
        <v>Contig42</v>
      </c>
      <c r="G547" t="str">
        <f>HYPERLINK("http://exon.niaid.nih.gov/transcriptome/C_felis/S1/links/cf/cf-5-36-42-qual.txt","65.1")</f>
        <v>65.1</v>
      </c>
      <c r="H547" t="s">
        <v>11</v>
      </c>
      <c r="I547">
        <v>70.599999999999994</v>
      </c>
      <c r="J547">
        <v>393</v>
      </c>
      <c r="K547" t="s">
        <v>12</v>
      </c>
      <c r="L547">
        <v>1</v>
      </c>
      <c r="M547" t="s">
        <v>55</v>
      </c>
      <c r="N547">
        <v>393</v>
      </c>
      <c r="O547">
        <v>412</v>
      </c>
      <c r="P547">
        <v>123</v>
      </c>
      <c r="Q547" t="s">
        <v>864</v>
      </c>
      <c r="R547">
        <v>3</v>
      </c>
      <c r="S547" s="7" t="s">
        <v>4585</v>
      </c>
      <c r="U547">
        <v>1</v>
      </c>
      <c r="V547" s="4">
        <v>104</v>
      </c>
      <c r="W547">
        <v>1</v>
      </c>
      <c r="X547" s="4">
        <v>96</v>
      </c>
      <c r="Y547">
        <v>1</v>
      </c>
      <c r="Z547" s="4">
        <v>89</v>
      </c>
      <c r="AA547">
        <v>1</v>
      </c>
      <c r="AB547" s="4" t="str">
        <f>HYPERLINK("http://exon.niaid.nih.gov/transcriptome/C_felis/S1/links/XC-ASB/cf-contig_42-XC-ASB.txt","XC-contig_77")</f>
        <v>XC-contig_77</v>
      </c>
      <c r="AC547">
        <v>0.41</v>
      </c>
      <c r="AD547" s="10" t="s">
        <v>4600</v>
      </c>
      <c r="AE547" t="s">
        <v>4601</v>
      </c>
      <c r="AI547" s="4" t="str">
        <f>HYPERLINK("http://exon.niaid.nih.gov/transcriptome/C_felis/S1/links/NR/cf-contig_42-NR.txt","FtsX family protein")</f>
        <v>FtsX family protein</v>
      </c>
      <c r="AJ547" t="str">
        <f>HYPERLINK("http://www.ncbi.nlm.nih.gov/sutils/blink.cgi?pid=121601779","2.5")</f>
        <v>2.5</v>
      </c>
      <c r="AK547" t="str">
        <f>HYPERLINK("http://www.ncbi.nlm.nih.gov/protein/121601779","gi|121601779")</f>
        <v>gi|121601779</v>
      </c>
      <c r="AL547">
        <v>35.799999999999997</v>
      </c>
      <c r="AM547">
        <v>100</v>
      </c>
      <c r="AN547">
        <v>324</v>
      </c>
      <c r="AO547">
        <v>28</v>
      </c>
      <c r="AP547">
        <v>31</v>
      </c>
      <c r="AQ547">
        <v>77</v>
      </c>
      <c r="AR547">
        <v>0</v>
      </c>
      <c r="AS547">
        <v>185</v>
      </c>
      <c r="AT547">
        <v>50</v>
      </c>
      <c r="AU547">
        <v>1</v>
      </c>
      <c r="AV547">
        <v>-1</v>
      </c>
      <c r="AW547" t="s">
        <v>12</v>
      </c>
      <c r="AX547">
        <v>4</v>
      </c>
      <c r="AY547" t="s">
        <v>1666</v>
      </c>
      <c r="AZ547" t="s">
        <v>1813</v>
      </c>
      <c r="BA547" s="4" t="str">
        <f>HYPERLINK("http://exon.niaid.nih.gov/transcriptome/C_felis/S1/links/SWISSP/cf-contig_42-SWISSP.txt","Uncharacterized protein MG456")</f>
        <v>Uncharacterized protein MG456</v>
      </c>
      <c r="BB547" t="str">
        <f>HYPERLINK("http://www.uniprot.org/uniprot/P47694","0.97")</f>
        <v>0.97</v>
      </c>
      <c r="BC547" t="s">
        <v>1814</v>
      </c>
      <c r="BD547">
        <v>32.299999999999997</v>
      </c>
      <c r="BE547">
        <v>51</v>
      </c>
      <c r="BF547">
        <v>334</v>
      </c>
      <c r="BG547">
        <v>30</v>
      </c>
      <c r="BH547">
        <v>16</v>
      </c>
      <c r="BI547">
        <v>36</v>
      </c>
      <c r="BJ547">
        <v>1</v>
      </c>
      <c r="BK547">
        <v>211</v>
      </c>
      <c r="BL547">
        <v>234</v>
      </c>
      <c r="BM547">
        <v>1</v>
      </c>
      <c r="BN547">
        <v>-3</v>
      </c>
      <c r="BO547" t="s">
        <v>12</v>
      </c>
      <c r="BP547">
        <v>1.9610000000000001</v>
      </c>
      <c r="BQ547" t="s">
        <v>1666</v>
      </c>
      <c r="BR547" t="s">
        <v>1815</v>
      </c>
      <c r="BS547" s="4" t="str">
        <f>HYPERLINK("http://exon.niaid.nih.gov/transcriptome/C_felis/S1/links/CDD/cf-contig_42-CDD.txt","PRANC")</f>
        <v>PRANC</v>
      </c>
      <c r="BT547" t="str">
        <f>HYPERLINK("http://www.ncbi.nlm.nih.gov/Structure/cdd/cddsrv.cgi?uid=pfam09372&amp;version=v4.0","0.36")</f>
        <v>0.36</v>
      </c>
      <c r="BU547" t="s">
        <v>1816</v>
      </c>
      <c r="BV547" s="4" t="s">
        <v>42</v>
      </c>
      <c r="BW547" t="s">
        <v>42</v>
      </c>
      <c r="BX547" t="s">
        <v>42</v>
      </c>
      <c r="BY547" t="s">
        <v>42</v>
      </c>
      <c r="BZ547" t="s">
        <v>42</v>
      </c>
      <c r="CA547" t="s">
        <v>42</v>
      </c>
      <c r="CB547" t="s">
        <v>42</v>
      </c>
      <c r="CC547" t="s">
        <v>42</v>
      </c>
      <c r="CD547" t="s">
        <v>42</v>
      </c>
      <c r="CE547" t="s">
        <v>42</v>
      </c>
      <c r="CF547" t="s">
        <v>42</v>
      </c>
      <c r="CG547" t="s">
        <v>42</v>
      </c>
      <c r="CH547" t="s">
        <v>42</v>
      </c>
      <c r="CI547" t="s">
        <v>42</v>
      </c>
      <c r="CJ547" t="s">
        <v>42</v>
      </c>
      <c r="CK547" t="s">
        <v>42</v>
      </c>
      <c r="CL547" t="s">
        <v>42</v>
      </c>
      <c r="CM547" t="s">
        <v>42</v>
      </c>
      <c r="CN547" t="s">
        <v>42</v>
      </c>
      <c r="CO547" t="s">
        <v>42</v>
      </c>
      <c r="CP547" t="s">
        <v>42</v>
      </c>
      <c r="CQ547" t="s">
        <v>42</v>
      </c>
      <c r="CR547" t="s">
        <v>42</v>
      </c>
      <c r="CS547" s="4" t="str">
        <f>HYPERLINK("http://exon.niaid.nih.gov/transcriptome/C_felis/S1/links/KOG/cf-contig_42-KOG.txt","Poly(A) polymerase and related nucleotidyltransferases")</f>
        <v>Poly(A) polymerase and related nucleotidyltransferases</v>
      </c>
      <c r="CT547" t="str">
        <f>HYPERLINK("http://www.ncbi.nlm.nih.gov/COG/grace/shokog.cgi?KOG2245","0.57")</f>
        <v>0.57</v>
      </c>
      <c r="CU547" t="s">
        <v>1817</v>
      </c>
      <c r="CV547" s="4" t="str">
        <f>HYPERLINK("http://exon.niaid.nih.gov/transcriptome/C_felis/S1/links/PFAM/cf-contig_42-PFAM.txt","PRANC")</f>
        <v>PRANC</v>
      </c>
      <c r="CW547" t="str">
        <f>HYPERLINK("http://pfam.sanger.ac.uk/family?acc=PF09372","0.079")</f>
        <v>0.079</v>
      </c>
      <c r="CX547" s="4" t="str">
        <f>HYPERLINK("http://exon.niaid.nih.gov/transcriptome/C_felis/S1/links/SMART/cf-contig_42-SMART.txt","ZnF_BED")</f>
        <v>ZnF_BED</v>
      </c>
      <c r="CY547" t="str">
        <f>HYPERLINK("http://smart.embl-heidelberg.de/smart/do_annotation.pl?DOMAIN=ZnF_BED&amp;BLAST=DUMMY","0.10")</f>
        <v>0.10</v>
      </c>
      <c r="CZ547" s="4" t="s">
        <v>42</v>
      </c>
      <c r="DA547" t="s">
        <v>42</v>
      </c>
      <c r="DB547" t="s">
        <v>42</v>
      </c>
      <c r="DC547" t="s">
        <v>42</v>
      </c>
      <c r="DD547" t="s">
        <v>42</v>
      </c>
      <c r="DE547" t="s">
        <v>42</v>
      </c>
      <c r="DF547" t="s">
        <v>42</v>
      </c>
      <c r="DG547" t="s">
        <v>42</v>
      </c>
      <c r="DH547" s="4" t="s">
        <v>42</v>
      </c>
      <c r="DI547" t="s">
        <v>42</v>
      </c>
      <c r="DJ547" s="4" t="s">
        <v>42</v>
      </c>
      <c r="DK547" t="s">
        <v>42</v>
      </c>
      <c r="DL547" s="4">
        <v>104</v>
      </c>
      <c r="DM547">
        <v>1</v>
      </c>
      <c r="DN547" s="4">
        <v>96</v>
      </c>
      <c r="DO547">
        <v>1</v>
      </c>
      <c r="DP547" s="4">
        <v>89</v>
      </c>
      <c r="DQ547">
        <v>1</v>
      </c>
      <c r="DR547" s="4">
        <v>80</v>
      </c>
      <c r="DS547">
        <v>1</v>
      </c>
      <c r="DT547" s="4">
        <v>72</v>
      </c>
      <c r="DU547">
        <v>1</v>
      </c>
      <c r="DV547" s="4">
        <v>68</v>
      </c>
      <c r="DW547">
        <v>1</v>
      </c>
      <c r="DX547" s="4">
        <v>63</v>
      </c>
      <c r="DY547">
        <v>1</v>
      </c>
      <c r="DZ547" s="4">
        <v>61</v>
      </c>
      <c r="EA547">
        <v>1</v>
      </c>
      <c r="EB547" s="4">
        <v>61</v>
      </c>
      <c r="EC547">
        <v>1</v>
      </c>
      <c r="ED547" s="4">
        <v>62</v>
      </c>
      <c r="EE547">
        <v>1</v>
      </c>
      <c r="EF547" s="4">
        <v>56</v>
      </c>
      <c r="EG547">
        <v>1</v>
      </c>
      <c r="EH547" s="4">
        <v>44</v>
      </c>
      <c r="EI547">
        <v>1</v>
      </c>
      <c r="EJ547" s="4">
        <v>42</v>
      </c>
      <c r="EK547">
        <v>1</v>
      </c>
    </row>
    <row r="548" spans="1:141" x14ac:dyDescent="0.2">
      <c r="A548" t="str">
        <f>HYPERLINK("http://exon.niaid.nih.gov/transcriptome/C_felis/S1/links/cf/cf-contig_484.txt","cf-contig_484")</f>
        <v>cf-contig_484</v>
      </c>
      <c r="B548">
        <v>1</v>
      </c>
      <c r="C548" s="10" t="s">
        <v>4600</v>
      </c>
      <c r="D548">
        <v>1</v>
      </c>
      <c r="E548" t="str">
        <f>HYPERLINK("http://exon.niaid.nih.gov/transcriptome/C_felis/S1/links/cf/cf-5-36-asb-484.txt","Contig-484")</f>
        <v>Contig-484</v>
      </c>
      <c r="F548" t="str">
        <f>HYPERLINK("http://exon.niaid.nih.gov/transcriptome/C_felis/S1/links/cf/cf-5-36-484-CLU.txt","Contig484")</f>
        <v>Contig484</v>
      </c>
      <c r="G548" t="str">
        <f>HYPERLINK("http://exon.niaid.nih.gov/transcriptome/C_felis/S1/links/cf/cf-5-36-484-qual.txt","44.6")</f>
        <v>44.6</v>
      </c>
      <c r="H548" t="s">
        <v>11</v>
      </c>
      <c r="I548">
        <v>62.3</v>
      </c>
      <c r="J548">
        <v>201</v>
      </c>
      <c r="K548" t="s">
        <v>12</v>
      </c>
      <c r="L548">
        <v>1</v>
      </c>
      <c r="M548" t="s">
        <v>497</v>
      </c>
      <c r="N548">
        <v>201</v>
      </c>
      <c r="O548">
        <v>220</v>
      </c>
      <c r="P548">
        <v>213</v>
      </c>
      <c r="Q548" t="s">
        <v>1303</v>
      </c>
      <c r="R548">
        <v>3</v>
      </c>
      <c r="S548" s="7" t="s">
        <v>4585</v>
      </c>
      <c r="U548">
        <v>1</v>
      </c>
      <c r="V548" s="4">
        <v>394</v>
      </c>
      <c r="W548">
        <v>1</v>
      </c>
      <c r="X548" s="4">
        <v>403</v>
      </c>
      <c r="Y548">
        <v>1</v>
      </c>
      <c r="Z548" s="4">
        <v>408</v>
      </c>
      <c r="AA548">
        <v>1</v>
      </c>
      <c r="AB548" s="4" t="str">
        <f>HYPERLINK("http://exon.niaid.nih.gov/transcriptome/C_felis/S1/links/XC-ASB/cf-contig_484-XC-ASB.txt","XC-contig_130")</f>
        <v>XC-contig_130</v>
      </c>
      <c r="AC548">
        <v>0.47</v>
      </c>
      <c r="AD548" s="10" t="s">
        <v>4600</v>
      </c>
      <c r="AE548" t="s">
        <v>4601</v>
      </c>
      <c r="AI548" s="4" t="str">
        <f>HYPERLINK("http://exon.niaid.nih.gov/transcriptome/C_felis/S1/links/NR/cf-contig_484-NR.txt","serine hydroxymethyltransferase")</f>
        <v>serine hydroxymethyltransferase</v>
      </c>
      <c r="AJ548" t="str">
        <f>HYPERLINK("http://www.ncbi.nlm.nih.gov/sutils/blink.cgi?pid=42523483","9.3")</f>
        <v>9.3</v>
      </c>
      <c r="AK548" t="str">
        <f>HYPERLINK("http://www.ncbi.nlm.nih.gov/protein/42523483","gi|42523483")</f>
        <v>gi|42523483</v>
      </c>
      <c r="AL548">
        <v>33.9</v>
      </c>
      <c r="AM548">
        <v>57</v>
      </c>
      <c r="AN548">
        <v>415</v>
      </c>
      <c r="AO548">
        <v>32</v>
      </c>
      <c r="AP548">
        <v>14</v>
      </c>
      <c r="AQ548">
        <v>40</v>
      </c>
      <c r="AR548">
        <v>0</v>
      </c>
      <c r="AS548">
        <v>306</v>
      </c>
      <c r="AT548">
        <v>15</v>
      </c>
      <c r="AU548">
        <v>1</v>
      </c>
      <c r="AV548">
        <v>3</v>
      </c>
      <c r="AW548" t="s">
        <v>12</v>
      </c>
      <c r="AY548" t="s">
        <v>1676</v>
      </c>
      <c r="AZ548" t="s">
        <v>3429</v>
      </c>
      <c r="BA548" s="4" t="str">
        <f>HYPERLINK("http://exon.niaid.nih.gov/transcriptome/C_felis/S1/links/SWISSP/cf-contig_484-SWISSP.txt","Serine hydroxymethyltransferase")</f>
        <v>Serine hydroxymethyltransferase</v>
      </c>
      <c r="BB548" t="str">
        <f>HYPERLINK("http://www.uniprot.org/uniprot/Q6MLK1","0.32")</f>
        <v>0.32</v>
      </c>
      <c r="BC548" t="s">
        <v>3430</v>
      </c>
      <c r="BD548">
        <v>33.9</v>
      </c>
      <c r="BE548">
        <v>57</v>
      </c>
      <c r="BF548">
        <v>415</v>
      </c>
      <c r="BG548">
        <v>32</v>
      </c>
      <c r="BH548">
        <v>14</v>
      </c>
      <c r="BI548">
        <v>40</v>
      </c>
      <c r="BJ548">
        <v>0</v>
      </c>
      <c r="BK548">
        <v>306</v>
      </c>
      <c r="BL548">
        <v>15</v>
      </c>
      <c r="BM548">
        <v>1</v>
      </c>
      <c r="BN548">
        <v>3</v>
      </c>
      <c r="BO548" t="s">
        <v>12</v>
      </c>
      <c r="BQ548" t="s">
        <v>1676</v>
      </c>
      <c r="BR548" t="s">
        <v>3431</v>
      </c>
      <c r="BS548" s="4" t="str">
        <f>HYPERLINK("http://exon.niaid.nih.gov/transcriptome/C_felis/S1/links/CDD/cf-contig_484-CDD.txt","PIN_Fcf1")</f>
        <v>PIN_Fcf1</v>
      </c>
      <c r="BT548" t="str">
        <f>HYPERLINK("http://www.ncbi.nlm.nih.gov/Structure/cdd/cddsrv.cgi?uid=cd09864&amp;version=v4.0","0.40")</f>
        <v>0.40</v>
      </c>
      <c r="BU548" t="s">
        <v>3432</v>
      </c>
      <c r="BV548" s="4" t="s">
        <v>42</v>
      </c>
      <c r="BW548" t="s">
        <v>42</v>
      </c>
      <c r="BX548" t="s">
        <v>42</v>
      </c>
      <c r="BY548" t="s">
        <v>42</v>
      </c>
      <c r="BZ548" t="s">
        <v>42</v>
      </c>
      <c r="CA548" t="s">
        <v>42</v>
      </c>
      <c r="CB548" t="s">
        <v>42</v>
      </c>
      <c r="CC548" t="s">
        <v>42</v>
      </c>
      <c r="CD548" t="s">
        <v>42</v>
      </c>
      <c r="CE548" t="s">
        <v>42</v>
      </c>
      <c r="CF548" t="s">
        <v>42</v>
      </c>
      <c r="CG548" t="s">
        <v>42</v>
      </c>
      <c r="CH548" t="s">
        <v>42</v>
      </c>
      <c r="CI548" t="s">
        <v>42</v>
      </c>
      <c r="CJ548" t="s">
        <v>42</v>
      </c>
      <c r="CK548" t="s">
        <v>42</v>
      </c>
      <c r="CL548" t="s">
        <v>42</v>
      </c>
      <c r="CM548" t="s">
        <v>42</v>
      </c>
      <c r="CN548" t="s">
        <v>42</v>
      </c>
      <c r="CO548" t="s">
        <v>42</v>
      </c>
      <c r="CP548" t="s">
        <v>42</v>
      </c>
      <c r="CQ548" t="s">
        <v>42</v>
      </c>
      <c r="CR548" t="s">
        <v>42</v>
      </c>
      <c r="CS548" s="4" t="str">
        <f>HYPERLINK("http://exon.niaid.nih.gov/transcriptome/C_felis/S1/links/KOG/cf-contig_484-KOG.txt","RNA polymerase II subunit 9")</f>
        <v>RNA polymerase II subunit 9</v>
      </c>
      <c r="CT548" t="str">
        <f>HYPERLINK("http://www.ncbi.nlm.nih.gov/COG/grace/shokog.cgi?KOG2691","0.20")</f>
        <v>0.20</v>
      </c>
      <c r="CU548" t="s">
        <v>1692</v>
      </c>
      <c r="CV548" s="4" t="str">
        <f>HYPERLINK("http://exon.niaid.nih.gov/transcriptome/C_felis/S1/links/PFAM/cf-contig_484-PFAM.txt","MKT1_N")</f>
        <v>MKT1_N</v>
      </c>
      <c r="CW548" t="str">
        <f>HYPERLINK("http://pfam.sanger.ac.uk/family?acc=PF12247","1.0")</f>
        <v>1.0</v>
      </c>
      <c r="CX548" s="4" t="str">
        <f>HYPERLINK("http://exon.niaid.nih.gov/transcriptome/C_felis/S1/links/SMART/cf-contig_484-SMART.txt","C8")</f>
        <v>C8</v>
      </c>
      <c r="CY548" t="str">
        <f>HYPERLINK("http://smart.embl-heidelberg.de/smart/do_annotation.pl?DOMAIN=C8&amp;BLAST=DUMMY","0.29")</f>
        <v>0.29</v>
      </c>
      <c r="CZ548" s="4" t="s">
        <v>42</v>
      </c>
      <c r="DA548" t="s">
        <v>42</v>
      </c>
      <c r="DB548" t="s">
        <v>42</v>
      </c>
      <c r="DC548" t="s">
        <v>42</v>
      </c>
      <c r="DD548" t="s">
        <v>42</v>
      </c>
      <c r="DE548" t="s">
        <v>42</v>
      </c>
      <c r="DF548" t="s">
        <v>42</v>
      </c>
      <c r="DG548" t="s">
        <v>42</v>
      </c>
      <c r="DH548" s="4" t="s">
        <v>42</v>
      </c>
      <c r="DI548" t="s">
        <v>42</v>
      </c>
      <c r="DJ548" s="4" t="s">
        <v>42</v>
      </c>
      <c r="DK548" t="s">
        <v>42</v>
      </c>
      <c r="DL548" s="4">
        <v>394</v>
      </c>
      <c r="DM548">
        <v>1</v>
      </c>
      <c r="DN548" s="4">
        <v>403</v>
      </c>
      <c r="DO548">
        <v>1</v>
      </c>
      <c r="DP548" s="4">
        <v>408</v>
      </c>
      <c r="DQ548">
        <v>1</v>
      </c>
      <c r="DR548" s="4">
        <v>423</v>
      </c>
      <c r="DS548">
        <v>1</v>
      </c>
      <c r="DT548" s="4">
        <v>433</v>
      </c>
      <c r="DU548">
        <v>1</v>
      </c>
      <c r="DV548" s="4">
        <v>447</v>
      </c>
      <c r="DW548">
        <v>1</v>
      </c>
      <c r="DX548" s="4">
        <v>451</v>
      </c>
      <c r="DY548">
        <v>1</v>
      </c>
      <c r="DZ548" s="4">
        <v>458</v>
      </c>
      <c r="EA548">
        <v>1</v>
      </c>
      <c r="EB548" s="4">
        <v>463</v>
      </c>
      <c r="EC548">
        <v>1</v>
      </c>
      <c r="ED548" s="4">
        <v>467</v>
      </c>
      <c r="EE548">
        <v>1</v>
      </c>
      <c r="EF548" s="4">
        <v>472</v>
      </c>
      <c r="EG548">
        <v>1</v>
      </c>
      <c r="EH548" s="4">
        <v>478</v>
      </c>
      <c r="EI548">
        <v>1</v>
      </c>
      <c r="EJ548" s="4">
        <v>484</v>
      </c>
      <c r="EK548">
        <v>1</v>
      </c>
    </row>
    <row r="549" spans="1:141" x14ac:dyDescent="0.2">
      <c r="A549" t="str">
        <f>HYPERLINK("http://exon.niaid.nih.gov/transcriptome/C_felis/S1/links/cf/cf-contig_428.txt","cf-contig_428")</f>
        <v>cf-contig_428</v>
      </c>
      <c r="B549">
        <v>1</v>
      </c>
      <c r="C549" s="10" t="s">
        <v>4600</v>
      </c>
      <c r="D549">
        <v>1</v>
      </c>
      <c r="E549" t="str">
        <f>HYPERLINK("http://exon.niaid.nih.gov/transcriptome/C_felis/S1/links/cf/cf-5-36-asb-428.txt","Contig-428")</f>
        <v>Contig-428</v>
      </c>
      <c r="F549" t="str">
        <f>HYPERLINK("http://exon.niaid.nih.gov/transcriptome/C_felis/S1/links/cf/cf-5-36-428-CLU.txt","Contig428")</f>
        <v>Contig428</v>
      </c>
      <c r="G549" t="str">
        <f>HYPERLINK("http://exon.niaid.nih.gov/transcriptome/C_felis/S1/links/cf/cf-5-36-428-qual.txt","55.3")</f>
        <v>55.3</v>
      </c>
      <c r="H549">
        <v>0.9</v>
      </c>
      <c r="I549">
        <v>72.400000000000006</v>
      </c>
      <c r="J549">
        <v>195</v>
      </c>
      <c r="K549" t="s">
        <v>12</v>
      </c>
      <c r="L549">
        <v>1</v>
      </c>
      <c r="M549" t="s">
        <v>441</v>
      </c>
      <c r="N549">
        <v>195</v>
      </c>
      <c r="O549">
        <v>214</v>
      </c>
      <c r="P549">
        <v>96</v>
      </c>
      <c r="Q549" t="s">
        <v>1248</v>
      </c>
      <c r="R549">
        <v>1</v>
      </c>
      <c r="S549" s="7" t="s">
        <v>4585</v>
      </c>
      <c r="U549">
        <v>1</v>
      </c>
      <c r="V549" s="4">
        <f>HYPERLINK("http://exon.niaid.nih.gov/transcriptome/C_felis/S1/links/cluster/cf-5-36-asb30-50-Id-CLU9.txt", 9)</f>
        <v>9</v>
      </c>
      <c r="W549">
        <f>HYPERLINK("http://exon.niaid.nih.gov/transcriptome/C_felis/S1/links/cluster/cf-5-36-asb30-50-Id-CLTL9.txt", 4)</f>
        <v>4</v>
      </c>
      <c r="X549" s="4">
        <f>HYPERLINK("http://exon.niaid.nih.gov/transcriptome/C_felis/S1/links/cluster/cf-5-36-asb35-50-Id-CLU15.txt", 15)</f>
        <v>15</v>
      </c>
      <c r="Y549">
        <f>HYPERLINK("http://exon.niaid.nih.gov/transcriptome/C_felis/S1/links/cluster/cf-5-36-asb35-50-Id-CLTL15.txt", 3)</f>
        <v>3</v>
      </c>
      <c r="Z549" s="4">
        <v>360</v>
      </c>
      <c r="AA549">
        <v>1</v>
      </c>
      <c r="AB549" s="4" t="str">
        <f>HYPERLINK("http://exon.niaid.nih.gov/transcriptome/C_felis/S1/links/XC-ASB/cf-contig_428-XC-ASB.txt","XC-contig_174")</f>
        <v>XC-contig_174</v>
      </c>
      <c r="AC549">
        <v>0.05</v>
      </c>
      <c r="AD549" s="10" t="s">
        <v>4600</v>
      </c>
      <c r="AE549" t="s">
        <v>4601</v>
      </c>
      <c r="AI549" s="4" t="str">
        <f>HYPERLINK("http://exon.niaid.nih.gov/transcriptome/C_felis/S1/links/NR/cf-contig_428-NR.txt","hypothetical protein BGP_2860")</f>
        <v>hypothetical protein BGP_2860</v>
      </c>
      <c r="AJ549" t="str">
        <f>HYPERLINK("http://www.ncbi.nlm.nih.gov/sutils/blink.cgi?pid=153873726","27")</f>
        <v>27</v>
      </c>
      <c r="AK549" t="str">
        <f>HYPERLINK("http://www.ncbi.nlm.nih.gov/protein/153873726","gi|153873726")</f>
        <v>gi|153873726</v>
      </c>
      <c r="AL549">
        <v>32.299999999999997</v>
      </c>
      <c r="AM549">
        <v>39</v>
      </c>
      <c r="AN549">
        <v>42</v>
      </c>
      <c r="AO549">
        <v>40</v>
      </c>
      <c r="AP549">
        <v>95</v>
      </c>
      <c r="AQ549">
        <v>24</v>
      </c>
      <c r="AR549">
        <v>1</v>
      </c>
      <c r="AS549">
        <v>1</v>
      </c>
      <c r="AT549">
        <v>4</v>
      </c>
      <c r="AU549">
        <v>1</v>
      </c>
      <c r="AV549">
        <v>-2</v>
      </c>
      <c r="AW549" t="s">
        <v>12</v>
      </c>
      <c r="AX549">
        <v>2.5640000000000001</v>
      </c>
      <c r="AY549" t="s">
        <v>1666</v>
      </c>
      <c r="AZ549" t="s">
        <v>3195</v>
      </c>
      <c r="BA549" s="4" t="str">
        <f>HYPERLINK("http://exon.niaid.nih.gov/transcriptome/C_felis/S1/links/SWISSP/cf-contig_428-SWISSP.txt","Envelope glycoprotein M")</f>
        <v>Envelope glycoprotein M</v>
      </c>
      <c r="BB549" t="str">
        <f>HYPERLINK("http://www.uniprot.org/uniprot/P16733","18")</f>
        <v>18</v>
      </c>
      <c r="BC549" t="s">
        <v>3196</v>
      </c>
      <c r="BD549">
        <v>28.1</v>
      </c>
      <c r="BE549">
        <v>40</v>
      </c>
      <c r="BF549">
        <v>372</v>
      </c>
      <c r="BG549">
        <v>26</v>
      </c>
      <c r="BH549">
        <v>11</v>
      </c>
      <c r="BI549">
        <v>30</v>
      </c>
      <c r="BJ549">
        <v>0</v>
      </c>
      <c r="BK549">
        <v>45</v>
      </c>
      <c r="BL549">
        <v>33</v>
      </c>
      <c r="BM549">
        <v>1</v>
      </c>
      <c r="BN549">
        <v>-3</v>
      </c>
      <c r="BO549" t="s">
        <v>12</v>
      </c>
      <c r="BQ549" t="s">
        <v>1666</v>
      </c>
      <c r="BR549" t="s">
        <v>3197</v>
      </c>
      <c r="BS549" s="4" t="str">
        <f>HYPERLINK("http://exon.niaid.nih.gov/transcriptome/C_felis/S1/links/CDD/cf-contig_428-CDD.txt","PRK09219")</f>
        <v>PRK09219</v>
      </c>
      <c r="BT549" t="str">
        <f>HYPERLINK("http://www.ncbi.nlm.nih.gov/Structure/cdd/cddsrv.cgi?uid=PRK09219&amp;version=v4.0","1.2")</f>
        <v>1.2</v>
      </c>
      <c r="BU549" t="s">
        <v>3198</v>
      </c>
      <c r="BV549" s="4" t="s">
        <v>42</v>
      </c>
      <c r="BW549" t="s">
        <v>42</v>
      </c>
      <c r="BX549" t="s">
        <v>42</v>
      </c>
      <c r="BY549" t="s">
        <v>42</v>
      </c>
      <c r="BZ549" t="s">
        <v>42</v>
      </c>
      <c r="CA549" t="s">
        <v>42</v>
      </c>
      <c r="CB549" t="s">
        <v>42</v>
      </c>
      <c r="CC549" t="s">
        <v>42</v>
      </c>
      <c r="CD549" t="s">
        <v>42</v>
      </c>
      <c r="CE549" t="s">
        <v>42</v>
      </c>
      <c r="CF549" t="s">
        <v>42</v>
      </c>
      <c r="CG549" t="s">
        <v>42</v>
      </c>
      <c r="CH549" t="s">
        <v>42</v>
      </c>
      <c r="CI549" t="s">
        <v>42</v>
      </c>
      <c r="CJ549" t="s">
        <v>42</v>
      </c>
      <c r="CK549" t="s">
        <v>42</v>
      </c>
      <c r="CL549" t="s">
        <v>42</v>
      </c>
      <c r="CM549" t="s">
        <v>42</v>
      </c>
      <c r="CN549" t="s">
        <v>42</v>
      </c>
      <c r="CO549" t="s">
        <v>42</v>
      </c>
      <c r="CP549" t="s">
        <v>42</v>
      </c>
      <c r="CQ549" t="s">
        <v>42</v>
      </c>
      <c r="CR549" t="s">
        <v>42</v>
      </c>
      <c r="CS549" s="4" t="str">
        <f>HYPERLINK("http://exon.niaid.nih.gov/transcriptome/C_felis/S1/links/KOG/cf-contig_428-KOG.txt","Uncharacterized conserved protein, contains TBC domain")</f>
        <v>Uncharacterized conserved protein, contains TBC domain</v>
      </c>
      <c r="CT549" t="str">
        <f>HYPERLINK("http://www.ncbi.nlm.nih.gov/COG/grace/shokog.cgi?KOG4561","0.30")</f>
        <v>0.30</v>
      </c>
      <c r="CU549" t="s">
        <v>3071</v>
      </c>
      <c r="CV549" s="4" t="str">
        <f>HYPERLINK("http://exon.niaid.nih.gov/transcriptome/C_felis/S1/links/PFAM/cf-contig_428-PFAM.txt","Plasmodium_Vir")</f>
        <v>Plasmodium_Vir</v>
      </c>
      <c r="CW549" t="str">
        <f>HYPERLINK("http://pfam.sanger.ac.uk/family?acc=PF05795","0.35")</f>
        <v>0.35</v>
      </c>
      <c r="CX549" s="4" t="str">
        <f>HYPERLINK("http://exon.niaid.nih.gov/transcriptome/C_felis/S1/links/SMART/cf-contig_428-SMART.txt","Telomerase_RBD")</f>
        <v>Telomerase_RBD</v>
      </c>
      <c r="CY549" t="str">
        <f>HYPERLINK("http://smart.embl-heidelberg.de/smart/do_annotation.pl?DOMAIN=Telomerase_RBD&amp;BLAST=DUMMY","0.072")</f>
        <v>0.072</v>
      </c>
      <c r="CZ549" s="4" t="s">
        <v>42</v>
      </c>
      <c r="DA549" t="s">
        <v>42</v>
      </c>
      <c r="DB549" t="s">
        <v>42</v>
      </c>
      <c r="DC549" t="s">
        <v>42</v>
      </c>
      <c r="DD549" t="s">
        <v>42</v>
      </c>
      <c r="DE549" t="s">
        <v>42</v>
      </c>
      <c r="DF549" t="s">
        <v>42</v>
      </c>
      <c r="DG549" t="s">
        <v>42</v>
      </c>
      <c r="DH549" s="4" t="s">
        <v>42</v>
      </c>
      <c r="DI549" t="s">
        <v>42</v>
      </c>
      <c r="DJ549" s="4" t="s">
        <v>42</v>
      </c>
      <c r="DK549" t="s">
        <v>42</v>
      </c>
      <c r="DL549" s="4">
        <f>HYPERLINK("http://exon.niaid.nih.gov/transcriptome/C_felis/S1/links/cluster/cf-5-36-asb30-50-Id-CLU9.txt", 9)</f>
        <v>9</v>
      </c>
      <c r="DM549">
        <f>HYPERLINK("http://exon.niaid.nih.gov/transcriptome/C_felis/S1/links/cluster/cf-5-36-asb30-50-Id-CLTL9.txt", 4)</f>
        <v>4</v>
      </c>
      <c r="DN549" s="4">
        <f>HYPERLINK("http://exon.niaid.nih.gov/transcriptome/C_felis/S1/links/cluster/cf-5-36-asb35-50-Id-CLU15.txt", 15)</f>
        <v>15</v>
      </c>
      <c r="DO549">
        <f>HYPERLINK("http://exon.niaid.nih.gov/transcriptome/C_felis/S1/links/cluster/cf-5-36-asb35-50-Id-CLTL15.txt", 3)</f>
        <v>3</v>
      </c>
      <c r="DP549" s="4">
        <v>360</v>
      </c>
      <c r="DQ549">
        <v>1</v>
      </c>
      <c r="DR549" s="4">
        <v>372</v>
      </c>
      <c r="DS549">
        <v>1</v>
      </c>
      <c r="DT549" s="4">
        <v>382</v>
      </c>
      <c r="DU549">
        <v>1</v>
      </c>
      <c r="DV549" s="4">
        <v>396</v>
      </c>
      <c r="DW549">
        <v>1</v>
      </c>
      <c r="DX549" s="4">
        <v>399</v>
      </c>
      <c r="DY549">
        <v>1</v>
      </c>
      <c r="DZ549" s="4">
        <v>404</v>
      </c>
      <c r="EA549">
        <v>1</v>
      </c>
      <c r="EB549" s="4">
        <v>409</v>
      </c>
      <c r="EC549">
        <v>1</v>
      </c>
      <c r="ED549" s="4">
        <v>413</v>
      </c>
      <c r="EE549">
        <v>1</v>
      </c>
      <c r="EF549" s="4">
        <v>418</v>
      </c>
      <c r="EG549">
        <v>1</v>
      </c>
      <c r="EH549" s="4">
        <v>422</v>
      </c>
      <c r="EI549">
        <v>1</v>
      </c>
      <c r="EJ549" s="4">
        <v>428</v>
      </c>
      <c r="EK549">
        <v>1</v>
      </c>
    </row>
    <row r="550" spans="1:141" x14ac:dyDescent="0.2">
      <c r="A550" t="str">
        <f>HYPERLINK("http://exon.niaid.nih.gov/transcriptome/C_felis/S1/links/cf/cf-contig_281.txt","cf-contig_281")</f>
        <v>cf-contig_281</v>
      </c>
      <c r="B550">
        <v>1</v>
      </c>
      <c r="C550" s="10" t="s">
        <v>4600</v>
      </c>
      <c r="D550">
        <v>1</v>
      </c>
      <c r="E550" t="str">
        <f>HYPERLINK("http://exon.niaid.nih.gov/transcriptome/C_felis/S1/links/cf/cf-5-36-asb-281.txt","Contig-281")</f>
        <v>Contig-281</v>
      </c>
      <c r="F550" t="str">
        <f>HYPERLINK("http://exon.niaid.nih.gov/transcriptome/C_felis/S1/links/cf/cf-5-36-281-CLU.txt","Contig281")</f>
        <v>Contig281</v>
      </c>
      <c r="G550" t="str">
        <f>HYPERLINK("http://exon.niaid.nih.gov/transcriptome/C_felis/S1/links/cf/cf-5-36-281-qual.txt","22.2")</f>
        <v>22.2</v>
      </c>
      <c r="H550" t="s">
        <v>11</v>
      </c>
      <c r="I550">
        <v>65.3</v>
      </c>
      <c r="J550">
        <v>304</v>
      </c>
      <c r="K550" t="s">
        <v>12</v>
      </c>
      <c r="L550">
        <v>1</v>
      </c>
      <c r="M550" t="s">
        <v>294</v>
      </c>
      <c r="N550">
        <v>304</v>
      </c>
      <c r="O550">
        <v>323</v>
      </c>
      <c r="P550">
        <v>318</v>
      </c>
      <c r="Q550" t="s">
        <v>1101</v>
      </c>
      <c r="R550">
        <v>3</v>
      </c>
      <c r="S550" s="7" t="str">
        <f>HYPERLINK("http://exon.niaid.nih.gov/transcriptome/C_felis/S1/links/Sigp/CF-CONTIG_281-SigP.txt","Cyt")</f>
        <v>Cyt</v>
      </c>
      <c r="U550">
        <v>1</v>
      </c>
      <c r="V550" s="4">
        <v>225</v>
      </c>
      <c r="W550">
        <v>1</v>
      </c>
      <c r="X550" s="4">
        <v>230</v>
      </c>
      <c r="Y550">
        <v>1</v>
      </c>
      <c r="Z550" s="4">
        <v>229</v>
      </c>
      <c r="AA550">
        <v>1</v>
      </c>
      <c r="AB550" s="4" t="str">
        <f>HYPERLINK("http://exon.niaid.nih.gov/transcriptome/C_felis/S1/links/XC-ASB/cf-contig_281-XC-ASB.txt","XC-contig_37")</f>
        <v>XC-contig_37</v>
      </c>
      <c r="AC550">
        <v>4.4999999999999998E-2</v>
      </c>
      <c r="AD550" s="10" t="s">
        <v>4600</v>
      </c>
      <c r="AE550" t="s">
        <v>4601</v>
      </c>
      <c r="AI550" s="4" t="str">
        <f>HYPERLINK("http://exon.niaid.nih.gov/transcriptome/C_felis/S1/links/NR/cf-contig_281-NR.txt","integral membrane protein")</f>
        <v>integral membrane protein</v>
      </c>
      <c r="AJ550" t="str">
        <f>HYPERLINK("http://www.ncbi.nlm.nih.gov/sutils/blink.cgi?pid=229820238","0.027")</f>
        <v>0.027</v>
      </c>
      <c r="AK550" t="str">
        <f>HYPERLINK("http://www.ncbi.nlm.nih.gov/protein/229820238","gi|229820238")</f>
        <v>gi|229820238</v>
      </c>
      <c r="AL550">
        <v>42.4</v>
      </c>
      <c r="AM550">
        <v>62</v>
      </c>
      <c r="AN550">
        <v>452</v>
      </c>
      <c r="AO550">
        <v>50</v>
      </c>
      <c r="AP550">
        <v>14</v>
      </c>
      <c r="AQ550">
        <v>19</v>
      </c>
      <c r="AR550">
        <v>2</v>
      </c>
      <c r="AS550">
        <v>167</v>
      </c>
      <c r="AT550">
        <v>15</v>
      </c>
      <c r="AU550">
        <v>2</v>
      </c>
      <c r="AV550">
        <v>3</v>
      </c>
      <c r="AW550" t="s">
        <v>12</v>
      </c>
      <c r="AY550" t="s">
        <v>1676</v>
      </c>
      <c r="AZ550" t="s">
        <v>2669</v>
      </c>
      <c r="BA550" s="4" t="str">
        <f>HYPERLINK("http://exon.niaid.nih.gov/transcriptome/C_felis/S1/links/SWISSP/cf-contig_281-SWISSP.txt","Disintegrin and metalloproteinase domain-containing protein B")</f>
        <v>Disintegrin and metalloproteinase domain-containing protein B</v>
      </c>
      <c r="BB550" t="str">
        <f>HYPERLINK("http://www.uniprot.org/uniprot/C5FUK3","0.039")</f>
        <v>0.039</v>
      </c>
      <c r="BC550" t="s">
        <v>2670</v>
      </c>
      <c r="BD550">
        <v>37</v>
      </c>
      <c r="BE550">
        <v>40</v>
      </c>
      <c r="BF550">
        <v>796</v>
      </c>
      <c r="BG550">
        <v>45</v>
      </c>
      <c r="BH550">
        <v>5</v>
      </c>
      <c r="BI550">
        <v>23</v>
      </c>
      <c r="BJ550">
        <v>2</v>
      </c>
      <c r="BK550">
        <v>746</v>
      </c>
      <c r="BL550">
        <v>9</v>
      </c>
      <c r="BM550">
        <v>1</v>
      </c>
      <c r="BN550">
        <v>3</v>
      </c>
      <c r="BO550" t="s">
        <v>12</v>
      </c>
      <c r="BQ550" t="s">
        <v>1676</v>
      </c>
      <c r="BR550" t="s">
        <v>2671</v>
      </c>
      <c r="BS550" s="4" t="str">
        <f>HYPERLINK("http://exon.niaid.nih.gov/transcriptome/C_felis/S1/links/CDD/cf-contig_281-CDD.txt","Extensin_2")</f>
        <v>Extensin_2</v>
      </c>
      <c r="BT550" t="str">
        <f>HYPERLINK("http://www.ncbi.nlm.nih.gov/Structure/cdd/cddsrv.cgi?uid=pfam04554&amp;version=v4.0","0.007")</f>
        <v>0.007</v>
      </c>
      <c r="BU550" t="s">
        <v>2672</v>
      </c>
      <c r="BV550" s="4" t="s">
        <v>42</v>
      </c>
      <c r="BW550" t="s">
        <v>42</v>
      </c>
      <c r="BX550" t="s">
        <v>42</v>
      </c>
      <c r="BY550" t="s">
        <v>42</v>
      </c>
      <c r="BZ550" t="s">
        <v>42</v>
      </c>
      <c r="CA550" t="s">
        <v>42</v>
      </c>
      <c r="CB550" t="s">
        <v>42</v>
      </c>
      <c r="CC550" t="s">
        <v>42</v>
      </c>
      <c r="CD550" t="s">
        <v>42</v>
      </c>
      <c r="CE550" t="s">
        <v>42</v>
      </c>
      <c r="CF550" t="s">
        <v>42</v>
      </c>
      <c r="CG550" t="s">
        <v>42</v>
      </c>
      <c r="CH550" t="s">
        <v>42</v>
      </c>
      <c r="CI550" t="s">
        <v>42</v>
      </c>
      <c r="CJ550" t="s">
        <v>42</v>
      </c>
      <c r="CK550" t="s">
        <v>42</v>
      </c>
      <c r="CL550" t="s">
        <v>42</v>
      </c>
      <c r="CM550" t="s">
        <v>42</v>
      </c>
      <c r="CN550" t="s">
        <v>42</v>
      </c>
      <c r="CO550" t="s">
        <v>42</v>
      </c>
      <c r="CP550" t="s">
        <v>42</v>
      </c>
      <c r="CQ550" t="s">
        <v>42</v>
      </c>
      <c r="CR550" t="s">
        <v>42</v>
      </c>
      <c r="CS550" s="4" t="str">
        <f>HYPERLINK("http://exon.niaid.nih.gov/transcriptome/C_felis/S1/links/KOG/cf-contig_281-KOG.txt","RhoA GTPase effector DIA/Diaphanous")</f>
        <v>RhoA GTPase effector DIA/Diaphanous</v>
      </c>
      <c r="CT550" t="str">
        <f>HYPERLINK("http://www.ncbi.nlm.nih.gov/COG/grace/shokog.cgi?KOG1924","9E-004")</f>
        <v>9E-004</v>
      </c>
      <c r="CU550" t="s">
        <v>1671</v>
      </c>
      <c r="CV550" s="4" t="str">
        <f>HYPERLINK("http://exon.niaid.nih.gov/transcriptome/C_felis/S1/links/PFAM/cf-contig_281-PFAM.txt","Extensin_2")</f>
        <v>Extensin_2</v>
      </c>
      <c r="CW550" t="str">
        <f>HYPERLINK("http://pfam.sanger.ac.uk/family?acc=PF04554","0.002")</f>
        <v>0.002</v>
      </c>
      <c r="CX550" s="4" t="str">
        <f>HYPERLINK("http://exon.niaid.nih.gov/transcriptome/C_felis/S1/links/SMART/cf-contig_281-SMART.txt","BRO1")</f>
        <v>BRO1</v>
      </c>
      <c r="CY550" t="str">
        <f>HYPERLINK("http://smart.embl-heidelberg.de/smart/do_annotation.pl?DOMAIN=BRO1&amp;BLAST=DUMMY","0.26")</f>
        <v>0.26</v>
      </c>
      <c r="CZ550" s="4" t="s">
        <v>42</v>
      </c>
      <c r="DA550" t="s">
        <v>42</v>
      </c>
      <c r="DB550" t="s">
        <v>42</v>
      </c>
      <c r="DC550" t="s">
        <v>42</v>
      </c>
      <c r="DD550" t="s">
        <v>42</v>
      </c>
      <c r="DE550" t="s">
        <v>42</v>
      </c>
      <c r="DF550" t="s">
        <v>42</v>
      </c>
      <c r="DG550" t="s">
        <v>42</v>
      </c>
      <c r="DH550" s="4" t="s">
        <v>42</v>
      </c>
      <c r="DI550" t="s">
        <v>42</v>
      </c>
      <c r="DJ550" s="4" t="s">
        <v>42</v>
      </c>
      <c r="DK550" t="s">
        <v>42</v>
      </c>
      <c r="DL550" s="4">
        <v>225</v>
      </c>
      <c r="DM550">
        <v>1</v>
      </c>
      <c r="DN550" s="4">
        <v>230</v>
      </c>
      <c r="DO550">
        <v>1</v>
      </c>
      <c r="DP550" s="4">
        <v>229</v>
      </c>
      <c r="DQ550">
        <v>1</v>
      </c>
      <c r="DR550" s="4">
        <v>238</v>
      </c>
      <c r="DS550">
        <v>1</v>
      </c>
      <c r="DT550" s="4">
        <v>244</v>
      </c>
      <c r="DU550">
        <v>1</v>
      </c>
      <c r="DV550" s="4">
        <v>256</v>
      </c>
      <c r="DW550">
        <v>1</v>
      </c>
      <c r="DX550" s="4">
        <v>258</v>
      </c>
      <c r="DY550">
        <v>1</v>
      </c>
      <c r="DZ550" s="4">
        <v>263</v>
      </c>
      <c r="EA550">
        <v>1</v>
      </c>
      <c r="EB550" s="4">
        <v>268</v>
      </c>
      <c r="EC550">
        <v>1</v>
      </c>
      <c r="ED550" s="4">
        <v>271</v>
      </c>
      <c r="EE550">
        <v>1</v>
      </c>
      <c r="EF550" s="4">
        <v>274</v>
      </c>
      <c r="EG550">
        <v>1</v>
      </c>
      <c r="EH550" s="4">
        <v>276</v>
      </c>
      <c r="EI550">
        <v>1</v>
      </c>
      <c r="EJ550" s="4">
        <v>281</v>
      </c>
      <c r="EK550">
        <v>1</v>
      </c>
    </row>
    <row r="551" spans="1:141" x14ac:dyDescent="0.2">
      <c r="A551" t="str">
        <f>HYPERLINK("http://exon.niaid.nih.gov/transcriptome/C_felis/S1/links/cf/cf-contig_456.txt","cf-contig_456")</f>
        <v>cf-contig_456</v>
      </c>
      <c r="B551">
        <v>1</v>
      </c>
      <c r="C551" s="10" t="s">
        <v>4600</v>
      </c>
      <c r="D551">
        <v>1</v>
      </c>
      <c r="E551" t="str">
        <f>HYPERLINK("http://exon.niaid.nih.gov/transcriptome/C_felis/S1/links/cf/cf-5-36-asb-456.txt","Contig-456")</f>
        <v>Contig-456</v>
      </c>
      <c r="F551" t="str">
        <f>HYPERLINK("http://exon.niaid.nih.gov/transcriptome/C_felis/S1/links/cf/cf-5-36-456-CLU.txt","Contig456")</f>
        <v>Contig456</v>
      </c>
      <c r="G551" t="str">
        <f>HYPERLINK("http://exon.niaid.nih.gov/transcriptome/C_felis/S1/links/cf/cf-5-36-456-qual.txt","62.5")</f>
        <v>62.5</v>
      </c>
      <c r="H551" t="s">
        <v>11</v>
      </c>
      <c r="I551">
        <v>72.5</v>
      </c>
      <c r="J551">
        <v>418</v>
      </c>
      <c r="K551" t="s">
        <v>12</v>
      </c>
      <c r="L551">
        <v>1</v>
      </c>
      <c r="M551" t="s">
        <v>469</v>
      </c>
      <c r="N551">
        <v>418</v>
      </c>
      <c r="O551">
        <v>437</v>
      </c>
      <c r="P551">
        <v>117</v>
      </c>
      <c r="Q551" t="s">
        <v>1275</v>
      </c>
      <c r="R551">
        <v>2</v>
      </c>
      <c r="S551" s="7" t="s">
        <v>4585</v>
      </c>
      <c r="U551">
        <v>1</v>
      </c>
      <c r="V551" s="4">
        <v>370</v>
      </c>
      <c r="W551">
        <v>1</v>
      </c>
      <c r="X551" s="4">
        <v>379</v>
      </c>
      <c r="Y551">
        <v>1</v>
      </c>
      <c r="Z551" s="4">
        <v>384</v>
      </c>
      <c r="AA551">
        <v>1</v>
      </c>
      <c r="AB551" s="4" t="str">
        <f>HYPERLINK("http://exon.niaid.nih.gov/transcriptome/C_felis/S1/links/XC-ASB/cf-contig_456-XC-ASB.txt","XC-contig_205")</f>
        <v>XC-contig_205</v>
      </c>
      <c r="AC551">
        <v>2.0000000000000001E-9</v>
      </c>
      <c r="AD551" s="10" t="s">
        <v>4600</v>
      </c>
      <c r="AE551" t="s">
        <v>4601</v>
      </c>
      <c r="AI551" s="4" t="str">
        <f>HYPERLINK("http://exon.niaid.nih.gov/transcriptome/C_felis/S1/links/NR/cf-contig_456-NR.txt","GTP-binding nuclear protein Ran-like")</f>
        <v>GTP-binding nuclear protein Ran-like</v>
      </c>
      <c r="AJ551" t="str">
        <f>HYPERLINK("http://www.ncbi.nlm.nih.gov/sutils/blink.cgi?pid=350412636","1.9")</f>
        <v>1.9</v>
      </c>
      <c r="AK551" t="str">
        <f>HYPERLINK("http://www.ncbi.nlm.nih.gov/protein/350412636","gi|350412636")</f>
        <v>gi|350412636</v>
      </c>
      <c r="AL551">
        <v>36.200000000000003</v>
      </c>
      <c r="AM551">
        <v>16</v>
      </c>
      <c r="AN551">
        <v>218</v>
      </c>
      <c r="AO551">
        <v>94</v>
      </c>
      <c r="AP551">
        <v>8</v>
      </c>
      <c r="AQ551">
        <v>1</v>
      </c>
      <c r="AR551">
        <v>0</v>
      </c>
      <c r="AS551">
        <v>202</v>
      </c>
      <c r="AT551">
        <v>7</v>
      </c>
      <c r="AU551">
        <v>1</v>
      </c>
      <c r="AV551">
        <v>1</v>
      </c>
      <c r="AW551" t="s">
        <v>12</v>
      </c>
      <c r="AY551" t="s">
        <v>1676</v>
      </c>
      <c r="AZ551" t="s">
        <v>2234</v>
      </c>
      <c r="BA551" s="4" t="str">
        <f>HYPERLINK("http://exon.niaid.nih.gov/transcriptome/C_felis/S1/links/SWISSP/cf-contig_456-SWISSP.txt","Early transcription factor 70 kDa subunit")</f>
        <v>Early transcription factor 70 kDa subunit</v>
      </c>
      <c r="BB551" t="str">
        <f>HYPERLINK("http://www.uniprot.org/uniprot/Q9QB97","8.9")</f>
        <v>8.9</v>
      </c>
      <c r="BC551" t="s">
        <v>3327</v>
      </c>
      <c r="BD551">
        <v>29.3</v>
      </c>
      <c r="BE551">
        <v>32</v>
      </c>
      <c r="BF551">
        <v>635</v>
      </c>
      <c r="BG551">
        <v>39</v>
      </c>
      <c r="BH551">
        <v>5</v>
      </c>
      <c r="BI551">
        <v>20</v>
      </c>
      <c r="BJ551">
        <v>1</v>
      </c>
      <c r="BK551">
        <v>69</v>
      </c>
      <c r="BL551">
        <v>63</v>
      </c>
      <c r="BM551">
        <v>1</v>
      </c>
      <c r="BN551">
        <v>3</v>
      </c>
      <c r="BO551" t="s">
        <v>12</v>
      </c>
      <c r="BQ551" t="s">
        <v>1676</v>
      </c>
      <c r="BR551" t="s">
        <v>3328</v>
      </c>
      <c r="BS551" s="4" t="str">
        <f>HYPERLINK("http://exon.niaid.nih.gov/transcriptome/C_felis/S1/links/CDD/cf-contig_456-CDD.txt","TT_ORF1")</f>
        <v>TT_ORF1</v>
      </c>
      <c r="BT551" t="str">
        <f>HYPERLINK("http://www.ncbi.nlm.nih.gov/Structure/cdd/cddsrv.cgi?uid=pfam02956&amp;version=v4.0","0.093")</f>
        <v>0.093</v>
      </c>
      <c r="BU551" t="s">
        <v>3329</v>
      </c>
      <c r="BV551" s="4" t="s">
        <v>42</v>
      </c>
      <c r="BW551" t="s">
        <v>42</v>
      </c>
      <c r="BX551" t="s">
        <v>42</v>
      </c>
      <c r="BY551" t="s">
        <v>42</v>
      </c>
      <c r="BZ551" t="s">
        <v>42</v>
      </c>
      <c r="CA551" t="s">
        <v>42</v>
      </c>
      <c r="CB551" t="s">
        <v>42</v>
      </c>
      <c r="CC551" t="s">
        <v>42</v>
      </c>
      <c r="CD551" t="s">
        <v>42</v>
      </c>
      <c r="CE551" t="s">
        <v>42</v>
      </c>
      <c r="CF551" t="s">
        <v>42</v>
      </c>
      <c r="CG551" t="s">
        <v>42</v>
      </c>
      <c r="CH551" t="s">
        <v>42</v>
      </c>
      <c r="CI551" t="s">
        <v>42</v>
      </c>
      <c r="CJ551" t="s">
        <v>42</v>
      </c>
      <c r="CK551" t="s">
        <v>42</v>
      </c>
      <c r="CL551" t="s">
        <v>42</v>
      </c>
      <c r="CM551" t="s">
        <v>42</v>
      </c>
      <c r="CN551" t="s">
        <v>42</v>
      </c>
      <c r="CO551" t="s">
        <v>42</v>
      </c>
      <c r="CP551" t="s">
        <v>42</v>
      </c>
      <c r="CQ551" t="s">
        <v>42</v>
      </c>
      <c r="CR551" t="s">
        <v>42</v>
      </c>
      <c r="CS551" s="4" t="str">
        <f>HYPERLINK("http://exon.niaid.nih.gov/transcriptome/C_felis/S1/links/KOG/cf-contig_456-KOG.txt","Bax-mediated apoptosis inhibitor TEGT/BI-1")</f>
        <v>Bax-mediated apoptosis inhibitor TEGT/BI-1</v>
      </c>
      <c r="CT551" t="str">
        <f>HYPERLINK("http://www.ncbi.nlm.nih.gov/COG/grace/shokog.cgi?KOG1629","1.2")</f>
        <v>1.2</v>
      </c>
      <c r="CU551" t="s">
        <v>2659</v>
      </c>
      <c r="CV551" s="4" t="str">
        <f>HYPERLINK("http://exon.niaid.nih.gov/transcriptome/C_felis/S1/links/PFAM/cf-contig_456-PFAM.txt","TT_ORF1")</f>
        <v>TT_ORF1</v>
      </c>
      <c r="CW551" t="str">
        <f>HYPERLINK("http://pfam.sanger.ac.uk/family?acc=PF02956","0.020")</f>
        <v>0.020</v>
      </c>
      <c r="CX551" s="4" t="str">
        <f>HYPERLINK("http://exon.niaid.nih.gov/transcriptome/C_felis/S1/links/SMART/cf-contig_456-SMART.txt","RAN")</f>
        <v>RAN</v>
      </c>
      <c r="CY551" t="str">
        <f>HYPERLINK("http://smart.embl-heidelberg.de/smart/do_annotation.pl?DOMAIN=RAN&amp;BLAST=DUMMY","0.32")</f>
        <v>0.32</v>
      </c>
      <c r="CZ551" s="4" t="s">
        <v>42</v>
      </c>
      <c r="DA551" t="s">
        <v>42</v>
      </c>
      <c r="DB551" t="s">
        <v>42</v>
      </c>
      <c r="DC551" t="s">
        <v>42</v>
      </c>
      <c r="DD551" t="s">
        <v>42</v>
      </c>
      <c r="DE551" t="s">
        <v>42</v>
      </c>
      <c r="DF551" t="s">
        <v>42</v>
      </c>
      <c r="DG551" t="s">
        <v>42</v>
      </c>
      <c r="DH551" s="4" t="s">
        <v>42</v>
      </c>
      <c r="DI551" t="s">
        <v>42</v>
      </c>
      <c r="DJ551" s="4" t="s">
        <v>42</v>
      </c>
      <c r="DK551" t="s">
        <v>42</v>
      </c>
      <c r="DL551" s="4">
        <v>370</v>
      </c>
      <c r="DM551">
        <v>1</v>
      </c>
      <c r="DN551" s="4">
        <v>379</v>
      </c>
      <c r="DO551">
        <v>1</v>
      </c>
      <c r="DP551" s="4">
        <v>384</v>
      </c>
      <c r="DQ551">
        <v>1</v>
      </c>
      <c r="DR551" s="4">
        <v>399</v>
      </c>
      <c r="DS551">
        <v>1</v>
      </c>
      <c r="DT551" s="4">
        <v>409</v>
      </c>
      <c r="DU551">
        <v>1</v>
      </c>
      <c r="DV551" s="4">
        <v>423</v>
      </c>
      <c r="DW551">
        <v>1</v>
      </c>
      <c r="DX551" s="4">
        <v>426</v>
      </c>
      <c r="DY551">
        <v>1</v>
      </c>
      <c r="DZ551" s="4">
        <v>431</v>
      </c>
      <c r="EA551">
        <v>1</v>
      </c>
      <c r="EB551" s="4">
        <v>436</v>
      </c>
      <c r="EC551">
        <v>1</v>
      </c>
      <c r="ED551" s="4">
        <v>440</v>
      </c>
      <c r="EE551">
        <v>1</v>
      </c>
      <c r="EF551" s="4">
        <v>445</v>
      </c>
      <c r="EG551">
        <v>1</v>
      </c>
      <c r="EH551" s="4">
        <v>450</v>
      </c>
      <c r="EI551">
        <v>1</v>
      </c>
      <c r="EJ551" s="4">
        <v>456</v>
      </c>
      <c r="EK551">
        <v>1</v>
      </c>
    </row>
    <row r="552" spans="1:141" x14ac:dyDescent="0.2">
      <c r="A552" t="str">
        <f>HYPERLINK("http://exon.niaid.nih.gov/transcriptome/C_felis/S1/links/cf/cf-contig_342.txt","cf-contig_342")</f>
        <v>cf-contig_342</v>
      </c>
      <c r="B552">
        <v>1</v>
      </c>
      <c r="C552" s="10" t="s">
        <v>4600</v>
      </c>
      <c r="D552">
        <v>1</v>
      </c>
      <c r="E552" t="str">
        <f>HYPERLINK("http://exon.niaid.nih.gov/transcriptome/C_felis/S1/links/cf/cf-5-36-asb-342.txt","Contig-342")</f>
        <v>Contig-342</v>
      </c>
      <c r="F552" t="str">
        <f>HYPERLINK("http://exon.niaid.nih.gov/transcriptome/C_felis/S1/links/cf/cf-5-36-342-CLU.txt","Contig342")</f>
        <v>Contig342</v>
      </c>
      <c r="G552" t="str">
        <f>HYPERLINK("http://exon.niaid.nih.gov/transcriptome/C_felis/S1/links/cf/cf-5-36-342-qual.txt","34.6")</f>
        <v>34.6</v>
      </c>
      <c r="H552" t="s">
        <v>11</v>
      </c>
      <c r="I552">
        <v>63.6</v>
      </c>
      <c r="J552">
        <v>574</v>
      </c>
      <c r="K552" t="s">
        <v>12</v>
      </c>
      <c r="L552">
        <v>1</v>
      </c>
      <c r="M552" t="s">
        <v>355</v>
      </c>
      <c r="N552">
        <v>574</v>
      </c>
      <c r="O552">
        <v>593</v>
      </c>
      <c r="P552">
        <v>255</v>
      </c>
      <c r="Q552" t="s">
        <v>1162</v>
      </c>
      <c r="R552">
        <v>2</v>
      </c>
      <c r="S552" s="7" t="s">
        <v>4585</v>
      </c>
      <c r="U552">
        <v>1</v>
      </c>
      <c r="V552" s="4">
        <v>275</v>
      </c>
      <c r="W552">
        <v>1</v>
      </c>
      <c r="X552" s="4">
        <v>281</v>
      </c>
      <c r="Y552">
        <v>1</v>
      </c>
      <c r="Z552" s="4">
        <v>280</v>
      </c>
      <c r="AA552">
        <v>1</v>
      </c>
      <c r="AB552" s="4" t="str">
        <f>HYPERLINK("http://exon.niaid.nih.gov/transcriptome/C_felis/S1/links/XC-ASB/cf-contig_342-XC-ASB.txt","XC-contig_230")</f>
        <v>XC-contig_230</v>
      </c>
      <c r="AC552">
        <v>0.25</v>
      </c>
      <c r="AD552" s="10" t="s">
        <v>4600</v>
      </c>
      <c r="AE552" t="s">
        <v>4601</v>
      </c>
      <c r="AI552" s="4" t="str">
        <f>HYPERLINK("http://exon.niaid.nih.gov/transcriptome/C_felis/S1/links/NR/cf-contig_342-NR.txt","hypothetical protein LOC100745853 isoform 2")</f>
        <v>hypothetical protein LOC100745853 isoform 2</v>
      </c>
      <c r="AJ552" t="str">
        <f>HYPERLINK("http://www.ncbi.nlm.nih.gov/sutils/blink.cgi?pid=350407822","4E-005")</f>
        <v>4E-005</v>
      </c>
      <c r="AK552" t="str">
        <f>HYPERLINK("http://www.ncbi.nlm.nih.gov/protein/350407822","gi|350407822")</f>
        <v>gi|350407822</v>
      </c>
      <c r="AL552">
        <v>52.4</v>
      </c>
      <c r="AM552">
        <v>56</v>
      </c>
      <c r="AN552">
        <v>425</v>
      </c>
      <c r="AO552">
        <v>50</v>
      </c>
      <c r="AP552">
        <v>13</v>
      </c>
      <c r="AQ552">
        <v>32</v>
      </c>
      <c r="AR552">
        <v>3</v>
      </c>
      <c r="AS552">
        <v>369</v>
      </c>
      <c r="AT552">
        <v>29</v>
      </c>
      <c r="AU552">
        <v>1</v>
      </c>
      <c r="AV552">
        <v>2</v>
      </c>
      <c r="AW552" t="s">
        <v>12</v>
      </c>
      <c r="AY552" t="s">
        <v>1676</v>
      </c>
      <c r="AZ552" t="s">
        <v>2234</v>
      </c>
      <c r="BA552" s="4" t="str">
        <f>HYPERLINK("http://exon.niaid.nih.gov/transcriptome/C_felis/S1/links/SWISSP/cf-contig_342-SWISSP.txt","Nuclear localization sequence-binding protein")</f>
        <v>Nuclear localization sequence-binding protein</v>
      </c>
      <c r="BB552" t="str">
        <f>HYPERLINK("http://www.uniprot.org/uniprot/P27476","0.054")</f>
        <v>0.054</v>
      </c>
      <c r="BC552" t="s">
        <v>2890</v>
      </c>
      <c r="BD552">
        <v>37.700000000000003</v>
      </c>
      <c r="BE552">
        <v>52</v>
      </c>
      <c r="BF552">
        <v>414</v>
      </c>
      <c r="BG552">
        <v>46</v>
      </c>
      <c r="BH552">
        <v>13</v>
      </c>
      <c r="BI552">
        <v>26</v>
      </c>
      <c r="BJ552">
        <v>0</v>
      </c>
      <c r="BK552">
        <v>352</v>
      </c>
      <c r="BL552">
        <v>29</v>
      </c>
      <c r="BM552">
        <v>2</v>
      </c>
      <c r="BN552">
        <v>2</v>
      </c>
      <c r="BO552" t="s">
        <v>12</v>
      </c>
      <c r="BQ552" t="s">
        <v>1676</v>
      </c>
      <c r="BR552" t="s">
        <v>1796</v>
      </c>
      <c r="BS552" s="4" t="str">
        <f>HYPERLINK("http://exon.niaid.nih.gov/transcriptome/C_felis/S1/links/CDD/cf-contig_342-CDD.txt","PRK11634")</f>
        <v>PRK11634</v>
      </c>
      <c r="BT552" t="str">
        <f>HYPERLINK("http://www.ncbi.nlm.nih.gov/Structure/cdd/cddsrv.cgi?uid=PRK11634&amp;version=v4.0","0.25")</f>
        <v>0.25</v>
      </c>
      <c r="BU552" t="s">
        <v>2891</v>
      </c>
      <c r="BV552" s="4" t="s">
        <v>42</v>
      </c>
      <c r="BW552" t="s">
        <v>42</v>
      </c>
      <c r="BX552" t="s">
        <v>42</v>
      </c>
      <c r="BY552" t="s">
        <v>42</v>
      </c>
      <c r="BZ552" t="s">
        <v>42</v>
      </c>
      <c r="CA552" t="s">
        <v>42</v>
      </c>
      <c r="CB552" t="s">
        <v>42</v>
      </c>
      <c r="CC552" t="s">
        <v>42</v>
      </c>
      <c r="CD552" t="s">
        <v>42</v>
      </c>
      <c r="CE552" t="s">
        <v>42</v>
      </c>
      <c r="CF552" t="s">
        <v>42</v>
      </c>
      <c r="CG552" t="s">
        <v>42</v>
      </c>
      <c r="CH552" t="s">
        <v>42</v>
      </c>
      <c r="CI552" t="s">
        <v>42</v>
      </c>
      <c r="CJ552" t="s">
        <v>42</v>
      </c>
      <c r="CK552" t="s">
        <v>42</v>
      </c>
      <c r="CL552" t="s">
        <v>42</v>
      </c>
      <c r="CM552" t="s">
        <v>42</v>
      </c>
      <c r="CN552" t="s">
        <v>42</v>
      </c>
      <c r="CO552" t="s">
        <v>42</v>
      </c>
      <c r="CP552" t="s">
        <v>42</v>
      </c>
      <c r="CQ552" t="s">
        <v>42</v>
      </c>
      <c r="CR552" t="s">
        <v>42</v>
      </c>
      <c r="CS552" s="4" t="str">
        <f>HYPERLINK("http://exon.niaid.nih.gov/transcriptome/C_felis/S1/links/KOG/cf-contig_342-KOG.txt","H/ACA small nucleolar RNP component GAR1")</f>
        <v>H/ACA small nucleolar RNP component GAR1</v>
      </c>
      <c r="CT552" t="str">
        <f>HYPERLINK("http://www.ncbi.nlm.nih.gov/COG/grace/shokog.cgi?KOG3262","0.025")</f>
        <v>0.025</v>
      </c>
      <c r="CU552" t="s">
        <v>1707</v>
      </c>
      <c r="CV552" s="4" t="str">
        <f>HYPERLINK("http://exon.niaid.nih.gov/transcriptome/C_felis/S1/links/PFAM/cf-contig_342-PFAM.txt","DEC-1_N")</f>
        <v>DEC-1_N</v>
      </c>
      <c r="CW552" t="str">
        <f>HYPERLINK("http://pfam.sanger.ac.uk/family?acc=PF04625","0.056")</f>
        <v>0.056</v>
      </c>
      <c r="CX552" s="4" t="str">
        <f>HYPERLINK("http://exon.niaid.nih.gov/transcriptome/C_felis/S1/links/SMART/cf-contig_342-SMART.txt","LytTR")</f>
        <v>LytTR</v>
      </c>
      <c r="CY552" t="str">
        <f>HYPERLINK("http://smart.embl-heidelberg.de/smart/do_annotation.pl?DOMAIN=LytTR&amp;BLAST=DUMMY","0.054")</f>
        <v>0.054</v>
      </c>
      <c r="CZ552" s="4" t="s">
        <v>42</v>
      </c>
      <c r="DA552" t="s">
        <v>42</v>
      </c>
      <c r="DB552" t="s">
        <v>42</v>
      </c>
      <c r="DC552" t="s">
        <v>42</v>
      </c>
      <c r="DD552" t="s">
        <v>42</v>
      </c>
      <c r="DE552" t="s">
        <v>42</v>
      </c>
      <c r="DF552" t="s">
        <v>42</v>
      </c>
      <c r="DG552" t="s">
        <v>42</v>
      </c>
      <c r="DH552" s="4" t="s">
        <v>42</v>
      </c>
      <c r="DI552" t="s">
        <v>42</v>
      </c>
      <c r="DJ552" s="4" t="s">
        <v>42</v>
      </c>
      <c r="DK552" t="s">
        <v>42</v>
      </c>
      <c r="DL552" s="4">
        <v>275</v>
      </c>
      <c r="DM552">
        <v>1</v>
      </c>
      <c r="DN552" s="4">
        <v>281</v>
      </c>
      <c r="DO552">
        <v>1</v>
      </c>
      <c r="DP552" s="4">
        <v>280</v>
      </c>
      <c r="DQ552">
        <v>1</v>
      </c>
      <c r="DR552" s="4">
        <v>290</v>
      </c>
      <c r="DS552">
        <v>1</v>
      </c>
      <c r="DT552" s="4">
        <v>300</v>
      </c>
      <c r="DU552">
        <v>1</v>
      </c>
      <c r="DV552" s="4">
        <v>313</v>
      </c>
      <c r="DW552">
        <v>1</v>
      </c>
      <c r="DX552" s="4">
        <v>316</v>
      </c>
      <c r="DY552">
        <v>1</v>
      </c>
      <c r="DZ552" s="4">
        <v>321</v>
      </c>
      <c r="EA552">
        <v>1</v>
      </c>
      <c r="EB552" s="4">
        <v>326</v>
      </c>
      <c r="EC552">
        <v>1</v>
      </c>
      <c r="ED552" s="4">
        <v>330</v>
      </c>
      <c r="EE552">
        <v>1</v>
      </c>
      <c r="EF552" s="4">
        <v>335</v>
      </c>
      <c r="EG552">
        <v>1</v>
      </c>
      <c r="EH552" s="4">
        <v>337</v>
      </c>
      <c r="EI552">
        <v>1</v>
      </c>
      <c r="EJ552" s="4">
        <v>342</v>
      </c>
      <c r="EK552">
        <v>1</v>
      </c>
    </row>
    <row r="553" spans="1:141" x14ac:dyDescent="0.2">
      <c r="A553" t="str">
        <f>HYPERLINK("http://exon.niaid.nih.gov/transcriptome/C_felis/S1/links/cf/cf-contig_709.txt","cf-contig_709")</f>
        <v>cf-contig_709</v>
      </c>
      <c r="B553">
        <v>1</v>
      </c>
      <c r="C553" s="10" t="s">
        <v>4600</v>
      </c>
      <c r="D553">
        <v>1</v>
      </c>
      <c r="E553" t="str">
        <f>HYPERLINK("http://exon.niaid.nih.gov/transcriptome/C_felis/S1/links/cf/cf-5-36-asb-709.txt","Contig-709")</f>
        <v>Contig-709</v>
      </c>
      <c r="F553" t="str">
        <f>HYPERLINK("http://exon.niaid.nih.gov/transcriptome/C_felis/S1/links/cf/cf-5-36-709-CLU.txt","Contig709")</f>
        <v>Contig709</v>
      </c>
      <c r="G553" t="str">
        <f>HYPERLINK("http://exon.niaid.nih.gov/transcriptome/C_felis/S1/links/cf/cf-5-36-709-qual.txt","64.5")</f>
        <v>64.5</v>
      </c>
      <c r="H553" t="s">
        <v>11</v>
      </c>
      <c r="I553">
        <v>69.599999999999994</v>
      </c>
      <c r="J553">
        <v>244</v>
      </c>
      <c r="K553" t="s">
        <v>12</v>
      </c>
      <c r="L553">
        <v>1</v>
      </c>
      <c r="M553" t="s">
        <v>722</v>
      </c>
      <c r="N553">
        <v>244</v>
      </c>
      <c r="O553">
        <v>263</v>
      </c>
      <c r="P553">
        <v>159</v>
      </c>
      <c r="Q553" t="s">
        <v>1528</v>
      </c>
      <c r="R553">
        <v>1</v>
      </c>
      <c r="S553" s="7" t="s">
        <v>4585</v>
      </c>
      <c r="U553">
        <v>1</v>
      </c>
      <c r="V553" s="4">
        <v>576</v>
      </c>
      <c r="W553">
        <v>1</v>
      </c>
      <c r="X553" s="4">
        <v>592</v>
      </c>
      <c r="Y553">
        <v>1</v>
      </c>
      <c r="Z553" s="4">
        <v>605</v>
      </c>
      <c r="AA553">
        <v>1</v>
      </c>
      <c r="AB553" s="4" t="str">
        <f>HYPERLINK("http://exon.niaid.nih.gov/transcriptome/C_felis/S1/links/XC-ASB/cf-contig_709-XC-ASB.txt","XC-contig_61")</f>
        <v>XC-contig_61</v>
      </c>
      <c r="AC553">
        <v>0.32</v>
      </c>
      <c r="AD553" s="10" t="s">
        <v>4600</v>
      </c>
      <c r="AE553" t="s">
        <v>4601</v>
      </c>
      <c r="AI553" s="4" t="str">
        <f>HYPERLINK("http://exon.niaid.nih.gov/transcriptome/C_felis/S1/links/NR/cf-contig_709-NR.txt","UDP-glucuronosyltransferase 2B30-like")</f>
        <v>UDP-glucuronosyltransferase 2B30-like</v>
      </c>
      <c r="AJ553" t="str">
        <f>HYPERLINK("http://www.ncbi.nlm.nih.gov/sutils/blink.cgi?pid=340721181","47")</f>
        <v>47</v>
      </c>
      <c r="AK553" t="str">
        <f>HYPERLINK("http://www.ncbi.nlm.nih.gov/protein/340721181","gi|340721181")</f>
        <v>gi|340721181</v>
      </c>
      <c r="AL553">
        <v>31.6</v>
      </c>
      <c r="AM553">
        <v>18</v>
      </c>
      <c r="AN553">
        <v>500</v>
      </c>
      <c r="AO553">
        <v>57</v>
      </c>
      <c r="AP553">
        <v>4</v>
      </c>
      <c r="AQ553">
        <v>8</v>
      </c>
      <c r="AR553">
        <v>0</v>
      </c>
      <c r="AS553">
        <v>186</v>
      </c>
      <c r="AT553">
        <v>29</v>
      </c>
      <c r="AU553">
        <v>1</v>
      </c>
      <c r="AV553">
        <v>-2</v>
      </c>
      <c r="AW553" t="s">
        <v>12</v>
      </c>
      <c r="AY553" t="s">
        <v>1666</v>
      </c>
      <c r="AZ553" t="s">
        <v>2212</v>
      </c>
      <c r="BA553" s="4" t="str">
        <f>HYPERLINK("http://exon.niaid.nih.gov/transcriptome/C_felis/S1/links/SWISSP/cf-contig_709-SWISSP.txt","Neurotoxin B-IV")</f>
        <v>Neurotoxin B-IV</v>
      </c>
      <c r="BB553" t="str">
        <f>HYPERLINK("http://www.uniprot.org/uniprot/P01525","41")</f>
        <v>41</v>
      </c>
      <c r="BC553" t="s">
        <v>4234</v>
      </c>
      <c r="BD553">
        <v>26.9</v>
      </c>
      <c r="BE553">
        <v>15</v>
      </c>
      <c r="BF553">
        <v>55</v>
      </c>
      <c r="BG553">
        <v>56</v>
      </c>
      <c r="BH553">
        <v>29</v>
      </c>
      <c r="BI553">
        <v>7</v>
      </c>
      <c r="BJ553">
        <v>0</v>
      </c>
      <c r="BK553">
        <v>10</v>
      </c>
      <c r="BL553">
        <v>25</v>
      </c>
      <c r="BM553">
        <v>1</v>
      </c>
      <c r="BN553">
        <v>1</v>
      </c>
      <c r="BO553" t="s">
        <v>12</v>
      </c>
      <c r="BQ553" t="s">
        <v>1676</v>
      </c>
      <c r="BR553" t="s">
        <v>4235</v>
      </c>
      <c r="BS553" s="4" t="str">
        <f>HYPERLINK("http://exon.niaid.nih.gov/transcriptome/C_felis/S1/links/CDD/cf-contig_709-CDD.txt","PRK15294")</f>
        <v>PRK15294</v>
      </c>
      <c r="BT553" t="str">
        <f>HYPERLINK("http://www.ncbi.nlm.nih.gov/Structure/cdd/cddsrv.cgi?uid=PRK15294&amp;version=v4.0","0.67")</f>
        <v>0.67</v>
      </c>
      <c r="BU553" t="s">
        <v>4236</v>
      </c>
      <c r="BV553" s="4" t="s">
        <v>42</v>
      </c>
      <c r="BW553" t="s">
        <v>42</v>
      </c>
      <c r="BX553" t="s">
        <v>42</v>
      </c>
      <c r="BY553" t="s">
        <v>42</v>
      </c>
      <c r="BZ553" t="s">
        <v>42</v>
      </c>
      <c r="CA553" t="s">
        <v>42</v>
      </c>
      <c r="CB553" t="s">
        <v>42</v>
      </c>
      <c r="CC553" t="s">
        <v>42</v>
      </c>
      <c r="CD553" t="s">
        <v>42</v>
      </c>
      <c r="CE553" t="s">
        <v>42</v>
      </c>
      <c r="CF553" t="s">
        <v>42</v>
      </c>
      <c r="CG553" t="s">
        <v>42</v>
      </c>
      <c r="CH553" t="s">
        <v>42</v>
      </c>
      <c r="CI553" t="s">
        <v>42</v>
      </c>
      <c r="CJ553" t="s">
        <v>42</v>
      </c>
      <c r="CK553" t="s">
        <v>42</v>
      </c>
      <c r="CL553" t="s">
        <v>42</v>
      </c>
      <c r="CM553" t="s">
        <v>42</v>
      </c>
      <c r="CN553" t="s">
        <v>42</v>
      </c>
      <c r="CO553" t="s">
        <v>42</v>
      </c>
      <c r="CP553" t="s">
        <v>42</v>
      </c>
      <c r="CQ553" t="s">
        <v>42</v>
      </c>
      <c r="CR553" t="s">
        <v>42</v>
      </c>
      <c r="CS553" s="4" t="str">
        <f>HYPERLINK("http://exon.niaid.nih.gov/transcriptome/C_felis/S1/links/KOG/cf-contig_709-KOG.txt","Acyl-CoA:dihydroxyactetone-phosphate acyltransferase DHAPAT")</f>
        <v>Acyl-CoA:dihydroxyactetone-phosphate acyltransferase DHAPAT</v>
      </c>
      <c r="CT553" t="str">
        <f>HYPERLINK("http://www.ncbi.nlm.nih.gov/COG/grace/shokog.cgi?KOG3730","1.1")</f>
        <v>1.1</v>
      </c>
      <c r="CU553" t="s">
        <v>1761</v>
      </c>
      <c r="CV553" s="4" t="str">
        <f>HYPERLINK("http://exon.niaid.nih.gov/transcriptome/C_felis/S1/links/PFAM/cf-contig_709-PFAM.txt","HEPPP_synt_1")</f>
        <v>HEPPP_synt_1</v>
      </c>
      <c r="CW553" t="str">
        <f>HYPERLINK("http://pfam.sanger.ac.uk/family?acc=PF07307","0.32")</f>
        <v>0.32</v>
      </c>
      <c r="CX553" s="4" t="str">
        <f>HYPERLINK("http://exon.niaid.nih.gov/transcriptome/C_felis/S1/links/SMART/cf-contig_709-SMART.txt","EF1_GNE")</f>
        <v>EF1_GNE</v>
      </c>
      <c r="CY553" t="str">
        <f>HYPERLINK("http://smart.embl-heidelberg.de/smart/do_annotation.pl?DOMAIN=EF1_GNE&amp;BLAST=DUMMY","0.23")</f>
        <v>0.23</v>
      </c>
      <c r="CZ553" s="4" t="s">
        <v>42</v>
      </c>
      <c r="DA553" t="s">
        <v>42</v>
      </c>
      <c r="DB553" t="s">
        <v>42</v>
      </c>
      <c r="DC553" t="s">
        <v>42</v>
      </c>
      <c r="DD553" t="s">
        <v>42</v>
      </c>
      <c r="DE553" t="s">
        <v>42</v>
      </c>
      <c r="DF553" t="s">
        <v>42</v>
      </c>
      <c r="DG553" t="s">
        <v>42</v>
      </c>
      <c r="DH553" s="4" t="s">
        <v>42</v>
      </c>
      <c r="DI553" t="s">
        <v>42</v>
      </c>
      <c r="DJ553" s="4" t="s">
        <v>42</v>
      </c>
      <c r="DK553" t="s">
        <v>42</v>
      </c>
      <c r="DL553" s="4">
        <v>576</v>
      </c>
      <c r="DM553">
        <v>1</v>
      </c>
      <c r="DN553" s="4">
        <v>592</v>
      </c>
      <c r="DO553">
        <v>1</v>
      </c>
      <c r="DP553" s="4">
        <v>605</v>
      </c>
      <c r="DQ553">
        <v>1</v>
      </c>
      <c r="DR553" s="4">
        <v>626</v>
      </c>
      <c r="DS553">
        <v>1</v>
      </c>
      <c r="DT553" s="4">
        <v>640</v>
      </c>
      <c r="DU553">
        <v>1</v>
      </c>
      <c r="DV553" s="4">
        <v>655</v>
      </c>
      <c r="DW553">
        <v>1</v>
      </c>
      <c r="DX553" s="4">
        <v>666</v>
      </c>
      <c r="DY553">
        <v>1</v>
      </c>
      <c r="DZ553" s="4">
        <v>676</v>
      </c>
      <c r="EA553">
        <v>1</v>
      </c>
      <c r="EB553" s="4">
        <v>681</v>
      </c>
      <c r="EC553">
        <v>1</v>
      </c>
      <c r="ED553" s="4">
        <v>685</v>
      </c>
      <c r="EE553">
        <v>1</v>
      </c>
      <c r="EF553" s="4">
        <v>691</v>
      </c>
      <c r="EG553">
        <v>1</v>
      </c>
      <c r="EH553" s="4">
        <v>700</v>
      </c>
      <c r="EI553">
        <v>1</v>
      </c>
      <c r="EJ553" s="4">
        <v>709</v>
      </c>
      <c r="EK553">
        <v>1</v>
      </c>
    </row>
    <row r="554" spans="1:141" x14ac:dyDescent="0.2">
      <c r="A554" t="str">
        <f>HYPERLINK("http://exon.niaid.nih.gov/transcriptome/C_felis/S1/links/cf/cf-contig_432.txt","cf-contig_432")</f>
        <v>cf-contig_432</v>
      </c>
      <c r="B554">
        <v>1</v>
      </c>
      <c r="C554" s="10" t="s">
        <v>4600</v>
      </c>
      <c r="D554">
        <v>1</v>
      </c>
      <c r="E554" t="str">
        <f>HYPERLINK("http://exon.niaid.nih.gov/transcriptome/C_felis/S1/links/cf/cf-5-36-asb-432.txt","Contig-432")</f>
        <v>Contig-432</v>
      </c>
      <c r="F554" t="str">
        <f>HYPERLINK("http://exon.niaid.nih.gov/transcriptome/C_felis/S1/links/cf/cf-5-36-432-CLU.txt","Contig432")</f>
        <v>Contig432</v>
      </c>
      <c r="G554" t="str">
        <f>HYPERLINK("http://exon.niaid.nih.gov/transcriptome/C_felis/S1/links/cf/cf-5-36-432-qual.txt","61.4")</f>
        <v>61.4</v>
      </c>
      <c r="H554" t="s">
        <v>11</v>
      </c>
      <c r="I554">
        <v>73.099999999999994</v>
      </c>
      <c r="J554">
        <v>245</v>
      </c>
      <c r="K554" t="s">
        <v>12</v>
      </c>
      <c r="L554">
        <v>1</v>
      </c>
      <c r="M554" t="s">
        <v>445</v>
      </c>
      <c r="N554">
        <v>245</v>
      </c>
      <c r="O554">
        <v>264</v>
      </c>
      <c r="P554">
        <v>108</v>
      </c>
      <c r="Q554" t="s">
        <v>1252</v>
      </c>
      <c r="R554">
        <v>3</v>
      </c>
      <c r="S554" s="7" t="s">
        <v>4585</v>
      </c>
      <c r="U554">
        <v>1</v>
      </c>
      <c r="V554" s="4">
        <f>HYPERLINK("http://exon.niaid.nih.gov/transcriptome/C_felis/S1/links/cluster/cf-5-36-asb30-50-Id-CLU76.txt", 76)</f>
        <v>76</v>
      </c>
      <c r="W554">
        <f>HYPERLINK("http://exon.niaid.nih.gov/transcriptome/C_felis/S1/links/cluster/cf-5-36-asb30-50-Id-CLTL76.txt", 2)</f>
        <v>2</v>
      </c>
      <c r="X554" s="4">
        <f>HYPERLINK("http://exon.niaid.nih.gov/transcriptome/C_felis/S1/links/cluster/cf-5-36-asb35-50-Id-CLU68.txt", 68)</f>
        <v>68</v>
      </c>
      <c r="Y554">
        <f>HYPERLINK("http://exon.niaid.nih.gov/transcriptome/C_felis/S1/links/cluster/cf-5-36-asb35-50-Id-CLTL68.txt", 2)</f>
        <v>2</v>
      </c>
      <c r="Z554" s="4">
        <f>HYPERLINK("http://exon.niaid.nih.gov/transcriptome/C_felis/S1/links/cluster/cf-5-36-asb40-50-Id-CLU63.txt", 63)</f>
        <v>63</v>
      </c>
      <c r="AA554">
        <f>HYPERLINK("http://exon.niaid.nih.gov/transcriptome/C_felis/S1/links/cluster/cf-5-36-asb40-50-Id-CLTL63.txt", 2)</f>
        <v>2</v>
      </c>
      <c r="AB554" s="4" t="str">
        <f>HYPERLINK("http://exon.niaid.nih.gov/transcriptome/C_felis/S1/links/XC-ASB/cf-contig_432-XC-ASB.txt","XC-contig_99")</f>
        <v>XC-contig_99</v>
      </c>
      <c r="AC554">
        <v>0.12</v>
      </c>
      <c r="AD554" s="10" t="s">
        <v>4600</v>
      </c>
      <c r="AE554" t="s">
        <v>4601</v>
      </c>
      <c r="AI554" s="4" t="str">
        <f>HYPERLINK("http://exon.niaid.nih.gov/transcriptome/C_felis/S1/links/NR/cf-contig_432-NR.txt","MlpL-like protein, lipoprotein")</f>
        <v>MlpL-like protein, lipoprotein</v>
      </c>
      <c r="AJ554" t="str">
        <f>HYPERLINK("http://www.ncbi.nlm.nih.gov/sutils/blink.cgi?pid=203288779","4.3")</f>
        <v>4.3</v>
      </c>
      <c r="AK554" t="str">
        <f>HYPERLINK("http://www.ncbi.nlm.nih.gov/protein/203288779","gi|203288779")</f>
        <v>gi|203288779</v>
      </c>
      <c r="AL554">
        <v>35</v>
      </c>
      <c r="AM554">
        <v>35</v>
      </c>
      <c r="AN554">
        <v>144</v>
      </c>
      <c r="AO554">
        <v>33</v>
      </c>
      <c r="AP554">
        <v>25</v>
      </c>
      <c r="AQ554">
        <v>24</v>
      </c>
      <c r="AR554">
        <v>0</v>
      </c>
      <c r="AS554">
        <v>1</v>
      </c>
      <c r="AT554">
        <v>52</v>
      </c>
      <c r="AU554">
        <v>1</v>
      </c>
      <c r="AV554">
        <v>-1</v>
      </c>
      <c r="AW554" t="s">
        <v>12</v>
      </c>
      <c r="AY554" t="s">
        <v>1666</v>
      </c>
      <c r="AZ554" t="s">
        <v>3214</v>
      </c>
      <c r="BA554" s="4" t="str">
        <f>HYPERLINK("http://exon.niaid.nih.gov/transcriptome/C_felis/S1/links/SWISSP/cf-contig_432-SWISSP.txt","Cytochrome c biogenesis protein ccsA")</f>
        <v>Cytochrome c biogenesis protein ccsA</v>
      </c>
      <c r="BB554" t="str">
        <f>HYPERLINK("http://www.uniprot.org/uniprot/Q09WW9","6.3")</f>
        <v>6.3</v>
      </c>
      <c r="BC554" t="s">
        <v>3215</v>
      </c>
      <c r="BD554">
        <v>29.6</v>
      </c>
      <c r="BE554">
        <v>29</v>
      </c>
      <c r="BF554">
        <v>321</v>
      </c>
      <c r="BG554">
        <v>46</v>
      </c>
      <c r="BH554">
        <v>9</v>
      </c>
      <c r="BI554">
        <v>16</v>
      </c>
      <c r="BJ554">
        <v>0</v>
      </c>
      <c r="BK554">
        <v>89</v>
      </c>
      <c r="BL554">
        <v>29</v>
      </c>
      <c r="BM554">
        <v>1</v>
      </c>
      <c r="BN554">
        <v>-3</v>
      </c>
      <c r="BO554" t="s">
        <v>12</v>
      </c>
      <c r="BQ554" t="s">
        <v>1666</v>
      </c>
      <c r="BR554" t="s">
        <v>3216</v>
      </c>
      <c r="BS554" s="4" t="str">
        <f>HYPERLINK("http://exon.niaid.nih.gov/transcriptome/C_felis/S1/links/CDD/cf-contig_432-CDD.txt","Srg")</f>
        <v>Srg</v>
      </c>
      <c r="BT554" t="str">
        <f>HYPERLINK("http://www.ncbi.nlm.nih.gov/Structure/cdd/cddsrv.cgi?uid=pfam02118&amp;version=v4.0","0.16")</f>
        <v>0.16</v>
      </c>
      <c r="BU554" t="s">
        <v>3217</v>
      </c>
      <c r="BV554" s="4" t="s">
        <v>42</v>
      </c>
      <c r="BW554" t="s">
        <v>42</v>
      </c>
      <c r="BX554" t="s">
        <v>42</v>
      </c>
      <c r="BY554" t="s">
        <v>42</v>
      </c>
      <c r="BZ554" t="s">
        <v>42</v>
      </c>
      <c r="CA554" t="s">
        <v>42</v>
      </c>
      <c r="CB554" t="s">
        <v>42</v>
      </c>
      <c r="CC554" t="s">
        <v>42</v>
      </c>
      <c r="CD554" t="s">
        <v>42</v>
      </c>
      <c r="CE554" t="s">
        <v>42</v>
      </c>
      <c r="CF554" t="s">
        <v>42</v>
      </c>
      <c r="CG554" t="s">
        <v>42</v>
      </c>
      <c r="CH554" t="s">
        <v>42</v>
      </c>
      <c r="CI554" t="s">
        <v>42</v>
      </c>
      <c r="CJ554" t="s">
        <v>42</v>
      </c>
      <c r="CK554" t="s">
        <v>42</v>
      </c>
      <c r="CL554" t="s">
        <v>42</v>
      </c>
      <c r="CM554" t="s">
        <v>42</v>
      </c>
      <c r="CN554" t="s">
        <v>42</v>
      </c>
      <c r="CO554" t="s">
        <v>42</v>
      </c>
      <c r="CP554" t="s">
        <v>42</v>
      </c>
      <c r="CQ554" t="s">
        <v>42</v>
      </c>
      <c r="CR554" t="s">
        <v>42</v>
      </c>
      <c r="CS554" s="4" t="str">
        <f>HYPERLINK("http://exon.niaid.nih.gov/transcriptome/C_felis/S1/links/KOG/cf-contig_432-KOG.txt","Tumor differentially expressed (TDE) protein")</f>
        <v>Tumor differentially expressed (TDE) protein</v>
      </c>
      <c r="CT554" t="str">
        <f>HYPERLINK("http://www.ncbi.nlm.nih.gov/COG/grace/shokog.cgi?KOG2592","0.12")</f>
        <v>0.12</v>
      </c>
      <c r="CU554" t="s">
        <v>1711</v>
      </c>
      <c r="CV554" s="4" t="str">
        <f>HYPERLINK("http://exon.niaid.nih.gov/transcriptome/C_felis/S1/links/PFAM/cf-contig_432-PFAM.txt","Srg")</f>
        <v>Srg</v>
      </c>
      <c r="CW554" t="str">
        <f>HYPERLINK("http://pfam.sanger.ac.uk/family?acc=PF02118","0.033")</f>
        <v>0.033</v>
      </c>
      <c r="CX554" s="4" t="str">
        <f>HYPERLINK("http://exon.niaid.nih.gov/transcriptome/C_felis/S1/links/SMART/cf-contig_432-SMART.txt","BBC")</f>
        <v>BBC</v>
      </c>
      <c r="CY554" t="str">
        <f>HYPERLINK("http://smart.embl-heidelberg.de/smart/do_annotation.pl?DOMAIN=BBC&amp;BLAST=DUMMY","0.002")</f>
        <v>0.002</v>
      </c>
      <c r="CZ554" s="4" t="s">
        <v>42</v>
      </c>
      <c r="DA554" t="s">
        <v>42</v>
      </c>
      <c r="DB554" t="s">
        <v>42</v>
      </c>
      <c r="DC554" t="s">
        <v>42</v>
      </c>
      <c r="DD554" t="s">
        <v>42</v>
      </c>
      <c r="DE554" t="s">
        <v>42</v>
      </c>
      <c r="DF554" t="s">
        <v>42</v>
      </c>
      <c r="DG554" t="s">
        <v>42</v>
      </c>
      <c r="DH554" s="4" t="s">
        <v>42</v>
      </c>
      <c r="DI554" t="s">
        <v>42</v>
      </c>
      <c r="DJ554" s="4" t="s">
        <v>42</v>
      </c>
      <c r="DK554" t="s">
        <v>42</v>
      </c>
      <c r="DL554" s="4">
        <f>HYPERLINK("http://exon.niaid.nih.gov/transcriptome/C_felis/S1/links/cluster/cf-5-36-asb30-50-Id-CLU76.txt", 76)</f>
        <v>76</v>
      </c>
      <c r="DM554">
        <f>HYPERLINK("http://exon.niaid.nih.gov/transcriptome/C_felis/S1/links/cluster/cf-5-36-asb30-50-Id-CLTL76.txt", 2)</f>
        <v>2</v>
      </c>
      <c r="DN554" s="4">
        <f>HYPERLINK("http://exon.niaid.nih.gov/transcriptome/C_felis/S1/links/cluster/cf-5-36-asb35-50-Id-CLU68.txt", 68)</f>
        <v>68</v>
      </c>
      <c r="DO554">
        <f>HYPERLINK("http://exon.niaid.nih.gov/transcriptome/C_felis/S1/links/cluster/cf-5-36-asb35-50-Id-CLTL68.txt", 2)</f>
        <v>2</v>
      </c>
      <c r="DP554" s="4">
        <f>HYPERLINK("http://exon.niaid.nih.gov/transcriptome/C_felis/S1/links/cluster/cf-5-36-asb40-50-Id-CLU63.txt", 63)</f>
        <v>63</v>
      </c>
      <c r="DQ554">
        <f>HYPERLINK("http://exon.niaid.nih.gov/transcriptome/C_felis/S1/links/cluster/cf-5-36-asb40-50-Id-CLTL63.txt", 2)</f>
        <v>2</v>
      </c>
      <c r="DR554" s="4">
        <f>HYPERLINK("http://exon.niaid.nih.gov/transcriptome/C_felis/S1/links/cluster/cf-5-36-asb45-50-Id-CLU376.txt", 376)</f>
        <v>376</v>
      </c>
      <c r="DS554">
        <f>HYPERLINK("http://exon.niaid.nih.gov/transcriptome/C_felis/S1/links/cluster/cf-5-36-asb45-50-Id-CLTL376.txt", 1)</f>
        <v>1</v>
      </c>
      <c r="DT554" s="4">
        <v>386</v>
      </c>
      <c r="DU554">
        <v>1</v>
      </c>
      <c r="DV554" s="4">
        <v>400</v>
      </c>
      <c r="DW554">
        <v>1</v>
      </c>
      <c r="DX554" s="4">
        <v>403</v>
      </c>
      <c r="DY554">
        <v>1</v>
      </c>
      <c r="DZ554" s="4">
        <v>408</v>
      </c>
      <c r="EA554">
        <v>1</v>
      </c>
      <c r="EB554" s="4">
        <v>413</v>
      </c>
      <c r="EC554">
        <v>1</v>
      </c>
      <c r="ED554" s="4">
        <v>417</v>
      </c>
      <c r="EE554">
        <v>1</v>
      </c>
      <c r="EF554" s="4">
        <v>422</v>
      </c>
      <c r="EG554">
        <v>1</v>
      </c>
      <c r="EH554" s="4">
        <v>426</v>
      </c>
      <c r="EI554">
        <v>1</v>
      </c>
      <c r="EJ554" s="4">
        <v>432</v>
      </c>
      <c r="EK554">
        <v>1</v>
      </c>
    </row>
    <row r="555" spans="1:141" x14ac:dyDescent="0.2">
      <c r="A555" t="str">
        <f>HYPERLINK("http://exon.niaid.nih.gov/transcriptome/C_felis/S1/links/cf/cf-contig_477.txt","cf-contig_477")</f>
        <v>cf-contig_477</v>
      </c>
      <c r="B555">
        <v>1</v>
      </c>
      <c r="C555" s="10" t="s">
        <v>4600</v>
      </c>
      <c r="D555">
        <v>1</v>
      </c>
      <c r="E555" t="str">
        <f>HYPERLINK("http://exon.niaid.nih.gov/transcriptome/C_felis/S1/links/cf/cf-5-36-asb-477.txt","Contig-477")</f>
        <v>Contig-477</v>
      </c>
      <c r="F555" t="str">
        <f>HYPERLINK("http://exon.niaid.nih.gov/transcriptome/C_felis/S1/links/cf/cf-5-36-477-CLU.txt","Contig477")</f>
        <v>Contig477</v>
      </c>
      <c r="G555" t="str">
        <f>HYPERLINK("http://exon.niaid.nih.gov/transcriptome/C_felis/S1/links/cf/cf-5-36-477-qual.txt","61.")</f>
        <v>61.</v>
      </c>
      <c r="H555" t="s">
        <v>11</v>
      </c>
      <c r="I555">
        <v>78</v>
      </c>
      <c r="J555">
        <v>344</v>
      </c>
      <c r="K555" t="s">
        <v>12</v>
      </c>
      <c r="L555">
        <v>1</v>
      </c>
      <c r="M555" t="s">
        <v>490</v>
      </c>
      <c r="N555">
        <v>344</v>
      </c>
      <c r="O555">
        <v>363</v>
      </c>
      <c r="P555">
        <v>132</v>
      </c>
      <c r="Q555" t="s">
        <v>1296</v>
      </c>
      <c r="R555">
        <v>1</v>
      </c>
      <c r="S555" s="7" t="s">
        <v>4585</v>
      </c>
      <c r="U555">
        <v>1</v>
      </c>
      <c r="V555" s="4">
        <v>388</v>
      </c>
      <c r="W555">
        <v>1</v>
      </c>
      <c r="X555" s="4">
        <v>397</v>
      </c>
      <c r="Y555">
        <v>1</v>
      </c>
      <c r="Z555" s="4">
        <v>402</v>
      </c>
      <c r="AA555">
        <v>1</v>
      </c>
      <c r="AB555" s="4" t="str">
        <f>HYPERLINK("http://exon.niaid.nih.gov/transcriptome/C_felis/S1/links/XC-ASB/cf-contig_477-XC-ASB.txt","XC-contig_219")</f>
        <v>XC-contig_219</v>
      </c>
      <c r="AC555">
        <v>0.49</v>
      </c>
      <c r="AD555" s="10" t="s">
        <v>4600</v>
      </c>
      <c r="AE555" t="s">
        <v>4601</v>
      </c>
      <c r="AI555" s="4" t="str">
        <f>HYPERLINK("http://exon.niaid.nih.gov/transcriptome/C_felis/S1/links/NR/cf-contig_477-NR.txt","hypothetical membrane associated protein")</f>
        <v>hypothetical membrane associated protein</v>
      </c>
      <c r="AJ555" t="str">
        <f>HYPERLINK("http://www.ncbi.nlm.nih.gov/sutils/blink.cgi?pid=119953030","2.5")</f>
        <v>2.5</v>
      </c>
      <c r="AK555" t="str">
        <f>HYPERLINK("http://www.ncbi.nlm.nih.gov/protein/119953030","gi|119953030")</f>
        <v>gi|119953030</v>
      </c>
      <c r="AL555">
        <v>35.799999999999997</v>
      </c>
      <c r="AM555">
        <v>43</v>
      </c>
      <c r="AN555">
        <v>273</v>
      </c>
      <c r="AO555">
        <v>22</v>
      </c>
      <c r="AP555">
        <v>16</v>
      </c>
      <c r="AQ555">
        <v>37</v>
      </c>
      <c r="AR555">
        <v>0</v>
      </c>
      <c r="AS555">
        <v>11</v>
      </c>
      <c r="AT555">
        <v>187</v>
      </c>
      <c r="AU555">
        <v>1</v>
      </c>
      <c r="AV555">
        <v>1</v>
      </c>
      <c r="AW555" t="s">
        <v>12</v>
      </c>
      <c r="AX555">
        <v>4.6509999999999998</v>
      </c>
      <c r="AY555" t="s">
        <v>1676</v>
      </c>
      <c r="AZ555" t="s">
        <v>3411</v>
      </c>
      <c r="BA555" s="4" t="str">
        <f>HYPERLINK("http://exon.niaid.nih.gov/transcriptome/C_felis/S1/links/SWISSP/cf-contig_477-SWISSP.txt","JmjC domain-containing histone demethylation protein 1")</f>
        <v>JmjC domain-containing histone demethylation protein 1</v>
      </c>
      <c r="BB555" t="str">
        <f>HYPERLINK("http://www.uniprot.org/uniprot/Q95Q98","6.2")</f>
        <v>6.2</v>
      </c>
      <c r="BC555" t="s">
        <v>3412</v>
      </c>
      <c r="BD555">
        <v>29.6</v>
      </c>
      <c r="BE555">
        <v>42</v>
      </c>
      <c r="BF555">
        <v>1076</v>
      </c>
      <c r="BG555">
        <v>30</v>
      </c>
      <c r="BH555">
        <v>4</v>
      </c>
      <c r="BI555">
        <v>30</v>
      </c>
      <c r="BJ555">
        <v>5</v>
      </c>
      <c r="BK555">
        <v>50</v>
      </c>
      <c r="BL555">
        <v>141</v>
      </c>
      <c r="BM555">
        <v>1</v>
      </c>
      <c r="BN555">
        <v>-2</v>
      </c>
      <c r="BO555" t="s">
        <v>12</v>
      </c>
      <c r="BQ555" t="s">
        <v>1666</v>
      </c>
      <c r="BR555" t="s">
        <v>1735</v>
      </c>
      <c r="BS555" s="4" t="str">
        <f>HYPERLINK("http://exon.niaid.nih.gov/transcriptome/C_felis/S1/links/CDD/cf-contig_477-CDD.txt","PRK13671")</f>
        <v>PRK13671</v>
      </c>
      <c r="BT555" t="str">
        <f>HYPERLINK("http://www.ncbi.nlm.nih.gov/Structure/cdd/cddsrv.cgi?uid=PRK13671&amp;version=v4.0","0.004")</f>
        <v>0.004</v>
      </c>
      <c r="BU555" t="s">
        <v>3413</v>
      </c>
      <c r="BV555" s="4" t="s">
        <v>42</v>
      </c>
      <c r="BW555" t="s">
        <v>42</v>
      </c>
      <c r="BX555" t="s">
        <v>42</v>
      </c>
      <c r="BY555" t="s">
        <v>42</v>
      </c>
      <c r="BZ555" t="s">
        <v>42</v>
      </c>
      <c r="CA555" t="s">
        <v>42</v>
      </c>
      <c r="CB555" t="s">
        <v>42</v>
      </c>
      <c r="CC555" t="s">
        <v>42</v>
      </c>
      <c r="CD555" t="s">
        <v>42</v>
      </c>
      <c r="CE555" t="s">
        <v>42</v>
      </c>
      <c r="CF555" t="s">
        <v>42</v>
      </c>
      <c r="CG555" t="s">
        <v>42</v>
      </c>
      <c r="CH555" t="s">
        <v>42</v>
      </c>
      <c r="CI555" t="s">
        <v>42</v>
      </c>
      <c r="CJ555" t="s">
        <v>42</v>
      </c>
      <c r="CK555" t="s">
        <v>42</v>
      </c>
      <c r="CL555" t="s">
        <v>42</v>
      </c>
      <c r="CM555" t="s">
        <v>42</v>
      </c>
      <c r="CN555" t="s">
        <v>42</v>
      </c>
      <c r="CO555" t="s">
        <v>42</v>
      </c>
      <c r="CP555" t="s">
        <v>42</v>
      </c>
      <c r="CQ555" t="s">
        <v>42</v>
      </c>
      <c r="CR555" t="s">
        <v>42</v>
      </c>
      <c r="CS555" s="4" t="str">
        <f>HYPERLINK("http://exon.niaid.nih.gov/transcriptome/C_felis/S1/links/KOG/cf-contig_477-KOG.txt","Membrane protein Patched/PTCH")</f>
        <v>Membrane protein Patched/PTCH</v>
      </c>
      <c r="CT555" t="str">
        <f>HYPERLINK("http://www.ncbi.nlm.nih.gov/COG/grace/shokog.cgi?KOG1935","4.5")</f>
        <v>4.5</v>
      </c>
      <c r="CU555" t="s">
        <v>1780</v>
      </c>
      <c r="CV555" s="4" t="str">
        <f>HYPERLINK("http://exon.niaid.nih.gov/transcriptome/C_felis/S1/links/PFAM/cf-contig_477-PFAM.txt","DUF3023")</f>
        <v>DUF3023</v>
      </c>
      <c r="CW555" t="str">
        <f>HYPERLINK("http://pfam.sanger.ac.uk/family?acc=PF11224","0.073")</f>
        <v>0.073</v>
      </c>
      <c r="CX555" s="4" t="str">
        <f>HYPERLINK("http://exon.niaid.nih.gov/transcriptome/C_felis/S1/links/SMART/cf-contig_477-SMART.txt","PIG-X")</f>
        <v>PIG-X</v>
      </c>
      <c r="CY555" t="str">
        <f>HYPERLINK("http://smart.embl-heidelberg.de/smart/do_annotation.pl?DOMAIN=PIG-X&amp;BLAST=DUMMY","0.33")</f>
        <v>0.33</v>
      </c>
      <c r="CZ555" s="4" t="s">
        <v>42</v>
      </c>
      <c r="DA555" t="s">
        <v>42</v>
      </c>
      <c r="DB555" t="s">
        <v>42</v>
      </c>
      <c r="DC555" t="s">
        <v>42</v>
      </c>
      <c r="DD555" t="s">
        <v>42</v>
      </c>
      <c r="DE555" t="s">
        <v>42</v>
      </c>
      <c r="DF555" t="s">
        <v>42</v>
      </c>
      <c r="DG555" t="s">
        <v>42</v>
      </c>
      <c r="DH555" s="4" t="s">
        <v>42</v>
      </c>
      <c r="DI555" t="s">
        <v>42</v>
      </c>
      <c r="DJ555" s="4" t="s">
        <v>42</v>
      </c>
      <c r="DK555" t="s">
        <v>42</v>
      </c>
      <c r="DL555" s="4">
        <v>388</v>
      </c>
      <c r="DM555">
        <v>1</v>
      </c>
      <c r="DN555" s="4">
        <v>397</v>
      </c>
      <c r="DO555">
        <v>1</v>
      </c>
      <c r="DP555" s="4">
        <v>402</v>
      </c>
      <c r="DQ555">
        <v>1</v>
      </c>
      <c r="DR555" s="4">
        <v>417</v>
      </c>
      <c r="DS555">
        <v>1</v>
      </c>
      <c r="DT555" s="4">
        <v>427</v>
      </c>
      <c r="DU555">
        <v>1</v>
      </c>
      <c r="DV555" s="4">
        <v>441</v>
      </c>
      <c r="DW555">
        <v>1</v>
      </c>
      <c r="DX555" s="4">
        <v>445</v>
      </c>
      <c r="DY555">
        <v>1</v>
      </c>
      <c r="DZ555" s="4">
        <v>451</v>
      </c>
      <c r="EA555">
        <v>1</v>
      </c>
      <c r="EB555" s="4">
        <v>456</v>
      </c>
      <c r="EC555">
        <v>1</v>
      </c>
      <c r="ED555" s="4">
        <v>460</v>
      </c>
      <c r="EE555">
        <v>1</v>
      </c>
      <c r="EF555" s="4">
        <v>465</v>
      </c>
      <c r="EG555">
        <v>1</v>
      </c>
      <c r="EH555" s="4">
        <v>471</v>
      </c>
      <c r="EI555">
        <v>1</v>
      </c>
      <c r="EJ555" s="4">
        <v>477</v>
      </c>
      <c r="EK555">
        <v>1</v>
      </c>
    </row>
    <row r="556" spans="1:141" x14ac:dyDescent="0.2">
      <c r="A556" t="str">
        <f>HYPERLINK("http://exon.niaid.nih.gov/transcriptome/C_felis/S1/links/cf/cf-contig_30.txt","cf-contig_30")</f>
        <v>cf-contig_30</v>
      </c>
      <c r="B556">
        <v>2</v>
      </c>
      <c r="C556" s="10" t="s">
        <v>4600</v>
      </c>
      <c r="D556">
        <v>2</v>
      </c>
      <c r="E556" t="str">
        <f>HYPERLINK("http://exon.niaid.nih.gov/transcriptome/C_felis/S1/links/cf/cf-5-36-asb-30.txt","Contig-30")</f>
        <v>Contig-30</v>
      </c>
      <c r="F556" t="str">
        <f>HYPERLINK("http://exon.niaid.nih.gov/transcriptome/C_felis/S1/links/cf/cf-5-36-30-CLU.txt","Contig30")</f>
        <v>Contig30</v>
      </c>
      <c r="G556" t="str">
        <f>HYPERLINK("http://exon.niaid.nih.gov/transcriptome/C_felis/S1/links/cf/cf-5-36-30-qual.txt","69.6")</f>
        <v>69.6</v>
      </c>
      <c r="H556" t="s">
        <v>11</v>
      </c>
      <c r="I556">
        <v>75.8</v>
      </c>
      <c r="J556" t="s">
        <v>42</v>
      </c>
      <c r="K556" t="s">
        <v>12</v>
      </c>
      <c r="L556">
        <v>2</v>
      </c>
      <c r="M556" t="s">
        <v>43</v>
      </c>
      <c r="N556">
        <v>270</v>
      </c>
      <c r="O556">
        <v>281</v>
      </c>
      <c r="P556">
        <v>87</v>
      </c>
      <c r="Q556" t="s">
        <v>852</v>
      </c>
      <c r="R556">
        <v>1</v>
      </c>
      <c r="S556" s="7" t="s">
        <v>4585</v>
      </c>
      <c r="U556">
        <v>2</v>
      </c>
      <c r="V556" s="4">
        <f>HYPERLINK("http://exon.niaid.nih.gov/transcriptome/C_felis/S1/links/cluster/cf-5-36-asb30-50-Id-CLU1.txt", 1)</f>
        <v>1</v>
      </c>
      <c r="W556">
        <f>HYPERLINK("http://exon.niaid.nih.gov/transcriptome/C_felis/S1/links/cluster/cf-5-36-asb30-50-Id-CLTL1.txt", 14)</f>
        <v>14</v>
      </c>
      <c r="X556" s="4">
        <f>HYPERLINK("http://exon.niaid.nih.gov/transcriptome/C_felis/S1/links/cluster/cf-5-36-asb35-50-Id-CLU2.txt", 2)</f>
        <v>2</v>
      </c>
      <c r="Y556">
        <f>HYPERLINK("http://exon.niaid.nih.gov/transcriptome/C_felis/S1/links/cluster/cf-5-36-asb35-50-Id-CLTL2.txt", 9)</f>
        <v>9</v>
      </c>
      <c r="Z556" s="4">
        <f>HYPERLINK("http://exon.niaid.nih.gov/transcriptome/C_felis/S1/links/cluster/cf-5-36-asb40-50-Id-CLU2.txt", 2)</f>
        <v>2</v>
      </c>
      <c r="AA556">
        <f>HYPERLINK("http://exon.niaid.nih.gov/transcriptome/C_felis/S1/links/cluster/cf-5-36-asb40-50-Id-CLTL2.txt", 7)</f>
        <v>7</v>
      </c>
      <c r="AB556" s="4" t="str">
        <f>HYPERLINK("http://exon.niaid.nih.gov/transcriptome/C_felis/S1/links/XC-ASB/cf-contig_30-XC-ASB.txt","XC-contig_235")</f>
        <v>XC-contig_235</v>
      </c>
      <c r="AC556">
        <v>2E-3</v>
      </c>
      <c r="AD556" s="10" t="s">
        <v>4600</v>
      </c>
      <c r="AE556" t="s">
        <v>4601</v>
      </c>
      <c r="AI556" s="4" t="str">
        <f>HYPERLINK("http://exon.niaid.nih.gov/transcriptome/C_felis/S1/links/NR/cf-contig_30-NR.txt","hypothetical protein Bint_2718")</f>
        <v>hypothetical protein Bint_2718</v>
      </c>
      <c r="AJ556" t="str">
        <f>HYPERLINK("http://www.ncbi.nlm.nih.gov/sutils/blink.cgi?pid=343387822","1.4")</f>
        <v>1.4</v>
      </c>
      <c r="AK556" t="str">
        <f>HYPERLINK("http://www.ncbi.nlm.nih.gov/protein/343387822","gi|343387822")</f>
        <v>gi|343387822</v>
      </c>
      <c r="AL556">
        <v>36.6</v>
      </c>
      <c r="AM556">
        <v>37</v>
      </c>
      <c r="AN556">
        <v>854</v>
      </c>
      <c r="AO556">
        <v>41</v>
      </c>
      <c r="AP556">
        <v>4</v>
      </c>
      <c r="AQ556">
        <v>23</v>
      </c>
      <c r="AR556">
        <v>0</v>
      </c>
      <c r="AS556">
        <v>124</v>
      </c>
      <c r="AT556">
        <v>161</v>
      </c>
      <c r="AU556">
        <v>1</v>
      </c>
      <c r="AV556">
        <v>-2</v>
      </c>
      <c r="AW556" t="s">
        <v>12</v>
      </c>
      <c r="AX556">
        <v>2.7029999999999998</v>
      </c>
      <c r="AY556" t="s">
        <v>1666</v>
      </c>
      <c r="AZ556" t="s">
        <v>1781</v>
      </c>
      <c r="BA556" s="4" t="str">
        <f>HYPERLINK("http://exon.niaid.nih.gov/transcriptome/C_felis/S1/links/SWISSP/cf-contig_30-SWISSP.txt","Ribosomal operon-associated A protein")</f>
        <v>Ribosomal operon-associated A protein</v>
      </c>
      <c r="BB556" t="str">
        <f>HYPERLINK("http://www.uniprot.org/uniprot/P58145","4.7")</f>
        <v>4.7</v>
      </c>
      <c r="BC556" t="s">
        <v>1782</v>
      </c>
      <c r="BD556">
        <v>30</v>
      </c>
      <c r="BE556">
        <v>79</v>
      </c>
      <c r="BF556">
        <v>519</v>
      </c>
      <c r="BG556">
        <v>28</v>
      </c>
      <c r="BH556">
        <v>15</v>
      </c>
      <c r="BI556">
        <v>57</v>
      </c>
      <c r="BJ556">
        <v>2</v>
      </c>
      <c r="BK556">
        <v>97</v>
      </c>
      <c r="BL556">
        <v>47</v>
      </c>
      <c r="BM556">
        <v>1</v>
      </c>
      <c r="BN556">
        <v>-2</v>
      </c>
      <c r="BO556" t="s">
        <v>12</v>
      </c>
      <c r="BP556">
        <v>2.532</v>
      </c>
      <c r="BQ556" t="s">
        <v>1666</v>
      </c>
      <c r="BR556" t="s">
        <v>1783</v>
      </c>
      <c r="BS556" s="4" t="str">
        <f>HYPERLINK("http://exon.niaid.nih.gov/transcriptome/C_felis/S1/links/CDD/cf-contig_30-CDD.txt","Herpes_UL51")</f>
        <v>Herpes_UL51</v>
      </c>
      <c r="BT556" t="str">
        <f>HYPERLINK("http://www.ncbi.nlm.nih.gov/Structure/cdd/cddsrv.cgi?uid=pfam04540&amp;version=v4.0","0.27")</f>
        <v>0.27</v>
      </c>
      <c r="BU556" t="s">
        <v>1784</v>
      </c>
      <c r="BV556" s="4" t="s">
        <v>42</v>
      </c>
      <c r="BW556" t="s">
        <v>42</v>
      </c>
      <c r="BX556" t="s">
        <v>42</v>
      </c>
      <c r="BY556" t="s">
        <v>42</v>
      </c>
      <c r="BZ556" t="s">
        <v>42</v>
      </c>
      <c r="CA556" t="s">
        <v>42</v>
      </c>
      <c r="CB556" t="s">
        <v>42</v>
      </c>
      <c r="CC556" t="s">
        <v>42</v>
      </c>
      <c r="CD556" t="s">
        <v>42</v>
      </c>
      <c r="CE556" t="s">
        <v>42</v>
      </c>
      <c r="CF556" t="s">
        <v>42</v>
      </c>
      <c r="CG556" t="s">
        <v>42</v>
      </c>
      <c r="CH556" t="s">
        <v>42</v>
      </c>
      <c r="CI556" t="s">
        <v>42</v>
      </c>
      <c r="CJ556" t="s">
        <v>42</v>
      </c>
      <c r="CK556" t="s">
        <v>42</v>
      </c>
      <c r="CL556" t="s">
        <v>42</v>
      </c>
      <c r="CM556" t="s">
        <v>42</v>
      </c>
      <c r="CN556" t="s">
        <v>42</v>
      </c>
      <c r="CO556" t="s">
        <v>42</v>
      </c>
      <c r="CP556" t="s">
        <v>42</v>
      </c>
      <c r="CQ556" t="s">
        <v>42</v>
      </c>
      <c r="CR556" t="s">
        <v>42</v>
      </c>
      <c r="CS556" s="4" t="str">
        <f>HYPERLINK("http://exon.niaid.nih.gov/transcriptome/C_felis/S1/links/KOG/cf-contig_30-KOG.txt","N-acetylglucosaminyltransferase complex, subunit PIG-C/GPI2, required for phosphatidylinositol biosynthesis")</f>
        <v>N-acetylglucosaminyltransferase complex, subunit PIG-C/GPI2, required for phosphatidylinositol biosynthesis</v>
      </c>
      <c r="CT556" t="str">
        <f>HYPERLINK("http://www.ncbi.nlm.nih.gov/COG/grace/shokog.cgi?KOG3059","0.70")</f>
        <v>0.70</v>
      </c>
      <c r="CU556" t="s">
        <v>1761</v>
      </c>
      <c r="CV556" s="4" t="str">
        <f>HYPERLINK("http://exon.niaid.nih.gov/transcriptome/C_felis/S1/links/PFAM/cf-contig_30-PFAM.txt","Herpes_UL51")</f>
        <v>Herpes_UL51</v>
      </c>
      <c r="CW556" t="str">
        <f>HYPERLINK("http://pfam.sanger.ac.uk/family?acc=PF04540","0.054")</f>
        <v>0.054</v>
      </c>
      <c r="CX556" s="4" t="str">
        <f>HYPERLINK("http://exon.niaid.nih.gov/transcriptome/C_felis/S1/links/SMART/cf-contig_30-SMART.txt","NRF")</f>
        <v>NRF</v>
      </c>
      <c r="CY556" t="str">
        <f>HYPERLINK("http://smart.embl-heidelberg.de/smart/do_annotation.pl?DOMAIN=NRF&amp;BLAST=DUMMY","0.25")</f>
        <v>0.25</v>
      </c>
      <c r="CZ556" s="4" t="s">
        <v>42</v>
      </c>
      <c r="DA556" t="s">
        <v>42</v>
      </c>
      <c r="DB556" t="s">
        <v>42</v>
      </c>
      <c r="DC556" t="s">
        <v>42</v>
      </c>
      <c r="DD556" t="s">
        <v>42</v>
      </c>
      <c r="DE556" t="s">
        <v>42</v>
      </c>
      <c r="DF556" t="s">
        <v>42</v>
      </c>
      <c r="DG556" t="s">
        <v>42</v>
      </c>
      <c r="DH556" s="4" t="s">
        <v>42</v>
      </c>
      <c r="DI556" t="s">
        <v>42</v>
      </c>
      <c r="DJ556" s="4" t="s">
        <v>42</v>
      </c>
      <c r="DK556" t="s">
        <v>42</v>
      </c>
      <c r="DL556" s="4">
        <f>HYPERLINK("http://exon.niaid.nih.gov/transcriptome/C_felis/S1/links/cluster/cf-5-36-asb30-50-Id-CLU1.txt", 1)</f>
        <v>1</v>
      </c>
      <c r="DM556">
        <f>HYPERLINK("http://exon.niaid.nih.gov/transcriptome/C_felis/S1/links/cluster/cf-5-36-asb30-50-Id-CLTL1.txt", 14)</f>
        <v>14</v>
      </c>
      <c r="DN556" s="4">
        <f>HYPERLINK("http://exon.niaid.nih.gov/transcriptome/C_felis/S1/links/cluster/cf-5-36-asb35-50-Id-CLU2.txt", 2)</f>
        <v>2</v>
      </c>
      <c r="DO556">
        <f>HYPERLINK("http://exon.niaid.nih.gov/transcriptome/C_felis/S1/links/cluster/cf-5-36-asb35-50-Id-CLTL2.txt", 9)</f>
        <v>9</v>
      </c>
      <c r="DP556" s="4">
        <f>HYPERLINK("http://exon.niaid.nih.gov/transcriptome/C_felis/S1/links/cluster/cf-5-36-asb40-50-Id-CLU2.txt", 2)</f>
        <v>2</v>
      </c>
      <c r="DQ556">
        <f>HYPERLINK("http://exon.niaid.nih.gov/transcriptome/C_felis/S1/links/cluster/cf-5-36-asb40-50-Id-CLTL2.txt", 7)</f>
        <v>7</v>
      </c>
      <c r="DR556" s="4">
        <v>77</v>
      </c>
      <c r="DS556">
        <v>1</v>
      </c>
      <c r="DT556" s="4">
        <v>69</v>
      </c>
      <c r="DU556">
        <v>1</v>
      </c>
      <c r="DV556" s="4">
        <v>64</v>
      </c>
      <c r="DW556">
        <v>1</v>
      </c>
      <c r="DX556" s="4">
        <v>59</v>
      </c>
      <c r="DY556">
        <v>1</v>
      </c>
      <c r="DZ556" s="4">
        <v>54</v>
      </c>
      <c r="EA556">
        <v>1</v>
      </c>
      <c r="EB556" s="4">
        <v>53</v>
      </c>
      <c r="EC556">
        <v>1</v>
      </c>
      <c r="ED556" s="4">
        <v>53</v>
      </c>
      <c r="EE556">
        <v>1</v>
      </c>
      <c r="EF556" s="4">
        <v>47</v>
      </c>
      <c r="EG556">
        <v>1</v>
      </c>
      <c r="EH556" s="4">
        <v>35</v>
      </c>
      <c r="EI556">
        <v>1</v>
      </c>
      <c r="EJ556" s="4">
        <v>30</v>
      </c>
      <c r="EK556">
        <v>1</v>
      </c>
    </row>
    <row r="557" spans="1:141" x14ac:dyDescent="0.2">
      <c r="A557" t="str">
        <f>HYPERLINK("http://exon.niaid.nih.gov/transcriptome/C_felis/S1/links/cf/cf-contig_337.txt","cf-contig_337")</f>
        <v>cf-contig_337</v>
      </c>
      <c r="B557">
        <v>1</v>
      </c>
      <c r="C557" s="10" t="s">
        <v>4600</v>
      </c>
      <c r="D557">
        <v>1</v>
      </c>
      <c r="E557" t="str">
        <f>HYPERLINK("http://exon.niaid.nih.gov/transcriptome/C_felis/S1/links/cf/cf-5-36-asb-337.txt","Contig-337")</f>
        <v>Contig-337</v>
      </c>
      <c r="F557" t="str">
        <f>HYPERLINK("http://exon.niaid.nih.gov/transcriptome/C_felis/S1/links/cf/cf-5-36-337-CLU.txt","Contig337")</f>
        <v>Contig337</v>
      </c>
      <c r="G557" t="str">
        <f>HYPERLINK("http://exon.niaid.nih.gov/transcriptome/C_felis/S1/links/cf/cf-5-36-337-qual.txt","60.5")</f>
        <v>60.5</v>
      </c>
      <c r="H557" t="s">
        <v>11</v>
      </c>
      <c r="I557">
        <v>76.8</v>
      </c>
      <c r="J557">
        <v>274</v>
      </c>
      <c r="K557" t="s">
        <v>12</v>
      </c>
      <c r="L557">
        <v>1</v>
      </c>
      <c r="M557" t="s">
        <v>350</v>
      </c>
      <c r="N557">
        <v>274</v>
      </c>
      <c r="O557">
        <v>293</v>
      </c>
      <c r="P557">
        <v>195</v>
      </c>
      <c r="Q557" t="s">
        <v>1157</v>
      </c>
      <c r="R557">
        <v>1</v>
      </c>
      <c r="S557" s="7" t="str">
        <f>HYPERLINK("http://exon.niaid.nih.gov/transcriptome/C_felis/S1/links/Sigp/CF-CONTIG_337-SigP.txt","Cyt")</f>
        <v>Cyt</v>
      </c>
      <c r="U557">
        <v>1</v>
      </c>
      <c r="V557" s="4">
        <f>HYPERLINK("http://exon.niaid.nih.gov/transcriptome/C_felis/S1/links/cluster/cf-5-36-asb30-50-Id-CLU22.txt", 22)</f>
        <v>22</v>
      </c>
      <c r="W557">
        <f>HYPERLINK("http://exon.niaid.nih.gov/transcriptome/C_felis/S1/links/cluster/cf-5-36-asb30-50-Id-CLTL22.txt", 3)</f>
        <v>3</v>
      </c>
      <c r="X557" s="4">
        <f>HYPERLINK("http://exon.niaid.nih.gov/transcriptome/C_felis/S1/links/cluster/cf-5-36-asb35-50-Id-CLU19.txt", 19)</f>
        <v>19</v>
      </c>
      <c r="Y557">
        <f>HYPERLINK("http://exon.niaid.nih.gov/transcriptome/C_felis/S1/links/cluster/cf-5-36-asb35-50-Id-CLTL19.txt", 3)</f>
        <v>3</v>
      </c>
      <c r="Z557" s="4">
        <f>HYPERLINK("http://exon.niaid.nih.gov/transcriptome/C_felis/S1/links/cluster/cf-5-36-asb40-50-Id-CLU18.txt", 18)</f>
        <v>18</v>
      </c>
      <c r="AA557">
        <f>HYPERLINK("http://exon.niaid.nih.gov/transcriptome/C_felis/S1/links/cluster/cf-5-36-asb40-50-Id-CLTL18.txt", 3)</f>
        <v>3</v>
      </c>
      <c r="AB557" s="4" t="str">
        <f>HYPERLINK("http://exon.niaid.nih.gov/transcriptome/C_felis/S1/links/XC-ASB/cf-contig_337-XC-ASB.txt","XC-contig_165")</f>
        <v>XC-contig_165</v>
      </c>
      <c r="AC557">
        <v>0.14000000000000001</v>
      </c>
      <c r="AD557" s="10" t="s">
        <v>4600</v>
      </c>
      <c r="AE557" t="s">
        <v>4601</v>
      </c>
      <c r="AI557" s="4" t="str">
        <f>HYPERLINK("http://exon.niaid.nih.gov/transcriptome/C_felis/S1/links/NR/cf-contig_337-NR.txt","DNA-directed RNA polymerase omega subunit family protein-like protein")</f>
        <v>DNA-directed RNA polymerase omega subunit family protein-like protein</v>
      </c>
      <c r="AJ557" t="str">
        <f>HYPERLINK("http://www.ncbi.nlm.nih.gov/sutils/blink.cgi?pid=300871846","3.3")</f>
        <v>3.3</v>
      </c>
      <c r="AK557" t="str">
        <f>HYPERLINK("http://www.ncbi.nlm.nih.gov/protein/300871846","gi|300871846")</f>
        <v>gi|300871846</v>
      </c>
      <c r="AL557">
        <v>35.4</v>
      </c>
      <c r="AM557">
        <v>54</v>
      </c>
      <c r="AN557">
        <v>5567</v>
      </c>
      <c r="AO557">
        <v>25</v>
      </c>
      <c r="AP557">
        <v>1</v>
      </c>
      <c r="AQ557">
        <v>41</v>
      </c>
      <c r="AR557">
        <v>0</v>
      </c>
      <c r="AS557">
        <v>2322</v>
      </c>
      <c r="AT557">
        <v>4</v>
      </c>
      <c r="AU557">
        <v>1</v>
      </c>
      <c r="AV557">
        <v>1</v>
      </c>
      <c r="AW557" t="s">
        <v>12</v>
      </c>
      <c r="AY557" t="s">
        <v>1676</v>
      </c>
      <c r="AZ557" t="s">
        <v>2873</v>
      </c>
      <c r="BA557" s="4" t="str">
        <f>HYPERLINK("http://exon.niaid.nih.gov/transcriptome/C_felis/S1/links/SWISSP/cf-contig_337-SWISSP.txt","Uncharacterized protein C50C3.2")</f>
        <v>Uncharacterized protein C50C3.2</v>
      </c>
      <c r="BB557" t="str">
        <f>HYPERLINK("http://www.uniprot.org/uniprot/P34367","0.97")</f>
        <v>0.97</v>
      </c>
      <c r="BC557" t="s">
        <v>2874</v>
      </c>
      <c r="BD557">
        <v>32.299999999999997</v>
      </c>
      <c r="BE557">
        <v>51</v>
      </c>
      <c r="BF557">
        <v>2107</v>
      </c>
      <c r="BG557">
        <v>34</v>
      </c>
      <c r="BH557">
        <v>2</v>
      </c>
      <c r="BI557">
        <v>34</v>
      </c>
      <c r="BJ557">
        <v>2</v>
      </c>
      <c r="BK557">
        <v>159</v>
      </c>
      <c r="BL557">
        <v>10</v>
      </c>
      <c r="BM557">
        <v>1</v>
      </c>
      <c r="BN557">
        <v>1</v>
      </c>
      <c r="BO557" t="s">
        <v>12</v>
      </c>
      <c r="BQ557" t="s">
        <v>1676</v>
      </c>
      <c r="BR557" t="s">
        <v>1735</v>
      </c>
      <c r="BS557" s="4" t="str">
        <f>HYPERLINK("http://exon.niaid.nih.gov/transcriptome/C_felis/S1/links/CDD/cf-contig_337-CDD.txt","PRK14783")</f>
        <v>PRK14783</v>
      </c>
      <c r="BT557" t="str">
        <f>HYPERLINK("http://www.ncbi.nlm.nih.gov/Structure/cdd/cddsrv.cgi?uid=PRK14783&amp;version=v4.0","0.081")</f>
        <v>0.081</v>
      </c>
      <c r="BU557" t="s">
        <v>2875</v>
      </c>
      <c r="BV557" s="4" t="s">
        <v>42</v>
      </c>
      <c r="BW557" t="s">
        <v>42</v>
      </c>
      <c r="BX557" t="s">
        <v>42</v>
      </c>
      <c r="BY557" t="s">
        <v>42</v>
      </c>
      <c r="BZ557" t="s">
        <v>42</v>
      </c>
      <c r="CA557" t="s">
        <v>42</v>
      </c>
      <c r="CB557" t="s">
        <v>42</v>
      </c>
      <c r="CC557" t="s">
        <v>42</v>
      </c>
      <c r="CD557" t="s">
        <v>42</v>
      </c>
      <c r="CE557" t="s">
        <v>42</v>
      </c>
      <c r="CF557" t="s">
        <v>42</v>
      </c>
      <c r="CG557" t="s">
        <v>42</v>
      </c>
      <c r="CH557" t="s">
        <v>42</v>
      </c>
      <c r="CI557" t="s">
        <v>42</v>
      </c>
      <c r="CJ557" t="s">
        <v>42</v>
      </c>
      <c r="CK557" t="s">
        <v>42</v>
      </c>
      <c r="CL557" t="s">
        <v>42</v>
      </c>
      <c r="CM557" t="s">
        <v>42</v>
      </c>
      <c r="CN557" t="s">
        <v>42</v>
      </c>
      <c r="CO557" t="s">
        <v>42</v>
      </c>
      <c r="CP557" t="s">
        <v>42</v>
      </c>
      <c r="CQ557" t="s">
        <v>42</v>
      </c>
      <c r="CR557" t="s">
        <v>42</v>
      </c>
      <c r="CS557" s="4" t="str">
        <f>HYPERLINK("http://exon.niaid.nih.gov/transcriptome/C_felis/S1/links/KOG/cf-contig_337-KOG.txt","Amphiphysin")</f>
        <v>Amphiphysin</v>
      </c>
      <c r="CT557" t="str">
        <f>HYPERLINK("http://www.ncbi.nlm.nih.gov/COG/grace/shokog.cgi?KOG3771","0.031")</f>
        <v>0.031</v>
      </c>
      <c r="CU557" t="s">
        <v>1686</v>
      </c>
      <c r="CV557" s="4" t="str">
        <f>HYPERLINK("http://exon.niaid.nih.gov/transcriptome/C_felis/S1/links/PFAM/cf-contig_337-PFAM.txt","Clusterin")</f>
        <v>Clusterin</v>
      </c>
      <c r="CW557" t="str">
        <f>HYPERLINK("http://pfam.sanger.ac.uk/family?acc=PF01093","0.021")</f>
        <v>0.021</v>
      </c>
      <c r="CX557" s="4" t="str">
        <f>HYPERLINK("http://exon.niaid.nih.gov/transcriptome/C_felis/S1/links/SMART/cf-contig_337-SMART.txt","CLb")</f>
        <v>CLb</v>
      </c>
      <c r="CY557" t="str">
        <f>HYPERLINK("http://smart.embl-heidelberg.de/smart/do_annotation.pl?DOMAIN=CLb&amp;BLAST=DUMMY","0.004")</f>
        <v>0.004</v>
      </c>
      <c r="CZ557" s="4" t="s">
        <v>42</v>
      </c>
      <c r="DA557" t="s">
        <v>42</v>
      </c>
      <c r="DB557" t="s">
        <v>42</v>
      </c>
      <c r="DC557" t="s">
        <v>42</v>
      </c>
      <c r="DD557" t="s">
        <v>42</v>
      </c>
      <c r="DE557" t="s">
        <v>42</v>
      </c>
      <c r="DF557" t="s">
        <v>42</v>
      </c>
      <c r="DG557" t="s">
        <v>42</v>
      </c>
      <c r="DH557" s="4" t="s">
        <v>42</v>
      </c>
      <c r="DI557" t="s">
        <v>42</v>
      </c>
      <c r="DJ557" s="4" t="s">
        <v>42</v>
      </c>
      <c r="DK557" t="s">
        <v>42</v>
      </c>
      <c r="DL557" s="4">
        <f>HYPERLINK("http://exon.niaid.nih.gov/transcriptome/C_felis/S1/links/cluster/cf-5-36-asb30-50-Id-CLU22.txt", 22)</f>
        <v>22</v>
      </c>
      <c r="DM557">
        <f>HYPERLINK("http://exon.niaid.nih.gov/transcriptome/C_felis/S1/links/cluster/cf-5-36-asb30-50-Id-CLTL22.txt", 3)</f>
        <v>3</v>
      </c>
      <c r="DN557" s="4">
        <f>HYPERLINK("http://exon.niaid.nih.gov/transcriptome/C_felis/S1/links/cluster/cf-5-36-asb35-50-Id-CLU19.txt", 19)</f>
        <v>19</v>
      </c>
      <c r="DO557">
        <f>HYPERLINK("http://exon.niaid.nih.gov/transcriptome/C_felis/S1/links/cluster/cf-5-36-asb35-50-Id-CLTL19.txt", 3)</f>
        <v>3</v>
      </c>
      <c r="DP557" s="4">
        <f>HYPERLINK("http://exon.niaid.nih.gov/transcriptome/C_felis/S1/links/cluster/cf-5-36-asb40-50-Id-CLU18.txt", 18)</f>
        <v>18</v>
      </c>
      <c r="DQ557">
        <f>HYPERLINK("http://exon.niaid.nih.gov/transcriptome/C_felis/S1/links/cluster/cf-5-36-asb40-50-Id-CLTL18.txt", 3)</f>
        <v>3</v>
      </c>
      <c r="DR557" s="4">
        <f>HYPERLINK("http://exon.niaid.nih.gov/transcriptome/C_felis/S1/links/cluster/cf-5-36-asb45-50-Id-CLU14.txt", 14)</f>
        <v>14</v>
      </c>
      <c r="DS557">
        <f>HYPERLINK("http://exon.niaid.nih.gov/transcriptome/C_felis/S1/links/cluster/cf-5-36-asb45-50-Id-CLTL14.txt", 3)</f>
        <v>3</v>
      </c>
      <c r="DT557" s="4">
        <f>HYPERLINK("http://exon.niaid.nih.gov/transcriptome/C_felis/S1/links/cluster/cf-5-36-asb50-50-Id-CLU41.txt", 41)</f>
        <v>41</v>
      </c>
      <c r="DU557">
        <f>HYPERLINK("http://exon.niaid.nih.gov/transcriptome/C_felis/S1/links/cluster/cf-5-36-asb50-50-Id-CLTL41.txt", 2)</f>
        <v>2</v>
      </c>
      <c r="DV557" s="4">
        <v>308</v>
      </c>
      <c r="DW557">
        <v>1</v>
      </c>
      <c r="DX557" s="4">
        <v>311</v>
      </c>
      <c r="DY557">
        <v>1</v>
      </c>
      <c r="DZ557" s="4">
        <v>316</v>
      </c>
      <c r="EA557">
        <v>1</v>
      </c>
      <c r="EB557" s="4">
        <v>321</v>
      </c>
      <c r="EC557">
        <v>1</v>
      </c>
      <c r="ED557" s="4">
        <v>325</v>
      </c>
      <c r="EE557">
        <v>1</v>
      </c>
      <c r="EF557" s="4">
        <v>330</v>
      </c>
      <c r="EG557">
        <v>1</v>
      </c>
      <c r="EH557" s="4">
        <v>332</v>
      </c>
      <c r="EI557">
        <v>1</v>
      </c>
      <c r="EJ557" s="4">
        <v>337</v>
      </c>
      <c r="EK557">
        <v>1</v>
      </c>
    </row>
    <row r="558" spans="1:141" x14ac:dyDescent="0.2">
      <c r="A558" t="str">
        <f>HYPERLINK("http://exon.niaid.nih.gov/transcriptome/C_felis/S1/links/cf/cf-contig_199.txt","cf-contig_199")</f>
        <v>cf-contig_199</v>
      </c>
      <c r="B558">
        <v>3</v>
      </c>
      <c r="C558" s="10" t="s">
        <v>4600</v>
      </c>
      <c r="D558">
        <v>3</v>
      </c>
      <c r="E558" t="str">
        <f>HYPERLINK("http://exon.niaid.nih.gov/transcriptome/C_felis/S1/links/cf/cf-5-36-asb-199.txt","Contig-199")</f>
        <v>Contig-199</v>
      </c>
      <c r="F558" t="str">
        <f>HYPERLINK("http://exon.niaid.nih.gov/transcriptome/C_felis/S1/links/cf/cf-5-36-199-CLU.txt","Contig199")</f>
        <v>Contig199</v>
      </c>
      <c r="G558" t="str">
        <f>HYPERLINK("http://exon.niaid.nih.gov/transcriptome/C_felis/S1/links/cf/cf-5-36-199-qual.txt","83.9")</f>
        <v>83.9</v>
      </c>
      <c r="H558" t="s">
        <v>11</v>
      </c>
      <c r="I558">
        <v>74.599999999999994</v>
      </c>
      <c r="J558">
        <v>245</v>
      </c>
      <c r="K558" t="s">
        <v>12</v>
      </c>
      <c r="L558">
        <v>3</v>
      </c>
      <c r="M558" t="s">
        <v>212</v>
      </c>
      <c r="N558">
        <v>255</v>
      </c>
      <c r="O558">
        <v>264</v>
      </c>
      <c r="P558">
        <v>153</v>
      </c>
      <c r="Q558" t="s">
        <v>1019</v>
      </c>
      <c r="R558">
        <v>1</v>
      </c>
      <c r="S558" s="7" t="s">
        <v>4585</v>
      </c>
      <c r="U558">
        <v>3</v>
      </c>
      <c r="V558" s="4">
        <v>168</v>
      </c>
      <c r="W558">
        <v>1</v>
      </c>
      <c r="X558" s="4">
        <v>170</v>
      </c>
      <c r="Y558">
        <v>1</v>
      </c>
      <c r="Z558" s="4">
        <v>168</v>
      </c>
      <c r="AA558">
        <v>1</v>
      </c>
      <c r="AB558" s="4" t="str">
        <f>HYPERLINK("http://exon.niaid.nih.gov/transcriptome/C_felis/S1/links/XC-ASB/cf-contig_199-XC-ASB.txt","XC-contig_26")</f>
        <v>XC-contig_26</v>
      </c>
      <c r="AC558">
        <v>6.5000000000000002E-2</v>
      </c>
      <c r="AD558" s="10" t="s">
        <v>4600</v>
      </c>
      <c r="AE558" t="s">
        <v>4601</v>
      </c>
      <c r="AI558" s="4" t="str">
        <f>HYPERLINK("http://exon.niaid.nih.gov/transcriptome/C_felis/S1/links/NR/cf-contig_199-NR.txt","exodeoxyribonuclease V 67 kDa polypeptide")</f>
        <v>exodeoxyribonuclease V 67 kDa polypeptide</v>
      </c>
      <c r="AJ558" t="str">
        <f>HYPERLINK("http://www.ncbi.nlm.nih.gov/sutils/blink.cgi?pid=345539366","0.86")</f>
        <v>0.86</v>
      </c>
      <c r="AK558" t="str">
        <f>HYPERLINK("http://www.ncbi.nlm.nih.gov/protein/345539366","gi|345539366")</f>
        <v>gi|345539366</v>
      </c>
      <c r="AL558">
        <v>37.4</v>
      </c>
      <c r="AM558">
        <v>70</v>
      </c>
      <c r="AN558">
        <v>602</v>
      </c>
      <c r="AO558">
        <v>38</v>
      </c>
      <c r="AP558">
        <v>12</v>
      </c>
      <c r="AQ558">
        <v>44</v>
      </c>
      <c r="AR558">
        <v>2</v>
      </c>
      <c r="AS558">
        <v>326</v>
      </c>
      <c r="AT558">
        <v>37</v>
      </c>
      <c r="AU558">
        <v>1</v>
      </c>
      <c r="AV558">
        <v>1</v>
      </c>
      <c r="AW558" t="s">
        <v>12</v>
      </c>
      <c r="AX558">
        <v>2.8570000000000002</v>
      </c>
      <c r="AY558" t="s">
        <v>1676</v>
      </c>
      <c r="AZ558" t="s">
        <v>2406</v>
      </c>
      <c r="BA558" s="4" t="str">
        <f>HYPERLINK("http://exon.niaid.nih.gov/transcriptome/C_felis/S1/links/SWISSP/cf-contig_199-SWISSP.txt","Protein ycf2")</f>
        <v>Protein ycf2</v>
      </c>
      <c r="BB558" t="str">
        <f>HYPERLINK("http://www.uniprot.org/uniprot/P61243","6.3")</f>
        <v>6.3</v>
      </c>
      <c r="BC558" t="s">
        <v>1943</v>
      </c>
      <c r="BD558">
        <v>29.6</v>
      </c>
      <c r="BE558">
        <v>59</v>
      </c>
      <c r="BF558">
        <v>2259</v>
      </c>
      <c r="BG558">
        <v>30</v>
      </c>
      <c r="BH558">
        <v>3</v>
      </c>
      <c r="BI558">
        <v>42</v>
      </c>
      <c r="BJ558">
        <v>4</v>
      </c>
      <c r="BK558">
        <v>1021</v>
      </c>
      <c r="BL558">
        <v>43</v>
      </c>
      <c r="BM558">
        <v>1</v>
      </c>
      <c r="BN558">
        <v>1</v>
      </c>
      <c r="BO558" t="s">
        <v>12</v>
      </c>
      <c r="BP558">
        <v>1.6950000000000001</v>
      </c>
      <c r="BQ558" t="s">
        <v>1676</v>
      </c>
      <c r="BR558" t="s">
        <v>1944</v>
      </c>
      <c r="BS558" s="4" t="str">
        <f>HYPERLINK("http://exon.niaid.nih.gov/transcriptome/C_felis/S1/links/CDD/cf-contig_199-CDD.txt","cas_Csn2")</f>
        <v>cas_Csn2</v>
      </c>
      <c r="BT558" t="str">
        <f>HYPERLINK("http://www.ncbi.nlm.nih.gov/Structure/cdd/cddsrv.cgi?uid=TIGR01866&amp;version=v4.0","0.001")</f>
        <v>0.001</v>
      </c>
      <c r="BU558" t="s">
        <v>2407</v>
      </c>
      <c r="BV558" s="4" t="s">
        <v>42</v>
      </c>
      <c r="BW558" t="s">
        <v>42</v>
      </c>
      <c r="BX558" t="s">
        <v>42</v>
      </c>
      <c r="BY558" t="s">
        <v>42</v>
      </c>
      <c r="BZ558" t="s">
        <v>42</v>
      </c>
      <c r="CA558" t="s">
        <v>42</v>
      </c>
      <c r="CB558" t="s">
        <v>42</v>
      </c>
      <c r="CC558" t="s">
        <v>42</v>
      </c>
      <c r="CD558" t="s">
        <v>42</v>
      </c>
      <c r="CE558" t="s">
        <v>42</v>
      </c>
      <c r="CF558" t="s">
        <v>42</v>
      </c>
      <c r="CG558" t="s">
        <v>42</v>
      </c>
      <c r="CH558" t="s">
        <v>42</v>
      </c>
      <c r="CI558" t="s">
        <v>42</v>
      </c>
      <c r="CJ558" t="s">
        <v>42</v>
      </c>
      <c r="CK558" t="s">
        <v>42</v>
      </c>
      <c r="CL558" t="s">
        <v>42</v>
      </c>
      <c r="CM558" t="s">
        <v>42</v>
      </c>
      <c r="CN558" t="s">
        <v>42</v>
      </c>
      <c r="CO558" t="s">
        <v>42</v>
      </c>
      <c r="CP558" t="s">
        <v>42</v>
      </c>
      <c r="CQ558" t="s">
        <v>42</v>
      </c>
      <c r="CR558" t="s">
        <v>42</v>
      </c>
      <c r="CS558" s="4" t="str">
        <f>HYPERLINK("http://exon.niaid.nih.gov/transcriptome/C_felis/S1/links/KOG/cf-contig_199-KOG.txt","Amino acid transporters")</f>
        <v>Amino acid transporters</v>
      </c>
      <c r="CT558" t="str">
        <f>HYPERLINK("http://www.ncbi.nlm.nih.gov/COG/grace/shokog.cgi?KOG1304","0.16")</f>
        <v>0.16</v>
      </c>
      <c r="CU558" t="s">
        <v>2408</v>
      </c>
      <c r="CV558" s="4" t="str">
        <f>HYPERLINK("http://exon.niaid.nih.gov/transcriptome/C_felis/S1/links/PFAM/cf-contig_199-PFAM.txt","7tm_7")</f>
        <v>7tm_7</v>
      </c>
      <c r="CW558" t="str">
        <f>HYPERLINK("http://pfam.sanger.ac.uk/family?acc=PF08395","0.042")</f>
        <v>0.042</v>
      </c>
      <c r="CX558" s="4" t="str">
        <f>HYPERLINK("http://exon.niaid.nih.gov/transcriptome/C_felis/S1/links/SMART/cf-contig_199-SMART.txt","CRM1_C")</f>
        <v>CRM1_C</v>
      </c>
      <c r="CY558" t="str">
        <f>HYPERLINK("http://smart.embl-heidelberg.de/smart/do_annotation.pl?DOMAIN=CRM1_C&amp;BLAST=DUMMY","0.043")</f>
        <v>0.043</v>
      </c>
      <c r="CZ558" s="4" t="s">
        <v>42</v>
      </c>
      <c r="DA558" t="s">
        <v>42</v>
      </c>
      <c r="DB558" t="s">
        <v>42</v>
      </c>
      <c r="DC558" t="s">
        <v>42</v>
      </c>
      <c r="DD558" t="s">
        <v>42</v>
      </c>
      <c r="DE558" t="s">
        <v>42</v>
      </c>
      <c r="DF558" t="s">
        <v>42</v>
      </c>
      <c r="DG558" t="s">
        <v>42</v>
      </c>
      <c r="DH558" s="4" t="s">
        <v>42</v>
      </c>
      <c r="DI558" t="s">
        <v>42</v>
      </c>
      <c r="DJ558" s="4" t="s">
        <v>42</v>
      </c>
      <c r="DK558" t="s">
        <v>42</v>
      </c>
      <c r="DL558" s="4">
        <v>168</v>
      </c>
      <c r="DM558">
        <v>1</v>
      </c>
      <c r="DN558" s="4">
        <v>170</v>
      </c>
      <c r="DO558">
        <v>1</v>
      </c>
      <c r="DP558" s="4">
        <v>168</v>
      </c>
      <c r="DQ558">
        <v>1</v>
      </c>
      <c r="DR558" s="4">
        <v>167</v>
      </c>
      <c r="DS558">
        <v>1</v>
      </c>
      <c r="DT558" s="4">
        <v>171</v>
      </c>
      <c r="DU558">
        <v>1</v>
      </c>
      <c r="DV558" s="4">
        <v>181</v>
      </c>
      <c r="DW558">
        <v>1</v>
      </c>
      <c r="DX558" s="4">
        <v>183</v>
      </c>
      <c r="DY558">
        <v>1</v>
      </c>
      <c r="DZ558" s="4">
        <v>185</v>
      </c>
      <c r="EA558">
        <v>1</v>
      </c>
      <c r="EB558" s="4">
        <v>190</v>
      </c>
      <c r="EC558">
        <v>1</v>
      </c>
      <c r="ED558" s="4">
        <v>193</v>
      </c>
      <c r="EE558">
        <v>1</v>
      </c>
      <c r="EF558" s="4">
        <v>194</v>
      </c>
      <c r="EG558">
        <v>1</v>
      </c>
      <c r="EH558" s="4">
        <v>194</v>
      </c>
      <c r="EI558">
        <v>1</v>
      </c>
      <c r="EJ558" s="4">
        <v>199</v>
      </c>
      <c r="EK558">
        <v>1</v>
      </c>
    </row>
    <row r="559" spans="1:141" x14ac:dyDescent="0.2">
      <c r="A559" t="str">
        <f>HYPERLINK("http://exon.niaid.nih.gov/transcriptome/C_felis/S1/links/cf/cf-contig_379.txt","cf-contig_379")</f>
        <v>cf-contig_379</v>
      </c>
      <c r="B559">
        <v>1</v>
      </c>
      <c r="C559" s="10" t="s">
        <v>4600</v>
      </c>
      <c r="D559">
        <v>1</v>
      </c>
      <c r="E559" t="str">
        <f>HYPERLINK("http://exon.niaid.nih.gov/transcriptome/C_felis/S1/links/cf/cf-5-36-asb-379.txt","Contig-379")</f>
        <v>Contig-379</v>
      </c>
      <c r="F559" t="str">
        <f>HYPERLINK("http://exon.niaid.nih.gov/transcriptome/C_felis/S1/links/cf/cf-5-36-379-CLU.txt","Contig379")</f>
        <v>Contig379</v>
      </c>
      <c r="G559" t="str">
        <f>HYPERLINK("http://exon.niaid.nih.gov/transcriptome/C_felis/S1/links/cf/cf-5-36-379-qual.txt","59.1")</f>
        <v>59.1</v>
      </c>
      <c r="H559" t="s">
        <v>11</v>
      </c>
      <c r="I559">
        <v>72.400000000000006</v>
      </c>
      <c r="J559">
        <v>195</v>
      </c>
      <c r="K559" t="s">
        <v>12</v>
      </c>
      <c r="L559">
        <v>1</v>
      </c>
      <c r="M559" t="s">
        <v>392</v>
      </c>
      <c r="N559">
        <v>195</v>
      </c>
      <c r="O559">
        <v>214</v>
      </c>
      <c r="P559">
        <v>114</v>
      </c>
      <c r="Q559" t="s">
        <v>1199</v>
      </c>
      <c r="R559">
        <v>1</v>
      </c>
      <c r="S559" s="7" t="s">
        <v>4585</v>
      </c>
      <c r="U559">
        <v>1</v>
      </c>
      <c r="V559" s="4">
        <v>308</v>
      </c>
      <c r="W559">
        <v>1</v>
      </c>
      <c r="X559" s="4">
        <v>315</v>
      </c>
      <c r="Y559">
        <v>1</v>
      </c>
      <c r="Z559" s="4">
        <v>316</v>
      </c>
      <c r="AA559">
        <v>1</v>
      </c>
      <c r="AB559" s="4" t="str">
        <f>HYPERLINK("http://exon.niaid.nih.gov/transcriptome/C_felis/S1/links/XC-ASB/cf-contig_379-XC-ASB.txt","XC-contig_26")</f>
        <v>XC-contig_26</v>
      </c>
      <c r="AC559">
        <v>0.12</v>
      </c>
      <c r="AD559" s="10" t="s">
        <v>4600</v>
      </c>
      <c r="AE559" t="s">
        <v>4601</v>
      </c>
      <c r="AI559" s="4" t="str">
        <f>HYPERLINK("http://exon.niaid.nih.gov/transcriptome/C_felis/S1/links/NR/cf-contig_379-NR.txt","hypothetical protein CAEBREN_24742")</f>
        <v>hypothetical protein CAEBREN_24742</v>
      </c>
      <c r="AJ559" t="str">
        <f>HYPERLINK("http://www.ncbi.nlm.nih.gov/sutils/blink.cgi?pid=341886090","9.3")</f>
        <v>9.3</v>
      </c>
      <c r="AK559" t="str">
        <f>HYPERLINK("http://www.ncbi.nlm.nih.gov/protein/341886090","gi|341886090")</f>
        <v>gi|341886090</v>
      </c>
      <c r="AL559">
        <v>33.9</v>
      </c>
      <c r="AM559">
        <v>43</v>
      </c>
      <c r="AN559">
        <v>250</v>
      </c>
      <c r="AO559">
        <v>37</v>
      </c>
      <c r="AP559">
        <v>18</v>
      </c>
      <c r="AQ559">
        <v>28</v>
      </c>
      <c r="AR559">
        <v>0</v>
      </c>
      <c r="AS559">
        <v>7</v>
      </c>
      <c r="AT559">
        <v>37</v>
      </c>
      <c r="AU559">
        <v>1</v>
      </c>
      <c r="AV559">
        <v>-2</v>
      </c>
      <c r="AW559" t="s">
        <v>12</v>
      </c>
      <c r="AX559">
        <v>4.6509999999999998</v>
      </c>
      <c r="AY559" t="s">
        <v>1666</v>
      </c>
      <c r="AZ559" t="s">
        <v>3013</v>
      </c>
      <c r="BA559" s="4" t="str">
        <f>HYPERLINK("http://exon.niaid.nih.gov/transcriptome/C_felis/S1/links/SWISSP/cf-contig_379-SWISSP.txt","Uncharacterized protein HI_0874")</f>
        <v>Uncharacterized protein HI_0874</v>
      </c>
      <c r="BB559" t="str">
        <f>HYPERLINK("http://www.uniprot.org/uniprot/P44067","6.1")</f>
        <v>6.1</v>
      </c>
      <c r="BC559" t="s">
        <v>3014</v>
      </c>
      <c r="BD559">
        <v>29.6</v>
      </c>
      <c r="BE559">
        <v>28</v>
      </c>
      <c r="BF559">
        <v>399</v>
      </c>
      <c r="BG559">
        <v>38</v>
      </c>
      <c r="BH559">
        <v>7</v>
      </c>
      <c r="BI559">
        <v>21</v>
      </c>
      <c r="BJ559">
        <v>0</v>
      </c>
      <c r="BK559">
        <v>360</v>
      </c>
      <c r="BL559">
        <v>53</v>
      </c>
      <c r="BM559">
        <v>1</v>
      </c>
      <c r="BN559">
        <v>2</v>
      </c>
      <c r="BO559" t="s">
        <v>12</v>
      </c>
      <c r="BP559">
        <v>3.5710000000000002</v>
      </c>
      <c r="BQ559" t="s">
        <v>1676</v>
      </c>
      <c r="BR559" t="s">
        <v>2192</v>
      </c>
      <c r="BS559" s="4" t="str">
        <f>HYPERLINK("http://exon.niaid.nih.gov/transcriptome/C_felis/S1/links/CDD/cf-contig_379-CDD.txt","DUF1700")</f>
        <v>DUF1700</v>
      </c>
      <c r="BT559" t="str">
        <f>HYPERLINK("http://www.ncbi.nlm.nih.gov/Structure/cdd/cddsrv.cgi?uid=pfam08006&amp;version=v4.0","0.51")</f>
        <v>0.51</v>
      </c>
      <c r="BU559" t="s">
        <v>3015</v>
      </c>
      <c r="BV559" s="4" t="s">
        <v>42</v>
      </c>
      <c r="BW559" t="s">
        <v>42</v>
      </c>
      <c r="BX559" t="s">
        <v>42</v>
      </c>
      <c r="BY559" t="s">
        <v>42</v>
      </c>
      <c r="BZ559" t="s">
        <v>42</v>
      </c>
      <c r="CA559" t="s">
        <v>42</v>
      </c>
      <c r="CB559" t="s">
        <v>42</v>
      </c>
      <c r="CC559" t="s">
        <v>42</v>
      </c>
      <c r="CD559" t="s">
        <v>42</v>
      </c>
      <c r="CE559" t="s">
        <v>42</v>
      </c>
      <c r="CF559" t="s">
        <v>42</v>
      </c>
      <c r="CG559" t="s">
        <v>42</v>
      </c>
      <c r="CH559" t="s">
        <v>42</v>
      </c>
      <c r="CI559" t="s">
        <v>42</v>
      </c>
      <c r="CJ559" t="s">
        <v>42</v>
      </c>
      <c r="CK559" t="s">
        <v>42</v>
      </c>
      <c r="CL559" t="s">
        <v>42</v>
      </c>
      <c r="CM559" t="s">
        <v>42</v>
      </c>
      <c r="CN559" t="s">
        <v>42</v>
      </c>
      <c r="CO559" t="s">
        <v>42</v>
      </c>
      <c r="CP559" t="s">
        <v>42</v>
      </c>
      <c r="CQ559" t="s">
        <v>42</v>
      </c>
      <c r="CR559" t="s">
        <v>42</v>
      </c>
      <c r="CS559" s="4" t="str">
        <f>HYPERLINK("http://exon.niaid.nih.gov/transcriptome/C_felis/S1/links/KOG/cf-contig_379-KOG.txt","Predicted membrane protein")</f>
        <v>Predicted membrane protein</v>
      </c>
      <c r="CT559" t="str">
        <f>HYPERLINK("http://www.ncbi.nlm.nih.gov/COG/grace/shokog.cgi?KOG4753","0.61")</f>
        <v>0.61</v>
      </c>
      <c r="CU559" t="s">
        <v>1711</v>
      </c>
      <c r="CV559" s="4" t="str">
        <f>HYPERLINK("http://exon.niaid.nih.gov/transcriptome/C_felis/S1/links/PFAM/cf-contig_379-PFAM.txt","DUF1700")</f>
        <v>DUF1700</v>
      </c>
      <c r="CW559" t="str">
        <f>HYPERLINK("http://pfam.sanger.ac.uk/family?acc=PF08006","0.11")</f>
        <v>0.11</v>
      </c>
      <c r="CX559" s="4" t="str">
        <f>HYPERLINK("http://exon.niaid.nih.gov/transcriptome/C_felis/S1/links/SMART/cf-contig_379-SMART.txt","Lactamase_B")</f>
        <v>Lactamase_B</v>
      </c>
      <c r="CY559" t="str">
        <f>HYPERLINK("http://smart.embl-heidelberg.de/smart/do_annotation.pl?DOMAIN=Lactamase_B&amp;BLAST=DUMMY","0.43")</f>
        <v>0.43</v>
      </c>
      <c r="CZ559" s="4" t="s">
        <v>42</v>
      </c>
      <c r="DA559" t="s">
        <v>42</v>
      </c>
      <c r="DB559" t="s">
        <v>42</v>
      </c>
      <c r="DC559" t="s">
        <v>42</v>
      </c>
      <c r="DD559" t="s">
        <v>42</v>
      </c>
      <c r="DE559" t="s">
        <v>42</v>
      </c>
      <c r="DF559" t="s">
        <v>42</v>
      </c>
      <c r="DG559" t="s">
        <v>42</v>
      </c>
      <c r="DH559" s="4" t="s">
        <v>42</v>
      </c>
      <c r="DI559" t="s">
        <v>42</v>
      </c>
      <c r="DJ559" s="4" t="s">
        <v>42</v>
      </c>
      <c r="DK559" t="s">
        <v>42</v>
      </c>
      <c r="DL559" s="4">
        <v>308</v>
      </c>
      <c r="DM559">
        <v>1</v>
      </c>
      <c r="DN559" s="4">
        <v>315</v>
      </c>
      <c r="DO559">
        <v>1</v>
      </c>
      <c r="DP559" s="4">
        <v>316</v>
      </c>
      <c r="DQ559">
        <v>1</v>
      </c>
      <c r="DR559" s="4">
        <v>327</v>
      </c>
      <c r="DS559">
        <v>1</v>
      </c>
      <c r="DT559" s="4">
        <v>337</v>
      </c>
      <c r="DU559">
        <v>1</v>
      </c>
      <c r="DV559" s="4">
        <v>350</v>
      </c>
      <c r="DW559">
        <v>1</v>
      </c>
      <c r="DX559" s="4">
        <v>353</v>
      </c>
      <c r="DY559">
        <v>1</v>
      </c>
      <c r="DZ559" s="4">
        <v>358</v>
      </c>
      <c r="EA559">
        <v>1</v>
      </c>
      <c r="EB559" s="4">
        <v>363</v>
      </c>
      <c r="EC559">
        <v>1</v>
      </c>
      <c r="ED559" s="4">
        <v>367</v>
      </c>
      <c r="EE559">
        <v>1</v>
      </c>
      <c r="EF559" s="4">
        <v>372</v>
      </c>
      <c r="EG559">
        <v>1</v>
      </c>
      <c r="EH559" s="4">
        <v>374</v>
      </c>
      <c r="EI559">
        <v>1</v>
      </c>
      <c r="EJ559" s="4">
        <v>379</v>
      </c>
      <c r="EK559">
        <v>1</v>
      </c>
    </row>
    <row r="560" spans="1:141" x14ac:dyDescent="0.2">
      <c r="A560" t="str">
        <f>HYPERLINK("http://exon.niaid.nih.gov/transcriptome/C_felis/S1/links/cf/cf-contig_612.txt","cf-contig_612")</f>
        <v>cf-contig_612</v>
      </c>
      <c r="B560">
        <v>1</v>
      </c>
      <c r="C560" s="10" t="s">
        <v>4600</v>
      </c>
      <c r="D560">
        <v>1</v>
      </c>
      <c r="E560" t="str">
        <f>HYPERLINK("http://exon.niaid.nih.gov/transcriptome/C_felis/S1/links/cf/cf-5-36-asb-612.txt","Contig-612")</f>
        <v>Contig-612</v>
      </c>
      <c r="F560" t="str">
        <f>HYPERLINK("http://exon.niaid.nih.gov/transcriptome/C_felis/S1/links/cf/cf-5-36-612-CLU.txt","Contig612")</f>
        <v>Contig612</v>
      </c>
      <c r="G560" t="str">
        <f>HYPERLINK("http://exon.niaid.nih.gov/transcriptome/C_felis/S1/links/cf/cf-5-36-612-qual.txt","64.7")</f>
        <v>64.7</v>
      </c>
      <c r="H560" t="s">
        <v>11</v>
      </c>
      <c r="I560">
        <v>77.2</v>
      </c>
      <c r="J560">
        <v>327</v>
      </c>
      <c r="K560" t="s">
        <v>12</v>
      </c>
      <c r="L560">
        <v>1</v>
      </c>
      <c r="M560" t="s">
        <v>625</v>
      </c>
      <c r="N560">
        <v>327</v>
      </c>
      <c r="O560">
        <v>346</v>
      </c>
      <c r="P560">
        <v>153</v>
      </c>
      <c r="Q560" t="s">
        <v>1431</v>
      </c>
      <c r="R560">
        <v>1</v>
      </c>
      <c r="S560" s="7" t="s">
        <v>4585</v>
      </c>
      <c r="U560">
        <v>1</v>
      </c>
      <c r="V560" s="4">
        <v>498</v>
      </c>
      <c r="W560">
        <v>1</v>
      </c>
      <c r="X560" s="4">
        <v>510</v>
      </c>
      <c r="Y560">
        <v>1</v>
      </c>
      <c r="Z560" s="4">
        <v>520</v>
      </c>
      <c r="AA560">
        <v>1</v>
      </c>
      <c r="AB560" s="4" t="str">
        <f>HYPERLINK("http://exon.niaid.nih.gov/transcriptome/C_felis/S1/links/XC-ASB/cf-contig_612-XC-ASB.txt","XC-contig_141")</f>
        <v>XC-contig_141</v>
      </c>
      <c r="AC560">
        <v>0.12</v>
      </c>
      <c r="AD560" s="10" t="s">
        <v>4600</v>
      </c>
      <c r="AE560" t="s">
        <v>4601</v>
      </c>
      <c r="AI560" s="4" t="str">
        <f>HYPERLINK("http://exon.niaid.nih.gov/transcriptome/C_felis/S1/links/NR/cf-contig_612-NR.txt","CBR-SRV-34 protein")</f>
        <v>CBR-SRV-34 protein</v>
      </c>
      <c r="AJ560" t="str">
        <f>HYPERLINK("http://www.ncbi.nlm.nih.gov/sutils/blink.cgi?pid=309355120","2.5")</f>
        <v>2.5</v>
      </c>
      <c r="AK560" t="str">
        <f>HYPERLINK("http://www.ncbi.nlm.nih.gov/protein/309355120","gi|309355120")</f>
        <v>gi|309355120</v>
      </c>
      <c r="AL560">
        <v>35.799999999999997</v>
      </c>
      <c r="AM560">
        <v>45</v>
      </c>
      <c r="AN560">
        <v>622</v>
      </c>
      <c r="AO560">
        <v>39</v>
      </c>
      <c r="AP560">
        <v>7</v>
      </c>
      <c r="AQ560">
        <v>28</v>
      </c>
      <c r="AR560">
        <v>0</v>
      </c>
      <c r="AS560">
        <v>538</v>
      </c>
      <c r="AT560">
        <v>172</v>
      </c>
      <c r="AU560">
        <v>1</v>
      </c>
      <c r="AV560">
        <v>1</v>
      </c>
      <c r="AW560" t="s">
        <v>12</v>
      </c>
      <c r="AY560" t="s">
        <v>1676</v>
      </c>
      <c r="AZ560" t="s">
        <v>3929</v>
      </c>
      <c r="BA560" s="4" t="str">
        <f>HYPERLINK("http://exon.niaid.nih.gov/transcriptome/C_felis/S1/links/SWISSP/cf-contig_612-SWISSP.txt","Uncharacterized protein 135R")</f>
        <v>Uncharacterized protein 135R</v>
      </c>
      <c r="BB560" t="str">
        <f>HYPERLINK("http://www.uniprot.org/uniprot/Q91G04","10")</f>
        <v>10</v>
      </c>
      <c r="BC560" t="s">
        <v>3930</v>
      </c>
      <c r="BD560">
        <v>28.9</v>
      </c>
      <c r="BE560">
        <v>28</v>
      </c>
      <c r="BF560">
        <v>71</v>
      </c>
      <c r="BG560">
        <v>37</v>
      </c>
      <c r="BH560">
        <v>41</v>
      </c>
      <c r="BI560">
        <v>18</v>
      </c>
      <c r="BJ560">
        <v>0</v>
      </c>
      <c r="BK560">
        <v>36</v>
      </c>
      <c r="BL560">
        <v>180</v>
      </c>
      <c r="BM560">
        <v>1</v>
      </c>
      <c r="BN560">
        <v>3</v>
      </c>
      <c r="BO560" t="s">
        <v>12</v>
      </c>
      <c r="BP560">
        <v>3.5710000000000002</v>
      </c>
      <c r="BQ560" t="s">
        <v>1676</v>
      </c>
      <c r="BR560" t="s">
        <v>3931</v>
      </c>
      <c r="BS560" s="4" t="str">
        <f>HYPERLINK("http://exon.niaid.nih.gov/transcriptome/C_felis/S1/links/CDD/cf-contig_612-CDD.txt","ND5")</f>
        <v>ND5</v>
      </c>
      <c r="BT560" t="str">
        <f>HYPERLINK("http://www.ncbi.nlm.nih.gov/Structure/cdd/cddsrv.cgi?uid=MTH00208&amp;version=v4.0","0.004")</f>
        <v>0.004</v>
      </c>
      <c r="BU560" t="s">
        <v>3932</v>
      </c>
      <c r="BV560" s="4" t="s">
        <v>42</v>
      </c>
      <c r="BW560" t="s">
        <v>42</v>
      </c>
      <c r="BX560" t="s">
        <v>42</v>
      </c>
      <c r="BY560" t="s">
        <v>42</v>
      </c>
      <c r="BZ560" t="s">
        <v>42</v>
      </c>
      <c r="CA560" t="s">
        <v>42</v>
      </c>
      <c r="CB560" t="s">
        <v>42</v>
      </c>
      <c r="CC560" t="s">
        <v>42</v>
      </c>
      <c r="CD560" t="s">
        <v>42</v>
      </c>
      <c r="CE560" t="s">
        <v>42</v>
      </c>
      <c r="CF560" t="s">
        <v>42</v>
      </c>
      <c r="CG560" t="s">
        <v>42</v>
      </c>
      <c r="CH560" t="s">
        <v>42</v>
      </c>
      <c r="CI560" t="s">
        <v>42</v>
      </c>
      <c r="CJ560" t="s">
        <v>42</v>
      </c>
      <c r="CK560" t="s">
        <v>42</v>
      </c>
      <c r="CL560" t="s">
        <v>42</v>
      </c>
      <c r="CM560" t="s">
        <v>42</v>
      </c>
      <c r="CN560" t="s">
        <v>42</v>
      </c>
      <c r="CO560" t="s">
        <v>42</v>
      </c>
      <c r="CP560" t="s">
        <v>42</v>
      </c>
      <c r="CQ560" t="s">
        <v>42</v>
      </c>
      <c r="CR560" t="s">
        <v>42</v>
      </c>
      <c r="CS560" s="4" t="str">
        <f>HYPERLINK("http://exon.niaid.nih.gov/transcriptome/C_felis/S1/links/KOG/cf-contig_612-KOG.txt","Casein kinase II, alpha subunit")</f>
        <v>Casein kinase II, alpha subunit</v>
      </c>
      <c r="CT560" t="str">
        <f>HYPERLINK("http://www.ncbi.nlm.nih.gov/COG/grace/shokog.cgi?KOG0668","0.33")</f>
        <v>0.33</v>
      </c>
      <c r="CU560" t="s">
        <v>2241</v>
      </c>
      <c r="CV560" s="4" t="str">
        <f>HYPERLINK("http://exon.niaid.nih.gov/transcriptome/C_felis/S1/links/PFAM/cf-contig_612-PFAM.txt","Oxidored_q1_N")</f>
        <v>Oxidored_q1_N</v>
      </c>
      <c r="CW560" t="str">
        <f>HYPERLINK("http://pfam.sanger.ac.uk/family?acc=PF00662","0.003")</f>
        <v>0.003</v>
      </c>
      <c r="CX560" s="4" t="str">
        <f>HYPERLINK("http://exon.niaid.nih.gov/transcriptome/C_felis/S1/links/SMART/cf-contig_612-SMART.txt","GuKc")</f>
        <v>GuKc</v>
      </c>
      <c r="CY560" t="str">
        <f>HYPERLINK("http://smart.embl-heidelberg.de/smart/do_annotation.pl?DOMAIN=GuKc&amp;BLAST=DUMMY","0.017")</f>
        <v>0.017</v>
      </c>
      <c r="CZ560" s="4" t="s">
        <v>42</v>
      </c>
      <c r="DA560" t="s">
        <v>42</v>
      </c>
      <c r="DB560" t="s">
        <v>42</v>
      </c>
      <c r="DC560" t="s">
        <v>42</v>
      </c>
      <c r="DD560" t="s">
        <v>42</v>
      </c>
      <c r="DE560" t="s">
        <v>42</v>
      </c>
      <c r="DF560" t="s">
        <v>42</v>
      </c>
      <c r="DG560" t="s">
        <v>42</v>
      </c>
      <c r="DH560" s="4" t="s">
        <v>42</v>
      </c>
      <c r="DI560" t="s">
        <v>42</v>
      </c>
      <c r="DJ560" s="4" t="s">
        <v>42</v>
      </c>
      <c r="DK560" t="s">
        <v>42</v>
      </c>
      <c r="DL560" s="4">
        <v>498</v>
      </c>
      <c r="DM560">
        <v>1</v>
      </c>
      <c r="DN560" s="4">
        <v>510</v>
      </c>
      <c r="DO560">
        <v>1</v>
      </c>
      <c r="DP560" s="4">
        <v>520</v>
      </c>
      <c r="DQ560">
        <v>1</v>
      </c>
      <c r="DR560" s="4">
        <v>539</v>
      </c>
      <c r="DS560">
        <v>1</v>
      </c>
      <c r="DT560" s="4">
        <v>551</v>
      </c>
      <c r="DU560">
        <v>1</v>
      </c>
      <c r="DV560" s="4">
        <v>565</v>
      </c>
      <c r="DW560">
        <v>1</v>
      </c>
      <c r="DX560" s="4">
        <v>574</v>
      </c>
      <c r="DY560">
        <v>1</v>
      </c>
      <c r="DZ560" s="4">
        <v>582</v>
      </c>
      <c r="EA560">
        <v>1</v>
      </c>
      <c r="EB560" s="4">
        <v>587</v>
      </c>
      <c r="EC560">
        <v>1</v>
      </c>
      <c r="ED560" s="4">
        <v>591</v>
      </c>
      <c r="EE560">
        <v>1</v>
      </c>
      <c r="EF560" s="4">
        <v>597</v>
      </c>
      <c r="EG560">
        <v>1</v>
      </c>
      <c r="EH560" s="4">
        <v>605</v>
      </c>
      <c r="EI560">
        <v>1</v>
      </c>
      <c r="EJ560" s="4">
        <v>612</v>
      </c>
      <c r="EK560">
        <v>1</v>
      </c>
    </row>
    <row r="561" spans="1:141" x14ac:dyDescent="0.2">
      <c r="A561" t="str">
        <f>HYPERLINK("http://exon.niaid.nih.gov/transcriptome/C_felis/S1/links/cf/cf-contig_84.txt","cf-contig_84")</f>
        <v>cf-contig_84</v>
      </c>
      <c r="B561">
        <v>2</v>
      </c>
      <c r="C561" s="10" t="s">
        <v>4600</v>
      </c>
      <c r="D561">
        <v>2</v>
      </c>
      <c r="E561" t="str">
        <f>HYPERLINK("http://exon.niaid.nih.gov/transcriptome/C_felis/S1/links/cf/cf-5-36-asb-84.txt","Contig-84")</f>
        <v>Contig-84</v>
      </c>
      <c r="F561" t="str">
        <f>HYPERLINK("http://exon.niaid.nih.gov/transcriptome/C_felis/S1/links/cf/cf-5-36-84-CLU.txt","Contig84")</f>
        <v>Contig84</v>
      </c>
      <c r="G561" t="str">
        <f>HYPERLINK("http://exon.niaid.nih.gov/transcriptome/C_felis/S1/links/cf/cf-5-36-84-qual.txt","76.1")</f>
        <v>76.1</v>
      </c>
      <c r="H561" t="s">
        <v>11</v>
      </c>
      <c r="I561">
        <v>63.7</v>
      </c>
      <c r="J561" t="s">
        <v>42</v>
      </c>
      <c r="K561" t="s">
        <v>12</v>
      </c>
      <c r="L561">
        <v>2</v>
      </c>
      <c r="M561" t="s">
        <v>97</v>
      </c>
      <c r="N561">
        <v>170</v>
      </c>
      <c r="O561">
        <v>267</v>
      </c>
      <c r="P561">
        <v>225</v>
      </c>
      <c r="Q561" t="s">
        <v>904</v>
      </c>
      <c r="R561">
        <v>1</v>
      </c>
      <c r="S561" s="7" t="str">
        <f>HYPERLINK("http://exon.niaid.nih.gov/transcriptome/C_felis/S1/links/Sigp/CF-CONTIG_84-SigP.txt","Cyt")</f>
        <v>Cyt</v>
      </c>
      <c r="U561">
        <v>2</v>
      </c>
      <c r="V561" s="4">
        <f>HYPERLINK("http://exon.niaid.nih.gov/transcriptome/C_felis/S1/links/cluster/cf-5-36-asb30-50-Id-CLU35.txt", 35)</f>
        <v>35</v>
      </c>
      <c r="W561">
        <f>HYPERLINK("http://exon.niaid.nih.gov/transcriptome/C_felis/S1/links/cluster/cf-5-36-asb30-50-Id-CLTL35.txt", 2)</f>
        <v>2</v>
      </c>
      <c r="X561" s="4">
        <f>HYPERLINK("http://exon.niaid.nih.gov/transcriptome/C_felis/S1/links/cluster/cf-5-36-asb35-50-Id-CLU28.txt", 28)</f>
        <v>28</v>
      </c>
      <c r="Y561">
        <f>HYPERLINK("http://exon.niaid.nih.gov/transcriptome/C_felis/S1/links/cluster/cf-5-36-asb35-50-Id-CLTL28.txt", 2)</f>
        <v>2</v>
      </c>
      <c r="Z561" s="4">
        <f>HYPERLINK("http://exon.niaid.nih.gov/transcriptome/C_felis/S1/links/cluster/cf-5-36-asb40-50-Id-CLU26.txt", 26)</f>
        <v>26</v>
      </c>
      <c r="AA561">
        <f>HYPERLINK("http://exon.niaid.nih.gov/transcriptome/C_felis/S1/links/cluster/cf-5-36-asb40-50-Id-CLTL26.txt", 2)</f>
        <v>2</v>
      </c>
      <c r="AB561" s="4" t="str">
        <f>HYPERLINK("http://exon.niaid.nih.gov/transcriptome/C_felis/S1/links/XC-ASB/cf-contig_84-XC-ASB.txt","XC-contig_16")</f>
        <v>XC-contig_16</v>
      </c>
      <c r="AC561">
        <v>0.45</v>
      </c>
      <c r="AD561" s="10" t="s">
        <v>4600</v>
      </c>
      <c r="AE561" t="s">
        <v>4601</v>
      </c>
      <c r="AI561" s="4" t="str">
        <f>HYPERLINK("http://exon.niaid.nih.gov/transcriptome/C_felis/S1/links/NR/cf-contig_84-NR.txt","hypothetical protein W03G1.5")</f>
        <v>hypothetical protein W03G1.5</v>
      </c>
      <c r="AJ561" t="str">
        <f>HYPERLINK("http://www.ncbi.nlm.nih.gov/sutils/blink.cgi?pid=17542802","0.078")</f>
        <v>0.078</v>
      </c>
      <c r="AK561" t="str">
        <f>HYPERLINK("http://www.ncbi.nlm.nih.gov/protein/17542802","gi|17542802")</f>
        <v>gi|17542802</v>
      </c>
      <c r="AL561">
        <v>40.799999999999997</v>
      </c>
      <c r="AM561">
        <v>78</v>
      </c>
      <c r="AN561">
        <v>471</v>
      </c>
      <c r="AO561">
        <v>53</v>
      </c>
      <c r="AP561">
        <v>17</v>
      </c>
      <c r="AQ561">
        <v>14</v>
      </c>
      <c r="AR561">
        <v>0</v>
      </c>
      <c r="AS561">
        <v>274</v>
      </c>
      <c r="AT561">
        <v>15</v>
      </c>
      <c r="AU561">
        <v>2</v>
      </c>
      <c r="AV561">
        <v>3</v>
      </c>
      <c r="AW561" t="s">
        <v>12</v>
      </c>
      <c r="AY561" t="s">
        <v>1676</v>
      </c>
      <c r="AZ561" t="s">
        <v>1735</v>
      </c>
      <c r="BA561" s="4" t="str">
        <f>HYPERLINK("http://exon.niaid.nih.gov/transcriptome/C_felis/S1/links/SWISSP/cf-contig_84-SWISSP.txt","ABC transporter C family member 13")</f>
        <v>ABC transporter C family member 13</v>
      </c>
      <c r="BB561" t="str">
        <f>HYPERLINK("http://www.uniprot.org/uniprot/Q54V86","1.3")</f>
        <v>1.3</v>
      </c>
      <c r="BC561" t="s">
        <v>1975</v>
      </c>
      <c r="BD561">
        <v>32</v>
      </c>
      <c r="BE561">
        <v>57</v>
      </c>
      <c r="BF561">
        <v>1350</v>
      </c>
      <c r="BG561">
        <v>42</v>
      </c>
      <c r="BH561">
        <v>4</v>
      </c>
      <c r="BI561">
        <v>39</v>
      </c>
      <c r="BJ561">
        <v>0</v>
      </c>
      <c r="BK561">
        <v>992</v>
      </c>
      <c r="BL561">
        <v>33</v>
      </c>
      <c r="BM561">
        <v>1</v>
      </c>
      <c r="BN561">
        <v>-2</v>
      </c>
      <c r="BO561" t="s">
        <v>12</v>
      </c>
      <c r="BP561">
        <v>1.754</v>
      </c>
      <c r="BQ561" t="s">
        <v>1666</v>
      </c>
      <c r="BR561" t="s">
        <v>1976</v>
      </c>
      <c r="BS561" s="4" t="str">
        <f>HYPERLINK("http://exon.niaid.nih.gov/transcriptome/C_felis/S1/links/CDD/cf-contig_84-CDD.txt","PLN02446")</f>
        <v>PLN02446</v>
      </c>
      <c r="BT561" t="str">
        <f>HYPERLINK("http://www.ncbi.nlm.nih.gov/Structure/cdd/cddsrv.cgi?uid=PLN02446&amp;version=v4.0","0.12")</f>
        <v>0.12</v>
      </c>
      <c r="BU561" t="s">
        <v>1977</v>
      </c>
      <c r="BV561" s="4" t="s">
        <v>42</v>
      </c>
      <c r="BW561" t="s">
        <v>42</v>
      </c>
      <c r="BX561" t="s">
        <v>42</v>
      </c>
      <c r="BY561" t="s">
        <v>42</v>
      </c>
      <c r="BZ561" t="s">
        <v>42</v>
      </c>
      <c r="CA561" t="s">
        <v>42</v>
      </c>
      <c r="CB561" t="s">
        <v>42</v>
      </c>
      <c r="CC561" t="s">
        <v>42</v>
      </c>
      <c r="CD561" t="s">
        <v>42</v>
      </c>
      <c r="CE561" t="s">
        <v>42</v>
      </c>
      <c r="CF561" t="s">
        <v>42</v>
      </c>
      <c r="CG561" t="s">
        <v>42</v>
      </c>
      <c r="CH561" t="s">
        <v>42</v>
      </c>
      <c r="CI561" t="s">
        <v>42</v>
      </c>
      <c r="CJ561" t="s">
        <v>42</v>
      </c>
      <c r="CK561" t="s">
        <v>42</v>
      </c>
      <c r="CL561" t="s">
        <v>42</v>
      </c>
      <c r="CM561" t="s">
        <v>42</v>
      </c>
      <c r="CN561" t="s">
        <v>42</v>
      </c>
      <c r="CO561" t="s">
        <v>42</v>
      </c>
      <c r="CP561" t="s">
        <v>42</v>
      </c>
      <c r="CQ561" t="s">
        <v>42</v>
      </c>
      <c r="CR561" t="s">
        <v>42</v>
      </c>
      <c r="CS561" s="4" t="str">
        <f>HYPERLINK("http://exon.niaid.nih.gov/transcriptome/C_felis/S1/links/KOG/cf-contig_84-KOG.txt","Uncharacterized conserved glycine-rich protein")</f>
        <v>Uncharacterized conserved glycine-rich protein</v>
      </c>
      <c r="CT561" t="str">
        <f>HYPERLINK("http://www.ncbi.nlm.nih.gov/COG/grace/shokog.cgi?KOG3973","0.37")</f>
        <v>0.37</v>
      </c>
      <c r="CU561" t="s">
        <v>1711</v>
      </c>
      <c r="CV561" s="4" t="str">
        <f>HYPERLINK("http://exon.niaid.nih.gov/transcriptome/C_felis/S1/links/PFAM/cf-contig_84-PFAM.txt","ABC2_membrane")</f>
        <v>ABC2_membrane</v>
      </c>
      <c r="CW561" t="str">
        <f>HYPERLINK("http://pfam.sanger.ac.uk/family?acc=PF01061","0.19")</f>
        <v>0.19</v>
      </c>
      <c r="CX561" s="4" t="str">
        <f>HYPERLINK("http://exon.niaid.nih.gov/transcriptome/C_felis/S1/links/SMART/cf-contig_84-SMART.txt","PRP")</f>
        <v>PRP</v>
      </c>
      <c r="CY561" t="str">
        <f>HYPERLINK("http://smart.embl-heidelberg.de/smart/do_annotation.pl?DOMAIN=PRP&amp;BLAST=DUMMY","0.002")</f>
        <v>0.002</v>
      </c>
      <c r="CZ561" s="4" t="s">
        <v>42</v>
      </c>
      <c r="DA561" t="s">
        <v>42</v>
      </c>
      <c r="DB561" t="s">
        <v>42</v>
      </c>
      <c r="DC561" t="s">
        <v>42</v>
      </c>
      <c r="DD561" t="s">
        <v>42</v>
      </c>
      <c r="DE561" t="s">
        <v>42</v>
      </c>
      <c r="DF561" t="s">
        <v>42</v>
      </c>
      <c r="DG561" t="s">
        <v>42</v>
      </c>
      <c r="DH561" s="4" t="s">
        <v>42</v>
      </c>
      <c r="DI561" t="s">
        <v>42</v>
      </c>
      <c r="DJ561" s="4" t="s">
        <v>42</v>
      </c>
      <c r="DK561" t="s">
        <v>42</v>
      </c>
      <c r="DL561" s="4">
        <f>HYPERLINK("http://exon.niaid.nih.gov/transcriptome/C_felis/S1/links/cluster/cf-5-36-asb30-50-Id-CLU35.txt", 35)</f>
        <v>35</v>
      </c>
      <c r="DM561">
        <f>HYPERLINK("http://exon.niaid.nih.gov/transcriptome/C_felis/S1/links/cluster/cf-5-36-asb30-50-Id-CLTL35.txt", 2)</f>
        <v>2</v>
      </c>
      <c r="DN561" s="4">
        <f>HYPERLINK("http://exon.niaid.nih.gov/transcriptome/C_felis/S1/links/cluster/cf-5-36-asb35-50-Id-CLU28.txt", 28)</f>
        <v>28</v>
      </c>
      <c r="DO561">
        <f>HYPERLINK("http://exon.niaid.nih.gov/transcriptome/C_felis/S1/links/cluster/cf-5-36-asb35-50-Id-CLTL28.txt", 2)</f>
        <v>2</v>
      </c>
      <c r="DP561" s="4">
        <f>HYPERLINK("http://exon.niaid.nih.gov/transcriptome/C_felis/S1/links/cluster/cf-5-36-asb40-50-Id-CLU26.txt", 26)</f>
        <v>26</v>
      </c>
      <c r="DQ561">
        <f>HYPERLINK("http://exon.niaid.nih.gov/transcriptome/C_felis/S1/links/cluster/cf-5-36-asb40-50-Id-CLTL26.txt", 2)</f>
        <v>2</v>
      </c>
      <c r="DR561" s="4">
        <f>HYPERLINK("http://exon.niaid.nih.gov/transcriptome/C_felis/S1/links/cluster/cf-5-36-asb45-50-Id-CLU24.txt", 24)</f>
        <v>24</v>
      </c>
      <c r="DS561">
        <f>HYPERLINK("http://exon.niaid.nih.gov/transcriptome/C_felis/S1/links/cluster/cf-5-36-asb45-50-Id-CLTL24.txt", 2)</f>
        <v>2</v>
      </c>
      <c r="DT561" s="4">
        <v>91</v>
      </c>
      <c r="DU561">
        <v>1</v>
      </c>
      <c r="DV561" s="4">
        <v>96</v>
      </c>
      <c r="DW561">
        <v>1</v>
      </c>
      <c r="DX561" s="4">
        <v>95</v>
      </c>
      <c r="DY561">
        <v>1</v>
      </c>
      <c r="DZ561" s="4">
        <v>93</v>
      </c>
      <c r="EA561">
        <v>1</v>
      </c>
      <c r="EB561" s="4">
        <v>93</v>
      </c>
      <c r="EC561">
        <v>1</v>
      </c>
      <c r="ED561" s="4">
        <v>94</v>
      </c>
      <c r="EE561">
        <v>1</v>
      </c>
      <c r="EF561" s="4">
        <v>91</v>
      </c>
      <c r="EG561">
        <v>1</v>
      </c>
      <c r="EH561" s="4">
        <v>86</v>
      </c>
      <c r="EI561">
        <v>1</v>
      </c>
      <c r="EJ561" s="4">
        <v>84</v>
      </c>
      <c r="EK561">
        <v>1</v>
      </c>
    </row>
    <row r="562" spans="1:141" x14ac:dyDescent="0.2">
      <c r="A562" t="str">
        <f>HYPERLINK("http://exon.niaid.nih.gov/transcriptome/C_felis/S1/links/cf/cf-contig_329.txt","cf-contig_329")</f>
        <v>cf-contig_329</v>
      </c>
      <c r="B562">
        <v>1</v>
      </c>
      <c r="C562" s="10" t="s">
        <v>4600</v>
      </c>
      <c r="D562">
        <v>1</v>
      </c>
      <c r="E562" t="str">
        <f>HYPERLINK("http://exon.niaid.nih.gov/transcriptome/C_felis/S1/links/cf/cf-5-36-asb-329.txt","Contig-329")</f>
        <v>Contig-329</v>
      </c>
      <c r="F562" t="str">
        <f>HYPERLINK("http://exon.niaid.nih.gov/transcriptome/C_felis/S1/links/cf/cf-5-36-329-CLU.txt","Contig329")</f>
        <v>Contig329</v>
      </c>
      <c r="G562" t="str">
        <f>HYPERLINK("http://exon.niaid.nih.gov/transcriptome/C_felis/S1/links/cf/cf-5-36-329-qual.txt","44.3")</f>
        <v>44.3</v>
      </c>
      <c r="H562" t="s">
        <v>11</v>
      </c>
      <c r="I562">
        <v>64.8</v>
      </c>
      <c r="J562">
        <v>140</v>
      </c>
      <c r="K562" t="s">
        <v>12</v>
      </c>
      <c r="L562">
        <v>1</v>
      </c>
      <c r="M562" t="s">
        <v>342</v>
      </c>
      <c r="N562">
        <v>140</v>
      </c>
      <c r="O562">
        <v>159</v>
      </c>
      <c r="P562">
        <v>111</v>
      </c>
      <c r="Q562" t="s">
        <v>1149</v>
      </c>
      <c r="R562">
        <v>2</v>
      </c>
      <c r="S562" s="7" t="s">
        <v>4585</v>
      </c>
      <c r="U562">
        <v>1</v>
      </c>
      <c r="V562" s="4">
        <v>266</v>
      </c>
      <c r="W562">
        <v>1</v>
      </c>
      <c r="X562" s="4">
        <v>272</v>
      </c>
      <c r="Y562">
        <v>1</v>
      </c>
      <c r="Z562" s="4">
        <v>271</v>
      </c>
      <c r="AA562">
        <v>1</v>
      </c>
      <c r="AB562" s="4" t="str">
        <f>HYPERLINK("http://exon.niaid.nih.gov/transcriptome/C_felis/S1/links/XC-ASB/cf-contig_329-XC-ASB.txt","XC-contig_240")</f>
        <v>XC-contig_240</v>
      </c>
      <c r="AC562">
        <v>0.15</v>
      </c>
      <c r="AD562" s="10" t="s">
        <v>4600</v>
      </c>
      <c r="AE562" t="s">
        <v>4601</v>
      </c>
      <c r="AI562" s="4" t="str">
        <f>HYPERLINK("http://exon.niaid.nih.gov/transcriptome/C_felis/S1/links/NR/cf-contig_329-NR.txt","hypothetical protein CRE_07291")</f>
        <v>hypothetical protein CRE_07291</v>
      </c>
      <c r="AJ562" t="str">
        <f>HYPERLINK("http://www.ncbi.nlm.nih.gov/sutils/blink.cgi?pid=308495071","81")</f>
        <v>81</v>
      </c>
      <c r="AK562" t="str">
        <f>HYPERLINK("http://www.ncbi.nlm.nih.gov/protein/308495071","gi|308495071")</f>
        <v>gi|308495071</v>
      </c>
      <c r="AL562">
        <v>30.8</v>
      </c>
      <c r="AM562">
        <v>35</v>
      </c>
      <c r="AN562">
        <v>338</v>
      </c>
      <c r="AO562">
        <v>36</v>
      </c>
      <c r="AP562">
        <v>11</v>
      </c>
      <c r="AQ562">
        <v>23</v>
      </c>
      <c r="AR562">
        <v>0</v>
      </c>
      <c r="AS562">
        <v>257</v>
      </c>
      <c r="AT562">
        <v>32</v>
      </c>
      <c r="AU562">
        <v>1</v>
      </c>
      <c r="AV562">
        <v>-3</v>
      </c>
      <c r="AW562" t="s">
        <v>12</v>
      </c>
      <c r="AY562" t="s">
        <v>1666</v>
      </c>
      <c r="AZ562" t="s">
        <v>2855</v>
      </c>
      <c r="BA562" s="4" t="str">
        <f>HYPERLINK("http://exon.niaid.nih.gov/transcriptome/C_felis/S1/links/SWISSP/cf-contig_329-SWISSP.txt","Leucyl-tRNA synthetase")</f>
        <v>Leucyl-tRNA synthetase</v>
      </c>
      <c r="BB562" t="str">
        <f>HYPERLINK("http://www.uniprot.org/uniprot/A5CCT4","31")</f>
        <v>31</v>
      </c>
      <c r="BC562" t="s">
        <v>2856</v>
      </c>
      <c r="BD562">
        <v>27.3</v>
      </c>
      <c r="BE562">
        <v>38</v>
      </c>
      <c r="BF562">
        <v>838</v>
      </c>
      <c r="BG562">
        <v>41</v>
      </c>
      <c r="BH562">
        <v>5</v>
      </c>
      <c r="BI562">
        <v>23</v>
      </c>
      <c r="BJ562">
        <v>12</v>
      </c>
      <c r="BK562">
        <v>634</v>
      </c>
      <c r="BL562">
        <v>41</v>
      </c>
      <c r="BM562">
        <v>1</v>
      </c>
      <c r="BN562">
        <v>-3</v>
      </c>
      <c r="BO562" t="s">
        <v>12</v>
      </c>
      <c r="BQ562" t="s">
        <v>1666</v>
      </c>
      <c r="BR562" t="s">
        <v>2857</v>
      </c>
      <c r="BS562" s="4" t="str">
        <f>HYPERLINK("http://exon.niaid.nih.gov/transcriptome/C_felis/S1/links/CDD/cf-contig_329-CDD.txt","Dynamin_N")</f>
        <v>Dynamin_N</v>
      </c>
      <c r="BT562" t="str">
        <f>HYPERLINK("http://www.ncbi.nlm.nih.gov/Structure/cdd/cddsrv.cgi?uid=pfam00350&amp;version=v4.0","4.7")</f>
        <v>4.7</v>
      </c>
      <c r="BU562" t="s">
        <v>2858</v>
      </c>
      <c r="BV562" s="4" t="s">
        <v>42</v>
      </c>
      <c r="BW562" t="s">
        <v>42</v>
      </c>
      <c r="BX562" t="s">
        <v>42</v>
      </c>
      <c r="BY562" t="s">
        <v>42</v>
      </c>
      <c r="BZ562" t="s">
        <v>42</v>
      </c>
      <c r="CA562" t="s">
        <v>42</v>
      </c>
      <c r="CB562" t="s">
        <v>42</v>
      </c>
      <c r="CC562" t="s">
        <v>42</v>
      </c>
      <c r="CD562" t="s">
        <v>42</v>
      </c>
      <c r="CE562" t="s">
        <v>42</v>
      </c>
      <c r="CF562" t="s">
        <v>42</v>
      </c>
      <c r="CG562" t="s">
        <v>42</v>
      </c>
      <c r="CH562" t="s">
        <v>42</v>
      </c>
      <c r="CI562" t="s">
        <v>42</v>
      </c>
      <c r="CJ562" t="s">
        <v>42</v>
      </c>
      <c r="CK562" t="s">
        <v>42</v>
      </c>
      <c r="CL562" t="s">
        <v>42</v>
      </c>
      <c r="CM562" t="s">
        <v>42</v>
      </c>
      <c r="CN562" t="s">
        <v>42</v>
      </c>
      <c r="CO562" t="s">
        <v>42</v>
      </c>
      <c r="CP562" t="s">
        <v>42</v>
      </c>
      <c r="CQ562" t="s">
        <v>42</v>
      </c>
      <c r="CR562" t="s">
        <v>42</v>
      </c>
      <c r="CS562" s="4" t="str">
        <f>HYPERLINK("http://exon.niaid.nih.gov/transcriptome/C_felis/S1/links/KOG/cf-contig_329-KOG.txt","ATP-dependent DNA ligase I")</f>
        <v>ATP-dependent DNA ligase I</v>
      </c>
      <c r="CT562" t="str">
        <f>HYPERLINK("http://www.ncbi.nlm.nih.gov/COG/grace/shokog.cgi?KOG0967","2.0")</f>
        <v>2.0</v>
      </c>
      <c r="CU562" t="s">
        <v>2520</v>
      </c>
      <c r="CV562" s="4" t="str">
        <f>HYPERLINK("http://exon.niaid.nih.gov/transcriptome/C_felis/S1/links/PFAM/cf-contig_329-PFAM.txt","Dynamin_N")</f>
        <v>Dynamin_N</v>
      </c>
      <c r="CW562" t="str">
        <f>HYPERLINK("http://pfam.sanger.ac.uk/family?acc=PF00350","0.99")</f>
        <v>0.99</v>
      </c>
      <c r="CX562" s="4" t="str">
        <f>HYPERLINK("http://exon.niaid.nih.gov/transcriptome/C_felis/S1/links/SMART/cf-contig_329-SMART.txt","Arfaptin")</f>
        <v>Arfaptin</v>
      </c>
      <c r="CY562" t="str">
        <f>HYPERLINK("http://smart.embl-heidelberg.de/smart/do_annotation.pl?DOMAIN=Arfaptin&amp;BLAST=DUMMY","0.11")</f>
        <v>0.11</v>
      </c>
      <c r="CZ562" s="4" t="s">
        <v>42</v>
      </c>
      <c r="DA562" t="s">
        <v>42</v>
      </c>
      <c r="DB562" t="s">
        <v>42</v>
      </c>
      <c r="DC562" t="s">
        <v>42</v>
      </c>
      <c r="DD562" t="s">
        <v>42</v>
      </c>
      <c r="DE562" t="s">
        <v>42</v>
      </c>
      <c r="DF562" t="s">
        <v>42</v>
      </c>
      <c r="DG562" t="s">
        <v>42</v>
      </c>
      <c r="DH562" s="4" t="s">
        <v>42</v>
      </c>
      <c r="DI562" t="s">
        <v>42</v>
      </c>
      <c r="DJ562" s="4" t="s">
        <v>42</v>
      </c>
      <c r="DK562" t="s">
        <v>42</v>
      </c>
      <c r="DL562" s="4">
        <v>266</v>
      </c>
      <c r="DM562">
        <v>1</v>
      </c>
      <c r="DN562" s="4">
        <v>272</v>
      </c>
      <c r="DO562">
        <v>1</v>
      </c>
      <c r="DP562" s="4">
        <v>271</v>
      </c>
      <c r="DQ562">
        <v>1</v>
      </c>
      <c r="DR562" s="4">
        <v>280</v>
      </c>
      <c r="DS562">
        <v>1</v>
      </c>
      <c r="DT562" s="4">
        <v>290</v>
      </c>
      <c r="DU562">
        <v>1</v>
      </c>
      <c r="DV562" s="4">
        <v>302</v>
      </c>
      <c r="DW562">
        <v>1</v>
      </c>
      <c r="DX562" s="4">
        <v>304</v>
      </c>
      <c r="DY562">
        <v>1</v>
      </c>
      <c r="DZ562" s="4">
        <v>309</v>
      </c>
      <c r="EA562">
        <v>1</v>
      </c>
      <c r="EB562" s="4">
        <v>314</v>
      </c>
      <c r="EC562">
        <v>1</v>
      </c>
      <c r="ED562" s="4">
        <v>318</v>
      </c>
      <c r="EE562">
        <v>1</v>
      </c>
      <c r="EF562" s="4">
        <v>322</v>
      </c>
      <c r="EG562">
        <v>1</v>
      </c>
      <c r="EH562" s="4">
        <v>324</v>
      </c>
      <c r="EI562">
        <v>1</v>
      </c>
      <c r="EJ562" s="4">
        <v>329</v>
      </c>
      <c r="EK562">
        <v>1</v>
      </c>
    </row>
    <row r="563" spans="1:141" x14ac:dyDescent="0.2">
      <c r="A563" t="str">
        <f>HYPERLINK("http://exon.niaid.nih.gov/transcriptome/C_felis/S1/links/cf/cf-contig_797.txt","cf-contig_797")</f>
        <v>cf-contig_797</v>
      </c>
      <c r="B563">
        <v>1</v>
      </c>
      <c r="C563" s="10" t="s">
        <v>4600</v>
      </c>
      <c r="D563">
        <v>1</v>
      </c>
      <c r="E563" t="str">
        <f>HYPERLINK("http://exon.niaid.nih.gov/transcriptome/C_felis/S1/links/cf/cf-5-36-asb-797.txt","Contig-797")</f>
        <v>Contig-797</v>
      </c>
      <c r="F563" t="str">
        <f>HYPERLINK("http://exon.niaid.nih.gov/transcriptome/C_felis/S1/links/cf/cf-5-36-797-CLU.txt","Contig797")</f>
        <v>Contig797</v>
      </c>
      <c r="G563" t="str">
        <f>HYPERLINK("http://exon.niaid.nih.gov/transcriptome/C_felis/S1/links/cf/cf-5-36-797-qual.txt","54.6")</f>
        <v>54.6</v>
      </c>
      <c r="H563" t="s">
        <v>11</v>
      </c>
      <c r="I563">
        <v>68.2</v>
      </c>
      <c r="J563">
        <v>135</v>
      </c>
      <c r="K563" t="s">
        <v>12</v>
      </c>
      <c r="L563">
        <v>1</v>
      </c>
      <c r="M563" t="s">
        <v>810</v>
      </c>
      <c r="N563">
        <v>135</v>
      </c>
      <c r="O563">
        <v>154</v>
      </c>
      <c r="P563">
        <v>114</v>
      </c>
      <c r="Q563" t="s">
        <v>1616</v>
      </c>
      <c r="R563">
        <v>2</v>
      </c>
      <c r="S563" s="7" t="s">
        <v>4585</v>
      </c>
      <c r="U563">
        <v>1</v>
      </c>
      <c r="V563" s="4">
        <v>640</v>
      </c>
      <c r="W563">
        <v>1</v>
      </c>
      <c r="X563" s="4">
        <v>662</v>
      </c>
      <c r="Y563">
        <v>1</v>
      </c>
      <c r="Z563" s="4">
        <v>678</v>
      </c>
      <c r="AA563">
        <v>1</v>
      </c>
      <c r="AB563" s="4" t="str">
        <f>HYPERLINK("http://exon.niaid.nih.gov/transcriptome/C_felis/S1/links/XC-ASB/cf-contig_797-XC-ASB.txt","XC-contig_127")</f>
        <v>XC-contig_127</v>
      </c>
      <c r="AC563">
        <v>7.1999999999999995E-2</v>
      </c>
      <c r="AD563" s="10" t="s">
        <v>4600</v>
      </c>
      <c r="AE563" t="s">
        <v>4601</v>
      </c>
      <c r="AI563" s="4" t="str">
        <f>HYPERLINK("http://exon.niaid.nih.gov/transcriptome/C_felis/S1/links/NR/cf-contig_797-NR.txt","hypothetical protein CRE_15427")</f>
        <v>hypothetical protein CRE_15427</v>
      </c>
      <c r="AJ563" t="str">
        <f>HYPERLINK("http://www.ncbi.nlm.nih.gov/sutils/blink.cgi?pid=308488167","47")</f>
        <v>47</v>
      </c>
      <c r="AK563" t="str">
        <f>HYPERLINK("http://www.ncbi.nlm.nih.gov/protein/308488167","gi|308488167")</f>
        <v>gi|308488167</v>
      </c>
      <c r="AL563">
        <v>31.6</v>
      </c>
      <c r="AM563">
        <v>33</v>
      </c>
      <c r="AN563">
        <v>795</v>
      </c>
      <c r="AO563">
        <v>38</v>
      </c>
      <c r="AP563">
        <v>4</v>
      </c>
      <c r="AQ563">
        <v>21</v>
      </c>
      <c r="AR563">
        <v>0</v>
      </c>
      <c r="AS563">
        <v>369</v>
      </c>
      <c r="AT563">
        <v>5</v>
      </c>
      <c r="AU563">
        <v>1</v>
      </c>
      <c r="AV563">
        <v>2</v>
      </c>
      <c r="AW563" t="s">
        <v>12</v>
      </c>
      <c r="AY563" t="s">
        <v>1676</v>
      </c>
      <c r="AZ563" t="s">
        <v>2855</v>
      </c>
      <c r="BA563" s="4" t="str">
        <f>HYPERLINK("http://exon.niaid.nih.gov/transcriptome/C_felis/S1/links/SWISSP/cf-contig_797-SWISSP.txt","Spike glycoprotein")</f>
        <v>Spike glycoprotein</v>
      </c>
      <c r="BB563" t="str">
        <f>HYPERLINK("http://www.uniprot.org/uniprot/Q7T6T3","18")</f>
        <v>18</v>
      </c>
      <c r="BC563" t="s">
        <v>4546</v>
      </c>
      <c r="BD563">
        <v>28.1</v>
      </c>
      <c r="BE563">
        <v>28</v>
      </c>
      <c r="BF563">
        <v>1453</v>
      </c>
      <c r="BG563">
        <v>44</v>
      </c>
      <c r="BH563">
        <v>2</v>
      </c>
      <c r="BI563">
        <v>16</v>
      </c>
      <c r="BJ563">
        <v>2</v>
      </c>
      <c r="BK563">
        <v>1399</v>
      </c>
      <c r="BL563">
        <v>18</v>
      </c>
      <c r="BM563">
        <v>1</v>
      </c>
      <c r="BN563">
        <v>3</v>
      </c>
      <c r="BO563" t="s">
        <v>12</v>
      </c>
      <c r="BP563">
        <v>3.5710000000000002</v>
      </c>
      <c r="BQ563" t="s">
        <v>1676</v>
      </c>
      <c r="BR563" t="s">
        <v>4547</v>
      </c>
      <c r="BS563" s="4" t="str">
        <f>HYPERLINK("http://exon.niaid.nih.gov/transcriptome/C_felis/S1/links/CDD/cf-contig_797-CDD.txt","HCO3_cotransp")</f>
        <v>HCO3_cotransp</v>
      </c>
      <c r="BT563" t="str">
        <f>HYPERLINK("http://www.ncbi.nlm.nih.gov/Structure/cdd/cddsrv.cgi?uid=pfam00955&amp;version=v4.0","0.24")</f>
        <v>0.24</v>
      </c>
      <c r="BU563" t="s">
        <v>4548</v>
      </c>
      <c r="BV563" s="4" t="s">
        <v>42</v>
      </c>
      <c r="BW563" t="s">
        <v>42</v>
      </c>
      <c r="BX563" t="s">
        <v>42</v>
      </c>
      <c r="BY563" t="s">
        <v>42</v>
      </c>
      <c r="BZ563" t="s">
        <v>42</v>
      </c>
      <c r="CA563" t="s">
        <v>42</v>
      </c>
      <c r="CB563" t="s">
        <v>42</v>
      </c>
      <c r="CC563" t="s">
        <v>42</v>
      </c>
      <c r="CD563" t="s">
        <v>42</v>
      </c>
      <c r="CE563" t="s">
        <v>42</v>
      </c>
      <c r="CF563" t="s">
        <v>42</v>
      </c>
      <c r="CG563" t="s">
        <v>42</v>
      </c>
      <c r="CH563" t="s">
        <v>42</v>
      </c>
      <c r="CI563" t="s">
        <v>42</v>
      </c>
      <c r="CJ563" t="s">
        <v>42</v>
      </c>
      <c r="CK563" t="s">
        <v>42</v>
      </c>
      <c r="CL563" t="s">
        <v>42</v>
      </c>
      <c r="CM563" t="s">
        <v>42</v>
      </c>
      <c r="CN563" t="s">
        <v>42</v>
      </c>
      <c r="CO563" t="s">
        <v>42</v>
      </c>
      <c r="CP563" t="s">
        <v>42</v>
      </c>
      <c r="CQ563" t="s">
        <v>42</v>
      </c>
      <c r="CR563" t="s">
        <v>42</v>
      </c>
      <c r="CS563" s="4" t="str">
        <f>HYPERLINK("http://exon.niaid.nih.gov/transcriptome/C_felis/S1/links/KOG/cf-contig_797-KOG.txt","Probable Rab-GAPs")</f>
        <v>Probable Rab-GAPs</v>
      </c>
      <c r="CT563" t="str">
        <f>HYPERLINK("http://www.ncbi.nlm.nih.gov/COG/grace/shokog.cgi?KOG2801","3.3")</f>
        <v>3.3</v>
      </c>
      <c r="CU563" t="s">
        <v>1686</v>
      </c>
      <c r="CV563" s="4" t="str">
        <f>HYPERLINK("http://exon.niaid.nih.gov/transcriptome/C_felis/S1/links/PFAM/cf-contig_797-PFAM.txt","HCO3_cotransp")</f>
        <v>HCO3_cotransp</v>
      </c>
      <c r="CW563" t="str">
        <f>HYPERLINK("http://pfam.sanger.ac.uk/family?acc=PF00955","0.052")</f>
        <v>0.052</v>
      </c>
      <c r="CX563" s="4" t="str">
        <f>HYPERLINK("http://exon.niaid.nih.gov/transcriptome/C_felis/S1/links/SMART/cf-contig_797-SMART.txt","CDC37_M")</f>
        <v>CDC37_M</v>
      </c>
      <c r="CY563" t="str">
        <f>HYPERLINK("http://smart.embl-heidelberg.de/smart/do_annotation.pl?DOMAIN=CDC37_M&amp;BLAST=DUMMY","0.23")</f>
        <v>0.23</v>
      </c>
      <c r="CZ563" s="4" t="s">
        <v>42</v>
      </c>
      <c r="DA563" t="s">
        <v>42</v>
      </c>
      <c r="DB563" t="s">
        <v>42</v>
      </c>
      <c r="DC563" t="s">
        <v>42</v>
      </c>
      <c r="DD563" t="s">
        <v>42</v>
      </c>
      <c r="DE563" t="s">
        <v>42</v>
      </c>
      <c r="DF563" t="s">
        <v>42</v>
      </c>
      <c r="DG563" t="s">
        <v>42</v>
      </c>
      <c r="DH563" s="4" t="s">
        <v>42</v>
      </c>
      <c r="DI563" t="s">
        <v>42</v>
      </c>
      <c r="DJ563" s="4" t="s">
        <v>42</v>
      </c>
      <c r="DK563" t="s">
        <v>42</v>
      </c>
      <c r="DL563" s="4">
        <v>640</v>
      </c>
      <c r="DM563">
        <v>1</v>
      </c>
      <c r="DN563" s="4">
        <v>662</v>
      </c>
      <c r="DO563">
        <v>1</v>
      </c>
      <c r="DP563" s="4">
        <v>678</v>
      </c>
      <c r="DQ563">
        <v>1</v>
      </c>
      <c r="DR563" s="4">
        <v>700</v>
      </c>
      <c r="DS563">
        <v>1</v>
      </c>
      <c r="DT563" s="4">
        <v>716</v>
      </c>
      <c r="DU563">
        <v>1</v>
      </c>
      <c r="DV563" s="4">
        <v>731</v>
      </c>
      <c r="DW563">
        <v>1</v>
      </c>
      <c r="DX563" s="4">
        <v>745</v>
      </c>
      <c r="DY563">
        <v>1</v>
      </c>
      <c r="DZ563" s="4">
        <v>757</v>
      </c>
      <c r="EA563">
        <v>1</v>
      </c>
      <c r="EB563" s="4">
        <v>764</v>
      </c>
      <c r="EC563">
        <v>1</v>
      </c>
      <c r="ED563" s="4">
        <v>769</v>
      </c>
      <c r="EE563">
        <v>1</v>
      </c>
      <c r="EF563" s="4">
        <v>776</v>
      </c>
      <c r="EG563">
        <v>1</v>
      </c>
      <c r="EH563" s="4">
        <v>788</v>
      </c>
      <c r="EI563">
        <v>1</v>
      </c>
      <c r="EJ563" s="4">
        <v>797</v>
      </c>
      <c r="EK563">
        <v>1</v>
      </c>
    </row>
    <row r="564" spans="1:141" x14ac:dyDescent="0.2">
      <c r="A564" t="str">
        <f>HYPERLINK("http://exon.niaid.nih.gov/transcriptome/C_felis/S1/links/cf/cf-contig_292.txt","cf-contig_292")</f>
        <v>cf-contig_292</v>
      </c>
      <c r="B564">
        <v>1</v>
      </c>
      <c r="C564" s="10" t="s">
        <v>4600</v>
      </c>
      <c r="D564">
        <v>1</v>
      </c>
      <c r="E564" t="str">
        <f>HYPERLINK("http://exon.niaid.nih.gov/transcriptome/C_felis/S1/links/cf/cf-5-36-asb-292.txt","Contig-292")</f>
        <v>Contig-292</v>
      </c>
      <c r="F564" t="str">
        <f>HYPERLINK("http://exon.niaid.nih.gov/transcriptome/C_felis/S1/links/cf/cf-5-36-292-CLU.txt","Contig292")</f>
        <v>Contig292</v>
      </c>
      <c r="G564" t="str">
        <f>HYPERLINK("http://exon.niaid.nih.gov/transcriptome/C_felis/S1/links/cf/cf-5-36-292-qual.txt","58.7")</f>
        <v>58.7</v>
      </c>
      <c r="H564" t="s">
        <v>11</v>
      </c>
      <c r="I564">
        <v>56.6</v>
      </c>
      <c r="J564">
        <v>133</v>
      </c>
      <c r="K564" t="s">
        <v>12</v>
      </c>
      <c r="L564">
        <v>1</v>
      </c>
      <c r="M564" t="s">
        <v>305</v>
      </c>
      <c r="N564">
        <v>133</v>
      </c>
      <c r="O564">
        <v>152</v>
      </c>
      <c r="P564">
        <v>93</v>
      </c>
      <c r="Q564" t="s">
        <v>1112</v>
      </c>
      <c r="R564">
        <v>3</v>
      </c>
      <c r="S564" s="7" t="s">
        <v>4585</v>
      </c>
      <c r="U564">
        <v>1</v>
      </c>
      <c r="V564" s="4">
        <v>234</v>
      </c>
      <c r="W564">
        <v>1</v>
      </c>
      <c r="X564" s="4">
        <v>239</v>
      </c>
      <c r="Y564">
        <v>1</v>
      </c>
      <c r="Z564" s="4">
        <v>238</v>
      </c>
      <c r="AA564">
        <v>1</v>
      </c>
      <c r="AB564" s="4" t="str">
        <f>HYPERLINK("http://exon.niaid.nih.gov/transcriptome/C_felis/S1/links/XC-ASB/cf-contig_292-XC-ASB.txt","XC-contig_187")</f>
        <v>XC-contig_187</v>
      </c>
      <c r="AC564">
        <v>0.64</v>
      </c>
      <c r="AD564" s="10" t="s">
        <v>4600</v>
      </c>
      <c r="AE564" t="s">
        <v>4601</v>
      </c>
      <c r="AI564" s="4" t="str">
        <f>HYPERLINK("http://exon.niaid.nih.gov/transcriptome/C_felis/S1/links/NR/cf-contig_292-NR.txt","threonine synthase")</f>
        <v>threonine synthase</v>
      </c>
      <c r="AJ564" t="str">
        <f>HYPERLINK("http://www.ncbi.nlm.nih.gov/sutils/blink.cgi?pid=312134575","21")</f>
        <v>21</v>
      </c>
      <c r="AK564" t="str">
        <f>HYPERLINK("http://www.ncbi.nlm.nih.gov/protein/312134575","gi|312134575")</f>
        <v>gi|312134575</v>
      </c>
      <c r="AL564">
        <v>32.700000000000003</v>
      </c>
      <c r="AM564">
        <v>30</v>
      </c>
      <c r="AN564">
        <v>496</v>
      </c>
      <c r="AO564">
        <v>41</v>
      </c>
      <c r="AP564">
        <v>6</v>
      </c>
      <c r="AQ564">
        <v>18</v>
      </c>
      <c r="AR564">
        <v>0</v>
      </c>
      <c r="AS564">
        <v>362</v>
      </c>
      <c r="AT564">
        <v>24</v>
      </c>
      <c r="AU564">
        <v>1</v>
      </c>
      <c r="AV564">
        <v>-1</v>
      </c>
      <c r="AW564" t="s">
        <v>12</v>
      </c>
      <c r="AY564" t="s">
        <v>1666</v>
      </c>
      <c r="AZ564" t="s">
        <v>2705</v>
      </c>
      <c r="BA564" s="4" t="str">
        <f>HYPERLINK("http://exon.niaid.nih.gov/transcriptome/C_felis/S1/links/SWISSP/cf-contig_292-SWISSP.txt","Lysyl oxidase homolog 4")</f>
        <v>Lysyl oxidase homolog 4</v>
      </c>
      <c r="BB564" t="str">
        <f>HYPERLINK("http://www.uniprot.org/uniprot/Q924C6","53")</f>
        <v>53</v>
      </c>
      <c r="BC564" t="s">
        <v>2706</v>
      </c>
      <c r="BD564">
        <v>26.6</v>
      </c>
      <c r="BE564">
        <v>29</v>
      </c>
      <c r="BF564">
        <v>757</v>
      </c>
      <c r="BG564">
        <v>33</v>
      </c>
      <c r="BH564">
        <v>4</v>
      </c>
      <c r="BI564">
        <v>20</v>
      </c>
      <c r="BJ564">
        <v>0</v>
      </c>
      <c r="BK564">
        <v>50</v>
      </c>
      <c r="BL564">
        <v>18</v>
      </c>
      <c r="BM564">
        <v>1</v>
      </c>
      <c r="BN564">
        <v>-1</v>
      </c>
      <c r="BO564" t="s">
        <v>12</v>
      </c>
      <c r="BQ564" t="s">
        <v>1666</v>
      </c>
      <c r="BR564" t="s">
        <v>1705</v>
      </c>
      <c r="BS564" s="4" t="str">
        <f>HYPERLINK("http://exon.niaid.nih.gov/transcriptome/C_felis/S1/links/CDD/cf-contig_292-CDD.txt","Tubulin")</f>
        <v>Tubulin</v>
      </c>
      <c r="BT564" t="str">
        <f>HYPERLINK("http://www.ncbi.nlm.nih.gov/Structure/cdd/cddsrv.cgi?uid=cd06059&amp;version=v4.0","0.90")</f>
        <v>0.90</v>
      </c>
      <c r="BU564" t="s">
        <v>2707</v>
      </c>
      <c r="BV564" s="4" t="s">
        <v>42</v>
      </c>
      <c r="BW564" t="s">
        <v>42</v>
      </c>
      <c r="BX564" t="s">
        <v>42</v>
      </c>
      <c r="BY564" t="s">
        <v>42</v>
      </c>
      <c r="BZ564" t="s">
        <v>42</v>
      </c>
      <c r="CA564" t="s">
        <v>42</v>
      </c>
      <c r="CB564" t="s">
        <v>42</v>
      </c>
      <c r="CC564" t="s">
        <v>42</v>
      </c>
      <c r="CD564" t="s">
        <v>42</v>
      </c>
      <c r="CE564" t="s">
        <v>42</v>
      </c>
      <c r="CF564" t="s">
        <v>42</v>
      </c>
      <c r="CG564" t="s">
        <v>42</v>
      </c>
      <c r="CH564" t="s">
        <v>42</v>
      </c>
      <c r="CI564" t="s">
        <v>42</v>
      </c>
      <c r="CJ564" t="s">
        <v>42</v>
      </c>
      <c r="CK564" t="s">
        <v>42</v>
      </c>
      <c r="CL564" t="s">
        <v>42</v>
      </c>
      <c r="CM564" t="s">
        <v>42</v>
      </c>
      <c r="CN564" t="s">
        <v>42</v>
      </c>
      <c r="CO564" t="s">
        <v>42</v>
      </c>
      <c r="CP564" t="s">
        <v>42</v>
      </c>
      <c r="CQ564" t="s">
        <v>42</v>
      </c>
      <c r="CR564" t="s">
        <v>42</v>
      </c>
      <c r="CS564" s="4" t="str">
        <f>HYPERLINK("http://exon.niaid.nih.gov/transcriptome/C_felis/S1/links/KOG/cf-contig_292-KOG.txt","Leucyl-tRNA synthetase")</f>
        <v>Leucyl-tRNA synthetase</v>
      </c>
      <c r="CT564" t="str">
        <f>HYPERLINK("http://www.ncbi.nlm.nih.gov/COG/grace/shokog.cgi?KOG0437","2.6")</f>
        <v>2.6</v>
      </c>
      <c r="CU564" t="s">
        <v>1707</v>
      </c>
      <c r="CV564" s="4" t="str">
        <f>HYPERLINK("http://exon.niaid.nih.gov/transcriptome/C_felis/S1/links/PFAM/cf-contig_292-PFAM.txt","DUF3684")</f>
        <v>DUF3684</v>
      </c>
      <c r="CW564" t="str">
        <f>HYPERLINK("http://pfam.sanger.ac.uk/family?acc=PF12449","0.35")</f>
        <v>0.35</v>
      </c>
      <c r="CX564" s="4" t="str">
        <f>HYPERLINK("http://exon.niaid.nih.gov/transcriptome/C_felis/S1/links/SMART/cf-contig_292-SMART.txt","CBM_25")</f>
        <v>CBM_25</v>
      </c>
      <c r="CY564" t="str">
        <f>HYPERLINK("http://smart.embl-heidelberg.de/smart/do_annotation.pl?DOMAIN=CBM_25&amp;BLAST=DUMMY","0.060")</f>
        <v>0.060</v>
      </c>
      <c r="CZ564" s="4" t="s">
        <v>42</v>
      </c>
      <c r="DA564" t="s">
        <v>42</v>
      </c>
      <c r="DB564" t="s">
        <v>42</v>
      </c>
      <c r="DC564" t="s">
        <v>42</v>
      </c>
      <c r="DD564" t="s">
        <v>42</v>
      </c>
      <c r="DE564" t="s">
        <v>42</v>
      </c>
      <c r="DF564" t="s">
        <v>42</v>
      </c>
      <c r="DG564" t="s">
        <v>42</v>
      </c>
      <c r="DH564" s="4" t="s">
        <v>42</v>
      </c>
      <c r="DI564" t="s">
        <v>42</v>
      </c>
      <c r="DJ564" s="4" t="s">
        <v>42</v>
      </c>
      <c r="DK564" t="s">
        <v>42</v>
      </c>
      <c r="DL564" s="4">
        <v>234</v>
      </c>
      <c r="DM564">
        <v>1</v>
      </c>
      <c r="DN564" s="4">
        <v>239</v>
      </c>
      <c r="DO564">
        <v>1</v>
      </c>
      <c r="DP564" s="4">
        <v>238</v>
      </c>
      <c r="DQ564">
        <v>1</v>
      </c>
      <c r="DR564" s="4">
        <v>247</v>
      </c>
      <c r="DS564">
        <v>1</v>
      </c>
      <c r="DT564" s="4">
        <v>254</v>
      </c>
      <c r="DU564">
        <v>1</v>
      </c>
      <c r="DV564" s="4">
        <v>266</v>
      </c>
      <c r="DW564">
        <v>1</v>
      </c>
      <c r="DX564" s="4">
        <v>268</v>
      </c>
      <c r="DY564">
        <v>1</v>
      </c>
      <c r="DZ564" s="4">
        <v>273</v>
      </c>
      <c r="EA564">
        <v>1</v>
      </c>
      <c r="EB564" s="4">
        <v>278</v>
      </c>
      <c r="EC564">
        <v>1</v>
      </c>
      <c r="ED564" s="4">
        <v>281</v>
      </c>
      <c r="EE564">
        <v>1</v>
      </c>
      <c r="EF564" s="4">
        <v>285</v>
      </c>
      <c r="EG564">
        <v>1</v>
      </c>
      <c r="EH564" s="4">
        <v>287</v>
      </c>
      <c r="EI564">
        <v>1</v>
      </c>
      <c r="EJ564" s="4">
        <v>292</v>
      </c>
      <c r="EK564">
        <v>1</v>
      </c>
    </row>
    <row r="565" spans="1:141" x14ac:dyDescent="0.2">
      <c r="A565" t="str">
        <f>HYPERLINK("http://exon.niaid.nih.gov/transcriptome/C_felis/S1/links/cf/cf-contig_373.txt","cf-contig_373")</f>
        <v>cf-contig_373</v>
      </c>
      <c r="B565">
        <v>1</v>
      </c>
      <c r="C565" s="10" t="s">
        <v>4600</v>
      </c>
      <c r="D565">
        <v>1</v>
      </c>
      <c r="E565" t="str">
        <f>HYPERLINK("http://exon.niaid.nih.gov/transcriptome/C_felis/S1/links/cf/cf-5-36-asb-373.txt","Contig-373")</f>
        <v>Contig-373</v>
      </c>
      <c r="F565" t="str">
        <f>HYPERLINK("http://exon.niaid.nih.gov/transcriptome/C_felis/S1/links/cf/cf-5-36-373-CLU.txt","Contig373")</f>
        <v>Contig373</v>
      </c>
      <c r="G565" t="str">
        <f>HYPERLINK("http://exon.niaid.nih.gov/transcriptome/C_felis/S1/links/cf/cf-5-36-373-qual.txt","65.1")</f>
        <v>65.1</v>
      </c>
      <c r="H565" t="s">
        <v>11</v>
      </c>
      <c r="I565">
        <v>77</v>
      </c>
      <c r="J565">
        <v>451</v>
      </c>
      <c r="K565" t="s">
        <v>12</v>
      </c>
      <c r="L565">
        <v>1</v>
      </c>
      <c r="M565" t="s">
        <v>386</v>
      </c>
      <c r="N565">
        <v>451</v>
      </c>
      <c r="O565">
        <v>470</v>
      </c>
      <c r="P565">
        <v>123</v>
      </c>
      <c r="Q565" t="s">
        <v>1193</v>
      </c>
      <c r="R565">
        <v>1</v>
      </c>
      <c r="S565" s="7" t="s">
        <v>4585</v>
      </c>
      <c r="U565">
        <v>1</v>
      </c>
      <c r="V565" s="4">
        <v>302</v>
      </c>
      <c r="W565">
        <v>1</v>
      </c>
      <c r="X565" s="4">
        <v>309</v>
      </c>
      <c r="Y565">
        <v>1</v>
      </c>
      <c r="Z565" s="4">
        <v>310</v>
      </c>
      <c r="AA565">
        <v>1</v>
      </c>
      <c r="AB565" s="4" t="str">
        <f>HYPERLINK("http://exon.niaid.nih.gov/transcriptome/C_felis/S1/links/XC-ASB/cf-contig_373-XC-ASB.txt","XC-contig_91")</f>
        <v>XC-contig_91</v>
      </c>
      <c r="AC565">
        <v>2.5999999999999999E-2</v>
      </c>
      <c r="AD565" s="10" t="s">
        <v>4600</v>
      </c>
      <c r="AE565" t="s">
        <v>4601</v>
      </c>
      <c r="AI565" s="4" t="str">
        <f>HYPERLINK("http://exon.niaid.nih.gov/transcriptome/C_felis/S1/links/NR/cf-contig_373-NR.txt","hypothetical protein LOC100406103")</f>
        <v>hypothetical protein LOC100406103</v>
      </c>
      <c r="AJ565" t="str">
        <f>HYPERLINK("http://www.ncbi.nlm.nih.gov/sutils/blink.cgi?pid=296204977","0.17")</f>
        <v>0.17</v>
      </c>
      <c r="AK565" t="str">
        <f>HYPERLINK("http://www.ncbi.nlm.nih.gov/protein/296204977","gi|296204977")</f>
        <v>gi|296204977</v>
      </c>
      <c r="AL565">
        <v>39.700000000000003</v>
      </c>
      <c r="AM565">
        <v>114</v>
      </c>
      <c r="AN565">
        <v>298</v>
      </c>
      <c r="AO565">
        <v>25</v>
      </c>
      <c r="AP565">
        <v>39</v>
      </c>
      <c r="AQ565">
        <v>86</v>
      </c>
      <c r="AR565">
        <v>6</v>
      </c>
      <c r="AS565">
        <v>59</v>
      </c>
      <c r="AT565">
        <v>24</v>
      </c>
      <c r="AU565">
        <v>1</v>
      </c>
      <c r="AV565">
        <v>-1</v>
      </c>
      <c r="AW565" t="s">
        <v>12</v>
      </c>
      <c r="AX565">
        <v>4.3860000000000001</v>
      </c>
      <c r="AY565" t="s">
        <v>1666</v>
      </c>
      <c r="AZ565" t="s">
        <v>2986</v>
      </c>
      <c r="BA565" s="4" t="str">
        <f>HYPERLINK("http://exon.niaid.nih.gov/transcriptome/C_felis/S1/links/SWISSP/cf-contig_373-SWISSP.txt","Uncharacterized protein yfdI")</f>
        <v>Uncharacterized protein yfdI</v>
      </c>
      <c r="BB565" t="str">
        <f>HYPERLINK("http://www.uniprot.org/uniprot/P76507","8.6")</f>
        <v>8.6</v>
      </c>
      <c r="BC565" t="s">
        <v>2987</v>
      </c>
      <c r="BD565">
        <v>29.6</v>
      </c>
      <c r="BE565">
        <v>55</v>
      </c>
      <c r="BF565">
        <v>443</v>
      </c>
      <c r="BG565">
        <v>30</v>
      </c>
      <c r="BH565">
        <v>13</v>
      </c>
      <c r="BI565">
        <v>47</v>
      </c>
      <c r="BJ565">
        <v>0</v>
      </c>
      <c r="BK565">
        <v>60</v>
      </c>
      <c r="BL565">
        <v>65</v>
      </c>
      <c r="BM565">
        <v>1</v>
      </c>
      <c r="BN565">
        <v>2</v>
      </c>
      <c r="BO565" t="s">
        <v>12</v>
      </c>
      <c r="BP565">
        <v>10.909000000000001</v>
      </c>
      <c r="BQ565" t="s">
        <v>1676</v>
      </c>
      <c r="BR565" t="s">
        <v>2941</v>
      </c>
      <c r="BS565" s="4" t="str">
        <f>HYPERLINK("http://exon.niaid.nih.gov/transcriptome/C_felis/S1/links/CDD/cf-contig_373-CDD.txt","Cornichon")</f>
        <v>Cornichon</v>
      </c>
      <c r="BT565" t="str">
        <f>HYPERLINK("http://www.ncbi.nlm.nih.gov/Structure/cdd/cddsrv.cgi?uid=pfam03311&amp;version=v4.0","0.086")</f>
        <v>0.086</v>
      </c>
      <c r="BU565" t="s">
        <v>2988</v>
      </c>
      <c r="BV565" s="4" t="s">
        <v>42</v>
      </c>
      <c r="BW565" t="s">
        <v>42</v>
      </c>
      <c r="BX565" t="s">
        <v>42</v>
      </c>
      <c r="BY565" t="s">
        <v>42</v>
      </c>
      <c r="BZ565" t="s">
        <v>42</v>
      </c>
      <c r="CA565" t="s">
        <v>42</v>
      </c>
      <c r="CB565" t="s">
        <v>42</v>
      </c>
      <c r="CC565" t="s">
        <v>42</v>
      </c>
      <c r="CD565" t="s">
        <v>42</v>
      </c>
      <c r="CE565" t="s">
        <v>42</v>
      </c>
      <c r="CF565" t="s">
        <v>42</v>
      </c>
      <c r="CG565" t="s">
        <v>42</v>
      </c>
      <c r="CH565" t="s">
        <v>42</v>
      </c>
      <c r="CI565" t="s">
        <v>42</v>
      </c>
      <c r="CJ565" t="s">
        <v>42</v>
      </c>
      <c r="CK565" t="s">
        <v>42</v>
      </c>
      <c r="CL565" t="s">
        <v>42</v>
      </c>
      <c r="CM565" t="s">
        <v>42</v>
      </c>
      <c r="CN565" t="s">
        <v>42</v>
      </c>
      <c r="CO565" t="s">
        <v>42</v>
      </c>
      <c r="CP565" t="s">
        <v>42</v>
      </c>
      <c r="CQ565" t="s">
        <v>42</v>
      </c>
      <c r="CR565" t="s">
        <v>42</v>
      </c>
      <c r="CS565" s="4" t="str">
        <f>HYPERLINK("http://exon.niaid.nih.gov/transcriptome/C_felis/S1/links/KOG/cf-contig_373-KOG.txt","Ca2+-permeable cation channel OSM-9 and related channels (OTRPC family)")</f>
        <v>Ca2+-permeable cation channel OSM-9 and related channels (OTRPC family)</v>
      </c>
      <c r="CT565" t="str">
        <f>HYPERLINK("http://www.ncbi.nlm.nih.gov/COG/grace/shokog.cgi?KOG3676","0.015")</f>
        <v>0.015</v>
      </c>
      <c r="CU565" t="s">
        <v>1702</v>
      </c>
      <c r="CV565" s="4" t="str">
        <f>HYPERLINK("http://exon.niaid.nih.gov/transcriptome/C_felis/S1/links/PFAM/cf-contig_373-PFAM.txt","Cornichon")</f>
        <v>Cornichon</v>
      </c>
      <c r="CW565" t="str">
        <f>HYPERLINK("http://pfam.sanger.ac.uk/family?acc=PF03311","0.018")</f>
        <v>0.018</v>
      </c>
      <c r="CX565" s="4" t="str">
        <f>HYPERLINK("http://exon.niaid.nih.gov/transcriptome/C_felis/S1/links/SMART/cf-contig_373-SMART.txt","AgrB")</f>
        <v>AgrB</v>
      </c>
      <c r="CY565" t="str">
        <f>HYPERLINK("http://smart.embl-heidelberg.de/smart/do_annotation.pl?DOMAIN=AgrB&amp;BLAST=DUMMY","0.32")</f>
        <v>0.32</v>
      </c>
      <c r="CZ565" s="4" t="s">
        <v>42</v>
      </c>
      <c r="DA565" t="s">
        <v>42</v>
      </c>
      <c r="DB565" t="s">
        <v>42</v>
      </c>
      <c r="DC565" t="s">
        <v>42</v>
      </c>
      <c r="DD565" t="s">
        <v>42</v>
      </c>
      <c r="DE565" t="s">
        <v>42</v>
      </c>
      <c r="DF565" t="s">
        <v>42</v>
      </c>
      <c r="DG565" t="s">
        <v>42</v>
      </c>
      <c r="DH565" s="4" t="s">
        <v>42</v>
      </c>
      <c r="DI565" t="s">
        <v>42</v>
      </c>
      <c r="DJ565" s="4" t="s">
        <v>42</v>
      </c>
      <c r="DK565" t="s">
        <v>42</v>
      </c>
      <c r="DL565" s="4">
        <v>302</v>
      </c>
      <c r="DM565">
        <v>1</v>
      </c>
      <c r="DN565" s="4">
        <v>309</v>
      </c>
      <c r="DO565">
        <v>1</v>
      </c>
      <c r="DP565" s="4">
        <v>310</v>
      </c>
      <c r="DQ565">
        <v>1</v>
      </c>
      <c r="DR565" s="4">
        <v>321</v>
      </c>
      <c r="DS565">
        <v>1</v>
      </c>
      <c r="DT565" s="4">
        <v>331</v>
      </c>
      <c r="DU565">
        <v>1</v>
      </c>
      <c r="DV565" s="4">
        <v>344</v>
      </c>
      <c r="DW565">
        <v>1</v>
      </c>
      <c r="DX565" s="4">
        <v>347</v>
      </c>
      <c r="DY565">
        <v>1</v>
      </c>
      <c r="DZ565" s="4">
        <v>352</v>
      </c>
      <c r="EA565">
        <v>1</v>
      </c>
      <c r="EB565" s="4">
        <v>357</v>
      </c>
      <c r="EC565">
        <v>1</v>
      </c>
      <c r="ED565" s="4">
        <v>361</v>
      </c>
      <c r="EE565">
        <v>1</v>
      </c>
      <c r="EF565" s="4">
        <v>366</v>
      </c>
      <c r="EG565">
        <v>1</v>
      </c>
      <c r="EH565" s="4">
        <v>368</v>
      </c>
      <c r="EI565">
        <v>1</v>
      </c>
      <c r="EJ565" s="4">
        <v>373</v>
      </c>
      <c r="EK565">
        <v>1</v>
      </c>
    </row>
    <row r="566" spans="1:141" x14ac:dyDescent="0.2">
      <c r="A566" t="str">
        <f>HYPERLINK("http://exon.niaid.nih.gov/transcriptome/C_felis/S1/links/cf/cf-contig_138.txt","cf-contig_138")</f>
        <v>cf-contig_138</v>
      </c>
      <c r="B566">
        <v>6</v>
      </c>
      <c r="C566" s="10" t="s">
        <v>4600</v>
      </c>
      <c r="D566">
        <v>6</v>
      </c>
      <c r="E566" t="str">
        <f>HYPERLINK("http://exon.niaid.nih.gov/transcriptome/C_felis/S1/links/cf/cf-5-36-asb-138.txt","Contig-138")</f>
        <v>Contig-138</v>
      </c>
      <c r="F566" t="str">
        <f>HYPERLINK("http://exon.niaid.nih.gov/transcriptome/C_felis/S1/links/cf/cf-5-36-138-CLU.txt","Contig138")</f>
        <v>Contig138</v>
      </c>
      <c r="G566" t="str">
        <f>HYPERLINK("http://exon.niaid.nih.gov/transcriptome/C_felis/S1/links/cf/cf-5-36-138-qual.txt","82.6")</f>
        <v>82.6</v>
      </c>
      <c r="H566" t="s">
        <v>11</v>
      </c>
      <c r="I566">
        <v>74.5</v>
      </c>
      <c r="J566">
        <v>283</v>
      </c>
      <c r="K566" t="s">
        <v>12</v>
      </c>
      <c r="L566">
        <v>6</v>
      </c>
      <c r="M566" t="s">
        <v>151</v>
      </c>
      <c r="N566">
        <v>284</v>
      </c>
      <c r="O566">
        <v>302</v>
      </c>
      <c r="P566">
        <v>192</v>
      </c>
      <c r="Q566" t="s">
        <v>958</v>
      </c>
      <c r="R566">
        <v>2</v>
      </c>
      <c r="S566" s="7" t="s">
        <v>4585</v>
      </c>
      <c r="U566">
        <v>6</v>
      </c>
      <c r="V566" s="4">
        <v>136</v>
      </c>
      <c r="W566">
        <v>1</v>
      </c>
      <c r="X566" s="4">
        <v>133</v>
      </c>
      <c r="Y566">
        <v>1</v>
      </c>
      <c r="Z566" s="4">
        <v>130</v>
      </c>
      <c r="AA566">
        <v>1</v>
      </c>
      <c r="AB566" s="4" t="str">
        <f>HYPERLINK("http://exon.niaid.nih.gov/transcriptome/C_felis/S1/links/XC-ASB/cf-contig_138-XC-ASB.txt","XC-contig_150")</f>
        <v>XC-contig_150</v>
      </c>
      <c r="AC566">
        <v>7.8E-2</v>
      </c>
      <c r="AD566" s="10" t="s">
        <v>4600</v>
      </c>
      <c r="AE566" t="s">
        <v>4601</v>
      </c>
      <c r="AI566" s="4" t="str">
        <f>HYPERLINK("http://exon.niaid.nih.gov/transcriptome/C_felis/S1/links/NR/cf-contig_138-NR.txt","Hormone-sensitive lipase")</f>
        <v>Hormone-sensitive lipase</v>
      </c>
      <c r="AJ566" t="str">
        <f>HYPERLINK("http://www.ncbi.nlm.nih.gov/sutils/blink.cgi?pid=307166234","0.17")</f>
        <v>0.17</v>
      </c>
      <c r="AK566" t="str">
        <f>HYPERLINK("http://www.ncbi.nlm.nih.gov/protein/307166234","gi|307166234")</f>
        <v>gi|307166234</v>
      </c>
      <c r="AL566">
        <v>39.700000000000003</v>
      </c>
      <c r="AM566">
        <v>48</v>
      </c>
      <c r="AN566">
        <v>403</v>
      </c>
      <c r="AO566">
        <v>26</v>
      </c>
      <c r="AP566">
        <v>12</v>
      </c>
      <c r="AQ566">
        <v>38</v>
      </c>
      <c r="AR566">
        <v>0</v>
      </c>
      <c r="AS566">
        <v>341</v>
      </c>
      <c r="AT566">
        <v>123</v>
      </c>
      <c r="AU566">
        <v>1</v>
      </c>
      <c r="AV566">
        <v>-1</v>
      </c>
      <c r="AW566" t="s">
        <v>12</v>
      </c>
      <c r="AX566">
        <v>4.1669999999999998</v>
      </c>
      <c r="AY566" t="s">
        <v>1666</v>
      </c>
      <c r="AZ566" t="s">
        <v>2133</v>
      </c>
      <c r="BA566" s="4" t="str">
        <f>HYPERLINK("http://exon.niaid.nih.gov/transcriptome/C_felis/S1/links/SWISSP/cf-contig_138-SWISSP.txt","Uncharacterized membrane protein BUsg_160")</f>
        <v>Uncharacterized membrane protein BUsg_160</v>
      </c>
      <c r="BB566" t="str">
        <f>HYPERLINK("http://www.uniprot.org/uniprot/Q8K9X4","0.96")</f>
        <v>0.96</v>
      </c>
      <c r="BC566" t="s">
        <v>2199</v>
      </c>
      <c r="BD566">
        <v>32.299999999999997</v>
      </c>
      <c r="BE566">
        <v>48</v>
      </c>
      <c r="BF566">
        <v>310</v>
      </c>
      <c r="BG566">
        <v>34</v>
      </c>
      <c r="BH566">
        <v>16</v>
      </c>
      <c r="BI566">
        <v>36</v>
      </c>
      <c r="BJ566">
        <v>0</v>
      </c>
      <c r="BK566">
        <v>3</v>
      </c>
      <c r="BL566">
        <v>106</v>
      </c>
      <c r="BM566">
        <v>1</v>
      </c>
      <c r="BN566">
        <v>-3</v>
      </c>
      <c r="BO566" t="s">
        <v>12</v>
      </c>
      <c r="BP566">
        <v>2.0830000000000002</v>
      </c>
      <c r="BQ566" t="s">
        <v>1666</v>
      </c>
      <c r="BR566" t="s">
        <v>2200</v>
      </c>
      <c r="BS566" s="4" t="str">
        <f>HYPERLINK("http://exon.niaid.nih.gov/transcriptome/C_felis/S1/links/CDD/cf-contig_138-CDD.txt","ND3")</f>
        <v>ND3</v>
      </c>
      <c r="BT566" t="str">
        <f>HYPERLINK("http://www.ncbi.nlm.nih.gov/Structure/cdd/cddsrv.cgi?uid=MTH00060&amp;version=v4.0","0.009")</f>
        <v>0.009</v>
      </c>
      <c r="BU566" t="s">
        <v>2201</v>
      </c>
      <c r="BV566" s="4" t="s">
        <v>42</v>
      </c>
      <c r="BW566" t="s">
        <v>42</v>
      </c>
      <c r="BX566" t="s">
        <v>42</v>
      </c>
      <c r="BY566" t="s">
        <v>42</v>
      </c>
      <c r="BZ566" t="s">
        <v>42</v>
      </c>
      <c r="CA566" t="s">
        <v>42</v>
      </c>
      <c r="CB566" t="s">
        <v>42</v>
      </c>
      <c r="CC566" t="s">
        <v>42</v>
      </c>
      <c r="CD566" t="s">
        <v>42</v>
      </c>
      <c r="CE566" t="s">
        <v>42</v>
      </c>
      <c r="CF566" t="s">
        <v>42</v>
      </c>
      <c r="CG566" t="s">
        <v>42</v>
      </c>
      <c r="CH566" t="s">
        <v>42</v>
      </c>
      <c r="CI566" t="s">
        <v>42</v>
      </c>
      <c r="CJ566" t="s">
        <v>42</v>
      </c>
      <c r="CK566" t="s">
        <v>42</v>
      </c>
      <c r="CL566" t="s">
        <v>42</v>
      </c>
      <c r="CM566" t="s">
        <v>42</v>
      </c>
      <c r="CN566" t="s">
        <v>42</v>
      </c>
      <c r="CO566" t="s">
        <v>42</v>
      </c>
      <c r="CP566" t="s">
        <v>42</v>
      </c>
      <c r="CQ566" t="s">
        <v>42</v>
      </c>
      <c r="CR566" t="s">
        <v>42</v>
      </c>
      <c r="CS566" s="4" t="str">
        <f>HYPERLINK("http://exon.niaid.nih.gov/transcriptome/C_felis/S1/links/KOG/cf-contig_138-KOG.txt","Structural maintenance of chromosome protein 3 (sister chromatid cohesion complex Cohesin, subunit SMC3)")</f>
        <v>Structural maintenance of chromosome protein 3 (sister chromatid cohesion complex Cohesin, subunit SMC3)</v>
      </c>
      <c r="CT566" t="str">
        <f>HYPERLINK("http://www.ncbi.nlm.nih.gov/COG/grace/shokog.cgi?KOG0964","0.018")</f>
        <v>0.018</v>
      </c>
      <c r="CU566" t="s">
        <v>1750</v>
      </c>
      <c r="CV566" s="4" t="str">
        <f>HYPERLINK("http://exon.niaid.nih.gov/transcriptome/C_felis/S1/links/PFAM/cf-contig_138-PFAM.txt","7TM_GPCR_Srz")</f>
        <v>7TM_GPCR_Srz</v>
      </c>
      <c r="CW566" t="str">
        <f>HYPERLINK("http://pfam.sanger.ac.uk/family?acc=PF10325","0.041")</f>
        <v>0.041</v>
      </c>
      <c r="CX566" s="4" t="str">
        <f>HYPERLINK("http://exon.niaid.nih.gov/transcriptome/C_felis/S1/links/SMART/cf-contig_138-SMART.txt","PSN")</f>
        <v>PSN</v>
      </c>
      <c r="CY566" t="str">
        <f>HYPERLINK("http://smart.embl-heidelberg.de/smart/do_annotation.pl?DOMAIN=PSN&amp;BLAST=DUMMY","0.11")</f>
        <v>0.11</v>
      </c>
      <c r="CZ566" s="4" t="s">
        <v>42</v>
      </c>
      <c r="DA566" t="s">
        <v>42</v>
      </c>
      <c r="DB566" t="s">
        <v>42</v>
      </c>
      <c r="DC566" t="s">
        <v>42</v>
      </c>
      <c r="DD566" t="s">
        <v>42</v>
      </c>
      <c r="DE566" t="s">
        <v>42</v>
      </c>
      <c r="DF566" t="s">
        <v>42</v>
      </c>
      <c r="DG566" t="s">
        <v>42</v>
      </c>
      <c r="DH566" s="4" t="s">
        <v>42</v>
      </c>
      <c r="DI566" t="s">
        <v>42</v>
      </c>
      <c r="DJ566" s="4" t="s">
        <v>42</v>
      </c>
      <c r="DK566" t="s">
        <v>42</v>
      </c>
      <c r="DL566" s="4">
        <v>136</v>
      </c>
      <c r="DM566">
        <v>1</v>
      </c>
      <c r="DN566" s="4">
        <v>133</v>
      </c>
      <c r="DO566">
        <v>1</v>
      </c>
      <c r="DP566" s="4">
        <v>130</v>
      </c>
      <c r="DQ566">
        <v>1</v>
      </c>
      <c r="DR566" s="4">
        <v>124</v>
      </c>
      <c r="DS566">
        <v>1</v>
      </c>
      <c r="DT566" s="4">
        <v>123</v>
      </c>
      <c r="DU566">
        <v>1</v>
      </c>
      <c r="DV566" s="4">
        <v>133</v>
      </c>
      <c r="DW566">
        <v>1</v>
      </c>
      <c r="DX566" s="4">
        <v>135</v>
      </c>
      <c r="DY566">
        <v>1</v>
      </c>
      <c r="DZ566" s="4">
        <v>135</v>
      </c>
      <c r="EA566">
        <v>1</v>
      </c>
      <c r="EB566" s="4">
        <v>138</v>
      </c>
      <c r="EC566">
        <v>1</v>
      </c>
      <c r="ED566" s="4">
        <v>139</v>
      </c>
      <c r="EE566">
        <v>1</v>
      </c>
      <c r="EF566" s="4">
        <v>138</v>
      </c>
      <c r="EG566">
        <v>1</v>
      </c>
      <c r="EH566" s="4">
        <v>137</v>
      </c>
      <c r="EI566">
        <v>1</v>
      </c>
      <c r="EJ566" s="4">
        <v>138</v>
      </c>
      <c r="EK566">
        <v>1</v>
      </c>
    </row>
    <row r="567" spans="1:141" x14ac:dyDescent="0.2">
      <c r="A567" t="str">
        <f>HYPERLINK("http://exon.niaid.nih.gov/transcriptome/C_felis/S1/links/cf/cf-contig_777.txt","cf-contig_777")</f>
        <v>cf-contig_777</v>
      </c>
      <c r="B567">
        <v>1</v>
      </c>
      <c r="C567" s="10" t="s">
        <v>4600</v>
      </c>
      <c r="D567">
        <v>1</v>
      </c>
      <c r="E567" t="str">
        <f>HYPERLINK("http://exon.niaid.nih.gov/transcriptome/C_felis/S1/links/cf/cf-5-36-asb-777.txt","Contig-777")</f>
        <v>Contig-777</v>
      </c>
      <c r="F567" t="str">
        <f>HYPERLINK("http://exon.niaid.nih.gov/transcriptome/C_felis/S1/links/cf/cf-5-36-777-CLU.txt","Contig777")</f>
        <v>Contig777</v>
      </c>
      <c r="G567" t="str">
        <f>HYPERLINK("http://exon.niaid.nih.gov/transcriptome/C_felis/S1/links/cf/cf-5-36-777-qual.txt","54.2")</f>
        <v>54.2</v>
      </c>
      <c r="H567">
        <v>0.6</v>
      </c>
      <c r="I567">
        <v>51.3</v>
      </c>
      <c r="J567">
        <v>139</v>
      </c>
      <c r="K567" t="s">
        <v>12</v>
      </c>
      <c r="L567">
        <v>1</v>
      </c>
      <c r="M567" t="s">
        <v>790</v>
      </c>
      <c r="N567">
        <v>139</v>
      </c>
      <c r="O567">
        <v>158</v>
      </c>
      <c r="P567">
        <v>129</v>
      </c>
      <c r="Q567" t="s">
        <v>1596</v>
      </c>
      <c r="R567">
        <v>2</v>
      </c>
      <c r="S567" s="7" t="s">
        <v>4585</v>
      </c>
      <c r="U567">
        <v>1</v>
      </c>
      <c r="V567" s="4">
        <v>623</v>
      </c>
      <c r="W567">
        <v>1</v>
      </c>
      <c r="X567" s="4">
        <v>644</v>
      </c>
      <c r="Y567">
        <v>1</v>
      </c>
      <c r="Z567" s="4">
        <v>660</v>
      </c>
      <c r="AA567">
        <v>1</v>
      </c>
      <c r="AB567" s="4" t="str">
        <f>HYPERLINK("http://exon.niaid.nih.gov/transcriptome/C_felis/S1/links/XC-ASB/cf-contig_777-XC-ASB.txt","XC-contig_181")</f>
        <v>XC-contig_181</v>
      </c>
      <c r="AC567">
        <v>0.51</v>
      </c>
      <c r="AD567" s="10" t="s">
        <v>4600</v>
      </c>
      <c r="AE567" t="s">
        <v>4601</v>
      </c>
      <c r="AI567" s="4" t="str">
        <f>HYPERLINK("http://exon.niaid.nih.gov/transcriptome/C_felis/S1/links/NR/cf-contig_777-NR.txt","hypothetical protein EAG_03722")</f>
        <v>hypothetical protein EAG_03722</v>
      </c>
      <c r="AJ567" t="str">
        <f>HYPERLINK("http://www.ncbi.nlm.nih.gov/sutils/blink.cgi?pid=307183242","0.035")</f>
        <v>0.035</v>
      </c>
      <c r="AK567" t="str">
        <f>HYPERLINK("http://www.ncbi.nlm.nih.gov/protein/307183242","gi|307183242")</f>
        <v>gi|307183242</v>
      </c>
      <c r="AL567">
        <v>42</v>
      </c>
      <c r="AM567">
        <v>32</v>
      </c>
      <c r="AN567">
        <v>134</v>
      </c>
      <c r="AO567">
        <v>66</v>
      </c>
      <c r="AP567">
        <v>25</v>
      </c>
      <c r="AQ567">
        <v>11</v>
      </c>
      <c r="AR567">
        <v>1</v>
      </c>
      <c r="AS567">
        <v>16</v>
      </c>
      <c r="AT567">
        <v>29</v>
      </c>
      <c r="AU567">
        <v>1</v>
      </c>
      <c r="AV567">
        <v>2</v>
      </c>
      <c r="AW567" t="s">
        <v>12</v>
      </c>
      <c r="AY567" t="s">
        <v>1676</v>
      </c>
      <c r="AZ567" t="s">
        <v>2133</v>
      </c>
      <c r="BA567" s="4" t="str">
        <f>HYPERLINK("http://exon.niaid.nih.gov/transcriptome/C_felis/S1/links/SWISSP/cf-contig_777-SWISSP.txt","Protein YLR162W")</f>
        <v>Protein YLR162W</v>
      </c>
      <c r="BB567" t="str">
        <f>HYPERLINK("http://www.uniprot.org/uniprot/Q06235","18")</f>
        <v>18</v>
      </c>
      <c r="BC567" t="s">
        <v>4489</v>
      </c>
      <c r="BD567">
        <v>28.1</v>
      </c>
      <c r="BE567">
        <v>28</v>
      </c>
      <c r="BF567">
        <v>118</v>
      </c>
      <c r="BG567">
        <v>48</v>
      </c>
      <c r="BH567">
        <v>25</v>
      </c>
      <c r="BI567">
        <v>15</v>
      </c>
      <c r="BJ567">
        <v>0</v>
      </c>
      <c r="BK567">
        <v>66</v>
      </c>
      <c r="BL567">
        <v>19</v>
      </c>
      <c r="BM567">
        <v>1</v>
      </c>
      <c r="BN567">
        <v>-3</v>
      </c>
      <c r="BO567" t="s">
        <v>12</v>
      </c>
      <c r="BP567">
        <v>3.5710000000000002</v>
      </c>
      <c r="BQ567" t="s">
        <v>1666</v>
      </c>
      <c r="BR567" t="s">
        <v>1796</v>
      </c>
      <c r="BS567" s="4" t="str">
        <f>HYPERLINK("http://exon.niaid.nih.gov/transcriptome/C_felis/S1/links/CDD/cf-contig_777-CDD.txt","G1P_TT_short")</f>
        <v>G1P_TT_short</v>
      </c>
      <c r="BT567" t="str">
        <f>HYPERLINK("http://www.ncbi.nlm.nih.gov/Structure/cdd/cddsrv.cgi?uid=cd02538&amp;version=v4.0","0.96")</f>
        <v>0.96</v>
      </c>
      <c r="BU567" t="s">
        <v>4490</v>
      </c>
      <c r="BV567" s="4" t="s">
        <v>42</v>
      </c>
      <c r="BW567" t="s">
        <v>42</v>
      </c>
      <c r="BX567" t="s">
        <v>42</v>
      </c>
      <c r="BY567" t="s">
        <v>42</v>
      </c>
      <c r="BZ567" t="s">
        <v>42</v>
      </c>
      <c r="CA567" t="s">
        <v>42</v>
      </c>
      <c r="CB567" t="s">
        <v>42</v>
      </c>
      <c r="CC567" t="s">
        <v>42</v>
      </c>
      <c r="CD567" t="s">
        <v>42</v>
      </c>
      <c r="CE567" t="s">
        <v>42</v>
      </c>
      <c r="CF567" t="s">
        <v>42</v>
      </c>
      <c r="CG567" t="s">
        <v>42</v>
      </c>
      <c r="CH567" t="s">
        <v>42</v>
      </c>
      <c r="CI567" t="s">
        <v>42</v>
      </c>
      <c r="CJ567" t="s">
        <v>42</v>
      </c>
      <c r="CK567" t="s">
        <v>42</v>
      </c>
      <c r="CL567" t="s">
        <v>42</v>
      </c>
      <c r="CM567" t="s">
        <v>42</v>
      </c>
      <c r="CN567" t="s">
        <v>42</v>
      </c>
      <c r="CO567" t="s">
        <v>42</v>
      </c>
      <c r="CP567" t="s">
        <v>42</v>
      </c>
      <c r="CQ567" t="s">
        <v>42</v>
      </c>
      <c r="CR567" t="s">
        <v>42</v>
      </c>
      <c r="CS567" s="4" t="str">
        <f>HYPERLINK("http://exon.niaid.nih.gov/transcriptome/C_felis/S1/links/KOG/cf-contig_777-KOG.txt","Predicted RNA binding protein, contains SWAP, RPR and G-patch domains")</f>
        <v>Predicted RNA binding protein, contains SWAP, RPR and G-patch domains</v>
      </c>
      <c r="CT567" t="str">
        <f>HYPERLINK("http://www.ncbi.nlm.nih.gov/COG/grace/shokog.cgi?KOG4368","1.7")</f>
        <v>1.7</v>
      </c>
      <c r="CU567" t="s">
        <v>1721</v>
      </c>
      <c r="CV567" s="4" t="str">
        <f>HYPERLINK("http://exon.niaid.nih.gov/transcriptome/C_felis/S1/links/PFAM/cf-contig_777-PFAM.txt","HHH_2")</f>
        <v>HHH_2</v>
      </c>
      <c r="CW567" t="str">
        <f>HYPERLINK("http://pfam.sanger.ac.uk/family?acc=PF12826","0.49")</f>
        <v>0.49</v>
      </c>
      <c r="CX567" s="4" t="str">
        <f>HYPERLINK("http://exon.niaid.nih.gov/transcriptome/C_felis/S1/links/SMART/cf-contig_777-SMART.txt","CHAD")</f>
        <v>CHAD</v>
      </c>
      <c r="CY567" t="str">
        <f>HYPERLINK("http://smart.embl-heidelberg.de/smart/do_annotation.pl?DOMAIN=CHAD&amp;BLAST=DUMMY","0.21")</f>
        <v>0.21</v>
      </c>
      <c r="CZ567" s="4" t="s">
        <v>42</v>
      </c>
      <c r="DA567" t="s">
        <v>42</v>
      </c>
      <c r="DB567" t="s">
        <v>42</v>
      </c>
      <c r="DC567" t="s">
        <v>42</v>
      </c>
      <c r="DD567" t="s">
        <v>42</v>
      </c>
      <c r="DE567" t="s">
        <v>42</v>
      </c>
      <c r="DF567" t="s">
        <v>42</v>
      </c>
      <c r="DG567" t="s">
        <v>42</v>
      </c>
      <c r="DH567" s="4" t="s">
        <v>42</v>
      </c>
      <c r="DI567" t="s">
        <v>42</v>
      </c>
      <c r="DJ567" s="4" t="s">
        <v>42</v>
      </c>
      <c r="DK567" t="s">
        <v>42</v>
      </c>
      <c r="DL567" s="4">
        <v>623</v>
      </c>
      <c r="DM567">
        <v>1</v>
      </c>
      <c r="DN567" s="4">
        <v>644</v>
      </c>
      <c r="DO567">
        <v>1</v>
      </c>
      <c r="DP567" s="4">
        <v>660</v>
      </c>
      <c r="DQ567">
        <v>1</v>
      </c>
      <c r="DR567" s="4">
        <v>682</v>
      </c>
      <c r="DS567">
        <v>1</v>
      </c>
      <c r="DT567" s="4">
        <v>698</v>
      </c>
      <c r="DU567">
        <v>1</v>
      </c>
      <c r="DV567" s="4">
        <v>713</v>
      </c>
      <c r="DW567">
        <v>1</v>
      </c>
      <c r="DX567" s="4">
        <v>727</v>
      </c>
      <c r="DY567">
        <v>1</v>
      </c>
      <c r="DZ567" s="4">
        <v>738</v>
      </c>
      <c r="EA567">
        <v>1</v>
      </c>
      <c r="EB567" s="4">
        <v>745</v>
      </c>
      <c r="EC567">
        <v>1</v>
      </c>
      <c r="ED567" s="4">
        <v>750</v>
      </c>
      <c r="EE567">
        <v>1</v>
      </c>
      <c r="EF567" s="4">
        <v>756</v>
      </c>
      <c r="EG567">
        <v>1</v>
      </c>
      <c r="EH567" s="4">
        <v>768</v>
      </c>
      <c r="EI567">
        <v>1</v>
      </c>
      <c r="EJ567" s="4">
        <v>777</v>
      </c>
      <c r="EK567">
        <v>1</v>
      </c>
    </row>
    <row r="568" spans="1:141" x14ac:dyDescent="0.2">
      <c r="A568" t="str">
        <f>HYPERLINK("http://exon.niaid.nih.gov/transcriptome/C_felis/S1/links/cf/cf-contig_470.txt","cf-contig_470")</f>
        <v>cf-contig_470</v>
      </c>
      <c r="B568">
        <v>1</v>
      </c>
      <c r="C568" s="10" t="s">
        <v>4600</v>
      </c>
      <c r="D568">
        <v>1</v>
      </c>
      <c r="E568" t="str">
        <f>HYPERLINK("http://exon.niaid.nih.gov/transcriptome/C_felis/S1/links/cf/cf-5-36-asb-470.txt","Contig-470")</f>
        <v>Contig-470</v>
      </c>
      <c r="F568" t="str">
        <f>HYPERLINK("http://exon.niaid.nih.gov/transcriptome/C_felis/S1/links/cf/cf-5-36-470-CLU.txt","Contig470")</f>
        <v>Contig470</v>
      </c>
      <c r="G568" t="str">
        <f>HYPERLINK("http://exon.niaid.nih.gov/transcriptome/C_felis/S1/links/cf/cf-5-36-470-qual.txt","61.7")</f>
        <v>61.7</v>
      </c>
      <c r="H568" t="s">
        <v>11</v>
      </c>
      <c r="I568">
        <v>67.099999999999994</v>
      </c>
      <c r="J568">
        <v>471</v>
      </c>
      <c r="K568" t="s">
        <v>12</v>
      </c>
      <c r="L568">
        <v>1</v>
      </c>
      <c r="M568" t="s">
        <v>483</v>
      </c>
      <c r="N568">
        <v>471</v>
      </c>
      <c r="O568">
        <v>490</v>
      </c>
      <c r="P568">
        <v>279</v>
      </c>
      <c r="Q568" t="s">
        <v>1289</v>
      </c>
      <c r="R568">
        <v>1</v>
      </c>
      <c r="S568" s="7" t="s">
        <v>4585</v>
      </c>
      <c r="U568">
        <v>1</v>
      </c>
      <c r="V568" s="4">
        <v>382</v>
      </c>
      <c r="W568">
        <v>1</v>
      </c>
      <c r="X568" s="4">
        <v>391</v>
      </c>
      <c r="Y568">
        <v>1</v>
      </c>
      <c r="Z568" s="4">
        <v>396</v>
      </c>
      <c r="AA568">
        <v>1</v>
      </c>
      <c r="AB568" s="4" t="str">
        <f>HYPERLINK("http://exon.niaid.nih.gov/transcriptome/C_felis/S1/links/XC-ASB/cf-contig_470-XC-ASB.txt","XC-contig_163")</f>
        <v>XC-contig_163</v>
      </c>
      <c r="AC568">
        <v>0.52</v>
      </c>
      <c r="AD568" s="10" t="s">
        <v>4600</v>
      </c>
      <c r="AE568" t="s">
        <v>4601</v>
      </c>
      <c r="AI568" s="4" t="str">
        <f>HYPERLINK("http://exon.niaid.nih.gov/transcriptome/C_felis/S1/links/NR/cf-contig_470-NR.txt","hypothetical protein EAG_08495")</f>
        <v>hypothetical protein EAG_08495</v>
      </c>
      <c r="AJ568" t="str">
        <f>HYPERLINK("http://www.ncbi.nlm.nih.gov/sutils/blink.cgi?pid=307189101","8E-005")</f>
        <v>8E-005</v>
      </c>
      <c r="AK568" t="str">
        <f>HYPERLINK("http://www.ncbi.nlm.nih.gov/protein/307189101","gi|307189101")</f>
        <v>gi|307189101</v>
      </c>
      <c r="AL568">
        <v>50.8</v>
      </c>
      <c r="AM568">
        <v>57</v>
      </c>
      <c r="AN568">
        <v>246</v>
      </c>
      <c r="AO568">
        <v>36</v>
      </c>
      <c r="AP568">
        <v>24</v>
      </c>
      <c r="AQ568">
        <v>37</v>
      </c>
      <c r="AR568">
        <v>0</v>
      </c>
      <c r="AS568">
        <v>189</v>
      </c>
      <c r="AT568">
        <v>40</v>
      </c>
      <c r="AU568">
        <v>1</v>
      </c>
      <c r="AV568">
        <v>1</v>
      </c>
      <c r="AW568" t="s">
        <v>12</v>
      </c>
      <c r="AY568" t="s">
        <v>1676</v>
      </c>
      <c r="AZ568" t="s">
        <v>2133</v>
      </c>
      <c r="BA568" s="4" t="str">
        <f>HYPERLINK("http://exon.niaid.nih.gov/transcriptome/C_felis/S1/links/SWISSP/cf-contig_470-SWISSP.txt","Retrovirus-related Pol polyprotein from type-1 retrotransposable element R1 2")</f>
        <v>Retrovirus-related Pol polyprotein from type-1 retrotransposable element R1 2</v>
      </c>
      <c r="BB568" t="str">
        <f>HYPERLINK("http://www.uniprot.org/uniprot/Q03270","0.046")</f>
        <v>0.046</v>
      </c>
      <c r="BC568" t="s">
        <v>3380</v>
      </c>
      <c r="BD568">
        <v>37.4</v>
      </c>
      <c r="BE568">
        <v>93</v>
      </c>
      <c r="BF568">
        <v>410</v>
      </c>
      <c r="BG568">
        <v>23</v>
      </c>
      <c r="BH568">
        <v>23</v>
      </c>
      <c r="BI568">
        <v>77</v>
      </c>
      <c r="BJ568">
        <v>4</v>
      </c>
      <c r="BK568">
        <v>298</v>
      </c>
      <c r="BL568">
        <v>16</v>
      </c>
      <c r="BM568">
        <v>1</v>
      </c>
      <c r="BN568">
        <v>1</v>
      </c>
      <c r="BO568" t="s">
        <v>12</v>
      </c>
      <c r="BP568">
        <v>1.075</v>
      </c>
      <c r="BQ568" t="s">
        <v>1676</v>
      </c>
      <c r="BR568" t="s">
        <v>1897</v>
      </c>
      <c r="BS568" s="4" t="str">
        <f>HYPERLINK("http://exon.niaid.nih.gov/transcriptome/C_felis/S1/links/CDD/cf-contig_470-CDD.txt","ND5")</f>
        <v>ND5</v>
      </c>
      <c r="BT568" t="str">
        <f>HYPERLINK("http://www.ncbi.nlm.nih.gov/Structure/cdd/cddsrv.cgi?uid=MTH00063&amp;version=v4.0","0.084")</f>
        <v>0.084</v>
      </c>
      <c r="BU568" t="s">
        <v>3381</v>
      </c>
      <c r="BV568" s="4" t="s">
        <v>42</v>
      </c>
      <c r="BW568" t="s">
        <v>42</v>
      </c>
      <c r="BX568" t="s">
        <v>42</v>
      </c>
      <c r="BY568" t="s">
        <v>42</v>
      </c>
      <c r="BZ568" t="s">
        <v>42</v>
      </c>
      <c r="CA568" t="s">
        <v>42</v>
      </c>
      <c r="CB568" t="s">
        <v>42</v>
      </c>
      <c r="CC568" t="s">
        <v>42</v>
      </c>
      <c r="CD568" t="s">
        <v>42</v>
      </c>
      <c r="CE568" t="s">
        <v>42</v>
      </c>
      <c r="CF568" t="s">
        <v>42</v>
      </c>
      <c r="CG568" t="s">
        <v>42</v>
      </c>
      <c r="CH568" t="s">
        <v>42</v>
      </c>
      <c r="CI568" t="s">
        <v>42</v>
      </c>
      <c r="CJ568" t="s">
        <v>42</v>
      </c>
      <c r="CK568" t="s">
        <v>42</v>
      </c>
      <c r="CL568" t="s">
        <v>42</v>
      </c>
      <c r="CM568" t="s">
        <v>42</v>
      </c>
      <c r="CN568" t="s">
        <v>42</v>
      </c>
      <c r="CO568" t="s">
        <v>42</v>
      </c>
      <c r="CP568" t="s">
        <v>42</v>
      </c>
      <c r="CQ568" t="s">
        <v>42</v>
      </c>
      <c r="CR568" t="s">
        <v>42</v>
      </c>
      <c r="CS568" s="4" t="str">
        <f>HYPERLINK("http://exon.niaid.nih.gov/transcriptome/C_felis/S1/links/KOG/cf-contig_470-KOG.txt","K+-dependent Na+:Ca2+ antiporter")</f>
        <v>K+-dependent Na+:Ca2+ antiporter</v>
      </c>
      <c r="CT568" t="str">
        <f>HYPERLINK("http://www.ncbi.nlm.nih.gov/COG/grace/shokog.cgi?KOG2399","0.053")</f>
        <v>0.053</v>
      </c>
      <c r="CU568" t="s">
        <v>1681</v>
      </c>
      <c r="CV568" s="4" t="str">
        <f>HYPERLINK("http://exon.niaid.nih.gov/transcriptome/C_felis/S1/links/PFAM/cf-contig_470-PFAM.txt","Sre")</f>
        <v>Sre</v>
      </c>
      <c r="CW568" t="str">
        <f>HYPERLINK("http://pfam.sanger.ac.uk/family?acc=PF03125","0.055")</f>
        <v>0.055</v>
      </c>
      <c r="CX568" s="4" t="str">
        <f>HYPERLINK("http://exon.niaid.nih.gov/transcriptome/C_felis/S1/links/SMART/cf-contig_470-SMART.txt","CPDc")</f>
        <v>CPDc</v>
      </c>
      <c r="CY568" t="str">
        <f>HYPERLINK("http://smart.embl-heidelberg.de/smart/do_annotation.pl?DOMAIN=CPDc&amp;BLAST=DUMMY","0.037")</f>
        <v>0.037</v>
      </c>
      <c r="CZ568" s="4" t="s">
        <v>42</v>
      </c>
      <c r="DA568" t="s">
        <v>42</v>
      </c>
      <c r="DB568" t="s">
        <v>42</v>
      </c>
      <c r="DC568" t="s">
        <v>42</v>
      </c>
      <c r="DD568" t="s">
        <v>42</v>
      </c>
      <c r="DE568" t="s">
        <v>42</v>
      </c>
      <c r="DF568" t="s">
        <v>42</v>
      </c>
      <c r="DG568" t="s">
        <v>42</v>
      </c>
      <c r="DH568" s="4" t="s">
        <v>42</v>
      </c>
      <c r="DI568" t="s">
        <v>42</v>
      </c>
      <c r="DJ568" s="4" t="s">
        <v>42</v>
      </c>
      <c r="DK568" t="s">
        <v>42</v>
      </c>
      <c r="DL568" s="4">
        <v>382</v>
      </c>
      <c r="DM568">
        <v>1</v>
      </c>
      <c r="DN568" s="4">
        <v>391</v>
      </c>
      <c r="DO568">
        <v>1</v>
      </c>
      <c r="DP568" s="4">
        <v>396</v>
      </c>
      <c r="DQ568">
        <v>1</v>
      </c>
      <c r="DR568" s="4">
        <v>411</v>
      </c>
      <c r="DS568">
        <v>1</v>
      </c>
      <c r="DT568" s="4">
        <v>421</v>
      </c>
      <c r="DU568">
        <v>1</v>
      </c>
      <c r="DV568" s="4">
        <v>435</v>
      </c>
      <c r="DW568">
        <v>1</v>
      </c>
      <c r="DX568" s="4">
        <v>438</v>
      </c>
      <c r="DY568">
        <v>1</v>
      </c>
      <c r="DZ568" s="4">
        <v>444</v>
      </c>
      <c r="EA568">
        <v>1</v>
      </c>
      <c r="EB568" s="4">
        <v>449</v>
      </c>
      <c r="EC568">
        <v>1</v>
      </c>
      <c r="ED568" s="4">
        <v>453</v>
      </c>
      <c r="EE568">
        <v>1</v>
      </c>
      <c r="EF568" s="4">
        <v>458</v>
      </c>
      <c r="EG568">
        <v>1</v>
      </c>
      <c r="EH568" s="4">
        <v>464</v>
      </c>
      <c r="EI568">
        <v>1</v>
      </c>
      <c r="EJ568" s="4">
        <v>470</v>
      </c>
      <c r="EK568">
        <v>1</v>
      </c>
    </row>
    <row r="569" spans="1:141" x14ac:dyDescent="0.2">
      <c r="A569" t="str">
        <f>HYPERLINK("http://exon.niaid.nih.gov/transcriptome/C_felis/S1/links/cf/cf-contig_634.txt","cf-contig_634")</f>
        <v>cf-contig_634</v>
      </c>
      <c r="B569">
        <v>1</v>
      </c>
      <c r="C569" s="10" t="s">
        <v>4600</v>
      </c>
      <c r="D569">
        <v>1</v>
      </c>
      <c r="E569" t="str">
        <f>HYPERLINK("http://exon.niaid.nih.gov/transcriptome/C_felis/S1/links/cf/cf-5-36-asb-634.txt","Contig-634")</f>
        <v>Contig-634</v>
      </c>
      <c r="F569" t="str">
        <f>HYPERLINK("http://exon.niaid.nih.gov/transcriptome/C_felis/S1/links/cf/cf-5-36-634-CLU.txt","Contig634")</f>
        <v>Contig634</v>
      </c>
      <c r="G569" t="str">
        <f>HYPERLINK("http://exon.niaid.nih.gov/transcriptome/C_felis/S1/links/cf/cf-5-36-634-qual.txt","57.3")</f>
        <v>57.3</v>
      </c>
      <c r="H569" t="s">
        <v>11</v>
      </c>
      <c r="I569">
        <v>77.400000000000006</v>
      </c>
      <c r="J569">
        <v>189</v>
      </c>
      <c r="K569" t="s">
        <v>12</v>
      </c>
      <c r="L569">
        <v>1</v>
      </c>
      <c r="M569" t="s">
        <v>647</v>
      </c>
      <c r="N569">
        <v>189</v>
      </c>
      <c r="O569">
        <v>208</v>
      </c>
      <c r="P569">
        <v>129</v>
      </c>
      <c r="Q569" t="s">
        <v>1453</v>
      </c>
      <c r="R569">
        <v>1</v>
      </c>
      <c r="S569" s="7" t="s">
        <v>4585</v>
      </c>
      <c r="U569">
        <v>1</v>
      </c>
      <c r="V569" s="4">
        <v>518</v>
      </c>
      <c r="W569">
        <v>1</v>
      </c>
      <c r="X569" s="4">
        <v>530</v>
      </c>
      <c r="Y569">
        <v>1</v>
      </c>
      <c r="Z569" s="4">
        <v>540</v>
      </c>
      <c r="AA569">
        <v>1</v>
      </c>
      <c r="AB569" s="4" t="str">
        <f>HYPERLINK("http://exon.niaid.nih.gov/transcriptome/C_felis/S1/links/XC-ASB/cf-contig_634-XC-ASB.txt","XC-contig_168")</f>
        <v>XC-contig_168</v>
      </c>
      <c r="AC569">
        <v>6.4000000000000001E-2</v>
      </c>
      <c r="AD569" s="10" t="s">
        <v>4600</v>
      </c>
      <c r="AE569" t="s">
        <v>4601</v>
      </c>
      <c r="AI569" s="4" t="str">
        <f>HYPERLINK("http://exon.niaid.nih.gov/transcriptome/C_felis/S1/links/NR/cf-contig_634-NR.txt","hypothetical protein CSU_0222")</f>
        <v>hypothetical protein CSU_0222</v>
      </c>
      <c r="AJ569" t="str">
        <f>HYPERLINK("http://www.ncbi.nlm.nih.gov/sutils/blink.cgi?pid=315932501","1.4")</f>
        <v>1.4</v>
      </c>
      <c r="AK569" t="str">
        <f>HYPERLINK("http://www.ncbi.nlm.nih.gov/protein/315932501","gi|315932501")</f>
        <v>gi|315932501</v>
      </c>
      <c r="AL569">
        <v>36.6</v>
      </c>
      <c r="AM569">
        <v>41</v>
      </c>
      <c r="AN569">
        <v>47</v>
      </c>
      <c r="AO569">
        <v>44</v>
      </c>
      <c r="AP569">
        <v>89</v>
      </c>
      <c r="AQ569">
        <v>26</v>
      </c>
      <c r="AR569">
        <v>2</v>
      </c>
      <c r="AS569">
        <v>2</v>
      </c>
      <c r="AT569">
        <v>31</v>
      </c>
      <c r="AU569">
        <v>1</v>
      </c>
      <c r="AV569">
        <v>1</v>
      </c>
      <c r="AW569" t="s">
        <v>12</v>
      </c>
      <c r="AX569">
        <v>2.4390000000000001</v>
      </c>
      <c r="AY569" t="s">
        <v>1676</v>
      </c>
      <c r="AZ569" t="s">
        <v>4012</v>
      </c>
      <c r="BA569" s="4" t="str">
        <f>HYPERLINK("http://exon.niaid.nih.gov/transcriptome/C_felis/S1/links/SWISSP/cf-contig_634-SWISSP.txt","GTPase Der")</f>
        <v>GTPase Der</v>
      </c>
      <c r="BB569" t="str">
        <f>HYPERLINK("http://www.uniprot.org/uniprot/Q2SRR7","11")</f>
        <v>11</v>
      </c>
      <c r="BC569" t="s">
        <v>4013</v>
      </c>
      <c r="BD569">
        <v>28.9</v>
      </c>
      <c r="BE569">
        <v>44</v>
      </c>
      <c r="BF569">
        <v>435</v>
      </c>
      <c r="BG569">
        <v>26</v>
      </c>
      <c r="BH569">
        <v>10</v>
      </c>
      <c r="BI569">
        <v>33</v>
      </c>
      <c r="BJ569">
        <v>0</v>
      </c>
      <c r="BK569">
        <v>182</v>
      </c>
      <c r="BL569">
        <v>18</v>
      </c>
      <c r="BM569">
        <v>1</v>
      </c>
      <c r="BN569">
        <v>-3</v>
      </c>
      <c r="BO569" t="s">
        <v>12</v>
      </c>
      <c r="BP569">
        <v>2.2730000000000001</v>
      </c>
      <c r="BQ569" t="s">
        <v>1666</v>
      </c>
      <c r="BR569" t="s">
        <v>4014</v>
      </c>
      <c r="BS569" s="4" t="str">
        <f>HYPERLINK("http://exon.niaid.nih.gov/transcriptome/C_felis/S1/links/CDD/cf-contig_634-CDD.txt","Pox_Rap94")</f>
        <v>Pox_Rap94</v>
      </c>
      <c r="BT569" t="str">
        <f>HYPERLINK("http://www.ncbi.nlm.nih.gov/Structure/cdd/cddsrv.cgi?uid=pfam03294&amp;version=v4.0","0.066")</f>
        <v>0.066</v>
      </c>
      <c r="BU569" t="s">
        <v>4015</v>
      </c>
      <c r="BV569" s="4" t="s">
        <v>42</v>
      </c>
      <c r="BW569" t="s">
        <v>42</v>
      </c>
      <c r="BX569" t="s">
        <v>42</v>
      </c>
      <c r="BY569" t="s">
        <v>42</v>
      </c>
      <c r="BZ569" t="s">
        <v>42</v>
      </c>
      <c r="CA569" t="s">
        <v>42</v>
      </c>
      <c r="CB569" t="s">
        <v>42</v>
      </c>
      <c r="CC569" t="s">
        <v>42</v>
      </c>
      <c r="CD569" t="s">
        <v>42</v>
      </c>
      <c r="CE569" t="s">
        <v>42</v>
      </c>
      <c r="CF569" t="s">
        <v>42</v>
      </c>
      <c r="CG569" t="s">
        <v>42</v>
      </c>
      <c r="CH569" t="s">
        <v>42</v>
      </c>
      <c r="CI569" t="s">
        <v>42</v>
      </c>
      <c r="CJ569" t="s">
        <v>42</v>
      </c>
      <c r="CK569" t="s">
        <v>42</v>
      </c>
      <c r="CL569" t="s">
        <v>42</v>
      </c>
      <c r="CM569" t="s">
        <v>42</v>
      </c>
      <c r="CN569" t="s">
        <v>42</v>
      </c>
      <c r="CO569" t="s">
        <v>42</v>
      </c>
      <c r="CP569" t="s">
        <v>42</v>
      </c>
      <c r="CQ569" t="s">
        <v>42</v>
      </c>
      <c r="CR569" t="s">
        <v>42</v>
      </c>
      <c r="CS569" s="4" t="str">
        <f>HYPERLINK("http://exon.niaid.nih.gov/transcriptome/C_felis/S1/links/KOG/cf-contig_634-KOG.txt","Lipid phosphate phosphatase and related enzymes of the PAP2 family")</f>
        <v>Lipid phosphate phosphatase and related enzymes of the PAP2 family</v>
      </c>
      <c r="CT569" t="str">
        <f>HYPERLINK("http://www.ncbi.nlm.nih.gov/COG/grace/shokog.cgi?KOG3030","0.43")</f>
        <v>0.43</v>
      </c>
      <c r="CU569" t="s">
        <v>1761</v>
      </c>
      <c r="CV569" s="4" t="str">
        <f>HYPERLINK("http://exon.niaid.nih.gov/transcriptome/C_felis/S1/links/PFAM/cf-contig_634-PFAM.txt","Pox_Rap94")</f>
        <v>Pox_Rap94</v>
      </c>
      <c r="CW569" t="str">
        <f>HYPERLINK("http://pfam.sanger.ac.uk/family?acc=PF03294","0.014")</f>
        <v>0.014</v>
      </c>
      <c r="CX569" s="4" t="str">
        <f>HYPERLINK("http://exon.niaid.nih.gov/transcriptome/C_felis/S1/links/SMART/cf-contig_634-SMART.txt","s48_45")</f>
        <v>s48_45</v>
      </c>
      <c r="CY569" t="str">
        <f>HYPERLINK("http://smart.embl-heidelberg.de/smart/do_annotation.pl?DOMAIN=s48_45&amp;BLAST=DUMMY","0.044")</f>
        <v>0.044</v>
      </c>
      <c r="CZ569" s="4" t="s">
        <v>42</v>
      </c>
      <c r="DA569" t="s">
        <v>42</v>
      </c>
      <c r="DB569" t="s">
        <v>42</v>
      </c>
      <c r="DC569" t="s">
        <v>42</v>
      </c>
      <c r="DD569" t="s">
        <v>42</v>
      </c>
      <c r="DE569" t="s">
        <v>42</v>
      </c>
      <c r="DF569" t="s">
        <v>42</v>
      </c>
      <c r="DG569" t="s">
        <v>42</v>
      </c>
      <c r="DH569" s="4" t="s">
        <v>42</v>
      </c>
      <c r="DI569" t="s">
        <v>42</v>
      </c>
      <c r="DJ569" s="4" t="s">
        <v>42</v>
      </c>
      <c r="DK569" t="s">
        <v>42</v>
      </c>
      <c r="DL569" s="4">
        <v>518</v>
      </c>
      <c r="DM569">
        <v>1</v>
      </c>
      <c r="DN569" s="4">
        <v>530</v>
      </c>
      <c r="DO569">
        <v>1</v>
      </c>
      <c r="DP569" s="4">
        <v>540</v>
      </c>
      <c r="DQ569">
        <v>1</v>
      </c>
      <c r="DR569" s="4">
        <v>560</v>
      </c>
      <c r="DS569">
        <v>1</v>
      </c>
      <c r="DT569" s="4">
        <v>573</v>
      </c>
      <c r="DU569">
        <v>1</v>
      </c>
      <c r="DV569" s="4">
        <v>587</v>
      </c>
      <c r="DW569">
        <v>1</v>
      </c>
      <c r="DX569" s="4">
        <v>596</v>
      </c>
      <c r="DY569">
        <v>1</v>
      </c>
      <c r="DZ569" s="4">
        <v>604</v>
      </c>
      <c r="EA569">
        <v>1</v>
      </c>
      <c r="EB569" s="4">
        <v>609</v>
      </c>
      <c r="EC569">
        <v>1</v>
      </c>
      <c r="ED569" s="4">
        <v>613</v>
      </c>
      <c r="EE569">
        <v>1</v>
      </c>
      <c r="EF569" s="4">
        <v>619</v>
      </c>
      <c r="EG569">
        <v>1</v>
      </c>
      <c r="EH569" s="4">
        <v>627</v>
      </c>
      <c r="EI569">
        <v>1</v>
      </c>
      <c r="EJ569" s="4">
        <v>634</v>
      </c>
      <c r="EK569">
        <v>1</v>
      </c>
    </row>
    <row r="570" spans="1:141" x14ac:dyDescent="0.2">
      <c r="A570" t="str">
        <f>HYPERLINK("http://exon.niaid.nih.gov/transcriptome/C_felis/S1/links/cf/cf-contig_266.txt","cf-contig_266")</f>
        <v>cf-contig_266</v>
      </c>
      <c r="B570">
        <v>1</v>
      </c>
      <c r="C570" s="10" t="s">
        <v>4600</v>
      </c>
      <c r="D570">
        <v>1</v>
      </c>
      <c r="E570" t="str">
        <f>HYPERLINK("http://exon.niaid.nih.gov/transcriptome/C_felis/S1/links/cf/cf-5-36-asb-266.txt","Contig-266")</f>
        <v>Contig-266</v>
      </c>
      <c r="F570" t="str">
        <f>HYPERLINK("http://exon.niaid.nih.gov/transcriptome/C_felis/S1/links/cf/cf-5-36-266-CLU.txt","Contig266")</f>
        <v>Contig266</v>
      </c>
      <c r="G570" t="str">
        <f>HYPERLINK("http://exon.niaid.nih.gov/transcriptome/C_felis/S1/links/cf/cf-5-36-266-qual.txt","60.2")</f>
        <v>60.2</v>
      </c>
      <c r="H570" t="s">
        <v>11</v>
      </c>
      <c r="I570">
        <v>85.3</v>
      </c>
      <c r="J570">
        <v>151</v>
      </c>
      <c r="K570" t="s">
        <v>12</v>
      </c>
      <c r="L570">
        <v>1</v>
      </c>
      <c r="M570" t="s">
        <v>279</v>
      </c>
      <c r="N570">
        <v>151</v>
      </c>
      <c r="O570">
        <v>170</v>
      </c>
      <c r="P570">
        <v>96</v>
      </c>
      <c r="Q570" t="s">
        <v>1086</v>
      </c>
      <c r="R570">
        <v>1</v>
      </c>
      <c r="S570" s="7" t="s">
        <v>4585</v>
      </c>
      <c r="U570">
        <v>1</v>
      </c>
      <c r="V570" s="4">
        <v>213</v>
      </c>
      <c r="W570">
        <v>1</v>
      </c>
      <c r="X570" s="4">
        <v>217</v>
      </c>
      <c r="Y570">
        <v>1</v>
      </c>
      <c r="Z570" s="4">
        <v>215</v>
      </c>
      <c r="AA570">
        <v>1</v>
      </c>
      <c r="AB570" s="4" t="str">
        <f>HYPERLINK("http://exon.niaid.nih.gov/transcriptome/C_felis/S1/links/XC-ASB/cf-contig_266-XC-ASB.txt","XC-contig_196")</f>
        <v>XC-contig_196</v>
      </c>
      <c r="AC570">
        <v>3.3000000000000002E-2</v>
      </c>
      <c r="AD570" s="10" t="s">
        <v>4600</v>
      </c>
      <c r="AE570" t="s">
        <v>4601</v>
      </c>
      <c r="AI570" s="4" t="str">
        <f>HYPERLINK("http://exon.niaid.nih.gov/transcriptome/C_felis/S1/links/NR/cf-contig_266-NR.txt","lysophospholipase 2 precursor")</f>
        <v>lysophospholipase 2 precursor</v>
      </c>
      <c r="AJ570" t="str">
        <f>HYPERLINK("http://www.ncbi.nlm.nih.gov/sutils/blink.cgi?pid=255727342","27")</f>
        <v>27</v>
      </c>
      <c r="AK570" t="str">
        <f>HYPERLINK("http://www.ncbi.nlm.nih.gov/protein/255727342","gi|255727342")</f>
        <v>gi|255727342</v>
      </c>
      <c r="AL570">
        <v>32.299999999999997</v>
      </c>
      <c r="AM570">
        <v>38</v>
      </c>
      <c r="AN570">
        <v>602</v>
      </c>
      <c r="AO570">
        <v>33</v>
      </c>
      <c r="AP570">
        <v>6</v>
      </c>
      <c r="AQ570">
        <v>26</v>
      </c>
      <c r="AR570">
        <v>0</v>
      </c>
      <c r="AS570">
        <v>319</v>
      </c>
      <c r="AT570">
        <v>27</v>
      </c>
      <c r="AU570">
        <v>1</v>
      </c>
      <c r="AV570">
        <v>-1</v>
      </c>
      <c r="AW570" t="s">
        <v>12</v>
      </c>
      <c r="AY570" t="s">
        <v>1666</v>
      </c>
      <c r="AZ570" t="s">
        <v>2637</v>
      </c>
      <c r="BA570" s="4" t="str">
        <f>HYPERLINK("http://exon.niaid.nih.gov/transcriptome/C_felis/S1/links/SWISSP/cf-contig_266-SWISSP.txt","Uncharacterized protein MAL13P1.304")</f>
        <v>Uncharacterized protein MAL13P1.304</v>
      </c>
      <c r="BB570" t="str">
        <f>HYPERLINK("http://www.uniprot.org/uniprot/Q8ID94","31")</f>
        <v>31</v>
      </c>
      <c r="BC570" t="s">
        <v>2638</v>
      </c>
      <c r="BD570">
        <v>27.3</v>
      </c>
      <c r="BE570">
        <v>30</v>
      </c>
      <c r="BF570">
        <v>1792</v>
      </c>
      <c r="BG570">
        <v>35</v>
      </c>
      <c r="BH570">
        <v>2</v>
      </c>
      <c r="BI570">
        <v>20</v>
      </c>
      <c r="BJ570">
        <v>0</v>
      </c>
      <c r="BK570">
        <v>245</v>
      </c>
      <c r="BL570">
        <v>36</v>
      </c>
      <c r="BM570">
        <v>1</v>
      </c>
      <c r="BN570">
        <v>-1</v>
      </c>
      <c r="BO570" t="s">
        <v>12</v>
      </c>
      <c r="BQ570" t="s">
        <v>1666</v>
      </c>
      <c r="BR570" t="s">
        <v>1724</v>
      </c>
      <c r="BS570" s="4" t="str">
        <f>HYPERLINK("http://exon.niaid.nih.gov/transcriptome/C_felis/S1/links/CDD/cf-contig_266-CDD.txt","SecY")</f>
        <v>SecY</v>
      </c>
      <c r="BT570" t="str">
        <f>HYPERLINK("http://www.ncbi.nlm.nih.gov/Structure/cdd/cddsrv.cgi?uid=pfam00344&amp;version=v4.0","1.5")</f>
        <v>1.5</v>
      </c>
      <c r="BU570" t="s">
        <v>2639</v>
      </c>
      <c r="BV570" s="4" t="s">
        <v>42</v>
      </c>
      <c r="BW570" t="s">
        <v>42</v>
      </c>
      <c r="BX570" t="s">
        <v>42</v>
      </c>
      <c r="BY570" t="s">
        <v>42</v>
      </c>
      <c r="BZ570" t="s">
        <v>42</v>
      </c>
      <c r="CA570" t="s">
        <v>42</v>
      </c>
      <c r="CB570" t="s">
        <v>42</v>
      </c>
      <c r="CC570" t="s">
        <v>42</v>
      </c>
      <c r="CD570" t="s">
        <v>42</v>
      </c>
      <c r="CE570" t="s">
        <v>42</v>
      </c>
      <c r="CF570" t="s">
        <v>42</v>
      </c>
      <c r="CG570" t="s">
        <v>42</v>
      </c>
      <c r="CH570" t="s">
        <v>42</v>
      </c>
      <c r="CI570" t="s">
        <v>42</v>
      </c>
      <c r="CJ570" t="s">
        <v>42</v>
      </c>
      <c r="CK570" t="s">
        <v>42</v>
      </c>
      <c r="CL570" t="s">
        <v>42</v>
      </c>
      <c r="CM570" t="s">
        <v>42</v>
      </c>
      <c r="CN570" t="s">
        <v>42</v>
      </c>
      <c r="CO570" t="s">
        <v>42</v>
      </c>
      <c r="CP570" t="s">
        <v>42</v>
      </c>
      <c r="CQ570" t="s">
        <v>42</v>
      </c>
      <c r="CR570" t="s">
        <v>42</v>
      </c>
      <c r="CS570" s="4" t="str">
        <f>HYPERLINK("http://exon.niaid.nih.gov/transcriptome/C_felis/S1/links/KOG/cf-contig_266-KOG.txt","DEAD box-containing helicase-like transcription factor/DNA repair protein")</f>
        <v>DEAD box-containing helicase-like transcription factor/DNA repair protein</v>
      </c>
      <c r="CT570" t="str">
        <f>HYPERLINK("http://www.ncbi.nlm.nih.gov/COG/grace/shokog.cgi?KOG0298","2.3")</f>
        <v>2.3</v>
      </c>
      <c r="CU570" t="s">
        <v>2520</v>
      </c>
      <c r="CV570" s="4" t="str">
        <f>HYPERLINK("http://exon.niaid.nih.gov/transcriptome/C_felis/S1/links/PFAM/cf-contig_266-PFAM.txt","SecY")</f>
        <v>SecY</v>
      </c>
      <c r="CW570" t="str">
        <f>HYPERLINK("http://pfam.sanger.ac.uk/family?acc=PF00344","0.32")</f>
        <v>0.32</v>
      </c>
      <c r="CX570" s="4" t="str">
        <f>HYPERLINK("http://exon.niaid.nih.gov/transcriptome/C_felis/S1/links/SMART/cf-contig_266-SMART.txt","Flavokinase")</f>
        <v>Flavokinase</v>
      </c>
      <c r="CY570" t="str">
        <f>HYPERLINK("http://smart.embl-heidelberg.de/smart/do_annotation.pl?DOMAIN=Flavokinase&amp;BLAST=DUMMY","0.25")</f>
        <v>0.25</v>
      </c>
      <c r="CZ570" s="4" t="s">
        <v>42</v>
      </c>
      <c r="DA570" t="s">
        <v>42</v>
      </c>
      <c r="DB570" t="s">
        <v>42</v>
      </c>
      <c r="DC570" t="s">
        <v>42</v>
      </c>
      <c r="DD570" t="s">
        <v>42</v>
      </c>
      <c r="DE570" t="s">
        <v>42</v>
      </c>
      <c r="DF570" t="s">
        <v>42</v>
      </c>
      <c r="DG570" t="s">
        <v>42</v>
      </c>
      <c r="DH570" s="4" t="s">
        <v>42</v>
      </c>
      <c r="DI570" t="s">
        <v>42</v>
      </c>
      <c r="DJ570" s="4" t="s">
        <v>42</v>
      </c>
      <c r="DK570" t="s">
        <v>42</v>
      </c>
      <c r="DL570" s="4">
        <v>213</v>
      </c>
      <c r="DM570">
        <v>1</v>
      </c>
      <c r="DN570" s="4">
        <v>217</v>
      </c>
      <c r="DO570">
        <v>1</v>
      </c>
      <c r="DP570" s="4">
        <v>215</v>
      </c>
      <c r="DQ570">
        <v>1</v>
      </c>
      <c r="DR570" s="4">
        <v>224</v>
      </c>
      <c r="DS570">
        <v>1</v>
      </c>
      <c r="DT570" s="4">
        <v>230</v>
      </c>
      <c r="DU570">
        <v>1</v>
      </c>
      <c r="DV570" s="4">
        <v>242</v>
      </c>
      <c r="DW570">
        <v>1</v>
      </c>
      <c r="DX570" s="4">
        <v>244</v>
      </c>
      <c r="DY570">
        <v>1</v>
      </c>
      <c r="DZ570" s="4">
        <v>248</v>
      </c>
      <c r="EA570">
        <v>1</v>
      </c>
      <c r="EB570" s="4">
        <v>253</v>
      </c>
      <c r="EC570">
        <v>1</v>
      </c>
      <c r="ED570" s="4">
        <v>256</v>
      </c>
      <c r="EE570">
        <v>1</v>
      </c>
      <c r="EF570" s="4">
        <v>259</v>
      </c>
      <c r="EG570">
        <v>1</v>
      </c>
      <c r="EH570" s="4">
        <v>261</v>
      </c>
      <c r="EI570">
        <v>1</v>
      </c>
      <c r="EJ570" s="4">
        <v>266</v>
      </c>
      <c r="EK570">
        <v>1</v>
      </c>
    </row>
    <row r="571" spans="1:141" x14ac:dyDescent="0.2">
      <c r="A571" t="str">
        <f>HYPERLINK("http://exon.niaid.nih.gov/transcriptome/C_felis/S1/links/cf/cf-contig_773.txt","cf-contig_773")</f>
        <v>cf-contig_773</v>
      </c>
      <c r="B571">
        <v>1</v>
      </c>
      <c r="C571" s="10" t="s">
        <v>4600</v>
      </c>
      <c r="D571">
        <v>1</v>
      </c>
      <c r="E571" t="str">
        <f>HYPERLINK("http://exon.niaid.nih.gov/transcriptome/C_felis/S1/links/cf/cf-5-36-asb-773.txt","Contig-773")</f>
        <v>Contig-773</v>
      </c>
      <c r="F571" t="str">
        <f>HYPERLINK("http://exon.niaid.nih.gov/transcriptome/C_felis/S1/links/cf/cf-5-36-773-CLU.txt","Contig773")</f>
        <v>Contig773</v>
      </c>
      <c r="G571" t="str">
        <f>HYPERLINK("http://exon.niaid.nih.gov/transcriptome/C_felis/S1/links/cf/cf-5-36-773-qual.txt","64.5")</f>
        <v>64.5</v>
      </c>
      <c r="H571" t="s">
        <v>11</v>
      </c>
      <c r="I571">
        <v>77.400000000000006</v>
      </c>
      <c r="J571">
        <v>242</v>
      </c>
      <c r="K571" t="s">
        <v>12</v>
      </c>
      <c r="L571">
        <v>1</v>
      </c>
      <c r="M571" t="s">
        <v>786</v>
      </c>
      <c r="N571">
        <v>242</v>
      </c>
      <c r="O571">
        <v>261</v>
      </c>
      <c r="P571">
        <v>111</v>
      </c>
      <c r="Q571" t="s">
        <v>1592</v>
      </c>
      <c r="R571">
        <v>2</v>
      </c>
      <c r="S571" s="7" t="s">
        <v>4585</v>
      </c>
      <c r="U571">
        <v>1</v>
      </c>
      <c r="V571" s="4">
        <v>620</v>
      </c>
      <c r="W571">
        <v>1</v>
      </c>
      <c r="X571" s="4">
        <v>641</v>
      </c>
      <c r="Y571">
        <v>1</v>
      </c>
      <c r="Z571" s="4">
        <v>657</v>
      </c>
      <c r="AA571">
        <v>1</v>
      </c>
      <c r="AB571" s="4" t="str">
        <f>HYPERLINK("http://exon.niaid.nih.gov/transcriptome/C_felis/S1/links/XC-ASB/cf-contig_773-XC-ASB.txt","XC-contig_167")</f>
        <v>XC-contig_167</v>
      </c>
      <c r="AC571">
        <v>6.4000000000000001E-2</v>
      </c>
      <c r="AD571" s="10" t="s">
        <v>4600</v>
      </c>
      <c r="AE571" t="s">
        <v>4601</v>
      </c>
      <c r="AI571" s="4" t="str">
        <f>HYPERLINK("http://exon.niaid.nih.gov/transcriptome/C_felis/S1/links/NR/cf-contig_773-NR.txt","transglutaminase domain-containing protein")</f>
        <v>transglutaminase domain-containing protein</v>
      </c>
      <c r="AJ571" t="str">
        <f>HYPERLINK("http://www.ncbi.nlm.nih.gov/sutils/blink.cgi?pid=345506190","5.6")</f>
        <v>5.6</v>
      </c>
      <c r="AK571" t="str">
        <f>HYPERLINK("http://www.ncbi.nlm.nih.gov/protein/345506190","gi|345506190")</f>
        <v>gi|345506190</v>
      </c>
      <c r="AL571">
        <v>34.700000000000003</v>
      </c>
      <c r="AM571">
        <v>45</v>
      </c>
      <c r="AN571">
        <v>386</v>
      </c>
      <c r="AO571">
        <v>39</v>
      </c>
      <c r="AP571">
        <v>12</v>
      </c>
      <c r="AQ571">
        <v>28</v>
      </c>
      <c r="AR571">
        <v>1</v>
      </c>
      <c r="AS571">
        <v>70</v>
      </c>
      <c r="AT571">
        <v>84</v>
      </c>
      <c r="AU571">
        <v>1</v>
      </c>
      <c r="AV571">
        <v>-2</v>
      </c>
      <c r="AW571" t="s">
        <v>12</v>
      </c>
      <c r="AX571">
        <v>2.222</v>
      </c>
      <c r="AY571" t="s">
        <v>1666</v>
      </c>
      <c r="AZ571" t="s">
        <v>4480</v>
      </c>
      <c r="BA571" s="4" t="str">
        <f>HYPERLINK("http://exon.niaid.nih.gov/transcriptome/C_felis/S1/links/SWISSP/cf-contig_773-SWISSP.txt","Adenosine receptor A2b")</f>
        <v>Adenosine receptor A2b</v>
      </c>
      <c r="BB571" t="str">
        <f>HYPERLINK("http://www.uniprot.org/uniprot/O13076","4.8")</f>
        <v>4.8</v>
      </c>
      <c r="BC571" t="s">
        <v>4481</v>
      </c>
      <c r="BD571">
        <v>30</v>
      </c>
      <c r="BE571">
        <v>44</v>
      </c>
      <c r="BF571">
        <v>340</v>
      </c>
      <c r="BG571">
        <v>29</v>
      </c>
      <c r="BH571">
        <v>13</v>
      </c>
      <c r="BI571">
        <v>43</v>
      </c>
      <c r="BJ571">
        <v>0</v>
      </c>
      <c r="BK571">
        <v>166</v>
      </c>
      <c r="BL571">
        <v>57</v>
      </c>
      <c r="BM571">
        <v>1</v>
      </c>
      <c r="BN571">
        <v>3</v>
      </c>
      <c r="BO571" t="s">
        <v>12</v>
      </c>
      <c r="BP571">
        <v>9.0909999999999993</v>
      </c>
      <c r="BQ571" t="s">
        <v>1676</v>
      </c>
      <c r="BR571" t="s">
        <v>1809</v>
      </c>
      <c r="BS571" s="4" t="str">
        <f>HYPERLINK("http://exon.niaid.nih.gov/transcriptome/C_felis/S1/links/CDD/cf-contig_773-CDD.txt","7tm_7")</f>
        <v>7tm_7</v>
      </c>
      <c r="BT571" t="str">
        <f>HYPERLINK("http://www.ncbi.nlm.nih.gov/Structure/cdd/cddsrv.cgi?uid=pfam08395&amp;version=v4.0","0.082")</f>
        <v>0.082</v>
      </c>
      <c r="BU571" t="s">
        <v>4482</v>
      </c>
      <c r="BV571" s="4" t="s">
        <v>42</v>
      </c>
      <c r="BW571" t="s">
        <v>42</v>
      </c>
      <c r="BX571" t="s">
        <v>42</v>
      </c>
      <c r="BY571" t="s">
        <v>42</v>
      </c>
      <c r="BZ571" t="s">
        <v>42</v>
      </c>
      <c r="CA571" t="s">
        <v>42</v>
      </c>
      <c r="CB571" t="s">
        <v>42</v>
      </c>
      <c r="CC571" t="s">
        <v>42</v>
      </c>
      <c r="CD571" t="s">
        <v>42</v>
      </c>
      <c r="CE571" t="s">
        <v>42</v>
      </c>
      <c r="CF571" t="s">
        <v>42</v>
      </c>
      <c r="CG571" t="s">
        <v>42</v>
      </c>
      <c r="CH571" t="s">
        <v>42</v>
      </c>
      <c r="CI571" t="s">
        <v>42</v>
      </c>
      <c r="CJ571" t="s">
        <v>42</v>
      </c>
      <c r="CK571" t="s">
        <v>42</v>
      </c>
      <c r="CL571" t="s">
        <v>42</v>
      </c>
      <c r="CM571" t="s">
        <v>42</v>
      </c>
      <c r="CN571" t="s">
        <v>42</v>
      </c>
      <c r="CO571" t="s">
        <v>42</v>
      </c>
      <c r="CP571" t="s">
        <v>42</v>
      </c>
      <c r="CQ571" t="s">
        <v>42</v>
      </c>
      <c r="CR571" t="s">
        <v>42</v>
      </c>
      <c r="CS571" s="4" t="str">
        <f>HYPERLINK("http://exon.niaid.nih.gov/transcriptome/C_felis/S1/links/KOG/cf-contig_773-KOG.txt","Molecular chaperones GRP170/SIL1, HSP70 superfamily")</f>
        <v>Molecular chaperones GRP170/SIL1, HSP70 superfamily</v>
      </c>
      <c r="CT571" t="str">
        <f>HYPERLINK("http://www.ncbi.nlm.nih.gov/COG/grace/shokog.cgi?KOG0104","2.4")</f>
        <v>2.4</v>
      </c>
      <c r="CU571" t="s">
        <v>2198</v>
      </c>
      <c r="CV571" s="4" t="str">
        <f>HYPERLINK("http://exon.niaid.nih.gov/transcriptome/C_felis/S1/links/PFAM/cf-contig_773-PFAM.txt","7tm_7")</f>
        <v>7tm_7</v>
      </c>
      <c r="CW571" t="str">
        <f>HYPERLINK("http://pfam.sanger.ac.uk/family?acc=PF08395","0.017")</f>
        <v>0.017</v>
      </c>
      <c r="CX571" s="4" t="str">
        <f>HYPERLINK("http://exon.niaid.nih.gov/transcriptome/C_felis/S1/links/SMART/cf-contig_773-SMART.txt","PP2Ac")</f>
        <v>PP2Ac</v>
      </c>
      <c r="CY571" t="str">
        <f>HYPERLINK("http://smart.embl-heidelberg.de/smart/do_annotation.pl?DOMAIN=PP2Ac&amp;BLAST=DUMMY","0.019")</f>
        <v>0.019</v>
      </c>
      <c r="CZ571" s="4" t="s">
        <v>42</v>
      </c>
      <c r="DA571" t="s">
        <v>42</v>
      </c>
      <c r="DB571" t="s">
        <v>42</v>
      </c>
      <c r="DC571" t="s">
        <v>42</v>
      </c>
      <c r="DD571" t="s">
        <v>42</v>
      </c>
      <c r="DE571" t="s">
        <v>42</v>
      </c>
      <c r="DF571" t="s">
        <v>42</v>
      </c>
      <c r="DG571" t="s">
        <v>42</v>
      </c>
      <c r="DH571" s="4" t="s">
        <v>42</v>
      </c>
      <c r="DI571" t="s">
        <v>42</v>
      </c>
      <c r="DJ571" s="4" t="s">
        <v>42</v>
      </c>
      <c r="DK571" t="s">
        <v>42</v>
      </c>
      <c r="DL571" s="4">
        <v>620</v>
      </c>
      <c r="DM571">
        <v>1</v>
      </c>
      <c r="DN571" s="4">
        <v>641</v>
      </c>
      <c r="DO571">
        <v>1</v>
      </c>
      <c r="DP571" s="4">
        <v>657</v>
      </c>
      <c r="DQ571">
        <v>1</v>
      </c>
      <c r="DR571" s="4">
        <v>679</v>
      </c>
      <c r="DS571">
        <v>1</v>
      </c>
      <c r="DT571" s="4">
        <v>695</v>
      </c>
      <c r="DU571">
        <v>1</v>
      </c>
      <c r="DV571" s="4">
        <v>710</v>
      </c>
      <c r="DW571">
        <v>1</v>
      </c>
      <c r="DX571" s="4">
        <v>724</v>
      </c>
      <c r="DY571">
        <v>1</v>
      </c>
      <c r="DZ571" s="4">
        <v>735</v>
      </c>
      <c r="EA571">
        <v>1</v>
      </c>
      <c r="EB571" s="4">
        <v>741</v>
      </c>
      <c r="EC571">
        <v>1</v>
      </c>
      <c r="ED571" s="4">
        <v>746</v>
      </c>
      <c r="EE571">
        <v>1</v>
      </c>
      <c r="EF571" s="4">
        <v>752</v>
      </c>
      <c r="EG571">
        <v>1</v>
      </c>
      <c r="EH571" s="4">
        <v>764</v>
      </c>
      <c r="EI571">
        <v>1</v>
      </c>
      <c r="EJ571" s="4">
        <v>773</v>
      </c>
      <c r="EK571">
        <v>1</v>
      </c>
    </row>
    <row r="572" spans="1:141" x14ac:dyDescent="0.2">
      <c r="A572" t="str">
        <f>HYPERLINK("http://exon.niaid.nih.gov/transcriptome/C_felis/S1/links/cf/cf-contig_498.txt","cf-contig_498")</f>
        <v>cf-contig_498</v>
      </c>
      <c r="B572">
        <v>1</v>
      </c>
      <c r="C572" s="10" t="s">
        <v>4600</v>
      </c>
      <c r="D572">
        <v>1</v>
      </c>
      <c r="E572" t="str">
        <f>HYPERLINK("http://exon.niaid.nih.gov/transcriptome/C_felis/S1/links/cf/cf-5-36-asb-498.txt","Contig-498")</f>
        <v>Contig-498</v>
      </c>
      <c r="F572" t="str">
        <f>HYPERLINK("http://exon.niaid.nih.gov/transcriptome/C_felis/S1/links/cf/cf-5-36-498-CLU.txt","Contig498")</f>
        <v>Contig498</v>
      </c>
      <c r="G572" t="str">
        <f>HYPERLINK("http://exon.niaid.nih.gov/transcriptome/C_felis/S1/links/cf/cf-5-36-498-qual.txt","63.9")</f>
        <v>63.9</v>
      </c>
      <c r="H572" t="s">
        <v>11</v>
      </c>
      <c r="I572">
        <v>73.900000000000006</v>
      </c>
      <c r="J572">
        <v>410</v>
      </c>
      <c r="K572" t="s">
        <v>12</v>
      </c>
      <c r="L572">
        <v>1</v>
      </c>
      <c r="M572" t="s">
        <v>511</v>
      </c>
      <c r="N572">
        <v>410</v>
      </c>
      <c r="O572">
        <v>429</v>
      </c>
      <c r="P572">
        <v>153</v>
      </c>
      <c r="Q572" t="s">
        <v>1317</v>
      </c>
      <c r="R572">
        <v>3</v>
      </c>
      <c r="S572" s="7" t="str">
        <f>HYPERLINK("http://exon.niaid.nih.gov/transcriptome/C_felis/S1/links/Sigp/CF-CONTIG_498-SigP.txt","Cyt")</f>
        <v>Cyt</v>
      </c>
      <c r="U572">
        <v>1</v>
      </c>
      <c r="V572" s="4">
        <v>406</v>
      </c>
      <c r="W572">
        <v>1</v>
      </c>
      <c r="X572" s="4">
        <v>415</v>
      </c>
      <c r="Y572">
        <v>1</v>
      </c>
      <c r="Z572" s="4">
        <v>420</v>
      </c>
      <c r="AA572">
        <v>1</v>
      </c>
      <c r="AB572" s="4" t="str">
        <f>HYPERLINK("http://exon.niaid.nih.gov/transcriptome/C_felis/S1/links/XC-ASB/cf-contig_498-XC-ASB.txt","XC-contig_202")</f>
        <v>XC-contig_202</v>
      </c>
      <c r="AC572">
        <v>4.7E-2</v>
      </c>
      <c r="AD572" s="10" t="s">
        <v>4600</v>
      </c>
      <c r="AE572" t="s">
        <v>4601</v>
      </c>
      <c r="AI572" s="4" t="str">
        <f>HYPERLINK("http://exon.niaid.nih.gov/transcriptome/C_felis/S1/links/NR/cf-contig_498-NR.txt","hypothetical protein RATSFB_0294")</f>
        <v>hypothetical protein RATSFB_0294</v>
      </c>
      <c r="AJ572" t="str">
        <f>HYPERLINK("http://www.ncbi.nlm.nih.gov/sutils/blink.cgi?pid=347542146","1.9")</f>
        <v>1.9</v>
      </c>
      <c r="AK572" t="str">
        <f>HYPERLINK("http://www.ncbi.nlm.nih.gov/protein/347542146","gi|347542146")</f>
        <v>gi|347542146</v>
      </c>
      <c r="AL572">
        <v>36.200000000000003</v>
      </c>
      <c r="AM572">
        <v>70</v>
      </c>
      <c r="AN572">
        <v>786</v>
      </c>
      <c r="AO572">
        <v>27</v>
      </c>
      <c r="AP572">
        <v>9</v>
      </c>
      <c r="AQ572">
        <v>56</v>
      </c>
      <c r="AR572">
        <v>0</v>
      </c>
      <c r="AS572">
        <v>124</v>
      </c>
      <c r="AT572">
        <v>169</v>
      </c>
      <c r="AU572">
        <v>1</v>
      </c>
      <c r="AV572">
        <v>-1</v>
      </c>
      <c r="AW572" t="s">
        <v>12</v>
      </c>
      <c r="AX572">
        <v>7.1429999999999998</v>
      </c>
      <c r="AY572" t="s">
        <v>1666</v>
      </c>
      <c r="AZ572" t="s">
        <v>3477</v>
      </c>
      <c r="BA572" s="4" t="str">
        <f>HYPERLINK("http://exon.niaid.nih.gov/transcriptome/C_felis/S1/links/SWISSP/cf-contig_498-SWISSP.txt","Metallothionein")</f>
        <v>Metallothionein</v>
      </c>
      <c r="BB572" t="str">
        <f>HYPERLINK("http://www.uniprot.org/uniprot/Q6XUW5","1.7")</f>
        <v>1.7</v>
      </c>
      <c r="BC572" t="s">
        <v>3478</v>
      </c>
      <c r="BD572">
        <v>31.6</v>
      </c>
      <c r="BE572">
        <v>33</v>
      </c>
      <c r="BF572">
        <v>61</v>
      </c>
      <c r="BG572">
        <v>41</v>
      </c>
      <c r="BH572">
        <v>56</v>
      </c>
      <c r="BI572">
        <v>20</v>
      </c>
      <c r="BJ572">
        <v>3</v>
      </c>
      <c r="BK572">
        <v>5</v>
      </c>
      <c r="BL572">
        <v>52</v>
      </c>
      <c r="BM572">
        <v>1</v>
      </c>
      <c r="BN572">
        <v>-1</v>
      </c>
      <c r="BO572" t="s">
        <v>12</v>
      </c>
      <c r="BQ572" t="s">
        <v>1666</v>
      </c>
      <c r="BR572" t="s">
        <v>3479</v>
      </c>
      <c r="BS572" s="4" t="str">
        <f>HYPERLINK("http://exon.niaid.nih.gov/transcriptome/C_felis/S1/links/CDD/cf-contig_498-CDD.txt","ND6")</f>
        <v>ND6</v>
      </c>
      <c r="BT572" t="str">
        <f>HYPERLINK("http://www.ncbi.nlm.nih.gov/Structure/cdd/cddsrv.cgi?uid=MTH00097&amp;version=v4.0","0.10")</f>
        <v>0.10</v>
      </c>
      <c r="BU572" t="s">
        <v>3480</v>
      </c>
      <c r="BV572" s="4" t="s">
        <v>42</v>
      </c>
      <c r="BW572" t="s">
        <v>42</v>
      </c>
      <c r="BX572" t="s">
        <v>42</v>
      </c>
      <c r="BY572" t="s">
        <v>42</v>
      </c>
      <c r="BZ572" t="s">
        <v>42</v>
      </c>
      <c r="CA572" t="s">
        <v>42</v>
      </c>
      <c r="CB572" t="s">
        <v>42</v>
      </c>
      <c r="CC572" t="s">
        <v>42</v>
      </c>
      <c r="CD572" t="s">
        <v>42</v>
      </c>
      <c r="CE572" t="s">
        <v>42</v>
      </c>
      <c r="CF572" t="s">
        <v>42</v>
      </c>
      <c r="CG572" t="s">
        <v>42</v>
      </c>
      <c r="CH572" t="s">
        <v>42</v>
      </c>
      <c r="CI572" t="s">
        <v>42</v>
      </c>
      <c r="CJ572" t="s">
        <v>42</v>
      </c>
      <c r="CK572" t="s">
        <v>42</v>
      </c>
      <c r="CL572" t="s">
        <v>42</v>
      </c>
      <c r="CM572" t="s">
        <v>42</v>
      </c>
      <c r="CN572" t="s">
        <v>42</v>
      </c>
      <c r="CO572" t="s">
        <v>42</v>
      </c>
      <c r="CP572" t="s">
        <v>42</v>
      </c>
      <c r="CQ572" t="s">
        <v>42</v>
      </c>
      <c r="CR572" t="s">
        <v>42</v>
      </c>
      <c r="CS572" s="4" t="str">
        <f>HYPERLINK("http://exon.niaid.nih.gov/transcriptome/C_felis/S1/links/KOG/cf-contig_498-KOG.txt","DNA damage-responsive repressor GIS1/RPH1, jumonji superfamily")</f>
        <v>DNA damage-responsive repressor GIS1/RPH1, jumonji superfamily</v>
      </c>
      <c r="CT572" t="str">
        <f>HYPERLINK("http://www.ncbi.nlm.nih.gov/COG/grace/shokog.cgi?KOG0958","0.046")</f>
        <v>0.046</v>
      </c>
      <c r="CU572" t="s">
        <v>2520</v>
      </c>
      <c r="CV572" s="4" t="str">
        <f>HYPERLINK("http://exon.niaid.nih.gov/transcriptome/C_felis/S1/links/PFAM/cf-contig_498-PFAM.txt","Toxin_34")</f>
        <v>Toxin_34</v>
      </c>
      <c r="CW572" t="str">
        <f>HYPERLINK("http://pfam.sanger.ac.uk/family?acc=PF08396","0.31")</f>
        <v>0.31</v>
      </c>
      <c r="CX572" s="4" t="str">
        <f>HYPERLINK("http://exon.niaid.nih.gov/transcriptome/C_felis/S1/links/SMART/cf-contig_498-SMART.txt","CLa")</f>
        <v>CLa</v>
      </c>
      <c r="CY572" t="str">
        <f>HYPERLINK("http://smart.embl-heidelberg.de/smart/do_annotation.pl?DOMAIN=CLa&amp;BLAST=DUMMY","0.053")</f>
        <v>0.053</v>
      </c>
      <c r="CZ572" s="4" t="s">
        <v>42</v>
      </c>
      <c r="DA572" t="s">
        <v>42</v>
      </c>
      <c r="DB572" t="s">
        <v>42</v>
      </c>
      <c r="DC572" t="s">
        <v>42</v>
      </c>
      <c r="DD572" t="s">
        <v>42</v>
      </c>
      <c r="DE572" t="s">
        <v>42</v>
      </c>
      <c r="DF572" t="s">
        <v>42</v>
      </c>
      <c r="DG572" t="s">
        <v>42</v>
      </c>
      <c r="DH572" s="4" t="s">
        <v>42</v>
      </c>
      <c r="DI572" t="s">
        <v>42</v>
      </c>
      <c r="DJ572" s="4" t="s">
        <v>42</v>
      </c>
      <c r="DK572" t="s">
        <v>42</v>
      </c>
      <c r="DL572" s="4">
        <v>406</v>
      </c>
      <c r="DM572">
        <v>1</v>
      </c>
      <c r="DN572" s="4">
        <v>415</v>
      </c>
      <c r="DO572">
        <v>1</v>
      </c>
      <c r="DP572" s="4">
        <v>420</v>
      </c>
      <c r="DQ572">
        <v>1</v>
      </c>
      <c r="DR572" s="4">
        <v>435</v>
      </c>
      <c r="DS572">
        <v>1</v>
      </c>
      <c r="DT572" s="4">
        <v>445</v>
      </c>
      <c r="DU572">
        <v>1</v>
      </c>
      <c r="DV572" s="4">
        <v>459</v>
      </c>
      <c r="DW572">
        <v>1</v>
      </c>
      <c r="DX572" s="4">
        <v>465</v>
      </c>
      <c r="DY572">
        <v>1</v>
      </c>
      <c r="DZ572" s="4">
        <v>472</v>
      </c>
      <c r="EA572">
        <v>1</v>
      </c>
      <c r="EB572" s="4">
        <v>477</v>
      </c>
      <c r="EC572">
        <v>1</v>
      </c>
      <c r="ED572" s="4">
        <v>481</v>
      </c>
      <c r="EE572">
        <v>1</v>
      </c>
      <c r="EF572" s="4">
        <v>486</v>
      </c>
      <c r="EG572">
        <v>1</v>
      </c>
      <c r="EH572" s="4">
        <v>492</v>
      </c>
      <c r="EI572">
        <v>1</v>
      </c>
      <c r="EJ572" s="4">
        <v>498</v>
      </c>
      <c r="EK572">
        <v>1</v>
      </c>
    </row>
    <row r="573" spans="1:141" x14ac:dyDescent="0.2">
      <c r="A573" t="str">
        <f>HYPERLINK("http://exon.niaid.nih.gov/transcriptome/C_felis/S1/links/cf/cf-contig_492.txt","cf-contig_492")</f>
        <v>cf-contig_492</v>
      </c>
      <c r="B573">
        <v>1</v>
      </c>
      <c r="C573" s="10" t="s">
        <v>4600</v>
      </c>
      <c r="D573">
        <v>1</v>
      </c>
      <c r="E573" t="str">
        <f>HYPERLINK("http://exon.niaid.nih.gov/transcriptome/C_felis/S1/links/cf/cf-5-36-asb-492.txt","Contig-492")</f>
        <v>Contig-492</v>
      </c>
      <c r="F573" t="str">
        <f>HYPERLINK("http://exon.niaid.nih.gov/transcriptome/C_felis/S1/links/cf/cf-5-36-492-CLU.txt","Contig492")</f>
        <v>Contig492</v>
      </c>
      <c r="G573" t="str">
        <f>HYPERLINK("http://exon.niaid.nih.gov/transcriptome/C_felis/S1/links/cf/cf-5-36-492-qual.txt","61.5")</f>
        <v>61.5</v>
      </c>
      <c r="H573" t="s">
        <v>11</v>
      </c>
      <c r="I573">
        <v>70</v>
      </c>
      <c r="J573">
        <v>254</v>
      </c>
      <c r="K573" t="s">
        <v>12</v>
      </c>
      <c r="L573">
        <v>1</v>
      </c>
      <c r="M573" t="s">
        <v>505</v>
      </c>
      <c r="N573">
        <v>254</v>
      </c>
      <c r="O573">
        <v>273</v>
      </c>
      <c r="P573">
        <v>123</v>
      </c>
      <c r="Q573" t="s">
        <v>1311</v>
      </c>
      <c r="R573">
        <v>1</v>
      </c>
      <c r="S573" s="7" t="s">
        <v>4585</v>
      </c>
      <c r="U573">
        <v>1</v>
      </c>
      <c r="V573" s="4">
        <v>400</v>
      </c>
      <c r="W573">
        <v>1</v>
      </c>
      <c r="X573" s="4">
        <v>409</v>
      </c>
      <c r="Y573">
        <v>1</v>
      </c>
      <c r="Z573" s="4">
        <v>414</v>
      </c>
      <c r="AA573">
        <v>1</v>
      </c>
      <c r="AB573" s="4" t="str">
        <f>HYPERLINK("http://exon.niaid.nih.gov/transcriptome/C_felis/S1/links/XC-ASB/cf-contig_492-XC-ASB.txt","XC-contig_156")</f>
        <v>XC-contig_156</v>
      </c>
      <c r="AC573">
        <v>0.64</v>
      </c>
      <c r="AD573" s="10" t="s">
        <v>4600</v>
      </c>
      <c r="AE573" t="s">
        <v>4601</v>
      </c>
      <c r="AI573" s="4" t="str">
        <f>HYPERLINK("http://exon.niaid.nih.gov/transcriptome/C_felis/S1/links/NR/cf-contig_492-NR.txt","exonuclease V, gamma chain")</f>
        <v>exonuclease V, gamma chain</v>
      </c>
      <c r="AJ573" t="str">
        <f>HYPERLINK("http://www.ncbi.nlm.nih.gov/sutils/blink.cgi?pid=71892048","5.5")</f>
        <v>5.5</v>
      </c>
      <c r="AK573" t="str">
        <f>HYPERLINK("http://www.ncbi.nlm.nih.gov/protein/71892048","gi|71892048")</f>
        <v>gi|71892048</v>
      </c>
      <c r="AL573">
        <v>34.700000000000003</v>
      </c>
      <c r="AM573">
        <v>51</v>
      </c>
      <c r="AN573">
        <v>1133</v>
      </c>
      <c r="AO573">
        <v>34</v>
      </c>
      <c r="AP573">
        <v>5</v>
      </c>
      <c r="AQ573">
        <v>34</v>
      </c>
      <c r="AR573">
        <v>0</v>
      </c>
      <c r="AS573">
        <v>307</v>
      </c>
      <c r="AT573">
        <v>47</v>
      </c>
      <c r="AU573">
        <v>1</v>
      </c>
      <c r="AV573">
        <v>-3</v>
      </c>
      <c r="AW573" t="s">
        <v>12</v>
      </c>
      <c r="AX573">
        <v>1.9610000000000001</v>
      </c>
      <c r="AY573" t="s">
        <v>1666</v>
      </c>
      <c r="AZ573" t="s">
        <v>3468</v>
      </c>
      <c r="BA573" s="4" t="str">
        <f>HYPERLINK("http://exon.niaid.nih.gov/transcriptome/C_felis/S1/links/SWISSP/cf-contig_492-SWISSP.txt","Probable serine/threonine-protein kinase qkgA")</f>
        <v>Probable serine/threonine-protein kinase qkgA</v>
      </c>
      <c r="BB573" t="str">
        <f>HYPERLINK("http://www.uniprot.org/uniprot/Q8SSS9","1.3")</f>
        <v>1.3</v>
      </c>
      <c r="BC573" t="s">
        <v>3469</v>
      </c>
      <c r="BD573">
        <v>32</v>
      </c>
      <c r="BE573">
        <v>41</v>
      </c>
      <c r="BF573">
        <v>1553</v>
      </c>
      <c r="BG573">
        <v>41</v>
      </c>
      <c r="BH573">
        <v>3</v>
      </c>
      <c r="BI573">
        <v>25</v>
      </c>
      <c r="BJ573">
        <v>0</v>
      </c>
      <c r="BK573">
        <v>442</v>
      </c>
      <c r="BL573">
        <v>32</v>
      </c>
      <c r="BM573">
        <v>1</v>
      </c>
      <c r="BN573">
        <v>-3</v>
      </c>
      <c r="BO573" t="s">
        <v>12</v>
      </c>
      <c r="BP573">
        <v>2.4390000000000001</v>
      </c>
      <c r="BQ573" t="s">
        <v>1666</v>
      </c>
      <c r="BR573" t="s">
        <v>1976</v>
      </c>
      <c r="BS573" s="4" t="str">
        <f>HYPERLINK("http://exon.niaid.nih.gov/transcriptome/C_felis/S1/links/CDD/cf-contig_492-CDD.txt","ND4")</f>
        <v>ND4</v>
      </c>
      <c r="BT573" t="str">
        <f>HYPERLINK("http://www.ncbi.nlm.nih.gov/Structure/cdd/cddsrv.cgi?uid=MTH00205&amp;version=v4.0","0.35")</f>
        <v>0.35</v>
      </c>
      <c r="BU573" t="s">
        <v>3470</v>
      </c>
      <c r="BV573" s="4" t="s">
        <v>42</v>
      </c>
      <c r="BW573" t="s">
        <v>42</v>
      </c>
      <c r="BX573" t="s">
        <v>42</v>
      </c>
      <c r="BY573" t="s">
        <v>42</v>
      </c>
      <c r="BZ573" t="s">
        <v>42</v>
      </c>
      <c r="CA573" t="s">
        <v>42</v>
      </c>
      <c r="CB573" t="s">
        <v>42</v>
      </c>
      <c r="CC573" t="s">
        <v>42</v>
      </c>
      <c r="CD573" t="s">
        <v>42</v>
      </c>
      <c r="CE573" t="s">
        <v>42</v>
      </c>
      <c r="CF573" t="s">
        <v>42</v>
      </c>
      <c r="CG573" t="s">
        <v>42</v>
      </c>
      <c r="CH573" t="s">
        <v>42</v>
      </c>
      <c r="CI573" t="s">
        <v>42</v>
      </c>
      <c r="CJ573" t="s">
        <v>42</v>
      </c>
      <c r="CK573" t="s">
        <v>42</v>
      </c>
      <c r="CL573" t="s">
        <v>42</v>
      </c>
      <c r="CM573" t="s">
        <v>42</v>
      </c>
      <c r="CN573" t="s">
        <v>42</v>
      </c>
      <c r="CO573" t="s">
        <v>42</v>
      </c>
      <c r="CP573" t="s">
        <v>42</v>
      </c>
      <c r="CQ573" t="s">
        <v>42</v>
      </c>
      <c r="CR573" t="s">
        <v>42</v>
      </c>
      <c r="CS573" s="4" t="str">
        <f>HYPERLINK("http://exon.niaid.nih.gov/transcriptome/C_felis/S1/links/KOG/cf-contig_492-KOG.txt","Nuclear transport regulator")</f>
        <v>Nuclear transport regulator</v>
      </c>
      <c r="CT573" t="str">
        <f>HYPERLINK("http://www.ncbi.nlm.nih.gov/COG/grace/shokog.cgi?KOG2081","2.0")</f>
        <v>2.0</v>
      </c>
      <c r="CU573" t="s">
        <v>1686</v>
      </c>
      <c r="CV573" s="4" t="str">
        <f>HYPERLINK("http://exon.niaid.nih.gov/transcriptome/C_felis/S1/links/PFAM/cf-contig_492-PFAM.txt","Aph-1")</f>
        <v>Aph-1</v>
      </c>
      <c r="CW573" t="str">
        <f>HYPERLINK("http://pfam.sanger.ac.uk/family?acc=PF06105","0.13")</f>
        <v>0.13</v>
      </c>
      <c r="CX573" s="4" t="str">
        <f>HYPERLINK("http://exon.niaid.nih.gov/transcriptome/C_felis/S1/links/SMART/cf-contig_492-SMART.txt","HOLI")</f>
        <v>HOLI</v>
      </c>
      <c r="CY573" t="str">
        <f>HYPERLINK("http://smart.embl-heidelberg.de/smart/do_annotation.pl?DOMAIN=HOLI&amp;BLAST=DUMMY","0.013")</f>
        <v>0.013</v>
      </c>
      <c r="CZ573" s="4" t="s">
        <v>42</v>
      </c>
      <c r="DA573" t="s">
        <v>42</v>
      </c>
      <c r="DB573" t="s">
        <v>42</v>
      </c>
      <c r="DC573" t="s">
        <v>42</v>
      </c>
      <c r="DD573" t="s">
        <v>42</v>
      </c>
      <c r="DE573" t="s">
        <v>42</v>
      </c>
      <c r="DF573" t="s">
        <v>42</v>
      </c>
      <c r="DG573" t="s">
        <v>42</v>
      </c>
      <c r="DH573" s="4" t="s">
        <v>42</v>
      </c>
      <c r="DI573" t="s">
        <v>42</v>
      </c>
      <c r="DJ573" s="4" t="s">
        <v>42</v>
      </c>
      <c r="DK573" t="s">
        <v>42</v>
      </c>
      <c r="DL573" s="4">
        <v>400</v>
      </c>
      <c r="DM573">
        <v>1</v>
      </c>
      <c r="DN573" s="4">
        <v>409</v>
      </c>
      <c r="DO573">
        <v>1</v>
      </c>
      <c r="DP573" s="4">
        <v>414</v>
      </c>
      <c r="DQ573">
        <v>1</v>
      </c>
      <c r="DR573" s="4">
        <v>429</v>
      </c>
      <c r="DS573">
        <v>1</v>
      </c>
      <c r="DT573" s="4">
        <v>439</v>
      </c>
      <c r="DU573">
        <v>1</v>
      </c>
      <c r="DV573" s="4">
        <v>453</v>
      </c>
      <c r="DW573">
        <v>1</v>
      </c>
      <c r="DX573" s="4">
        <v>459</v>
      </c>
      <c r="DY573">
        <v>1</v>
      </c>
      <c r="DZ573" s="4">
        <v>466</v>
      </c>
      <c r="EA573">
        <v>1</v>
      </c>
      <c r="EB573" s="4">
        <v>471</v>
      </c>
      <c r="EC573">
        <v>1</v>
      </c>
      <c r="ED573" s="4">
        <v>475</v>
      </c>
      <c r="EE573">
        <v>1</v>
      </c>
      <c r="EF573" s="4">
        <v>480</v>
      </c>
      <c r="EG573">
        <v>1</v>
      </c>
      <c r="EH573" s="4">
        <v>486</v>
      </c>
      <c r="EI573">
        <v>1</v>
      </c>
      <c r="EJ573" s="4">
        <v>492</v>
      </c>
      <c r="EK573">
        <v>1</v>
      </c>
    </row>
    <row r="574" spans="1:141" x14ac:dyDescent="0.2">
      <c r="A574" t="str">
        <f>HYPERLINK("http://exon.niaid.nih.gov/transcriptome/C_felis/S1/links/cf/cf-contig_605.txt","cf-contig_605")</f>
        <v>cf-contig_605</v>
      </c>
      <c r="B574">
        <v>1</v>
      </c>
      <c r="C574" s="10" t="s">
        <v>4600</v>
      </c>
      <c r="D574">
        <v>1</v>
      </c>
      <c r="E574" t="str">
        <f>HYPERLINK("http://exon.niaid.nih.gov/transcriptome/C_felis/S1/links/cf/cf-5-36-asb-605.txt","Contig-605")</f>
        <v>Contig-605</v>
      </c>
      <c r="F574" t="str">
        <f>HYPERLINK("http://exon.niaid.nih.gov/transcriptome/C_felis/S1/links/cf/cf-5-36-605-CLU.txt","Contig605")</f>
        <v>Contig605</v>
      </c>
      <c r="G574" t="str">
        <f>HYPERLINK("http://exon.niaid.nih.gov/transcriptome/C_felis/S1/links/cf/cf-5-36-605-qual.txt","58.5")</f>
        <v>58.5</v>
      </c>
      <c r="H574" t="s">
        <v>11</v>
      </c>
      <c r="I574">
        <v>78.8</v>
      </c>
      <c r="J574">
        <v>151</v>
      </c>
      <c r="K574" t="s">
        <v>12</v>
      </c>
      <c r="L574">
        <v>1</v>
      </c>
      <c r="M574" t="s">
        <v>618</v>
      </c>
      <c r="N574">
        <v>151</v>
      </c>
      <c r="O574">
        <v>170</v>
      </c>
      <c r="P574">
        <v>87</v>
      </c>
      <c r="Q574" t="s">
        <v>1424</v>
      </c>
      <c r="R574">
        <v>1</v>
      </c>
      <c r="S574" s="7" t="s">
        <v>4585</v>
      </c>
      <c r="U574">
        <v>1</v>
      </c>
      <c r="V574" s="4">
        <v>492</v>
      </c>
      <c r="W574">
        <v>1</v>
      </c>
      <c r="X574" s="4">
        <v>504</v>
      </c>
      <c r="Y574">
        <v>1</v>
      </c>
      <c r="Z574" s="4">
        <v>514</v>
      </c>
      <c r="AA574">
        <v>1</v>
      </c>
      <c r="AB574" s="4" t="str">
        <f>HYPERLINK("http://exon.niaid.nih.gov/transcriptome/C_felis/S1/links/XC-ASB/cf-contig_605-XC-ASB.txt","XC-contig_119")</f>
        <v>XC-contig_119</v>
      </c>
      <c r="AC574">
        <v>0.12</v>
      </c>
      <c r="AD574" s="10" t="s">
        <v>4600</v>
      </c>
      <c r="AE574" t="s">
        <v>4601</v>
      </c>
      <c r="AI574" s="4" t="str">
        <f>HYPERLINK("http://exon.niaid.nih.gov/transcriptome/C_felis/S1/links/NR/cf-contig_605-NR.txt","valyl-tRNA synthetase")</f>
        <v>valyl-tRNA synthetase</v>
      </c>
      <c r="AJ574" t="str">
        <f>HYPERLINK("http://www.ncbi.nlm.nih.gov/sutils/blink.cgi?pid=13186353","21")</f>
        <v>21</v>
      </c>
      <c r="AK574" t="str">
        <f>HYPERLINK("http://www.ncbi.nlm.nih.gov/protein/13186353","gi|13186353")</f>
        <v>gi|13186353</v>
      </c>
      <c r="AL574">
        <v>32.700000000000003</v>
      </c>
      <c r="AM574">
        <v>37</v>
      </c>
      <c r="AN574">
        <v>284</v>
      </c>
      <c r="AO574">
        <v>46</v>
      </c>
      <c r="AP574">
        <v>13</v>
      </c>
      <c r="AQ574">
        <v>21</v>
      </c>
      <c r="AR574">
        <v>0</v>
      </c>
      <c r="AS574">
        <v>238</v>
      </c>
      <c r="AT574">
        <v>16</v>
      </c>
      <c r="AU574">
        <v>1</v>
      </c>
      <c r="AV574">
        <v>1</v>
      </c>
      <c r="AW574" t="s">
        <v>12</v>
      </c>
      <c r="AX574">
        <v>2.7029999999999998</v>
      </c>
      <c r="AY574" t="s">
        <v>1676</v>
      </c>
      <c r="AZ574" t="s">
        <v>3902</v>
      </c>
      <c r="BA574" s="4" t="str">
        <f>HYPERLINK("http://exon.niaid.nih.gov/transcriptome/C_felis/S1/links/SWISSP/cf-contig_605-SWISSP.txt","50S ribosomal protein L27")</f>
        <v>50S ribosomal protein L27</v>
      </c>
      <c r="BB574" t="str">
        <f>HYPERLINK("http://www.uniprot.org/uniprot/A2BSR8","40")</f>
        <v>40</v>
      </c>
      <c r="BC574" t="s">
        <v>3903</v>
      </c>
      <c r="BD574">
        <v>26.9</v>
      </c>
      <c r="BE574">
        <v>33</v>
      </c>
      <c r="BF574">
        <v>86</v>
      </c>
      <c r="BG574">
        <v>41</v>
      </c>
      <c r="BH574">
        <v>40</v>
      </c>
      <c r="BI574">
        <v>20</v>
      </c>
      <c r="BJ574">
        <v>0</v>
      </c>
      <c r="BK574">
        <v>52</v>
      </c>
      <c r="BL574">
        <v>6</v>
      </c>
      <c r="BM574">
        <v>1</v>
      </c>
      <c r="BN574">
        <v>3</v>
      </c>
      <c r="BO574" t="s">
        <v>12</v>
      </c>
      <c r="BP574">
        <v>3.03</v>
      </c>
      <c r="BQ574" t="s">
        <v>1676</v>
      </c>
      <c r="BR574" t="s">
        <v>3904</v>
      </c>
      <c r="BS574" s="4" t="str">
        <f>HYPERLINK("http://exon.niaid.nih.gov/transcriptome/C_felis/S1/links/CDD/cf-contig_605-CDD.txt","ND2")</f>
        <v>ND2</v>
      </c>
      <c r="BT574" t="str">
        <f>HYPERLINK("http://www.ncbi.nlm.nih.gov/Structure/cdd/cddsrv.cgi?uid=MTH00160&amp;version=v4.0","0.12")</f>
        <v>0.12</v>
      </c>
      <c r="BU574" t="s">
        <v>3905</v>
      </c>
      <c r="BV574" s="4" t="s">
        <v>42</v>
      </c>
      <c r="BW574" t="s">
        <v>42</v>
      </c>
      <c r="BX574" t="s">
        <v>42</v>
      </c>
      <c r="BY574" t="s">
        <v>42</v>
      </c>
      <c r="BZ574" t="s">
        <v>42</v>
      </c>
      <c r="CA574" t="s">
        <v>42</v>
      </c>
      <c r="CB574" t="s">
        <v>42</v>
      </c>
      <c r="CC574" t="s">
        <v>42</v>
      </c>
      <c r="CD574" t="s">
        <v>42</v>
      </c>
      <c r="CE574" t="s">
        <v>42</v>
      </c>
      <c r="CF574" t="s">
        <v>42</v>
      </c>
      <c r="CG574" t="s">
        <v>42</v>
      </c>
      <c r="CH574" t="s">
        <v>42</v>
      </c>
      <c r="CI574" t="s">
        <v>42</v>
      </c>
      <c r="CJ574" t="s">
        <v>42</v>
      </c>
      <c r="CK574" t="s">
        <v>42</v>
      </c>
      <c r="CL574" t="s">
        <v>42</v>
      </c>
      <c r="CM574" t="s">
        <v>42</v>
      </c>
      <c r="CN574" t="s">
        <v>42</v>
      </c>
      <c r="CO574" t="s">
        <v>42</v>
      </c>
      <c r="CP574" t="s">
        <v>42</v>
      </c>
      <c r="CQ574" t="s">
        <v>42</v>
      </c>
      <c r="CR574" t="s">
        <v>42</v>
      </c>
      <c r="CS574" s="4" t="str">
        <f>HYPERLINK("http://exon.niaid.nih.gov/transcriptome/C_felis/S1/links/KOG/cf-contig_605-KOG.txt","UDP-galactose transporter related protein")</f>
        <v>UDP-galactose transporter related protein</v>
      </c>
      <c r="CT574" t="str">
        <f>HYPERLINK("http://www.ncbi.nlm.nih.gov/COG/grace/shokog.cgi?KOG1580","0.49")</f>
        <v>0.49</v>
      </c>
      <c r="CU574" t="s">
        <v>1823</v>
      </c>
      <c r="CV574" s="4" t="str">
        <f>HYPERLINK("http://exon.niaid.nih.gov/transcriptome/C_felis/S1/links/PFAM/cf-contig_605-PFAM.txt","7TM_GPCR_Sra")</f>
        <v>7TM_GPCR_Sra</v>
      </c>
      <c r="CW574" t="str">
        <f>HYPERLINK("http://pfam.sanger.ac.uk/family?acc=PF02117","0.11")</f>
        <v>0.11</v>
      </c>
      <c r="CX574" s="4" t="str">
        <f>HYPERLINK("http://exon.niaid.nih.gov/transcriptome/C_felis/S1/links/SMART/cf-contig_605-SMART.txt","MYSc")</f>
        <v>MYSc</v>
      </c>
      <c r="CY574" t="str">
        <f>HYPERLINK("http://smart.embl-heidelberg.de/smart/do_annotation.pl?DOMAIN=MYSc&amp;BLAST=DUMMY","0.34")</f>
        <v>0.34</v>
      </c>
      <c r="CZ574" s="4" t="s">
        <v>42</v>
      </c>
      <c r="DA574" t="s">
        <v>42</v>
      </c>
      <c r="DB574" t="s">
        <v>42</v>
      </c>
      <c r="DC574" t="s">
        <v>42</v>
      </c>
      <c r="DD574" t="s">
        <v>42</v>
      </c>
      <c r="DE574" t="s">
        <v>42</v>
      </c>
      <c r="DF574" t="s">
        <v>42</v>
      </c>
      <c r="DG574" t="s">
        <v>42</v>
      </c>
      <c r="DH574" s="4" t="s">
        <v>42</v>
      </c>
      <c r="DI574" t="s">
        <v>42</v>
      </c>
      <c r="DJ574" s="4" t="s">
        <v>42</v>
      </c>
      <c r="DK574" t="s">
        <v>42</v>
      </c>
      <c r="DL574" s="4">
        <v>492</v>
      </c>
      <c r="DM574">
        <v>1</v>
      </c>
      <c r="DN574" s="4">
        <v>504</v>
      </c>
      <c r="DO574">
        <v>1</v>
      </c>
      <c r="DP574" s="4">
        <v>514</v>
      </c>
      <c r="DQ574">
        <v>1</v>
      </c>
      <c r="DR574" s="4">
        <v>533</v>
      </c>
      <c r="DS574">
        <v>1</v>
      </c>
      <c r="DT574" s="4">
        <v>545</v>
      </c>
      <c r="DU574">
        <v>1</v>
      </c>
      <c r="DV574" s="4">
        <v>559</v>
      </c>
      <c r="DW574">
        <v>1</v>
      </c>
      <c r="DX574" s="4">
        <v>568</v>
      </c>
      <c r="DY574">
        <v>1</v>
      </c>
      <c r="DZ574" s="4">
        <v>576</v>
      </c>
      <c r="EA574">
        <v>1</v>
      </c>
      <c r="EB574" s="4">
        <v>581</v>
      </c>
      <c r="EC574">
        <v>1</v>
      </c>
      <c r="ED574" s="4">
        <v>585</v>
      </c>
      <c r="EE574">
        <v>1</v>
      </c>
      <c r="EF574" s="4">
        <v>591</v>
      </c>
      <c r="EG574">
        <v>1</v>
      </c>
      <c r="EH574" s="4">
        <v>598</v>
      </c>
      <c r="EI574">
        <v>1</v>
      </c>
      <c r="EJ574" s="4">
        <v>605</v>
      </c>
      <c r="EK574">
        <v>1</v>
      </c>
    </row>
    <row r="575" spans="1:141" x14ac:dyDescent="0.2">
      <c r="A575" t="str">
        <f>HYPERLINK("http://exon.niaid.nih.gov/transcriptome/C_felis/S1/links/cf/cf-contig_565.txt","cf-contig_565")</f>
        <v>cf-contig_565</v>
      </c>
      <c r="B575">
        <v>1</v>
      </c>
      <c r="C575" s="10" t="s">
        <v>4600</v>
      </c>
      <c r="D575">
        <v>1</v>
      </c>
      <c r="E575" t="str">
        <f>HYPERLINK("http://exon.niaid.nih.gov/transcriptome/C_felis/S1/links/cf/cf-5-36-asb-565.txt","Contig-565")</f>
        <v>Contig-565</v>
      </c>
      <c r="F575" t="str">
        <f>HYPERLINK("http://exon.niaid.nih.gov/transcriptome/C_felis/S1/links/cf/cf-5-36-565-CLU.txt","Contig565")</f>
        <v>Contig565</v>
      </c>
      <c r="G575" t="str">
        <f>HYPERLINK("http://exon.niaid.nih.gov/transcriptome/C_felis/S1/links/cf/cf-5-36-565-qual.txt","39.9")</f>
        <v>39.9</v>
      </c>
      <c r="H575" t="s">
        <v>11</v>
      </c>
      <c r="I575">
        <v>75.8</v>
      </c>
      <c r="J575">
        <v>825</v>
      </c>
      <c r="K575" t="s">
        <v>12</v>
      </c>
      <c r="L575">
        <v>1</v>
      </c>
      <c r="M575" t="s">
        <v>578</v>
      </c>
      <c r="N575">
        <v>825</v>
      </c>
      <c r="O575">
        <v>844</v>
      </c>
      <c r="P575">
        <v>177</v>
      </c>
      <c r="Q575" t="s">
        <v>1384</v>
      </c>
      <c r="R575">
        <v>2</v>
      </c>
      <c r="S575" s="7" t="s">
        <v>4585</v>
      </c>
      <c r="U575">
        <v>1</v>
      </c>
      <c r="V575" s="4">
        <v>461</v>
      </c>
      <c r="W575">
        <v>1</v>
      </c>
      <c r="X575" s="4">
        <v>471</v>
      </c>
      <c r="Y575">
        <v>1</v>
      </c>
      <c r="Z575" s="4">
        <v>478</v>
      </c>
      <c r="AA575">
        <v>1</v>
      </c>
      <c r="AB575" s="4" t="str">
        <f>HYPERLINK("http://exon.niaid.nih.gov/transcriptome/C_felis/S1/links/XC-ASB/cf-contig_565-XC-ASB.txt","XC-contig_53")</f>
        <v>XC-contig_53</v>
      </c>
      <c r="AC575">
        <v>7.4999999999999997E-2</v>
      </c>
      <c r="AD575" s="10" t="s">
        <v>4600</v>
      </c>
      <c r="AE575" t="s">
        <v>4601</v>
      </c>
      <c r="AI575" s="4" t="str">
        <f>HYPERLINK("http://exon.niaid.nih.gov/transcriptome/C_felis/S1/links/NR/cf-contig_565-NR.txt","selenocysteine lyase")</f>
        <v>selenocysteine lyase</v>
      </c>
      <c r="AJ575" t="str">
        <f>HYPERLINK("http://www.ncbi.nlm.nih.gov/sutils/blink.cgi?pid=116334937","1.3")</f>
        <v>1.3</v>
      </c>
      <c r="AK575" t="str">
        <f>HYPERLINK("http://www.ncbi.nlm.nih.gov/protein/116334937","gi|116334937")</f>
        <v>gi|116334937</v>
      </c>
      <c r="AL575">
        <v>38.5</v>
      </c>
      <c r="AM575">
        <v>71</v>
      </c>
      <c r="AN575">
        <v>384</v>
      </c>
      <c r="AO575">
        <v>29</v>
      </c>
      <c r="AP575">
        <v>19</v>
      </c>
      <c r="AQ575">
        <v>51</v>
      </c>
      <c r="AR575">
        <v>4</v>
      </c>
      <c r="AS575">
        <v>4</v>
      </c>
      <c r="AT575">
        <v>613</v>
      </c>
      <c r="AU575">
        <v>1</v>
      </c>
      <c r="AV575">
        <v>1</v>
      </c>
      <c r="AW575" t="s">
        <v>12</v>
      </c>
      <c r="AX575">
        <v>5.6340000000000003</v>
      </c>
      <c r="AY575" t="s">
        <v>1676</v>
      </c>
      <c r="AZ575" t="s">
        <v>3718</v>
      </c>
      <c r="BA575" s="4" t="str">
        <f>HYPERLINK("http://exon.niaid.nih.gov/transcriptome/C_felis/S1/links/SWISSP/cf-contig_565-SWISSP.txt","Pentatricopeptide repeat-containing protein At1g79540")</f>
        <v>Pentatricopeptide repeat-containing protein At1g79540</v>
      </c>
      <c r="BB575" t="str">
        <f>HYPERLINK("http://www.uniprot.org/uniprot/Q9SAJ5","3.3")</f>
        <v>3.3</v>
      </c>
      <c r="BC575" t="s">
        <v>3719</v>
      </c>
      <c r="BD575">
        <v>32.700000000000003</v>
      </c>
      <c r="BE575">
        <v>36</v>
      </c>
      <c r="BF575">
        <v>780</v>
      </c>
      <c r="BG575">
        <v>32</v>
      </c>
      <c r="BH575">
        <v>5</v>
      </c>
      <c r="BI575">
        <v>25</v>
      </c>
      <c r="BJ575">
        <v>0</v>
      </c>
      <c r="BK575">
        <v>158</v>
      </c>
      <c r="BL575">
        <v>437</v>
      </c>
      <c r="BM575">
        <v>1</v>
      </c>
      <c r="BN575">
        <v>2</v>
      </c>
      <c r="BO575" t="s">
        <v>12</v>
      </c>
      <c r="BP575">
        <v>2.778</v>
      </c>
      <c r="BQ575" t="s">
        <v>1676</v>
      </c>
      <c r="BR575" t="s">
        <v>1714</v>
      </c>
      <c r="BS575" s="4" t="str">
        <f>HYPERLINK("http://exon.niaid.nih.gov/transcriptome/C_felis/S1/links/CDD/cf-contig_565-CDD.txt","Staph_a_para_1")</f>
        <v>Staph_a_para_1</v>
      </c>
      <c r="BT575" t="str">
        <f>HYPERLINK("http://www.ncbi.nlm.nih.gov/Structure/cdd/cddsrv.cgi?uid=TIGR01218&amp;version=v4.0","0.028")</f>
        <v>0.028</v>
      </c>
      <c r="BU575" t="s">
        <v>3720</v>
      </c>
      <c r="BV575" s="4" t="s">
        <v>42</v>
      </c>
      <c r="BW575" t="s">
        <v>42</v>
      </c>
      <c r="BX575" t="s">
        <v>42</v>
      </c>
      <c r="BY575" t="s">
        <v>42</v>
      </c>
      <c r="BZ575" t="s">
        <v>42</v>
      </c>
      <c r="CA575" t="s">
        <v>42</v>
      </c>
      <c r="CB575" t="s">
        <v>42</v>
      </c>
      <c r="CC575" t="s">
        <v>42</v>
      </c>
      <c r="CD575" t="s">
        <v>42</v>
      </c>
      <c r="CE575" t="s">
        <v>42</v>
      </c>
      <c r="CF575" t="s">
        <v>42</v>
      </c>
      <c r="CG575" t="s">
        <v>42</v>
      </c>
      <c r="CH575" t="s">
        <v>42</v>
      </c>
      <c r="CI575" t="s">
        <v>42</v>
      </c>
      <c r="CJ575" t="s">
        <v>42</v>
      </c>
      <c r="CK575" t="s">
        <v>42</v>
      </c>
      <c r="CL575" t="s">
        <v>42</v>
      </c>
      <c r="CM575" t="s">
        <v>42</v>
      </c>
      <c r="CN575" t="s">
        <v>42</v>
      </c>
      <c r="CO575" t="s">
        <v>42</v>
      </c>
      <c r="CP575" t="s">
        <v>42</v>
      </c>
      <c r="CQ575" t="s">
        <v>42</v>
      </c>
      <c r="CR575" t="s">
        <v>42</v>
      </c>
      <c r="CS575" s="4" t="str">
        <f>HYPERLINK("http://exon.niaid.nih.gov/transcriptome/C_felis/S1/links/KOG/cf-contig_565-KOG.txt","Multitransmembrane protein")</f>
        <v>Multitransmembrane protein</v>
      </c>
      <c r="CT575" t="str">
        <f>HYPERLINK("http://www.ncbi.nlm.nih.gov/COG/grace/shokog.cgi?KOG1623","0.41")</f>
        <v>0.41</v>
      </c>
      <c r="CU575" t="s">
        <v>1721</v>
      </c>
      <c r="CV575" s="4" t="str">
        <f>HYPERLINK("http://exon.niaid.nih.gov/transcriptome/C_felis/S1/links/PFAM/cf-contig_565-PFAM.txt","DUF443")</f>
        <v>DUF443</v>
      </c>
      <c r="CW575" t="str">
        <f>HYPERLINK("http://pfam.sanger.ac.uk/family?acc=PF04276","0.012")</f>
        <v>0.012</v>
      </c>
      <c r="CX575" s="4" t="str">
        <f>HYPERLINK("http://exon.niaid.nih.gov/transcriptome/C_felis/S1/links/SMART/cf-contig_565-SMART.txt","AdoHcyase")</f>
        <v>AdoHcyase</v>
      </c>
      <c r="CY575" t="str">
        <f>HYPERLINK("http://smart.embl-heidelberg.de/smart/do_annotation.pl?DOMAIN=AdoHcyase&amp;BLAST=DUMMY","0.12")</f>
        <v>0.12</v>
      </c>
      <c r="CZ575" s="4" t="s">
        <v>42</v>
      </c>
      <c r="DA575" t="s">
        <v>42</v>
      </c>
      <c r="DB575" t="s">
        <v>42</v>
      </c>
      <c r="DC575" t="s">
        <v>42</v>
      </c>
      <c r="DD575" t="s">
        <v>42</v>
      </c>
      <c r="DE575" t="s">
        <v>42</v>
      </c>
      <c r="DF575" t="s">
        <v>42</v>
      </c>
      <c r="DG575" t="s">
        <v>42</v>
      </c>
      <c r="DH575" s="4" t="s">
        <v>42</v>
      </c>
      <c r="DI575" t="s">
        <v>42</v>
      </c>
      <c r="DJ575" s="4" t="s">
        <v>42</v>
      </c>
      <c r="DK575" t="s">
        <v>42</v>
      </c>
      <c r="DL575" s="4">
        <v>461</v>
      </c>
      <c r="DM575">
        <v>1</v>
      </c>
      <c r="DN575" s="4">
        <v>471</v>
      </c>
      <c r="DO575">
        <v>1</v>
      </c>
      <c r="DP575" s="4">
        <v>478</v>
      </c>
      <c r="DQ575">
        <v>1</v>
      </c>
      <c r="DR575" s="4">
        <v>495</v>
      </c>
      <c r="DS575">
        <v>1</v>
      </c>
      <c r="DT575" s="4">
        <v>507</v>
      </c>
      <c r="DU575">
        <v>1</v>
      </c>
      <c r="DV575" s="4">
        <v>521</v>
      </c>
      <c r="DW575">
        <v>1</v>
      </c>
      <c r="DX575" s="4">
        <v>529</v>
      </c>
      <c r="DY575">
        <v>1</v>
      </c>
      <c r="DZ575" s="4">
        <v>537</v>
      </c>
      <c r="EA575">
        <v>1</v>
      </c>
      <c r="EB575" s="4">
        <v>542</v>
      </c>
      <c r="EC575">
        <v>1</v>
      </c>
      <c r="ED575" s="4">
        <v>546</v>
      </c>
      <c r="EE575">
        <v>1</v>
      </c>
      <c r="EF575" s="4">
        <v>551</v>
      </c>
      <c r="EG575">
        <v>1</v>
      </c>
      <c r="EH575" s="4">
        <v>558</v>
      </c>
      <c r="EI575">
        <v>1</v>
      </c>
      <c r="EJ575" s="4">
        <v>565</v>
      </c>
      <c r="EK575">
        <v>1</v>
      </c>
    </row>
    <row r="576" spans="1:141" x14ac:dyDescent="0.2">
      <c r="A576" t="str">
        <f>HYPERLINK("http://exon.niaid.nih.gov/transcriptome/C_felis/S1/links/cf/cf-contig_681.txt","cf-contig_681")</f>
        <v>cf-contig_681</v>
      </c>
      <c r="B576">
        <v>1</v>
      </c>
      <c r="C576" s="10" t="s">
        <v>4600</v>
      </c>
      <c r="D576">
        <v>1</v>
      </c>
      <c r="E576" t="str">
        <f>HYPERLINK("http://exon.niaid.nih.gov/transcriptome/C_felis/S1/links/cf/cf-5-36-asb-681.txt","Contig-681")</f>
        <v>Contig-681</v>
      </c>
      <c r="F576" t="str">
        <f>HYPERLINK("http://exon.niaid.nih.gov/transcriptome/C_felis/S1/links/cf/cf-5-36-681-CLU.txt","Contig681")</f>
        <v>Contig681</v>
      </c>
      <c r="G576" t="str">
        <f>HYPERLINK("http://exon.niaid.nih.gov/transcriptome/C_felis/S1/links/cf/cf-5-36-681-qual.txt","62.7")</f>
        <v>62.7</v>
      </c>
      <c r="H576" t="s">
        <v>11</v>
      </c>
      <c r="I576">
        <v>73.400000000000006</v>
      </c>
      <c r="J576">
        <v>534</v>
      </c>
      <c r="K576" t="s">
        <v>12</v>
      </c>
      <c r="L576">
        <v>1</v>
      </c>
      <c r="M576" t="s">
        <v>694</v>
      </c>
      <c r="N576">
        <v>534</v>
      </c>
      <c r="O576">
        <v>553</v>
      </c>
      <c r="P576">
        <v>111</v>
      </c>
      <c r="Q576" t="s">
        <v>1500</v>
      </c>
      <c r="R576">
        <v>1</v>
      </c>
      <c r="S576" s="7" t="s">
        <v>4585</v>
      </c>
      <c r="U576">
        <v>1</v>
      </c>
      <c r="V576" s="4">
        <v>555</v>
      </c>
      <c r="W576">
        <v>1</v>
      </c>
      <c r="X576" s="4">
        <v>569</v>
      </c>
      <c r="Y576">
        <v>1</v>
      </c>
      <c r="Z576" s="4">
        <v>581</v>
      </c>
      <c r="AA576">
        <v>1</v>
      </c>
      <c r="AB576" s="4" t="str">
        <f>HYPERLINK("http://exon.niaid.nih.gov/transcriptome/C_felis/S1/links/XC-ASB/cf-contig_681-XC-ASB.txt","XC-contig_190")</f>
        <v>XC-contig_190</v>
      </c>
      <c r="AC576">
        <v>0.17</v>
      </c>
      <c r="AD576" s="10" t="s">
        <v>4600</v>
      </c>
      <c r="AE576" t="s">
        <v>4601</v>
      </c>
      <c r="AI576" s="4" t="str">
        <f>HYPERLINK("http://exon.niaid.nih.gov/transcriptome/C_felis/S1/links/NR/cf-contig_681-NR.txt","unknown membrane protein")</f>
        <v>unknown membrane protein</v>
      </c>
      <c r="AJ576" t="str">
        <f>HYPERLINK("http://www.ncbi.nlm.nih.gov/sutils/blink.cgi?pid=91762323","0.65")</f>
        <v>0.65</v>
      </c>
      <c r="AK576" t="str">
        <f>HYPERLINK("http://www.ncbi.nlm.nih.gov/protein/91762323","gi|91762323")</f>
        <v>gi|91762323</v>
      </c>
      <c r="AL576">
        <v>38.1</v>
      </c>
      <c r="AM576">
        <v>92</v>
      </c>
      <c r="AN576">
        <v>562</v>
      </c>
      <c r="AO576">
        <v>29</v>
      </c>
      <c r="AP576">
        <v>17</v>
      </c>
      <c r="AQ576">
        <v>71</v>
      </c>
      <c r="AR576">
        <v>0</v>
      </c>
      <c r="AS576">
        <v>156</v>
      </c>
      <c r="AT576">
        <v>6</v>
      </c>
      <c r="AU576">
        <v>1</v>
      </c>
      <c r="AV576">
        <v>-3</v>
      </c>
      <c r="AW576" t="s">
        <v>12</v>
      </c>
      <c r="AX576">
        <v>5.4349999999999996</v>
      </c>
      <c r="AY576" t="s">
        <v>1666</v>
      </c>
      <c r="AZ576" t="s">
        <v>4140</v>
      </c>
      <c r="BA576" s="4" t="str">
        <f>HYPERLINK("http://exon.niaid.nih.gov/transcriptome/C_felis/S1/links/SWISSP/cf-contig_681-SWISSP.txt","Thioredoxin domain-containing protein C959.05c")</f>
        <v>Thioredoxin domain-containing protein C959.05c</v>
      </c>
      <c r="BB576" t="str">
        <f>HYPERLINK("http://www.uniprot.org/uniprot/Q9P4X1","13")</f>
        <v>13</v>
      </c>
      <c r="BC576" t="s">
        <v>4141</v>
      </c>
      <c r="BD576">
        <v>29.6</v>
      </c>
      <c r="BE576">
        <v>41</v>
      </c>
      <c r="BF576">
        <v>894</v>
      </c>
      <c r="BG576">
        <v>41</v>
      </c>
      <c r="BH576">
        <v>5</v>
      </c>
      <c r="BI576">
        <v>30</v>
      </c>
      <c r="BJ576">
        <v>0</v>
      </c>
      <c r="BK576">
        <v>242</v>
      </c>
      <c r="BL576">
        <v>8</v>
      </c>
      <c r="BM576">
        <v>1</v>
      </c>
      <c r="BN576">
        <v>2</v>
      </c>
      <c r="BO576" t="s">
        <v>12</v>
      </c>
      <c r="BP576">
        <v>9.7560000000000002</v>
      </c>
      <c r="BQ576" t="s">
        <v>1676</v>
      </c>
      <c r="BR576" t="s">
        <v>1695</v>
      </c>
      <c r="BS576" s="4" t="str">
        <f>HYPERLINK("http://exon.niaid.nih.gov/transcriptome/C_felis/S1/links/CDD/cf-contig_681-CDD.txt","7TM_GPCR_Str")</f>
        <v>7TM_GPCR_Str</v>
      </c>
      <c r="BT576" t="str">
        <f>HYPERLINK("http://www.ncbi.nlm.nih.gov/Structure/cdd/cddsrv.cgi?uid=pfam10326&amp;version=v4.0","0.67")</f>
        <v>0.67</v>
      </c>
      <c r="BU576" t="s">
        <v>4142</v>
      </c>
      <c r="BV576" s="4" t="s">
        <v>42</v>
      </c>
      <c r="BW576" t="s">
        <v>42</v>
      </c>
      <c r="BX576" t="s">
        <v>42</v>
      </c>
      <c r="BY576" t="s">
        <v>42</v>
      </c>
      <c r="BZ576" t="s">
        <v>42</v>
      </c>
      <c r="CA576" t="s">
        <v>42</v>
      </c>
      <c r="CB576" t="s">
        <v>42</v>
      </c>
      <c r="CC576" t="s">
        <v>42</v>
      </c>
      <c r="CD576" t="s">
        <v>42</v>
      </c>
      <c r="CE576" t="s">
        <v>42</v>
      </c>
      <c r="CF576" t="s">
        <v>42</v>
      </c>
      <c r="CG576" t="s">
        <v>42</v>
      </c>
      <c r="CH576" t="s">
        <v>42</v>
      </c>
      <c r="CI576" t="s">
        <v>42</v>
      </c>
      <c r="CJ576" t="s">
        <v>42</v>
      </c>
      <c r="CK576" t="s">
        <v>42</v>
      </c>
      <c r="CL576" t="s">
        <v>42</v>
      </c>
      <c r="CM576" t="s">
        <v>42</v>
      </c>
      <c r="CN576" t="s">
        <v>42</v>
      </c>
      <c r="CO576" t="s">
        <v>42</v>
      </c>
      <c r="CP576" t="s">
        <v>42</v>
      </c>
      <c r="CQ576" t="s">
        <v>42</v>
      </c>
      <c r="CR576" t="s">
        <v>42</v>
      </c>
      <c r="CS576" s="4" t="str">
        <f>HYPERLINK("http://exon.niaid.nih.gov/transcriptome/C_felis/S1/links/KOG/cf-contig_681-KOG.txt","Tomosyn and related SNARE-interacting proteins")</f>
        <v>Tomosyn and related SNARE-interacting proteins</v>
      </c>
      <c r="CT576" t="str">
        <f>HYPERLINK("http://www.ncbi.nlm.nih.gov/COG/grace/shokog.cgi?KOG1983","0.60")</f>
        <v>0.60</v>
      </c>
      <c r="CU576" t="s">
        <v>1686</v>
      </c>
      <c r="CV576" s="4" t="str">
        <f>HYPERLINK("http://exon.niaid.nih.gov/transcriptome/C_felis/S1/links/PFAM/cf-contig_681-PFAM.txt","7TM_GPCR_Str")</f>
        <v>7TM_GPCR_Str</v>
      </c>
      <c r="CW576" t="str">
        <f>HYPERLINK("http://pfam.sanger.ac.uk/family?acc=PF10326","0.14")</f>
        <v>0.14</v>
      </c>
      <c r="CX576" s="4" t="str">
        <f>HYPERLINK("http://exon.niaid.nih.gov/transcriptome/C_felis/S1/links/SMART/cf-contig_681-SMART.txt","PSN")</f>
        <v>PSN</v>
      </c>
      <c r="CY576" t="str">
        <f>HYPERLINK("http://smart.embl-heidelberg.de/smart/do_annotation.pl?DOMAIN=PSN&amp;BLAST=DUMMY","0.11")</f>
        <v>0.11</v>
      </c>
      <c r="CZ576" s="4" t="s">
        <v>42</v>
      </c>
      <c r="DA576" t="s">
        <v>42</v>
      </c>
      <c r="DB576" t="s">
        <v>42</v>
      </c>
      <c r="DC576" t="s">
        <v>42</v>
      </c>
      <c r="DD576" t="s">
        <v>42</v>
      </c>
      <c r="DE576" t="s">
        <v>42</v>
      </c>
      <c r="DF576" t="s">
        <v>42</v>
      </c>
      <c r="DG576" t="s">
        <v>42</v>
      </c>
      <c r="DH576" s="4" t="s">
        <v>42</v>
      </c>
      <c r="DI576" t="s">
        <v>42</v>
      </c>
      <c r="DJ576" s="4" t="s">
        <v>42</v>
      </c>
      <c r="DK576" t="s">
        <v>42</v>
      </c>
      <c r="DL576" s="4">
        <v>555</v>
      </c>
      <c r="DM576">
        <v>1</v>
      </c>
      <c r="DN576" s="4">
        <v>569</v>
      </c>
      <c r="DO576">
        <v>1</v>
      </c>
      <c r="DP576" s="4">
        <v>581</v>
      </c>
      <c r="DQ576">
        <v>1</v>
      </c>
      <c r="DR576" s="4">
        <v>602</v>
      </c>
      <c r="DS576">
        <v>1</v>
      </c>
      <c r="DT576" s="4">
        <v>616</v>
      </c>
      <c r="DU576">
        <v>1</v>
      </c>
      <c r="DV576" s="4">
        <v>630</v>
      </c>
      <c r="DW576">
        <v>1</v>
      </c>
      <c r="DX576" s="4">
        <v>639</v>
      </c>
      <c r="DY576">
        <v>1</v>
      </c>
      <c r="DZ576" s="4">
        <v>649</v>
      </c>
      <c r="EA576">
        <v>1</v>
      </c>
      <c r="EB576" s="4">
        <v>654</v>
      </c>
      <c r="EC576">
        <v>1</v>
      </c>
      <c r="ED576" s="4">
        <v>658</v>
      </c>
      <c r="EE576">
        <v>1</v>
      </c>
      <c r="EF576" s="4">
        <v>664</v>
      </c>
      <c r="EG576">
        <v>1</v>
      </c>
      <c r="EH576" s="4">
        <v>672</v>
      </c>
      <c r="EI576">
        <v>1</v>
      </c>
      <c r="EJ576" s="4">
        <v>681</v>
      </c>
      <c r="EK576">
        <v>1</v>
      </c>
    </row>
    <row r="577" spans="1:141" x14ac:dyDescent="0.2">
      <c r="A577" t="str">
        <f>HYPERLINK("http://exon.niaid.nih.gov/transcriptome/C_felis/S1/links/cf/cf-contig_532.txt","cf-contig_532")</f>
        <v>cf-contig_532</v>
      </c>
      <c r="B577">
        <v>1</v>
      </c>
      <c r="C577" s="10" t="s">
        <v>4600</v>
      </c>
      <c r="D577">
        <v>1</v>
      </c>
      <c r="E577" t="str">
        <f>HYPERLINK("http://exon.niaid.nih.gov/transcriptome/C_felis/S1/links/cf/cf-5-36-asb-532.txt","Contig-532")</f>
        <v>Contig-532</v>
      </c>
      <c r="F577" t="str">
        <f>HYPERLINK("http://exon.niaid.nih.gov/transcriptome/C_felis/S1/links/cf/cf-5-36-532-CLU.txt","Contig532")</f>
        <v>Contig532</v>
      </c>
      <c r="G577" t="str">
        <f>HYPERLINK("http://exon.niaid.nih.gov/transcriptome/C_felis/S1/links/cf/cf-5-36-532-qual.txt","58.6")</f>
        <v>58.6</v>
      </c>
      <c r="H577" t="s">
        <v>11</v>
      </c>
      <c r="I577">
        <v>65.5</v>
      </c>
      <c r="J577">
        <v>216</v>
      </c>
      <c r="K577" t="s">
        <v>12</v>
      </c>
      <c r="L577">
        <v>1</v>
      </c>
      <c r="M577" t="s">
        <v>545</v>
      </c>
      <c r="N577">
        <v>216</v>
      </c>
      <c r="O577">
        <v>235</v>
      </c>
      <c r="P577">
        <v>132</v>
      </c>
      <c r="Q577" t="s">
        <v>1351</v>
      </c>
      <c r="R577">
        <v>1</v>
      </c>
      <c r="S577" s="7" t="s">
        <v>4585</v>
      </c>
      <c r="U577">
        <v>1</v>
      </c>
      <c r="V577" s="4">
        <v>435</v>
      </c>
      <c r="W577">
        <v>1</v>
      </c>
      <c r="X577" s="4">
        <v>445</v>
      </c>
      <c r="Y577">
        <v>1</v>
      </c>
      <c r="Z577" s="4">
        <v>450</v>
      </c>
      <c r="AA577">
        <v>1</v>
      </c>
      <c r="AB577" s="4" t="str">
        <f>HYPERLINK("http://exon.niaid.nih.gov/transcriptome/C_felis/S1/links/XC-ASB/cf-contig_532-XC-ASB.txt","XC-contig_53")</f>
        <v>XC-contig_53</v>
      </c>
      <c r="AC577">
        <v>0.04</v>
      </c>
      <c r="AD577" s="10" t="s">
        <v>4600</v>
      </c>
      <c r="AE577" t="s">
        <v>4601</v>
      </c>
      <c r="AI577" s="4" t="str">
        <f>HYPERLINK("http://exon.niaid.nih.gov/transcriptome/C_felis/S1/links/NR/cf-contig_532-NR.txt","phospho-2-dehydro-3-deoxyheptonate aldolase")</f>
        <v>phospho-2-dehydro-3-deoxyheptonate aldolase</v>
      </c>
      <c r="AJ577" t="str">
        <f>HYPERLINK("http://www.ncbi.nlm.nih.gov/sutils/blink.cgi?pid=347604042","36")</f>
        <v>36</v>
      </c>
      <c r="AK577" t="str">
        <f>HYPERLINK("http://www.ncbi.nlm.nih.gov/protein/347604042","gi|347604042")</f>
        <v>gi|347604042</v>
      </c>
      <c r="AL577">
        <v>32</v>
      </c>
      <c r="AM577">
        <v>27</v>
      </c>
      <c r="AN577">
        <v>351</v>
      </c>
      <c r="AO577">
        <v>42</v>
      </c>
      <c r="AP577">
        <v>8</v>
      </c>
      <c r="AQ577">
        <v>16</v>
      </c>
      <c r="AR577">
        <v>0</v>
      </c>
      <c r="AS577">
        <v>270</v>
      </c>
      <c r="AT577">
        <v>16</v>
      </c>
      <c r="AU577">
        <v>1</v>
      </c>
      <c r="AV577">
        <v>-2</v>
      </c>
      <c r="AW577" t="s">
        <v>12</v>
      </c>
      <c r="AY577" t="s">
        <v>1666</v>
      </c>
      <c r="AZ577" t="s">
        <v>3615</v>
      </c>
      <c r="BA577" s="4" t="str">
        <f>HYPERLINK("http://exon.niaid.nih.gov/transcriptome/C_felis/S1/links/SWISSP/cf-contig_532-SWISSP.txt","Zinc finger and BTB domain-containing protein 24")</f>
        <v>Zinc finger and BTB domain-containing protein 24</v>
      </c>
      <c r="BB577" t="str">
        <f>HYPERLINK("http://www.uniprot.org/uniprot/O43167","18")</f>
        <v>18</v>
      </c>
      <c r="BC577" t="s">
        <v>3616</v>
      </c>
      <c r="BD577">
        <v>28.1</v>
      </c>
      <c r="BE577">
        <v>29</v>
      </c>
      <c r="BF577">
        <v>697</v>
      </c>
      <c r="BG577">
        <v>43</v>
      </c>
      <c r="BH577">
        <v>4</v>
      </c>
      <c r="BI577">
        <v>17</v>
      </c>
      <c r="BJ577">
        <v>0</v>
      </c>
      <c r="BK577">
        <v>203</v>
      </c>
      <c r="BL577">
        <v>7</v>
      </c>
      <c r="BM577">
        <v>1</v>
      </c>
      <c r="BN577">
        <v>-2</v>
      </c>
      <c r="BO577" t="s">
        <v>12</v>
      </c>
      <c r="BQ577" t="s">
        <v>1666</v>
      </c>
      <c r="BR577" t="s">
        <v>1690</v>
      </c>
      <c r="BS577" s="4" t="str">
        <f>HYPERLINK("http://exon.niaid.nih.gov/transcriptome/C_felis/S1/links/CDD/cf-contig_532-CDD.txt","ycf46")</f>
        <v>ycf46</v>
      </c>
      <c r="BT577" t="str">
        <f>HYPERLINK("http://www.ncbi.nlm.nih.gov/Structure/cdd/cddsrv.cgi?uid=CHL00195&amp;version=v4.0","0.28")</f>
        <v>0.28</v>
      </c>
      <c r="BU577" t="s">
        <v>3617</v>
      </c>
      <c r="BV577" s="4" t="s">
        <v>42</v>
      </c>
      <c r="BW577" t="s">
        <v>42</v>
      </c>
      <c r="BX577" t="s">
        <v>42</v>
      </c>
      <c r="BY577" t="s">
        <v>42</v>
      </c>
      <c r="BZ577" t="s">
        <v>42</v>
      </c>
      <c r="CA577" t="s">
        <v>42</v>
      </c>
      <c r="CB577" t="s">
        <v>42</v>
      </c>
      <c r="CC577" t="s">
        <v>42</v>
      </c>
      <c r="CD577" t="s">
        <v>42</v>
      </c>
      <c r="CE577" t="s">
        <v>42</v>
      </c>
      <c r="CF577" t="s">
        <v>42</v>
      </c>
      <c r="CG577" t="s">
        <v>42</v>
      </c>
      <c r="CH577" t="s">
        <v>42</v>
      </c>
      <c r="CI577" t="s">
        <v>42</v>
      </c>
      <c r="CJ577" t="s">
        <v>42</v>
      </c>
      <c r="CK577" t="s">
        <v>42</v>
      </c>
      <c r="CL577" t="s">
        <v>42</v>
      </c>
      <c r="CM577" t="s">
        <v>42</v>
      </c>
      <c r="CN577" t="s">
        <v>42</v>
      </c>
      <c r="CO577" t="s">
        <v>42</v>
      </c>
      <c r="CP577" t="s">
        <v>42</v>
      </c>
      <c r="CQ577" t="s">
        <v>42</v>
      </c>
      <c r="CR577" t="s">
        <v>42</v>
      </c>
      <c r="CS577" s="4" t="str">
        <f>HYPERLINK("http://exon.niaid.nih.gov/transcriptome/C_felis/S1/links/KOG/cf-contig_532-KOG.txt","NMD protein affecting ribosome stability and mRNA decay")</f>
        <v>NMD protein affecting ribosome stability and mRNA decay</v>
      </c>
      <c r="CT577" t="str">
        <f>HYPERLINK("http://www.ncbi.nlm.nih.gov/COG/grace/shokog.cgi?KOG2613","5.9")</f>
        <v>5.9</v>
      </c>
      <c r="CU577" t="s">
        <v>1707</v>
      </c>
      <c r="CV577" s="4" t="str">
        <f>HYPERLINK("http://exon.niaid.nih.gov/transcriptome/C_felis/S1/links/PFAM/cf-contig_532-PFAM.txt","DUF360")</f>
        <v>DUF360</v>
      </c>
      <c r="CW577" t="str">
        <f>HYPERLINK("http://pfam.sanger.ac.uk/family?acc=PF04020","1.6")</f>
        <v>1.6</v>
      </c>
      <c r="CX577" s="4" t="str">
        <f>HYPERLINK("http://exon.niaid.nih.gov/transcriptome/C_felis/S1/links/SMART/cf-contig_532-SMART.txt","CGGC")</f>
        <v>CGGC</v>
      </c>
      <c r="CY577" t="str">
        <f>HYPERLINK("http://smart.embl-heidelberg.de/smart/do_annotation.pl?DOMAIN=CGGC&amp;BLAST=DUMMY","0.24")</f>
        <v>0.24</v>
      </c>
      <c r="CZ577" s="4" t="s">
        <v>42</v>
      </c>
      <c r="DA577" t="s">
        <v>42</v>
      </c>
      <c r="DB577" t="s">
        <v>42</v>
      </c>
      <c r="DC577" t="s">
        <v>42</v>
      </c>
      <c r="DD577" t="s">
        <v>42</v>
      </c>
      <c r="DE577" t="s">
        <v>42</v>
      </c>
      <c r="DF577" t="s">
        <v>42</v>
      </c>
      <c r="DG577" t="s">
        <v>42</v>
      </c>
      <c r="DH577" s="4" t="s">
        <v>42</v>
      </c>
      <c r="DI577" t="s">
        <v>42</v>
      </c>
      <c r="DJ577" s="4" t="s">
        <v>42</v>
      </c>
      <c r="DK577" t="s">
        <v>42</v>
      </c>
      <c r="DL577" s="4">
        <v>435</v>
      </c>
      <c r="DM577">
        <v>1</v>
      </c>
      <c r="DN577" s="4">
        <v>445</v>
      </c>
      <c r="DO577">
        <v>1</v>
      </c>
      <c r="DP577" s="4">
        <v>450</v>
      </c>
      <c r="DQ577">
        <v>1</v>
      </c>
      <c r="DR577" s="4">
        <v>465</v>
      </c>
      <c r="DS577">
        <v>1</v>
      </c>
      <c r="DT577" s="4">
        <v>477</v>
      </c>
      <c r="DU577">
        <v>1</v>
      </c>
      <c r="DV577" s="4">
        <v>491</v>
      </c>
      <c r="DW577">
        <v>1</v>
      </c>
      <c r="DX577" s="4">
        <v>497</v>
      </c>
      <c r="DY577">
        <v>1</v>
      </c>
      <c r="DZ577" s="4">
        <v>505</v>
      </c>
      <c r="EA577">
        <v>1</v>
      </c>
      <c r="EB577" s="4">
        <v>510</v>
      </c>
      <c r="EC577">
        <v>1</v>
      </c>
      <c r="ED577" s="4">
        <v>514</v>
      </c>
      <c r="EE577">
        <v>1</v>
      </c>
      <c r="EF577" s="4">
        <v>519</v>
      </c>
      <c r="EG577">
        <v>1</v>
      </c>
      <c r="EH577" s="4">
        <v>525</v>
      </c>
      <c r="EI577">
        <v>1</v>
      </c>
      <c r="EJ577" s="4">
        <v>532</v>
      </c>
      <c r="EK577">
        <v>1</v>
      </c>
    </row>
    <row r="578" spans="1:141" x14ac:dyDescent="0.2">
      <c r="A578" t="str">
        <f>HYPERLINK("http://exon.niaid.nih.gov/transcriptome/C_felis/S1/links/cf/cf-contig_788.txt","cf-contig_788")</f>
        <v>cf-contig_788</v>
      </c>
      <c r="B578">
        <v>1</v>
      </c>
      <c r="C578" s="10" t="s">
        <v>4600</v>
      </c>
      <c r="D578">
        <v>1</v>
      </c>
      <c r="E578" t="str">
        <f>HYPERLINK("http://exon.niaid.nih.gov/transcriptome/C_felis/S1/links/cf/cf-5-36-asb-788.txt","Contig-788")</f>
        <v>Contig-788</v>
      </c>
      <c r="F578" t="str">
        <f>HYPERLINK("http://exon.niaid.nih.gov/transcriptome/C_felis/S1/links/cf/cf-5-36-788-CLU.txt","Contig788")</f>
        <v>Contig788</v>
      </c>
      <c r="G578" t="str">
        <f>HYPERLINK("http://exon.niaid.nih.gov/transcriptome/C_felis/S1/links/cf/cf-5-36-788-qual.txt","51.5")</f>
        <v>51.5</v>
      </c>
      <c r="H578" t="s">
        <v>11</v>
      </c>
      <c r="I578">
        <v>82.5</v>
      </c>
      <c r="J578">
        <v>609</v>
      </c>
      <c r="K578" t="s">
        <v>12</v>
      </c>
      <c r="L578">
        <v>1</v>
      </c>
      <c r="M578" t="s">
        <v>801</v>
      </c>
      <c r="N578">
        <v>609</v>
      </c>
      <c r="O578">
        <v>628</v>
      </c>
      <c r="P578">
        <v>141</v>
      </c>
      <c r="Q578" t="s">
        <v>1607</v>
      </c>
      <c r="R578">
        <v>1</v>
      </c>
      <c r="S578" s="7" t="s">
        <v>4585</v>
      </c>
      <c r="U578">
        <v>1</v>
      </c>
      <c r="V578" s="4">
        <v>633</v>
      </c>
      <c r="W578">
        <v>1</v>
      </c>
      <c r="X578" s="4">
        <v>654</v>
      </c>
      <c r="Y578">
        <v>1</v>
      </c>
      <c r="Z578" s="4">
        <v>670</v>
      </c>
      <c r="AA578">
        <v>1</v>
      </c>
      <c r="AB578" s="4" t="str">
        <f>HYPERLINK("http://exon.niaid.nih.gov/transcriptome/C_felis/S1/links/XC-ASB/cf-contig_788-XC-ASB.txt","XC-contig_1")</f>
        <v>XC-contig_1</v>
      </c>
      <c r="AC578">
        <v>5.3999999999999999E-2</v>
      </c>
      <c r="AD578" s="10" t="s">
        <v>4600</v>
      </c>
      <c r="AE578" t="s">
        <v>4601</v>
      </c>
      <c r="AI578" s="4" t="str">
        <f>HYPERLINK("http://exon.niaid.nih.gov/transcriptome/C_felis/S1/links/NR/cf-contig_788-NR.txt","putative pseudouridine synthase, RluA family")</f>
        <v>putative pseudouridine synthase, RluA family</v>
      </c>
      <c r="AJ578" t="str">
        <f>HYPERLINK("http://www.ncbi.nlm.nih.gov/sutils/blink.cgi?pid=307069601","4.7")</f>
        <v>4.7</v>
      </c>
      <c r="AK578" t="str">
        <f>HYPERLINK("http://www.ncbi.nlm.nih.gov/protein/307069601","gi|307069601")</f>
        <v>gi|307069601</v>
      </c>
      <c r="AL578">
        <v>35.799999999999997</v>
      </c>
      <c r="AM578">
        <v>122</v>
      </c>
      <c r="AN578">
        <v>242</v>
      </c>
      <c r="AO578">
        <v>29</v>
      </c>
      <c r="AP578">
        <v>51</v>
      </c>
      <c r="AQ578">
        <v>109</v>
      </c>
      <c r="AR578">
        <v>16</v>
      </c>
      <c r="AS578">
        <v>23</v>
      </c>
      <c r="AT578">
        <v>190</v>
      </c>
      <c r="AU578">
        <v>1</v>
      </c>
      <c r="AV578">
        <v>-2</v>
      </c>
      <c r="AW578" t="s">
        <v>12</v>
      </c>
      <c r="AX578">
        <v>8.1969999999999992</v>
      </c>
      <c r="AY578" t="s">
        <v>1666</v>
      </c>
      <c r="AZ578" t="s">
        <v>4383</v>
      </c>
      <c r="BA578" s="4" t="str">
        <f>HYPERLINK("http://exon.niaid.nih.gov/transcriptome/C_felis/S1/links/SWISSP/cf-contig_788-SWISSP.txt","Protein SYG1 homolog")</f>
        <v>Protein SYG1 homolog</v>
      </c>
      <c r="BB578" t="str">
        <f>HYPERLINK("http://www.uniprot.org/uniprot/Q9UU86","7.4")</f>
        <v>7.4</v>
      </c>
      <c r="BC578" t="s">
        <v>4524</v>
      </c>
      <c r="BD578">
        <v>30.8</v>
      </c>
      <c r="BE578">
        <v>28</v>
      </c>
      <c r="BF578">
        <v>682</v>
      </c>
      <c r="BG578">
        <v>37</v>
      </c>
      <c r="BH578">
        <v>4</v>
      </c>
      <c r="BI578">
        <v>18</v>
      </c>
      <c r="BJ578">
        <v>0</v>
      </c>
      <c r="BK578">
        <v>305</v>
      </c>
      <c r="BL578">
        <v>299</v>
      </c>
      <c r="BM578">
        <v>1</v>
      </c>
      <c r="BN578">
        <v>2</v>
      </c>
      <c r="BO578" t="s">
        <v>12</v>
      </c>
      <c r="BQ578" t="s">
        <v>1676</v>
      </c>
      <c r="BR578" t="s">
        <v>1695</v>
      </c>
      <c r="BS578" s="4" t="str">
        <f>HYPERLINK("http://exon.niaid.nih.gov/transcriptome/C_felis/S1/links/CDD/cf-contig_788-CDD.txt","ND5")</f>
        <v>ND5</v>
      </c>
      <c r="BT578" t="str">
        <f>HYPERLINK("http://www.ncbi.nlm.nih.gov/Structure/cdd/cddsrv.cgi?uid=MTH00095&amp;version=v4.0","0.024")</f>
        <v>0.024</v>
      </c>
      <c r="BU578" t="s">
        <v>4525</v>
      </c>
      <c r="BV578" s="4" t="s">
        <v>42</v>
      </c>
      <c r="BW578" t="s">
        <v>42</v>
      </c>
      <c r="BX578" t="s">
        <v>42</v>
      </c>
      <c r="BY578" t="s">
        <v>42</v>
      </c>
      <c r="BZ578" t="s">
        <v>42</v>
      </c>
      <c r="CA578" t="s">
        <v>42</v>
      </c>
      <c r="CB578" t="s">
        <v>42</v>
      </c>
      <c r="CC578" t="s">
        <v>42</v>
      </c>
      <c r="CD578" t="s">
        <v>42</v>
      </c>
      <c r="CE578" t="s">
        <v>42</v>
      </c>
      <c r="CF578" t="s">
        <v>42</v>
      </c>
      <c r="CG578" t="s">
        <v>42</v>
      </c>
      <c r="CH578" t="s">
        <v>42</v>
      </c>
      <c r="CI578" t="s">
        <v>42</v>
      </c>
      <c r="CJ578" t="s">
        <v>42</v>
      </c>
      <c r="CK578" t="s">
        <v>42</v>
      </c>
      <c r="CL578" t="s">
        <v>42</v>
      </c>
      <c r="CM578" t="s">
        <v>42</v>
      </c>
      <c r="CN578" t="s">
        <v>42</v>
      </c>
      <c r="CO578" t="s">
        <v>42</v>
      </c>
      <c r="CP578" t="s">
        <v>42</v>
      </c>
      <c r="CQ578" t="s">
        <v>42</v>
      </c>
      <c r="CR578" t="s">
        <v>42</v>
      </c>
      <c r="CS578" s="4" t="str">
        <f>HYPERLINK("http://exon.niaid.nih.gov/transcriptome/C_felis/S1/links/KOG/cf-contig_788-KOG.txt","Predicted small molecule transporter")</f>
        <v>Predicted small molecule transporter</v>
      </c>
      <c r="CT578" t="str">
        <f>HYPERLINK("http://www.ncbi.nlm.nih.gov/COG/grace/shokog.cgi?KOG1162","1.1")</f>
        <v>1.1</v>
      </c>
      <c r="CU578" t="s">
        <v>1686</v>
      </c>
      <c r="CV578" s="4" t="str">
        <f>HYPERLINK("http://exon.niaid.nih.gov/transcriptome/C_felis/S1/links/PFAM/cf-contig_788-PFAM.txt","EXS")</f>
        <v>EXS</v>
      </c>
      <c r="CW578" t="str">
        <f>HYPERLINK("http://pfam.sanger.ac.uk/family?acc=PF03124","0.006")</f>
        <v>0.006</v>
      </c>
      <c r="CX578" s="4" t="str">
        <f>HYPERLINK("http://exon.niaid.nih.gov/transcriptome/C_felis/S1/links/SMART/cf-contig_788-SMART.txt","VWA")</f>
        <v>VWA</v>
      </c>
      <c r="CY578" t="str">
        <f>HYPERLINK("http://smart.embl-heidelberg.de/smart/do_annotation.pl?DOMAIN=VWA&amp;BLAST=DUMMY","0.067")</f>
        <v>0.067</v>
      </c>
      <c r="CZ578" s="4" t="s">
        <v>42</v>
      </c>
      <c r="DA578" t="s">
        <v>42</v>
      </c>
      <c r="DB578" t="s">
        <v>42</v>
      </c>
      <c r="DC578" t="s">
        <v>42</v>
      </c>
      <c r="DD578" t="s">
        <v>42</v>
      </c>
      <c r="DE578" t="s">
        <v>42</v>
      </c>
      <c r="DF578" t="s">
        <v>42</v>
      </c>
      <c r="DG578" t="s">
        <v>42</v>
      </c>
      <c r="DH578" s="4" t="s">
        <v>42</v>
      </c>
      <c r="DI578" t="s">
        <v>42</v>
      </c>
      <c r="DJ578" s="4" t="s">
        <v>42</v>
      </c>
      <c r="DK578" t="s">
        <v>42</v>
      </c>
      <c r="DL578" s="4">
        <v>633</v>
      </c>
      <c r="DM578">
        <v>1</v>
      </c>
      <c r="DN578" s="4">
        <v>654</v>
      </c>
      <c r="DO578">
        <v>1</v>
      </c>
      <c r="DP578" s="4">
        <v>670</v>
      </c>
      <c r="DQ578">
        <v>1</v>
      </c>
      <c r="DR578" s="4">
        <v>692</v>
      </c>
      <c r="DS578">
        <v>1</v>
      </c>
      <c r="DT578" s="4">
        <v>708</v>
      </c>
      <c r="DU578">
        <v>1</v>
      </c>
      <c r="DV578" s="4">
        <v>723</v>
      </c>
      <c r="DW578">
        <v>1</v>
      </c>
      <c r="DX578" s="4">
        <v>737</v>
      </c>
      <c r="DY578">
        <v>1</v>
      </c>
      <c r="DZ578" s="4">
        <v>748</v>
      </c>
      <c r="EA578">
        <v>1</v>
      </c>
      <c r="EB578" s="4">
        <v>755</v>
      </c>
      <c r="EC578">
        <v>1</v>
      </c>
      <c r="ED578" s="4">
        <v>760</v>
      </c>
      <c r="EE578">
        <v>1</v>
      </c>
      <c r="EF578" s="4">
        <v>767</v>
      </c>
      <c r="EG578">
        <v>1</v>
      </c>
      <c r="EH578" s="4">
        <v>779</v>
      </c>
      <c r="EI578">
        <v>1</v>
      </c>
      <c r="EJ578" s="4">
        <v>788</v>
      </c>
      <c r="EK578">
        <v>1</v>
      </c>
    </row>
    <row r="579" spans="1:141" x14ac:dyDescent="0.2">
      <c r="A579" t="str">
        <f>HYPERLINK("http://exon.niaid.nih.gov/transcriptome/C_felis/S1/links/cf/cf-contig_747.txt","cf-contig_747")</f>
        <v>cf-contig_747</v>
      </c>
      <c r="B579">
        <v>1</v>
      </c>
      <c r="C579" s="10" t="s">
        <v>4864</v>
      </c>
      <c r="D579">
        <v>1</v>
      </c>
      <c r="E579" t="str">
        <f>HYPERLINK("http://exon.niaid.nih.gov/transcriptome/C_felis/S1/links/cf/cf-5-36-asb-747.txt","Contig-747")</f>
        <v>Contig-747</v>
      </c>
      <c r="F579" t="str">
        <f>HYPERLINK("http://exon.niaid.nih.gov/transcriptome/C_felis/S1/links/cf/cf-5-36-747-CLU.txt","Contig747")</f>
        <v>Contig747</v>
      </c>
      <c r="G579" t="str">
        <f>HYPERLINK("http://exon.niaid.nih.gov/transcriptome/C_felis/S1/links/cf/cf-5-36-747-qual.txt","56.9")</f>
        <v>56.9</v>
      </c>
      <c r="H579">
        <v>0.1</v>
      </c>
      <c r="I579">
        <v>76</v>
      </c>
      <c r="J579">
        <v>889</v>
      </c>
      <c r="K579" t="s">
        <v>12</v>
      </c>
      <c r="L579">
        <v>1</v>
      </c>
      <c r="M579" t="s">
        <v>760</v>
      </c>
      <c r="N579">
        <v>889</v>
      </c>
      <c r="O579">
        <v>908</v>
      </c>
      <c r="P579">
        <v>177</v>
      </c>
      <c r="Q579" t="s">
        <v>1566</v>
      </c>
      <c r="R579">
        <v>1</v>
      </c>
      <c r="S579" s="7" t="str">
        <f>HYPERLINK("http://exon.niaid.nih.gov/transcriptome/C_felis/S1/links/Sigp/CF-CONTIG_747-SigP.txt","Anch")</f>
        <v>Anch</v>
      </c>
      <c r="U579">
        <v>1</v>
      </c>
      <c r="V579" s="4">
        <v>602</v>
      </c>
      <c r="W579">
        <v>1</v>
      </c>
      <c r="X579" s="4">
        <v>621</v>
      </c>
      <c r="Y579">
        <v>1</v>
      </c>
      <c r="Z579" s="4">
        <v>635</v>
      </c>
      <c r="AA579">
        <v>1</v>
      </c>
      <c r="AB579" s="4" t="str">
        <f>HYPERLINK("http://exon.niaid.nih.gov/transcriptome/C_felis/S1/links/XC-ASB/cf-contig_747-XC-ASB.txt","XC-contig_194")</f>
        <v>XC-contig_194</v>
      </c>
      <c r="AC579">
        <v>0.15</v>
      </c>
      <c r="AD579" s="10" t="s">
        <v>4864</v>
      </c>
      <c r="AE579" t="s">
        <v>4865</v>
      </c>
      <c r="AI579" s="4" t="str">
        <f>HYPERLINK("http://exon.niaid.nih.gov/transcriptome/C_felis/S1/links/NR/cf-contig_747-NR.txt","hypothetical protein ZICARI_152")</f>
        <v>hypothetical protein ZICARI_152</v>
      </c>
      <c r="AJ579" t="str">
        <f>HYPERLINK("http://www.ncbi.nlm.nih.gov/sutils/blink.cgi?pid=307069629","0.18")</f>
        <v>0.18</v>
      </c>
      <c r="AK579" t="str">
        <f>HYPERLINK("http://www.ncbi.nlm.nih.gov/protein/307069629","gi|307069629")</f>
        <v>gi|307069629</v>
      </c>
      <c r="AL579">
        <v>41.6</v>
      </c>
      <c r="AM579">
        <v>115</v>
      </c>
      <c r="AN579">
        <v>261</v>
      </c>
      <c r="AO579">
        <v>28</v>
      </c>
      <c r="AP579">
        <v>44</v>
      </c>
      <c r="AQ579">
        <v>85</v>
      </c>
      <c r="AR579">
        <v>6</v>
      </c>
      <c r="AS579">
        <v>141</v>
      </c>
      <c r="AT579">
        <v>520</v>
      </c>
      <c r="AU579">
        <v>1</v>
      </c>
      <c r="AV579">
        <v>-3</v>
      </c>
      <c r="AW579" t="s">
        <v>12</v>
      </c>
      <c r="AX579">
        <v>3.4780000000000002</v>
      </c>
      <c r="AY579" t="s">
        <v>1666</v>
      </c>
      <c r="AZ579" t="s">
        <v>4383</v>
      </c>
      <c r="BA579" s="4" t="str">
        <f>HYPERLINK("http://exon.niaid.nih.gov/transcriptome/C_felis/S1/links/SWISSP/cf-contig_747-SWISSP.txt","Multidrug resistance protein")</f>
        <v>Multidrug resistance protein</v>
      </c>
      <c r="BB579" t="str">
        <f>HYPERLINK("http://www.uniprot.org/uniprot/P13568","14")</f>
        <v>14</v>
      </c>
      <c r="BC579" t="s">
        <v>4384</v>
      </c>
      <c r="BD579">
        <v>30.8</v>
      </c>
      <c r="BE579">
        <v>73</v>
      </c>
      <c r="BF579">
        <v>1419</v>
      </c>
      <c r="BG579">
        <v>19</v>
      </c>
      <c r="BH579">
        <v>5</v>
      </c>
      <c r="BI579">
        <v>61</v>
      </c>
      <c r="BJ579">
        <v>0</v>
      </c>
      <c r="BK579">
        <v>871</v>
      </c>
      <c r="BL579">
        <v>175</v>
      </c>
      <c r="BM579">
        <v>1</v>
      </c>
      <c r="BN579">
        <v>-3</v>
      </c>
      <c r="BO579" t="s">
        <v>12</v>
      </c>
      <c r="BP579">
        <v>1.37</v>
      </c>
      <c r="BQ579" t="s">
        <v>1666</v>
      </c>
      <c r="BR579" t="s">
        <v>1753</v>
      </c>
      <c r="BS579" s="4" t="str">
        <f>HYPERLINK("http://exon.niaid.nih.gov/transcriptome/C_felis/S1/links/CDD/cf-contig_747-CDD.txt","ND2")</f>
        <v>ND2</v>
      </c>
      <c r="BT579" t="str">
        <f>HYPERLINK("http://www.ncbi.nlm.nih.gov/Structure/cdd/cddsrv.cgi?uid=MTH00160&amp;version=v4.0","0.003")</f>
        <v>0.003</v>
      </c>
      <c r="BU579" t="s">
        <v>4385</v>
      </c>
      <c r="BV579" s="4" t="s">
        <v>42</v>
      </c>
      <c r="BW579" t="s">
        <v>42</v>
      </c>
      <c r="BX579" t="s">
        <v>42</v>
      </c>
      <c r="BY579" t="s">
        <v>42</v>
      </c>
      <c r="BZ579" t="s">
        <v>42</v>
      </c>
      <c r="CA579" t="s">
        <v>42</v>
      </c>
      <c r="CB579" t="s">
        <v>42</v>
      </c>
      <c r="CC579" t="s">
        <v>42</v>
      </c>
      <c r="CD579" t="s">
        <v>42</v>
      </c>
      <c r="CE579" t="s">
        <v>42</v>
      </c>
      <c r="CF579" t="s">
        <v>42</v>
      </c>
      <c r="CG579" t="s">
        <v>42</v>
      </c>
      <c r="CH579" t="s">
        <v>42</v>
      </c>
      <c r="CI579" t="s">
        <v>42</v>
      </c>
      <c r="CJ579" t="s">
        <v>42</v>
      </c>
      <c r="CK579" t="s">
        <v>42</v>
      </c>
      <c r="CL579" t="s">
        <v>42</v>
      </c>
      <c r="CM579" t="s">
        <v>42</v>
      </c>
      <c r="CN579" t="s">
        <v>42</v>
      </c>
      <c r="CO579" t="s">
        <v>42</v>
      </c>
      <c r="CP579" t="s">
        <v>42</v>
      </c>
      <c r="CQ579" t="s">
        <v>42</v>
      </c>
      <c r="CR579" t="s">
        <v>42</v>
      </c>
      <c r="CS579" s="4" t="str">
        <f>HYPERLINK("http://exon.niaid.nih.gov/transcriptome/C_felis/S1/links/KOG/cf-contig_747-KOG.txt","Uncharacterized conserved protein")</f>
        <v>Uncharacterized conserved protein</v>
      </c>
      <c r="CT579" t="str">
        <f>HYPERLINK("http://www.ncbi.nlm.nih.gov/COG/grace/shokog.cgi?KOG3726","0.24")</f>
        <v>0.24</v>
      </c>
      <c r="CU579" t="s">
        <v>1711</v>
      </c>
      <c r="CV579" s="4" t="str">
        <f>HYPERLINK("http://exon.niaid.nih.gov/transcriptome/C_felis/S1/links/PFAM/cf-contig_747-PFAM.txt","7tm_7")</f>
        <v>7tm_7</v>
      </c>
      <c r="CW579" t="str">
        <f>HYPERLINK("http://pfam.sanger.ac.uk/family?acc=PF08395","0.060")</f>
        <v>0.060</v>
      </c>
      <c r="CX579" s="4" t="str">
        <f>HYPERLINK("http://exon.niaid.nih.gov/transcriptome/C_felis/S1/links/SMART/cf-contig_747-SMART.txt","Sec63")</f>
        <v>Sec63</v>
      </c>
      <c r="CY579" t="str">
        <f>HYPERLINK("http://smart.embl-heidelberg.de/smart/do_annotation.pl?DOMAIN=Sec63&amp;BLAST=DUMMY","0.10")</f>
        <v>0.10</v>
      </c>
      <c r="CZ579" s="4" t="s">
        <v>42</v>
      </c>
      <c r="DA579" t="s">
        <v>42</v>
      </c>
      <c r="DB579" t="s">
        <v>42</v>
      </c>
      <c r="DC579" t="s">
        <v>42</v>
      </c>
      <c r="DD579" t="s">
        <v>42</v>
      </c>
      <c r="DE579" t="s">
        <v>42</v>
      </c>
      <c r="DF579" t="s">
        <v>42</v>
      </c>
      <c r="DG579" t="s">
        <v>42</v>
      </c>
      <c r="DH579" s="4" t="s">
        <v>42</v>
      </c>
      <c r="DI579" t="s">
        <v>42</v>
      </c>
      <c r="DJ579" s="4" t="s">
        <v>42</v>
      </c>
      <c r="DK579" t="s">
        <v>42</v>
      </c>
      <c r="DL579" s="4">
        <v>602</v>
      </c>
      <c r="DM579">
        <v>1</v>
      </c>
      <c r="DN579" s="4">
        <v>621</v>
      </c>
      <c r="DO579">
        <v>1</v>
      </c>
      <c r="DP579" s="4">
        <v>635</v>
      </c>
      <c r="DQ579">
        <v>1</v>
      </c>
      <c r="DR579" s="4">
        <v>657</v>
      </c>
      <c r="DS579">
        <v>1</v>
      </c>
      <c r="DT579" s="4">
        <v>672</v>
      </c>
      <c r="DU579">
        <v>1</v>
      </c>
      <c r="DV579" s="4">
        <v>687</v>
      </c>
      <c r="DW579">
        <v>1</v>
      </c>
      <c r="DX579" s="4">
        <v>699</v>
      </c>
      <c r="DY579">
        <v>1</v>
      </c>
      <c r="DZ579" s="4">
        <v>710</v>
      </c>
      <c r="EA579">
        <v>1</v>
      </c>
      <c r="EB579" s="4">
        <v>716</v>
      </c>
      <c r="EC579">
        <v>1</v>
      </c>
      <c r="ED579" s="4">
        <v>721</v>
      </c>
      <c r="EE579">
        <v>1</v>
      </c>
      <c r="EF579" s="4">
        <v>727</v>
      </c>
      <c r="EG579">
        <v>1</v>
      </c>
      <c r="EH579" s="4">
        <v>738</v>
      </c>
      <c r="EI579">
        <v>1</v>
      </c>
      <c r="EJ579" s="4">
        <v>747</v>
      </c>
      <c r="EK579">
        <v>1</v>
      </c>
    </row>
    <row r="580" spans="1:141" x14ac:dyDescent="0.2">
      <c r="A580" t="str">
        <f>HYPERLINK("http://exon.niaid.nih.gov/transcriptome/C_felis/S1/links/cf/cf-contig_568.txt","cf-contig_568")</f>
        <v>cf-contig_568</v>
      </c>
      <c r="B580">
        <v>1</v>
      </c>
      <c r="C580" s="10" t="s">
        <v>4600</v>
      </c>
      <c r="D580">
        <v>1</v>
      </c>
      <c r="E580" t="str">
        <f>HYPERLINK("http://exon.niaid.nih.gov/transcriptome/C_felis/S1/links/cf/cf-5-36-asb-568.txt","Contig-568")</f>
        <v>Contig-568</v>
      </c>
      <c r="F580" t="str">
        <f>HYPERLINK("http://exon.niaid.nih.gov/transcriptome/C_felis/S1/links/cf/cf-5-36-568-CLU.txt","Contig568")</f>
        <v>Contig568</v>
      </c>
      <c r="G580" t="str">
        <f>HYPERLINK("http://exon.niaid.nih.gov/transcriptome/C_felis/S1/links/cf/cf-5-36-568-qual.txt","45.5")</f>
        <v>45.5</v>
      </c>
      <c r="H580">
        <v>1.6</v>
      </c>
      <c r="I580">
        <v>66.900000000000006</v>
      </c>
      <c r="J580">
        <v>108</v>
      </c>
      <c r="K580" t="s">
        <v>12</v>
      </c>
      <c r="L580">
        <v>1</v>
      </c>
      <c r="M580" t="s">
        <v>581</v>
      </c>
      <c r="N580">
        <v>108</v>
      </c>
      <c r="O580">
        <v>127</v>
      </c>
      <c r="P580">
        <v>120</v>
      </c>
      <c r="Q580" t="s">
        <v>1387</v>
      </c>
      <c r="R580">
        <v>3</v>
      </c>
      <c r="S580" s="7" t="s">
        <v>4585</v>
      </c>
      <c r="U580">
        <v>1</v>
      </c>
      <c r="V580" s="4">
        <f>HYPERLINK("http://exon.niaid.nih.gov/transcriptome/C_felis/S1/links/cluster/cf-5-36-asb30-50-Id-CLU86.txt", 86)</f>
        <v>86</v>
      </c>
      <c r="W580">
        <f>HYPERLINK("http://exon.niaid.nih.gov/transcriptome/C_felis/S1/links/cluster/cf-5-36-asb30-50-Id-CLTL86.txt", 2)</f>
        <v>2</v>
      </c>
      <c r="X580" s="4">
        <f>HYPERLINK("http://exon.niaid.nih.gov/transcriptome/C_felis/S1/links/cluster/cf-5-36-asb35-50-Id-CLU80.txt", 80)</f>
        <v>80</v>
      </c>
      <c r="Y580">
        <f>HYPERLINK("http://exon.niaid.nih.gov/transcriptome/C_felis/S1/links/cluster/cf-5-36-asb35-50-Id-CLTL80.txt", 2)</f>
        <v>2</v>
      </c>
      <c r="Z580" s="4">
        <f>HYPERLINK("http://exon.niaid.nih.gov/transcriptome/C_felis/S1/links/cluster/cf-5-36-asb40-50-Id-CLU72.txt", 72)</f>
        <v>72</v>
      </c>
      <c r="AA580">
        <f>HYPERLINK("http://exon.niaid.nih.gov/transcriptome/C_felis/S1/links/cluster/cf-5-36-asb40-50-Id-CLTL72.txt", 2)</f>
        <v>2</v>
      </c>
      <c r="AB580" s="4" t="str">
        <f>HYPERLINK("http://exon.niaid.nih.gov/transcriptome/C_felis/S1/links/XC-ASB/cf-contig_568-XC-ASB.txt","XC-contig_213")</f>
        <v>XC-contig_213</v>
      </c>
      <c r="AC580">
        <v>0.23</v>
      </c>
      <c r="AD580" s="10" t="s">
        <v>4600</v>
      </c>
      <c r="AE580" t="s">
        <v>4601</v>
      </c>
      <c r="AI580" s="4" t="str">
        <f>HYPERLINK("http://exon.niaid.nih.gov/transcriptome/C_felis/S1/links/NR/cf-contig_568-NR.txt","apolipoprotein L domain-containing protein 1")</f>
        <v>apolipoprotein L domain-containing protein 1</v>
      </c>
      <c r="AJ580" t="str">
        <f>HYPERLINK("http://www.ncbi.nlm.nih.gov/sutils/blink.cgi?pid=73997625","47")</f>
        <v>47</v>
      </c>
      <c r="AK580" t="str">
        <f>HYPERLINK("http://www.ncbi.nlm.nih.gov/protein/73997625","gi|73997625")</f>
        <v>gi|73997625</v>
      </c>
      <c r="AL580">
        <v>31.6</v>
      </c>
      <c r="AM580">
        <v>33</v>
      </c>
      <c r="AN580">
        <v>245</v>
      </c>
      <c r="AO580">
        <v>32</v>
      </c>
      <c r="AP580">
        <v>14</v>
      </c>
      <c r="AQ580">
        <v>23</v>
      </c>
      <c r="AR580">
        <v>0</v>
      </c>
      <c r="AS580">
        <v>143</v>
      </c>
      <c r="AT580">
        <v>3</v>
      </c>
      <c r="AU580">
        <v>1</v>
      </c>
      <c r="AV580">
        <v>3</v>
      </c>
      <c r="AW580" t="s">
        <v>12</v>
      </c>
      <c r="AY580" t="s">
        <v>1676</v>
      </c>
      <c r="AZ580" t="s">
        <v>3660</v>
      </c>
      <c r="BA580" s="4" t="str">
        <f>HYPERLINK("http://exon.niaid.nih.gov/transcriptome/C_felis/S1/links/SWISSP/cf-contig_568-SWISSP.txt","Apolipoprotein L domain-containing protein 1")</f>
        <v>Apolipoprotein L domain-containing protein 1</v>
      </c>
      <c r="BB580" t="str">
        <f>HYPERLINK("http://www.uniprot.org/uniprot/Q6B959","18")</f>
        <v>18</v>
      </c>
      <c r="BC580" t="s">
        <v>3735</v>
      </c>
      <c r="BD580">
        <v>28.1</v>
      </c>
      <c r="BE580">
        <v>33</v>
      </c>
      <c r="BF580">
        <v>246</v>
      </c>
      <c r="BG580">
        <v>32</v>
      </c>
      <c r="BH580">
        <v>14</v>
      </c>
      <c r="BI580">
        <v>23</v>
      </c>
      <c r="BJ580">
        <v>0</v>
      </c>
      <c r="BK580">
        <v>144</v>
      </c>
      <c r="BL580">
        <v>3</v>
      </c>
      <c r="BM580">
        <v>1</v>
      </c>
      <c r="BN580">
        <v>3</v>
      </c>
      <c r="BO580" t="s">
        <v>12</v>
      </c>
      <c r="BQ580" t="s">
        <v>1676</v>
      </c>
      <c r="BR580" t="s">
        <v>1684</v>
      </c>
      <c r="BS580" s="4" t="str">
        <f>HYPERLINK("http://exon.niaid.nih.gov/transcriptome/C_felis/S1/links/CDD/cf-contig_568-CDD.txt","urea_carbox")</f>
        <v>urea_carbox</v>
      </c>
      <c r="BT580" t="str">
        <f>HYPERLINK("http://www.ncbi.nlm.nih.gov/Structure/cdd/cddsrv.cgi?uid=TIGR02712&amp;version=v4.0","4.4")</f>
        <v>4.4</v>
      </c>
      <c r="BU580" t="s">
        <v>3736</v>
      </c>
      <c r="BV580" s="4" t="s">
        <v>42</v>
      </c>
      <c r="BW580" t="s">
        <v>42</v>
      </c>
      <c r="BX580" t="s">
        <v>42</v>
      </c>
      <c r="BY580" t="s">
        <v>42</v>
      </c>
      <c r="BZ580" t="s">
        <v>42</v>
      </c>
      <c r="CA580" t="s">
        <v>42</v>
      </c>
      <c r="CB580" t="s">
        <v>42</v>
      </c>
      <c r="CC580" t="s">
        <v>42</v>
      </c>
      <c r="CD580" t="s">
        <v>42</v>
      </c>
      <c r="CE580" t="s">
        <v>42</v>
      </c>
      <c r="CF580" t="s">
        <v>42</v>
      </c>
      <c r="CG580" t="s">
        <v>42</v>
      </c>
      <c r="CH580" t="s">
        <v>42</v>
      </c>
      <c r="CI580" t="s">
        <v>42</v>
      </c>
      <c r="CJ580" t="s">
        <v>42</v>
      </c>
      <c r="CK580" t="s">
        <v>42</v>
      </c>
      <c r="CL580" t="s">
        <v>42</v>
      </c>
      <c r="CM580" t="s">
        <v>42</v>
      </c>
      <c r="CN580" t="s">
        <v>42</v>
      </c>
      <c r="CO580" t="s">
        <v>42</v>
      </c>
      <c r="CP580" t="s">
        <v>42</v>
      </c>
      <c r="CQ580" t="s">
        <v>42</v>
      </c>
      <c r="CR580" t="s">
        <v>42</v>
      </c>
      <c r="CS580" s="4" t="str">
        <f>HYPERLINK("http://exon.niaid.nih.gov/transcriptome/C_felis/S1/links/KOG/cf-contig_568-KOG.txt","Beta amyloid precursor-binding protein")</f>
        <v>Beta amyloid precursor-binding protein</v>
      </c>
      <c r="CT580" t="str">
        <f>HYPERLINK("http://www.ncbi.nlm.nih.gov/COG/grace/shokog.cgi?KOG3605","3.7")</f>
        <v>3.7</v>
      </c>
      <c r="CU580" t="s">
        <v>1721</v>
      </c>
      <c r="CV580" s="4" t="str">
        <f>HYPERLINK("http://exon.niaid.nih.gov/transcriptome/C_felis/S1/links/PFAM/cf-contig_568-PFAM.txt","AHS2")</f>
        <v>AHS2</v>
      </c>
      <c r="CW580" t="str">
        <f>HYPERLINK("http://pfam.sanger.ac.uk/family?acc=PF02626","1.5")</f>
        <v>1.5</v>
      </c>
      <c r="CX580" s="4" t="str">
        <f>HYPERLINK("http://exon.niaid.nih.gov/transcriptome/C_felis/S1/links/SMART/cf-contig_568-SMART.txt","AHS2")</f>
        <v>AHS2</v>
      </c>
      <c r="CY580" t="str">
        <f>HYPERLINK("http://smart.embl-heidelberg.de/smart/do_annotation.pl?DOMAIN=AHS2&amp;BLAST=DUMMY","0.059")</f>
        <v>0.059</v>
      </c>
      <c r="CZ580" s="4" t="s">
        <v>42</v>
      </c>
      <c r="DA580" t="s">
        <v>42</v>
      </c>
      <c r="DB580" t="s">
        <v>42</v>
      </c>
      <c r="DC580" t="s">
        <v>42</v>
      </c>
      <c r="DD580" t="s">
        <v>42</v>
      </c>
      <c r="DE580" t="s">
        <v>42</v>
      </c>
      <c r="DF580" t="s">
        <v>42</v>
      </c>
      <c r="DG580" t="s">
        <v>42</v>
      </c>
      <c r="DH580" s="4" t="s">
        <v>42</v>
      </c>
      <c r="DI580" t="s">
        <v>42</v>
      </c>
      <c r="DJ580" s="4" t="s">
        <v>42</v>
      </c>
      <c r="DK580" t="s">
        <v>42</v>
      </c>
      <c r="DL580" s="4">
        <f>HYPERLINK("http://exon.niaid.nih.gov/transcriptome/C_felis/S1/links/cluster/cf-5-36-asb30-50-Id-CLU86.txt", 86)</f>
        <v>86</v>
      </c>
      <c r="DM580">
        <f>HYPERLINK("http://exon.niaid.nih.gov/transcriptome/C_felis/S1/links/cluster/cf-5-36-asb30-50-Id-CLTL86.txt", 2)</f>
        <v>2</v>
      </c>
      <c r="DN580" s="4">
        <f>HYPERLINK("http://exon.niaid.nih.gov/transcriptome/C_felis/S1/links/cluster/cf-5-36-asb35-50-Id-CLU80.txt", 80)</f>
        <v>80</v>
      </c>
      <c r="DO580">
        <f>HYPERLINK("http://exon.niaid.nih.gov/transcriptome/C_felis/S1/links/cluster/cf-5-36-asb35-50-Id-CLTL80.txt", 2)</f>
        <v>2</v>
      </c>
      <c r="DP580" s="4">
        <f>HYPERLINK("http://exon.niaid.nih.gov/transcriptome/C_felis/S1/links/cluster/cf-5-36-asb40-50-Id-CLU72.txt", 72)</f>
        <v>72</v>
      </c>
      <c r="DQ580">
        <f>HYPERLINK("http://exon.niaid.nih.gov/transcriptome/C_felis/S1/links/cluster/cf-5-36-asb40-50-Id-CLTL72.txt", 2)</f>
        <v>2</v>
      </c>
      <c r="DR580" s="4">
        <v>498</v>
      </c>
      <c r="DS580">
        <v>1</v>
      </c>
      <c r="DT580" s="4">
        <v>510</v>
      </c>
      <c r="DU580">
        <v>1</v>
      </c>
      <c r="DV580" s="4">
        <v>524</v>
      </c>
      <c r="DW580">
        <v>1</v>
      </c>
      <c r="DX580" s="4">
        <v>532</v>
      </c>
      <c r="DY580">
        <v>1</v>
      </c>
      <c r="DZ580" s="4">
        <v>540</v>
      </c>
      <c r="EA580">
        <v>1</v>
      </c>
      <c r="EB580" s="4">
        <v>545</v>
      </c>
      <c r="EC580">
        <v>1</v>
      </c>
      <c r="ED580" s="4">
        <v>549</v>
      </c>
      <c r="EE580">
        <v>1</v>
      </c>
      <c r="EF580" s="4">
        <v>554</v>
      </c>
      <c r="EG580">
        <v>1</v>
      </c>
      <c r="EH580" s="4">
        <v>561</v>
      </c>
      <c r="EI580">
        <v>1</v>
      </c>
      <c r="EJ580" s="4">
        <v>568</v>
      </c>
      <c r="EK580">
        <v>1</v>
      </c>
    </row>
    <row r="581" spans="1:141" x14ac:dyDescent="0.2">
      <c r="A581" t="str">
        <f>HYPERLINK("http://exon.niaid.nih.gov/transcriptome/C_felis/S1/links/cf/cf-contig_542.txt","cf-contig_542")</f>
        <v>cf-contig_542</v>
      </c>
      <c r="B581">
        <v>1</v>
      </c>
      <c r="C581" s="10" t="s">
        <v>4600</v>
      </c>
      <c r="D581">
        <v>1</v>
      </c>
      <c r="E581" t="str">
        <f>HYPERLINK("http://exon.niaid.nih.gov/transcriptome/C_felis/S1/links/cf/cf-5-36-asb-542.txt","Contig-542")</f>
        <v>Contig-542</v>
      </c>
      <c r="F581" t="str">
        <f>HYPERLINK("http://exon.niaid.nih.gov/transcriptome/C_felis/S1/links/cf/cf-5-36-542-CLU.txt","Contig542")</f>
        <v>Contig542</v>
      </c>
      <c r="G581" t="str">
        <f>HYPERLINK("http://exon.niaid.nih.gov/transcriptome/C_felis/S1/links/cf/cf-5-36-542-qual.txt","60.6")</f>
        <v>60.6</v>
      </c>
      <c r="H581" t="s">
        <v>11</v>
      </c>
      <c r="I581">
        <v>63</v>
      </c>
      <c r="J581">
        <v>73</v>
      </c>
      <c r="K581" t="s">
        <v>12</v>
      </c>
      <c r="L581">
        <v>1</v>
      </c>
      <c r="M581" t="s">
        <v>555</v>
      </c>
      <c r="N581">
        <v>73</v>
      </c>
      <c r="O581">
        <v>92</v>
      </c>
      <c r="P581">
        <v>57</v>
      </c>
      <c r="Q581" t="s">
        <v>1361</v>
      </c>
      <c r="R581">
        <v>3</v>
      </c>
      <c r="S581" s="7" t="s">
        <v>4585</v>
      </c>
      <c r="U581">
        <v>1</v>
      </c>
      <c r="V581" s="4">
        <v>444</v>
      </c>
      <c r="W581">
        <v>1</v>
      </c>
      <c r="X581" s="4">
        <v>454</v>
      </c>
      <c r="Y581">
        <v>1</v>
      </c>
      <c r="Z581" s="4">
        <v>460</v>
      </c>
      <c r="AA581">
        <v>1</v>
      </c>
      <c r="AB581" s="4" t="str">
        <f>HYPERLINK("http://exon.niaid.nih.gov/transcriptome/C_felis/S1/links/XC-ASB/cf-contig_542-XC-ASB.txt","XC-contig_16")</f>
        <v>XC-contig_16</v>
      </c>
      <c r="AC581">
        <v>6.9000000000000006E-2</v>
      </c>
      <c r="AD581" s="10" t="s">
        <v>4600</v>
      </c>
      <c r="AE581" t="s">
        <v>4601</v>
      </c>
      <c r="AI581" s="4" t="str">
        <f>HYPERLINK("http://exon.niaid.nih.gov/transcriptome/C_felis/S1/links/NR/cf-contig_542-NR.txt","prostaglandin E2 receptor EP3A subtype")</f>
        <v>prostaglandin E2 receptor EP3A subtype</v>
      </c>
      <c r="AJ581" t="str">
        <f>HYPERLINK("http://www.ncbi.nlm.nih.gov/sutils/blink.cgi?pid=37790758","2.5")</f>
        <v>2.5</v>
      </c>
      <c r="AK581" t="str">
        <f>HYPERLINK("http://www.ncbi.nlm.nih.gov/protein/37790758","gi|37790758")</f>
        <v>gi|37790758</v>
      </c>
      <c r="AL581">
        <v>35.799999999999997</v>
      </c>
      <c r="AM581">
        <v>17</v>
      </c>
      <c r="AN581">
        <v>416</v>
      </c>
      <c r="AO581">
        <v>94</v>
      </c>
      <c r="AP581">
        <v>4</v>
      </c>
      <c r="AQ581">
        <v>1</v>
      </c>
      <c r="AR581">
        <v>0</v>
      </c>
      <c r="AS581">
        <v>399</v>
      </c>
      <c r="AT581">
        <v>6</v>
      </c>
      <c r="AU581">
        <v>1</v>
      </c>
      <c r="AV581">
        <v>3</v>
      </c>
      <c r="AW581" t="s">
        <v>12</v>
      </c>
      <c r="AY581" t="s">
        <v>1676</v>
      </c>
      <c r="AZ581" t="s">
        <v>3660</v>
      </c>
      <c r="BA581" s="4" t="str">
        <f>HYPERLINK("http://exon.niaid.nih.gov/transcriptome/C_felis/S1/links/SWISSP/cf-contig_542-SWISSP.txt","Uncharacterized protein U88")</f>
        <v>Uncharacterized protein U88</v>
      </c>
      <c r="BB581" t="str">
        <f>HYPERLINK("http://www.uniprot.org/uniprot/Q69566","52")</f>
        <v>52</v>
      </c>
      <c r="BC581" t="s">
        <v>2174</v>
      </c>
      <c r="BD581">
        <v>26.6</v>
      </c>
      <c r="BE581">
        <v>200</v>
      </c>
      <c r="BF581">
        <v>413</v>
      </c>
      <c r="BG581">
        <v>58</v>
      </c>
      <c r="BH581">
        <v>49</v>
      </c>
      <c r="BI581">
        <v>5</v>
      </c>
      <c r="BJ581">
        <v>0</v>
      </c>
      <c r="BK581">
        <v>127</v>
      </c>
      <c r="BL581">
        <v>14</v>
      </c>
      <c r="BM581">
        <v>13</v>
      </c>
      <c r="BN581">
        <v>2</v>
      </c>
      <c r="BO581" t="s">
        <v>12</v>
      </c>
      <c r="BQ581" t="s">
        <v>1676</v>
      </c>
      <c r="BR581" t="s">
        <v>2175</v>
      </c>
      <c r="BS581" s="4" t="str">
        <f>HYPERLINK("http://exon.niaid.nih.gov/transcriptome/C_felis/S1/links/CDD/cf-contig_542-CDD.txt","Papilloma_E5")</f>
        <v>Papilloma_E5</v>
      </c>
      <c r="BT581" t="str">
        <f>HYPERLINK("http://www.ncbi.nlm.nih.gov/Structure/cdd/cddsrv.cgi?uid=pfam03025&amp;version=v4.0","2.3")</f>
        <v>2.3</v>
      </c>
      <c r="BU581" t="s">
        <v>3661</v>
      </c>
      <c r="BV581" s="4" t="s">
        <v>42</v>
      </c>
      <c r="BW581" t="s">
        <v>42</v>
      </c>
      <c r="BX581" t="s">
        <v>42</v>
      </c>
      <c r="BY581" t="s">
        <v>42</v>
      </c>
      <c r="BZ581" t="s">
        <v>42</v>
      </c>
      <c r="CA581" t="s">
        <v>42</v>
      </c>
      <c r="CB581" t="s">
        <v>42</v>
      </c>
      <c r="CC581" t="s">
        <v>42</v>
      </c>
      <c r="CD581" t="s">
        <v>42</v>
      </c>
      <c r="CE581" t="s">
        <v>42</v>
      </c>
      <c r="CF581" t="s">
        <v>42</v>
      </c>
      <c r="CG581" t="s">
        <v>42</v>
      </c>
      <c r="CH581" t="s">
        <v>42</v>
      </c>
      <c r="CI581" t="s">
        <v>42</v>
      </c>
      <c r="CJ581" t="s">
        <v>42</v>
      </c>
      <c r="CK581" t="s">
        <v>42</v>
      </c>
      <c r="CL581" t="s">
        <v>42</v>
      </c>
      <c r="CM581" t="s">
        <v>42</v>
      </c>
      <c r="CN581" t="s">
        <v>42</v>
      </c>
      <c r="CO581" t="s">
        <v>42</v>
      </c>
      <c r="CP581" t="s">
        <v>42</v>
      </c>
      <c r="CQ581" t="s">
        <v>42</v>
      </c>
      <c r="CR581" t="s">
        <v>42</v>
      </c>
      <c r="CS581" s="4" t="str">
        <f>HYPERLINK("http://exon.niaid.nih.gov/transcriptome/C_felis/S1/links/KOG/cf-contig_542-KOG.txt","Predicted E3 ubiquitin ligase")</f>
        <v>Predicted E3 ubiquitin ligase</v>
      </c>
      <c r="CT581" t="str">
        <f>HYPERLINK("http://www.ncbi.nlm.nih.gov/COG/grace/shokog.cgi?KOG2231","7.7")</f>
        <v>7.7</v>
      </c>
      <c r="CU581" t="s">
        <v>2198</v>
      </c>
      <c r="CV581" s="4" t="str">
        <f>HYPERLINK("http://exon.niaid.nih.gov/transcriptome/C_felis/S1/links/PFAM/cf-contig_542-PFAM.txt","Papilloma_E5")</f>
        <v>Papilloma_E5</v>
      </c>
      <c r="CW581" t="str">
        <f>HYPERLINK("http://pfam.sanger.ac.uk/family?acc=PF03025","0.50")</f>
        <v>0.50</v>
      </c>
      <c r="CX581" s="4" t="str">
        <f>HYPERLINK("http://exon.niaid.nih.gov/transcriptome/C_felis/S1/links/SMART/cf-contig_542-SMART.txt","LITAF")</f>
        <v>LITAF</v>
      </c>
      <c r="CY581" t="str">
        <f>HYPERLINK("http://smart.embl-heidelberg.de/smart/do_annotation.pl?DOMAIN=LITAF&amp;BLAST=DUMMY","0.44")</f>
        <v>0.44</v>
      </c>
      <c r="CZ581" s="4" t="s">
        <v>42</v>
      </c>
      <c r="DA581" t="s">
        <v>42</v>
      </c>
      <c r="DB581" t="s">
        <v>42</v>
      </c>
      <c r="DC581" t="s">
        <v>42</v>
      </c>
      <c r="DD581" t="s">
        <v>42</v>
      </c>
      <c r="DE581" t="s">
        <v>42</v>
      </c>
      <c r="DF581" t="s">
        <v>42</v>
      </c>
      <c r="DG581" t="s">
        <v>42</v>
      </c>
      <c r="DH581" s="4" t="s">
        <v>42</v>
      </c>
      <c r="DI581" t="s">
        <v>42</v>
      </c>
      <c r="DJ581" s="4" t="s">
        <v>42</v>
      </c>
      <c r="DK581" t="s">
        <v>42</v>
      </c>
      <c r="DL581" s="4">
        <v>444</v>
      </c>
      <c r="DM581">
        <v>1</v>
      </c>
      <c r="DN581" s="4">
        <v>454</v>
      </c>
      <c r="DO581">
        <v>1</v>
      </c>
      <c r="DP581" s="4">
        <v>460</v>
      </c>
      <c r="DQ581">
        <v>1</v>
      </c>
      <c r="DR581" s="4">
        <v>475</v>
      </c>
      <c r="DS581">
        <v>1</v>
      </c>
      <c r="DT581" s="4">
        <v>487</v>
      </c>
      <c r="DU581">
        <v>1</v>
      </c>
      <c r="DV581" s="4">
        <v>501</v>
      </c>
      <c r="DW581">
        <v>1</v>
      </c>
      <c r="DX581" s="4">
        <v>507</v>
      </c>
      <c r="DY581">
        <v>1</v>
      </c>
      <c r="DZ581" s="4">
        <v>515</v>
      </c>
      <c r="EA581">
        <v>1</v>
      </c>
      <c r="EB581" s="4">
        <v>520</v>
      </c>
      <c r="EC581">
        <v>1</v>
      </c>
      <c r="ED581" s="4">
        <v>524</v>
      </c>
      <c r="EE581">
        <v>1</v>
      </c>
      <c r="EF581" s="4">
        <v>529</v>
      </c>
      <c r="EG581">
        <v>1</v>
      </c>
      <c r="EH581" s="4">
        <v>535</v>
      </c>
      <c r="EI581">
        <v>1</v>
      </c>
      <c r="EJ581" s="4">
        <v>542</v>
      </c>
      <c r="EK581">
        <v>1</v>
      </c>
    </row>
    <row r="582" spans="1:141" x14ac:dyDescent="0.2">
      <c r="A582" t="str">
        <f>HYPERLINK("http://exon.niaid.nih.gov/transcriptome/C_felis/S1/links/cf/cf-contig_131.txt","cf-contig_131")</f>
        <v>cf-contig_131</v>
      </c>
      <c r="B582">
        <v>4</v>
      </c>
      <c r="C582" s="10" t="s">
        <v>4600</v>
      </c>
      <c r="D582">
        <v>4</v>
      </c>
      <c r="E582" t="str">
        <f>HYPERLINK("http://exon.niaid.nih.gov/transcriptome/C_felis/S1/links/cf/cf-5-36-asb-131.txt","Contig-131")</f>
        <v>Contig-131</v>
      </c>
      <c r="F582" t="str">
        <f>HYPERLINK("http://exon.niaid.nih.gov/transcriptome/C_felis/S1/links/cf/cf-5-36-131-CLU.txt","Contig131")</f>
        <v>Contig131</v>
      </c>
      <c r="G582" t="str">
        <f>HYPERLINK("http://exon.niaid.nih.gov/transcriptome/C_felis/S1/links/cf/cf-5-36-131-qual.txt","88.7")</f>
        <v>88.7</v>
      </c>
      <c r="H582" t="s">
        <v>11</v>
      </c>
      <c r="I582">
        <v>66.7</v>
      </c>
      <c r="J582">
        <v>407</v>
      </c>
      <c r="K582" t="s">
        <v>12</v>
      </c>
      <c r="L582">
        <v>4</v>
      </c>
      <c r="M582" t="s">
        <v>144</v>
      </c>
      <c r="N582">
        <v>407</v>
      </c>
      <c r="O582">
        <v>426</v>
      </c>
      <c r="P582">
        <v>336</v>
      </c>
      <c r="Q582" t="s">
        <v>951</v>
      </c>
      <c r="R582">
        <v>1</v>
      </c>
      <c r="S582" s="7" t="s">
        <v>4585</v>
      </c>
      <c r="U582">
        <v>4</v>
      </c>
      <c r="V582" s="4">
        <f>HYPERLINK("http://exon.niaid.nih.gov/transcriptome/C_felis/S1/links/cluster/cf-5-36-asb30-50-Id-CLU19.txt", 19)</f>
        <v>19</v>
      </c>
      <c r="W582">
        <f>HYPERLINK("http://exon.niaid.nih.gov/transcriptome/C_felis/S1/links/cluster/cf-5-36-asb30-50-Id-CLTL19.txt", 3)</f>
        <v>3</v>
      </c>
      <c r="X582" s="4">
        <f>HYPERLINK("http://exon.niaid.nih.gov/transcriptome/C_felis/S1/links/cluster/cf-5-36-asb35-50-Id-CLU35.txt", 35)</f>
        <v>35</v>
      </c>
      <c r="Y582">
        <f>HYPERLINK("http://exon.niaid.nih.gov/transcriptome/C_felis/S1/links/cluster/cf-5-36-asb35-50-Id-CLTL35.txt", 2)</f>
        <v>2</v>
      </c>
      <c r="Z582" s="4">
        <f>HYPERLINK("http://exon.niaid.nih.gov/transcriptome/C_felis/S1/links/cluster/cf-5-36-asb40-50-Id-CLU33.txt", 33)</f>
        <v>33</v>
      </c>
      <c r="AA582">
        <f>HYPERLINK("http://exon.niaid.nih.gov/transcriptome/C_felis/S1/links/cluster/cf-5-36-asb40-50-Id-CLTL33.txt", 2)</f>
        <v>2</v>
      </c>
      <c r="AB582" s="4" t="str">
        <f>HYPERLINK("http://exon.niaid.nih.gov/transcriptome/C_felis/S1/links/XC-ASB/cf-contig_131-XC-ASB.txt","XC-contig_156")</f>
        <v>XC-contig_156</v>
      </c>
      <c r="AC582">
        <v>8.8999999999999996E-2</v>
      </c>
      <c r="AD582" s="10" t="s">
        <v>4600</v>
      </c>
      <c r="AE582" t="s">
        <v>4601</v>
      </c>
      <c r="AI582" s="4" t="str">
        <f>HYPERLINK("http://exon.niaid.nih.gov/transcriptome/C_felis/S1/links/NR/cf-contig_131-NR.txt","hypothetical protein CATMIT_01386")</f>
        <v>hypothetical protein CATMIT_01386</v>
      </c>
      <c r="AJ582" t="str">
        <f>HYPERLINK("http://www.ncbi.nlm.nih.gov/sutils/blink.cgi?pid=224542211","0.027")</f>
        <v>0.027</v>
      </c>
      <c r="AK582" t="str">
        <f>HYPERLINK("http://www.ncbi.nlm.nih.gov/protein/224542211","gi|224542211")</f>
        <v>gi|224542211</v>
      </c>
      <c r="AL582">
        <v>42.4</v>
      </c>
      <c r="AM582">
        <v>116</v>
      </c>
      <c r="AN582">
        <v>296</v>
      </c>
      <c r="AO582">
        <v>32</v>
      </c>
      <c r="AP582">
        <v>40</v>
      </c>
      <c r="AQ582">
        <v>80</v>
      </c>
      <c r="AR582">
        <v>3</v>
      </c>
      <c r="AS582">
        <v>160</v>
      </c>
      <c r="AT582">
        <v>55</v>
      </c>
      <c r="AU582">
        <v>1</v>
      </c>
      <c r="AV582">
        <v>-1</v>
      </c>
      <c r="AW582" t="s">
        <v>12</v>
      </c>
      <c r="AY582" t="s">
        <v>1666</v>
      </c>
      <c r="AZ582" t="s">
        <v>2162</v>
      </c>
      <c r="BA582" s="4" t="str">
        <f>HYPERLINK("http://exon.niaid.nih.gov/transcriptome/C_felis/S1/links/SWISSP/cf-contig_131-SWISSP.txt","Multiple epidermal growth factor-like domains protein 8")</f>
        <v>Multiple epidermal growth factor-like domains protein 8</v>
      </c>
      <c r="BB582" t="str">
        <f>HYPERLINK("http://www.uniprot.org/uniprot/Q7Z7M0","0.35")</f>
        <v>0.35</v>
      </c>
      <c r="BC582" t="s">
        <v>2163</v>
      </c>
      <c r="BD582">
        <v>33.9</v>
      </c>
      <c r="BE582">
        <v>84</v>
      </c>
      <c r="BF582">
        <v>2845</v>
      </c>
      <c r="BG582">
        <v>25</v>
      </c>
      <c r="BH582">
        <v>3</v>
      </c>
      <c r="BI582">
        <v>78</v>
      </c>
      <c r="BJ582">
        <v>1</v>
      </c>
      <c r="BK582">
        <v>2303</v>
      </c>
      <c r="BL582">
        <v>13</v>
      </c>
      <c r="BM582">
        <v>1</v>
      </c>
      <c r="BN582">
        <v>1</v>
      </c>
      <c r="BO582" t="s">
        <v>12</v>
      </c>
      <c r="BQ582" t="s">
        <v>1676</v>
      </c>
      <c r="BR582" t="s">
        <v>1690</v>
      </c>
      <c r="BS582" s="4" t="str">
        <f>HYPERLINK("http://exon.niaid.nih.gov/transcriptome/C_felis/S1/links/CDD/cf-contig_131-CDD.txt","Glyco_transf_22")</f>
        <v>Glyco_transf_22</v>
      </c>
      <c r="BT582" t="str">
        <f>HYPERLINK("http://www.ncbi.nlm.nih.gov/Structure/cdd/cddsrv.cgi?uid=pfam03901&amp;version=v4.0","0.006")</f>
        <v>0.006</v>
      </c>
      <c r="BU582" t="s">
        <v>2164</v>
      </c>
      <c r="BV582" s="4" t="s">
        <v>42</v>
      </c>
      <c r="BW582" t="s">
        <v>42</v>
      </c>
      <c r="BX582" t="s">
        <v>42</v>
      </c>
      <c r="BY582" t="s">
        <v>42</v>
      </c>
      <c r="BZ582" t="s">
        <v>42</v>
      </c>
      <c r="CA582" t="s">
        <v>42</v>
      </c>
      <c r="CB582" t="s">
        <v>42</v>
      </c>
      <c r="CC582" t="s">
        <v>42</v>
      </c>
      <c r="CD582" t="s">
        <v>42</v>
      </c>
      <c r="CE582" t="s">
        <v>42</v>
      </c>
      <c r="CF582" t="s">
        <v>42</v>
      </c>
      <c r="CG582" t="s">
        <v>42</v>
      </c>
      <c r="CH582" t="s">
        <v>42</v>
      </c>
      <c r="CI582" t="s">
        <v>42</v>
      </c>
      <c r="CJ582" t="s">
        <v>42</v>
      </c>
      <c r="CK582" t="s">
        <v>42</v>
      </c>
      <c r="CL582" t="s">
        <v>42</v>
      </c>
      <c r="CM582" t="s">
        <v>42</v>
      </c>
      <c r="CN582" t="s">
        <v>42</v>
      </c>
      <c r="CO582" t="s">
        <v>42</v>
      </c>
      <c r="CP582" t="s">
        <v>42</v>
      </c>
      <c r="CQ582" t="s">
        <v>42</v>
      </c>
      <c r="CR582" t="s">
        <v>42</v>
      </c>
      <c r="CS582" s="4" t="str">
        <f>HYPERLINK("http://exon.niaid.nih.gov/transcriptome/C_felis/S1/links/KOG/cf-contig_131-KOG.txt","Mannosyltransferase")</f>
        <v>Mannosyltransferase</v>
      </c>
      <c r="CT582" t="str">
        <f>HYPERLINK("http://www.ncbi.nlm.nih.gov/COG/grace/shokog.cgi?KOG2515","0.061")</f>
        <v>0.061</v>
      </c>
      <c r="CU582" t="s">
        <v>2165</v>
      </c>
      <c r="CV582" s="4" t="str">
        <f>HYPERLINK("http://exon.niaid.nih.gov/transcriptome/C_felis/S1/links/PFAM/cf-contig_131-PFAM.txt","Glyco_transf_22")</f>
        <v>Glyco_transf_22</v>
      </c>
      <c r="CW582" t="str">
        <f>HYPERLINK("http://pfam.sanger.ac.uk/family?acc=PF03901","0.001")</f>
        <v>0.001</v>
      </c>
      <c r="CX582" s="4" t="str">
        <f>HYPERLINK("http://exon.niaid.nih.gov/transcriptome/C_felis/S1/links/SMART/cf-contig_131-SMART.txt","Knot1")</f>
        <v>Knot1</v>
      </c>
      <c r="CY582" t="str">
        <f>HYPERLINK("http://smart.embl-heidelberg.de/smart/do_annotation.pl?DOMAIN=Knot1&amp;BLAST=DUMMY","0.001")</f>
        <v>0.001</v>
      </c>
      <c r="CZ582" s="4" t="s">
        <v>42</v>
      </c>
      <c r="DA582" t="s">
        <v>42</v>
      </c>
      <c r="DB582" t="s">
        <v>42</v>
      </c>
      <c r="DC582" t="s">
        <v>42</v>
      </c>
      <c r="DD582" t="s">
        <v>42</v>
      </c>
      <c r="DE582" t="s">
        <v>42</v>
      </c>
      <c r="DF582" t="s">
        <v>42</v>
      </c>
      <c r="DG582" t="s">
        <v>42</v>
      </c>
      <c r="DH582" s="4" t="s">
        <v>42</v>
      </c>
      <c r="DI582" t="s">
        <v>42</v>
      </c>
      <c r="DJ582" s="4" t="s">
        <v>42</v>
      </c>
      <c r="DK582" t="s">
        <v>42</v>
      </c>
      <c r="DL582" s="4">
        <f>HYPERLINK("http://exon.niaid.nih.gov/transcriptome/C_felis/S1/links/cluster/cf-5-36-asb30-50-Id-CLU19.txt", 19)</f>
        <v>19</v>
      </c>
      <c r="DM582">
        <f>HYPERLINK("http://exon.niaid.nih.gov/transcriptome/C_felis/S1/links/cluster/cf-5-36-asb30-50-Id-CLTL19.txt", 3)</f>
        <v>3</v>
      </c>
      <c r="DN582" s="4">
        <f>HYPERLINK("http://exon.niaid.nih.gov/transcriptome/C_felis/S1/links/cluster/cf-5-36-asb35-50-Id-CLU35.txt", 35)</f>
        <v>35</v>
      </c>
      <c r="DO582">
        <f>HYPERLINK("http://exon.niaid.nih.gov/transcriptome/C_felis/S1/links/cluster/cf-5-36-asb35-50-Id-CLTL35.txt", 2)</f>
        <v>2</v>
      </c>
      <c r="DP582" s="4">
        <f>HYPERLINK("http://exon.niaid.nih.gov/transcriptome/C_felis/S1/links/cluster/cf-5-36-asb40-50-Id-CLU33.txt", 33)</f>
        <v>33</v>
      </c>
      <c r="DQ582">
        <f>HYPERLINK("http://exon.niaid.nih.gov/transcriptome/C_felis/S1/links/cluster/cf-5-36-asb40-50-Id-CLTL33.txt", 2)</f>
        <v>2</v>
      </c>
      <c r="DR582" s="4">
        <f>HYPERLINK("http://exon.niaid.nih.gov/transcriptome/C_felis/S1/links/cluster/cf-5-36-asb45-50-Id-CLU30.txt", 30)</f>
        <v>30</v>
      </c>
      <c r="DS582">
        <f>HYPERLINK("http://exon.niaid.nih.gov/transcriptome/C_felis/S1/links/cluster/cf-5-36-asb45-50-Id-CLTL30.txt", 2)</f>
        <v>2</v>
      </c>
      <c r="DT582" s="4">
        <f>HYPERLINK("http://exon.niaid.nih.gov/transcriptome/C_felis/S1/links/cluster/cf-5-36-asb50-50-Id-CLU26.txt", 26)</f>
        <v>26</v>
      </c>
      <c r="DU582">
        <f>HYPERLINK("http://exon.niaid.nih.gov/transcriptome/C_felis/S1/links/cluster/cf-5-36-asb50-50-Id-CLTL26.txt", 2)</f>
        <v>2</v>
      </c>
      <c r="DV582" s="4">
        <f>HYPERLINK("http://exon.niaid.nih.gov/transcriptome/C_felis/S1/links/cluster/cf-5-36-asb55-50-Id-CLU23.txt", 23)</f>
        <v>23</v>
      </c>
      <c r="DW582">
        <f>HYPERLINK("http://exon.niaid.nih.gov/transcriptome/C_felis/S1/links/cluster/cf-5-36-asb55-50-Id-CLTL23.txt", 2)</f>
        <v>2</v>
      </c>
      <c r="DX582" s="4">
        <f>HYPERLINK("http://exon.niaid.nih.gov/transcriptome/C_felis/S1/links/cluster/cf-5-36-asb60-50-Id-CLU20.txt", 20)</f>
        <v>20</v>
      </c>
      <c r="DY582">
        <f>HYPERLINK("http://exon.niaid.nih.gov/transcriptome/C_felis/S1/links/cluster/cf-5-36-asb60-50-Id-CLTL20.txt", 2)</f>
        <v>2</v>
      </c>
      <c r="DZ582" s="4">
        <f>HYPERLINK("http://exon.niaid.nih.gov/transcriptome/C_felis/S1/links/cluster/cf-5-36-asb65-50-Id-CLU17.txt", 17)</f>
        <v>17</v>
      </c>
      <c r="EA582">
        <f>HYPERLINK("http://exon.niaid.nih.gov/transcriptome/C_felis/S1/links/cluster/cf-5-36-asb65-50-Id-CLTL17.txt", 2)</f>
        <v>2</v>
      </c>
      <c r="EB582" s="4">
        <f>HYPERLINK("http://exon.niaid.nih.gov/transcriptome/C_felis/S1/links/cluster/cf-5-36-asb70-50-Id-CLU13.txt", 13)</f>
        <v>13</v>
      </c>
      <c r="EC582">
        <f>HYPERLINK("http://exon.niaid.nih.gov/transcriptome/C_felis/S1/links/cluster/cf-5-36-asb70-50-Id-CLTL13.txt", 2)</f>
        <v>2</v>
      </c>
      <c r="ED582" s="4">
        <f>HYPERLINK("http://exon.niaid.nih.gov/transcriptome/C_felis/S1/links/cluster/cf-5-36-asb75-50-Id-CLU11.txt", 11)</f>
        <v>11</v>
      </c>
      <c r="EE582">
        <f>HYPERLINK("http://exon.niaid.nih.gov/transcriptome/C_felis/S1/links/cluster/cf-5-36-asb75-50-Id-CLTL11.txt", 2)</f>
        <v>2</v>
      </c>
      <c r="EF582" s="4">
        <v>133</v>
      </c>
      <c r="EG582">
        <v>1</v>
      </c>
      <c r="EH582" s="4">
        <v>130</v>
      </c>
      <c r="EI582">
        <v>1</v>
      </c>
      <c r="EJ582" s="4">
        <v>131</v>
      </c>
      <c r="EK582">
        <v>1</v>
      </c>
    </row>
    <row r="583" spans="1:141" x14ac:dyDescent="0.2">
      <c r="A583" t="str">
        <f>HYPERLINK("http://exon.niaid.nih.gov/transcriptome/C_felis/S1/links/cf/cf-contig_474.txt","cf-contig_474")</f>
        <v>cf-contig_474</v>
      </c>
      <c r="B583">
        <v>1</v>
      </c>
      <c r="C583" s="10" t="s">
        <v>4600</v>
      </c>
      <c r="D583">
        <v>1</v>
      </c>
      <c r="E583" t="str">
        <f>HYPERLINK("http://exon.niaid.nih.gov/transcriptome/C_felis/S1/links/cf/cf-5-36-asb-474.txt","Contig-474")</f>
        <v>Contig-474</v>
      </c>
      <c r="F583" t="str">
        <f>HYPERLINK("http://exon.niaid.nih.gov/transcriptome/C_felis/S1/links/cf/cf-5-36-474-CLU.txt","Contig474")</f>
        <v>Contig474</v>
      </c>
      <c r="G583" t="str">
        <f>HYPERLINK("http://exon.niaid.nih.gov/transcriptome/C_felis/S1/links/cf/cf-5-36-474-qual.txt","38.4")</f>
        <v>38.4</v>
      </c>
      <c r="H583" t="s">
        <v>11</v>
      </c>
      <c r="I583">
        <v>76.400000000000006</v>
      </c>
      <c r="J583">
        <v>282</v>
      </c>
      <c r="K583" t="s">
        <v>12</v>
      </c>
      <c r="L583">
        <v>1</v>
      </c>
      <c r="M583" t="s">
        <v>487</v>
      </c>
      <c r="N583">
        <v>282</v>
      </c>
      <c r="O583">
        <v>301</v>
      </c>
      <c r="P583">
        <v>102</v>
      </c>
      <c r="Q583" t="s">
        <v>1293</v>
      </c>
      <c r="R583">
        <v>3</v>
      </c>
      <c r="S583" s="7" t="s">
        <v>4585</v>
      </c>
      <c r="U583">
        <v>1</v>
      </c>
      <c r="V583" s="4">
        <v>385</v>
      </c>
      <c r="W583">
        <v>1</v>
      </c>
      <c r="X583" s="4">
        <v>394</v>
      </c>
      <c r="Y583">
        <v>1</v>
      </c>
      <c r="Z583" s="4">
        <v>399</v>
      </c>
      <c r="AA583">
        <v>1</v>
      </c>
      <c r="AB583" s="4" t="str">
        <f>HYPERLINK("http://exon.niaid.nih.gov/transcriptome/C_felis/S1/links/XC-ASB/cf-contig_474-XC-ASB.txt","XC-contig_234")</f>
        <v>XC-contig_234</v>
      </c>
      <c r="AC583">
        <v>4.1000000000000002E-2</v>
      </c>
      <c r="AD583" s="10" t="s">
        <v>4600</v>
      </c>
      <c r="AE583" t="s">
        <v>4601</v>
      </c>
      <c r="AI583" s="4" t="str">
        <f>HYPERLINK("http://exon.niaid.nih.gov/transcriptome/C_felis/S1/links/NR/cf-contig_474-NR.txt","olfactory receptor 6C2-like")</f>
        <v>olfactory receptor 6C2-like</v>
      </c>
      <c r="AJ583" t="str">
        <f>HYPERLINK("http://www.ncbi.nlm.nih.gov/sutils/blink.cgi?pid=348581012","5.6")</f>
        <v>5.6</v>
      </c>
      <c r="AK583" t="str">
        <f>HYPERLINK("http://www.ncbi.nlm.nih.gov/protein/348581012","gi|348581012")</f>
        <v>gi|348581012</v>
      </c>
      <c r="AL583">
        <v>34.700000000000003</v>
      </c>
      <c r="AM583">
        <v>48</v>
      </c>
      <c r="AN583">
        <v>311</v>
      </c>
      <c r="AO583">
        <v>40</v>
      </c>
      <c r="AP583">
        <v>16</v>
      </c>
      <c r="AQ583">
        <v>33</v>
      </c>
      <c r="AR583">
        <v>3</v>
      </c>
      <c r="AS583">
        <v>204</v>
      </c>
      <c r="AT583">
        <v>6</v>
      </c>
      <c r="AU583">
        <v>1</v>
      </c>
      <c r="AV583">
        <v>-3</v>
      </c>
      <c r="AW583" t="s">
        <v>12</v>
      </c>
      <c r="AX583">
        <v>4.1669999999999998</v>
      </c>
      <c r="AY583" t="s">
        <v>1666</v>
      </c>
      <c r="AZ583" t="s">
        <v>3400</v>
      </c>
      <c r="BA583" s="4" t="str">
        <f>HYPERLINK("http://exon.niaid.nih.gov/transcriptome/C_felis/S1/links/SWISSP/cf-contig_474-SWISSP.txt","Olfactory receptor 6C2")</f>
        <v>Olfactory receptor 6C2</v>
      </c>
      <c r="BB583" t="str">
        <f>HYPERLINK("http://www.uniprot.org/uniprot/Q9NZP2","2.2")</f>
        <v>2.2</v>
      </c>
      <c r="BC583" t="s">
        <v>3401</v>
      </c>
      <c r="BD583">
        <v>31.2</v>
      </c>
      <c r="BE583">
        <v>41</v>
      </c>
      <c r="BF583">
        <v>312</v>
      </c>
      <c r="BG583">
        <v>41</v>
      </c>
      <c r="BH583">
        <v>13</v>
      </c>
      <c r="BI583">
        <v>28</v>
      </c>
      <c r="BJ583">
        <v>3</v>
      </c>
      <c r="BK583">
        <v>212</v>
      </c>
      <c r="BL583">
        <v>6</v>
      </c>
      <c r="BM583">
        <v>1</v>
      </c>
      <c r="BN583">
        <v>-3</v>
      </c>
      <c r="BO583" t="s">
        <v>12</v>
      </c>
      <c r="BP583">
        <v>4.8780000000000001</v>
      </c>
      <c r="BQ583" t="s">
        <v>1666</v>
      </c>
      <c r="BR583" t="s">
        <v>1690</v>
      </c>
      <c r="BS583" s="4" t="str">
        <f>HYPERLINK("http://exon.niaid.nih.gov/transcriptome/C_felis/S1/links/CDD/cf-contig_474-CDD.txt","ND5")</f>
        <v>ND5</v>
      </c>
      <c r="BT583" t="str">
        <f>HYPERLINK("http://www.ncbi.nlm.nih.gov/Structure/cdd/cddsrv.cgi?uid=MTH00063&amp;version=v4.0","0.17")</f>
        <v>0.17</v>
      </c>
      <c r="BU583" t="s">
        <v>3402</v>
      </c>
      <c r="BV583" s="4" t="s">
        <v>42</v>
      </c>
      <c r="BW583" t="s">
        <v>42</v>
      </c>
      <c r="BX583" t="s">
        <v>42</v>
      </c>
      <c r="BY583" t="s">
        <v>42</v>
      </c>
      <c r="BZ583" t="s">
        <v>42</v>
      </c>
      <c r="CA583" t="s">
        <v>42</v>
      </c>
      <c r="CB583" t="s">
        <v>42</v>
      </c>
      <c r="CC583" t="s">
        <v>42</v>
      </c>
      <c r="CD583" t="s">
        <v>42</v>
      </c>
      <c r="CE583" t="s">
        <v>42</v>
      </c>
      <c r="CF583" t="s">
        <v>42</v>
      </c>
      <c r="CG583" t="s">
        <v>42</v>
      </c>
      <c r="CH583" t="s">
        <v>42</v>
      </c>
      <c r="CI583" t="s">
        <v>42</v>
      </c>
      <c r="CJ583" t="s">
        <v>42</v>
      </c>
      <c r="CK583" t="s">
        <v>42</v>
      </c>
      <c r="CL583" t="s">
        <v>42</v>
      </c>
      <c r="CM583" t="s">
        <v>42</v>
      </c>
      <c r="CN583" t="s">
        <v>42</v>
      </c>
      <c r="CO583" t="s">
        <v>42</v>
      </c>
      <c r="CP583" t="s">
        <v>42</v>
      </c>
      <c r="CQ583" t="s">
        <v>42</v>
      </c>
      <c r="CR583" t="s">
        <v>42</v>
      </c>
      <c r="CS583" s="4" t="str">
        <f>HYPERLINK("http://exon.niaid.nih.gov/transcriptome/C_felis/S1/links/KOG/cf-contig_474-KOG.txt","Phosphatidylserine synthase")</f>
        <v>Phosphatidylserine synthase</v>
      </c>
      <c r="CT583" t="str">
        <f>HYPERLINK("http://www.ncbi.nlm.nih.gov/COG/grace/shokog.cgi?KOG2735","1.8")</f>
        <v>1.8</v>
      </c>
      <c r="CU583" t="s">
        <v>1761</v>
      </c>
      <c r="CV583" s="4" t="str">
        <f>HYPERLINK("http://exon.niaid.nih.gov/transcriptome/C_felis/S1/links/PFAM/cf-contig_474-PFAM.txt","MatK_N")</f>
        <v>MatK_N</v>
      </c>
      <c r="CW583" t="str">
        <f>HYPERLINK("http://pfam.sanger.ac.uk/family?acc=PF01824","0.045")</f>
        <v>0.045</v>
      </c>
      <c r="CX583" s="4" t="str">
        <f>HYPERLINK("http://exon.niaid.nih.gov/transcriptome/C_felis/S1/links/SMART/cf-contig_474-SMART.txt","MYSc")</f>
        <v>MYSc</v>
      </c>
      <c r="CY583" t="str">
        <f>HYPERLINK("http://smart.embl-heidelberg.de/smart/do_annotation.pl?DOMAIN=MYSc&amp;BLAST=DUMMY","0.30")</f>
        <v>0.30</v>
      </c>
      <c r="CZ583" s="4" t="s">
        <v>42</v>
      </c>
      <c r="DA583" t="s">
        <v>42</v>
      </c>
      <c r="DB583" t="s">
        <v>42</v>
      </c>
      <c r="DC583" t="s">
        <v>42</v>
      </c>
      <c r="DD583" t="s">
        <v>42</v>
      </c>
      <c r="DE583" t="s">
        <v>42</v>
      </c>
      <c r="DF583" t="s">
        <v>42</v>
      </c>
      <c r="DG583" t="s">
        <v>42</v>
      </c>
      <c r="DH583" s="4" t="s">
        <v>42</v>
      </c>
      <c r="DI583" t="s">
        <v>42</v>
      </c>
      <c r="DJ583" s="4" t="s">
        <v>42</v>
      </c>
      <c r="DK583" t="s">
        <v>42</v>
      </c>
      <c r="DL583" s="4">
        <v>385</v>
      </c>
      <c r="DM583">
        <v>1</v>
      </c>
      <c r="DN583" s="4">
        <v>394</v>
      </c>
      <c r="DO583">
        <v>1</v>
      </c>
      <c r="DP583" s="4">
        <v>399</v>
      </c>
      <c r="DQ583">
        <v>1</v>
      </c>
      <c r="DR583" s="4">
        <v>414</v>
      </c>
      <c r="DS583">
        <v>1</v>
      </c>
      <c r="DT583" s="4">
        <v>424</v>
      </c>
      <c r="DU583">
        <v>1</v>
      </c>
      <c r="DV583" s="4">
        <v>438</v>
      </c>
      <c r="DW583">
        <v>1</v>
      </c>
      <c r="DX583" s="4">
        <v>442</v>
      </c>
      <c r="DY583">
        <v>1</v>
      </c>
      <c r="DZ583" s="4">
        <v>448</v>
      </c>
      <c r="EA583">
        <v>1</v>
      </c>
      <c r="EB583" s="4">
        <v>453</v>
      </c>
      <c r="EC583">
        <v>1</v>
      </c>
      <c r="ED583" s="4">
        <v>457</v>
      </c>
      <c r="EE583">
        <v>1</v>
      </c>
      <c r="EF583" s="4">
        <v>462</v>
      </c>
      <c r="EG583">
        <v>1</v>
      </c>
      <c r="EH583" s="4">
        <v>468</v>
      </c>
      <c r="EI583">
        <v>1</v>
      </c>
      <c r="EJ583" s="4">
        <v>474</v>
      </c>
      <c r="EK583">
        <v>1</v>
      </c>
    </row>
    <row r="584" spans="1:141" x14ac:dyDescent="0.2">
      <c r="A584" t="str">
        <f>HYPERLINK("http://exon.niaid.nih.gov/transcriptome/C_felis/S1/links/cf/cf-contig_641.txt","cf-contig_641")</f>
        <v>cf-contig_641</v>
      </c>
      <c r="B584">
        <v>1</v>
      </c>
      <c r="C584" s="10" t="s">
        <v>4600</v>
      </c>
      <c r="D584">
        <v>1</v>
      </c>
      <c r="E584" t="str">
        <f>HYPERLINK("http://exon.niaid.nih.gov/transcriptome/C_felis/S1/links/cf/cf-5-36-asb-641.txt","Contig-641")</f>
        <v>Contig-641</v>
      </c>
      <c r="F584" t="str">
        <f>HYPERLINK("http://exon.niaid.nih.gov/transcriptome/C_felis/S1/links/cf/cf-5-36-641-CLU.txt","Contig641")</f>
        <v>Contig641</v>
      </c>
      <c r="G584" t="str">
        <f>HYPERLINK("http://exon.niaid.nih.gov/transcriptome/C_felis/S1/links/cf/cf-5-36-641-qual.txt","62.8")</f>
        <v>62.8</v>
      </c>
      <c r="H584">
        <v>0.4</v>
      </c>
      <c r="I584">
        <v>67.7</v>
      </c>
      <c r="J584">
        <v>455</v>
      </c>
      <c r="K584" t="s">
        <v>12</v>
      </c>
      <c r="L584">
        <v>1</v>
      </c>
      <c r="M584" t="s">
        <v>654</v>
      </c>
      <c r="N584">
        <v>455</v>
      </c>
      <c r="O584">
        <v>474</v>
      </c>
      <c r="P584">
        <v>174</v>
      </c>
      <c r="Q584" t="s">
        <v>1460</v>
      </c>
      <c r="R584">
        <v>3</v>
      </c>
      <c r="S584" s="7" t="s">
        <v>4585</v>
      </c>
      <c r="U584">
        <v>1</v>
      </c>
      <c r="V584" s="4">
        <v>525</v>
      </c>
      <c r="W584">
        <v>1</v>
      </c>
      <c r="X584" s="4">
        <v>537</v>
      </c>
      <c r="Y584">
        <v>1</v>
      </c>
      <c r="Z584" s="4">
        <v>547</v>
      </c>
      <c r="AA584">
        <v>1</v>
      </c>
      <c r="AB584" s="4" t="str">
        <f>HYPERLINK("http://exon.niaid.nih.gov/transcriptome/C_felis/S1/links/XC-ASB/cf-contig_641-XC-ASB.txt","XC-contig_144")</f>
        <v>XC-contig_144</v>
      </c>
      <c r="AC584">
        <v>1.8</v>
      </c>
      <c r="AD584" s="10" t="s">
        <v>4600</v>
      </c>
      <c r="AE584" t="s">
        <v>4601</v>
      </c>
      <c r="AI584" s="4" t="str">
        <f>HYPERLINK("http://exon.niaid.nih.gov/transcriptome/C_felis/S1/links/NR/cf-contig_641-NR.txt","predicted protein")</f>
        <v>predicted protein</v>
      </c>
      <c r="AJ584" t="str">
        <f>HYPERLINK("http://www.ncbi.nlm.nih.gov/sutils/blink.cgi?pid=159468536","0.10")</f>
        <v>0.10</v>
      </c>
      <c r="AK584" t="str">
        <f>HYPERLINK("http://www.ncbi.nlm.nih.gov/protein/159468536","gi|159468536")</f>
        <v>gi|159468536</v>
      </c>
      <c r="AL584">
        <v>40.4</v>
      </c>
      <c r="AM584">
        <v>30</v>
      </c>
      <c r="AN584">
        <v>1063</v>
      </c>
      <c r="AO584">
        <v>58</v>
      </c>
      <c r="AP584">
        <v>3</v>
      </c>
      <c r="AQ584">
        <v>13</v>
      </c>
      <c r="AR584">
        <v>0</v>
      </c>
      <c r="AS584">
        <v>1030</v>
      </c>
      <c r="AT584">
        <v>44</v>
      </c>
      <c r="AU584">
        <v>1</v>
      </c>
      <c r="AV584">
        <v>2</v>
      </c>
      <c r="AW584" t="s">
        <v>12</v>
      </c>
      <c r="AY584" t="s">
        <v>1676</v>
      </c>
      <c r="AZ584" t="s">
        <v>4035</v>
      </c>
      <c r="BA584" s="4" t="str">
        <f>HYPERLINK("http://exon.niaid.nih.gov/transcriptome/C_felis/S1/links/SWISSP/cf-contig_641-SWISSP.txt","Formin-2")</f>
        <v>Formin-2</v>
      </c>
      <c r="BB584" t="str">
        <f>HYPERLINK("http://www.uniprot.org/uniprot/Q9JL04","0.79")</f>
        <v>0.79</v>
      </c>
      <c r="BC584" t="s">
        <v>4036</v>
      </c>
      <c r="BD584">
        <v>33.1</v>
      </c>
      <c r="BE584">
        <v>190</v>
      </c>
      <c r="BF584">
        <v>1578</v>
      </c>
      <c r="BG584">
        <v>52</v>
      </c>
      <c r="BH584">
        <v>12</v>
      </c>
      <c r="BI584">
        <v>12</v>
      </c>
      <c r="BJ584">
        <v>0</v>
      </c>
      <c r="BK584">
        <v>899</v>
      </c>
      <c r="BL584">
        <v>1</v>
      </c>
      <c r="BM584">
        <v>12</v>
      </c>
      <c r="BN584">
        <v>-1</v>
      </c>
      <c r="BO584" t="s">
        <v>12</v>
      </c>
      <c r="BQ584" t="s">
        <v>1666</v>
      </c>
      <c r="BR584" t="s">
        <v>1705</v>
      </c>
      <c r="BS584" s="4" t="str">
        <f>HYPERLINK("http://exon.niaid.nih.gov/transcriptome/C_felis/S1/links/CDD/cf-contig_641-CDD.txt","PHA03100")</f>
        <v>PHA03100</v>
      </c>
      <c r="BT584" t="str">
        <f>HYPERLINK("http://www.ncbi.nlm.nih.gov/Structure/cdd/cddsrv.cgi?uid=PHA03100&amp;version=v4.0","6E-004")</f>
        <v>6E-004</v>
      </c>
      <c r="BU584" t="s">
        <v>4037</v>
      </c>
      <c r="BV584" s="4" t="s">
        <v>42</v>
      </c>
      <c r="BW584" t="s">
        <v>42</v>
      </c>
      <c r="BX584" t="s">
        <v>42</v>
      </c>
      <c r="BY584" t="s">
        <v>42</v>
      </c>
      <c r="BZ584" t="s">
        <v>42</v>
      </c>
      <c r="CA584" t="s">
        <v>42</v>
      </c>
      <c r="CB584" t="s">
        <v>42</v>
      </c>
      <c r="CC584" t="s">
        <v>42</v>
      </c>
      <c r="CD584" t="s">
        <v>42</v>
      </c>
      <c r="CE584" t="s">
        <v>42</v>
      </c>
      <c r="CF584" t="s">
        <v>42</v>
      </c>
      <c r="CG584" t="s">
        <v>42</v>
      </c>
      <c r="CH584" t="s">
        <v>42</v>
      </c>
      <c r="CI584" t="s">
        <v>42</v>
      </c>
      <c r="CJ584" t="s">
        <v>42</v>
      </c>
      <c r="CK584" t="s">
        <v>42</v>
      </c>
      <c r="CL584" t="s">
        <v>42</v>
      </c>
      <c r="CM584" t="s">
        <v>42</v>
      </c>
      <c r="CN584" t="s">
        <v>42</v>
      </c>
      <c r="CO584" t="s">
        <v>42</v>
      </c>
      <c r="CP584" t="s">
        <v>42</v>
      </c>
      <c r="CQ584" t="s">
        <v>42</v>
      </c>
      <c r="CR584" t="s">
        <v>42</v>
      </c>
      <c r="CS584" s="4" t="str">
        <f>HYPERLINK("http://exon.niaid.nih.gov/transcriptome/C_felis/S1/links/KOG/cf-contig_641-KOG.txt","Actin regulatory protein (Wiskott-Aldrich syndrome protein)")</f>
        <v>Actin regulatory protein (Wiskott-Aldrich syndrome protein)</v>
      </c>
      <c r="CT584" t="str">
        <f>HYPERLINK("http://www.ncbi.nlm.nih.gov/COG/grace/shokog.cgi?KOG3671","0.002")</f>
        <v>0.002</v>
      </c>
      <c r="CU584" t="s">
        <v>1671</v>
      </c>
      <c r="CV584" s="4" t="str">
        <f>HYPERLINK("http://exon.niaid.nih.gov/transcriptome/C_felis/S1/links/PFAM/cf-contig_641-PFAM.txt","7TM_GPCR_Srz")</f>
        <v>7TM_GPCR_Srz</v>
      </c>
      <c r="CW584" t="str">
        <f>HYPERLINK("http://pfam.sanger.ac.uk/family?acc=PF10325","0.012")</f>
        <v>0.012</v>
      </c>
      <c r="CX584" s="4" t="str">
        <f>HYPERLINK("http://exon.niaid.nih.gov/transcriptome/C_felis/S1/links/SMART/cf-contig_641-SMART.txt","s48_45")</f>
        <v>s48_45</v>
      </c>
      <c r="CY584" t="str">
        <f>HYPERLINK("http://smart.embl-heidelberg.de/smart/do_annotation.pl?DOMAIN=s48_45&amp;BLAST=DUMMY","0.002")</f>
        <v>0.002</v>
      </c>
      <c r="CZ584" s="4" t="s">
        <v>42</v>
      </c>
      <c r="DA584" t="s">
        <v>42</v>
      </c>
      <c r="DB584" t="s">
        <v>42</v>
      </c>
      <c r="DC584" t="s">
        <v>42</v>
      </c>
      <c r="DD584" t="s">
        <v>42</v>
      </c>
      <c r="DE584" t="s">
        <v>42</v>
      </c>
      <c r="DF584" t="s">
        <v>42</v>
      </c>
      <c r="DG584" t="s">
        <v>42</v>
      </c>
      <c r="DH584" s="4" t="s">
        <v>42</v>
      </c>
      <c r="DI584" t="s">
        <v>42</v>
      </c>
      <c r="DJ584" s="4" t="s">
        <v>42</v>
      </c>
      <c r="DK584" t="s">
        <v>42</v>
      </c>
      <c r="DL584" s="4">
        <v>525</v>
      </c>
      <c r="DM584">
        <v>1</v>
      </c>
      <c r="DN584" s="4">
        <v>537</v>
      </c>
      <c r="DO584">
        <v>1</v>
      </c>
      <c r="DP584" s="4">
        <v>547</v>
      </c>
      <c r="DQ584">
        <v>1</v>
      </c>
      <c r="DR584" s="4">
        <v>567</v>
      </c>
      <c r="DS584">
        <v>1</v>
      </c>
      <c r="DT584" s="4">
        <v>580</v>
      </c>
      <c r="DU584">
        <v>1</v>
      </c>
      <c r="DV584" s="4">
        <v>594</v>
      </c>
      <c r="DW584">
        <v>1</v>
      </c>
      <c r="DX584" s="4">
        <v>603</v>
      </c>
      <c r="DY584">
        <v>1</v>
      </c>
      <c r="DZ584" s="4">
        <v>611</v>
      </c>
      <c r="EA584">
        <v>1</v>
      </c>
      <c r="EB584" s="4">
        <v>616</v>
      </c>
      <c r="EC584">
        <v>1</v>
      </c>
      <c r="ED584" s="4">
        <v>620</v>
      </c>
      <c r="EE584">
        <v>1</v>
      </c>
      <c r="EF584" s="4">
        <v>626</v>
      </c>
      <c r="EG584">
        <v>1</v>
      </c>
      <c r="EH584" s="4">
        <v>634</v>
      </c>
      <c r="EI584">
        <v>1</v>
      </c>
      <c r="EJ584" s="4">
        <v>641</v>
      </c>
      <c r="EK584">
        <v>1</v>
      </c>
    </row>
    <row r="585" spans="1:141" x14ac:dyDescent="0.2">
      <c r="A585" t="str">
        <f>HYPERLINK("http://exon.niaid.nih.gov/transcriptome/C_felis/S1/links/cf/cf-contig_485.txt","cf-contig_485")</f>
        <v>cf-contig_485</v>
      </c>
      <c r="B585">
        <v>1</v>
      </c>
      <c r="C585" s="10" t="s">
        <v>4600</v>
      </c>
      <c r="D585">
        <v>1</v>
      </c>
      <c r="E585" t="str">
        <f>HYPERLINK("http://exon.niaid.nih.gov/transcriptome/C_felis/S1/links/cf/cf-5-36-asb-485.txt","Contig-485")</f>
        <v>Contig-485</v>
      </c>
      <c r="F585" t="str">
        <f>HYPERLINK("http://exon.niaid.nih.gov/transcriptome/C_felis/S1/links/cf/cf-5-36-485-CLU.txt","Contig485")</f>
        <v>Contig485</v>
      </c>
      <c r="G585" t="str">
        <f>HYPERLINK("http://exon.niaid.nih.gov/transcriptome/C_felis/S1/links/cf/cf-5-36-485-qual.txt","39.4")</f>
        <v>39.4</v>
      </c>
      <c r="H585" t="s">
        <v>11</v>
      </c>
      <c r="I585">
        <v>48.2</v>
      </c>
      <c r="J585">
        <v>122</v>
      </c>
      <c r="K585" t="s">
        <v>12</v>
      </c>
      <c r="L585">
        <v>1</v>
      </c>
      <c r="M585" t="s">
        <v>498</v>
      </c>
      <c r="N585">
        <v>122</v>
      </c>
      <c r="O585">
        <v>141</v>
      </c>
      <c r="P585">
        <v>135</v>
      </c>
      <c r="Q585" t="s">
        <v>1304</v>
      </c>
      <c r="R585">
        <v>3</v>
      </c>
      <c r="S585" s="7" t="s">
        <v>4585</v>
      </c>
      <c r="U585">
        <v>1</v>
      </c>
      <c r="V585" s="4">
        <v>395</v>
      </c>
      <c r="W585">
        <v>1</v>
      </c>
      <c r="X585" s="4">
        <v>404</v>
      </c>
      <c r="Y585">
        <v>1</v>
      </c>
      <c r="Z585" s="4">
        <v>409</v>
      </c>
      <c r="AA585">
        <v>1</v>
      </c>
      <c r="AB585" s="4" t="str">
        <f>HYPERLINK("http://exon.niaid.nih.gov/transcriptome/C_felis/S1/links/XC-ASB/cf-contig_485-XC-ASB.txt","XC-contig_111")</f>
        <v>XC-contig_111</v>
      </c>
      <c r="AC585">
        <v>6.0999999999999999E-2</v>
      </c>
      <c r="AD585" s="10" t="s">
        <v>4600</v>
      </c>
      <c r="AE585" t="s">
        <v>4601</v>
      </c>
      <c r="AI585" s="4" t="str">
        <f>HYPERLINK("http://exon.niaid.nih.gov/transcriptome/C_felis/S1/links/NR/cf-contig_485-NR.txt","hypothetical protein CHLNCDRAFT_143475")</f>
        <v>hypothetical protein CHLNCDRAFT_143475</v>
      </c>
      <c r="AJ585" t="str">
        <f>HYPERLINK("http://www.ncbi.nlm.nih.gov/sutils/blink.cgi?pid=307108903","16")</f>
        <v>16</v>
      </c>
      <c r="AK585" t="str">
        <f>HYPERLINK("http://www.ncbi.nlm.nih.gov/protein/307108903","gi|307108903")</f>
        <v>gi|307108903</v>
      </c>
      <c r="AL585">
        <v>33.1</v>
      </c>
      <c r="AM585">
        <v>21</v>
      </c>
      <c r="AN585">
        <v>669</v>
      </c>
      <c r="AO585">
        <v>59</v>
      </c>
      <c r="AP585">
        <v>3</v>
      </c>
      <c r="AQ585">
        <v>9</v>
      </c>
      <c r="AR585">
        <v>0</v>
      </c>
      <c r="AS585">
        <v>59</v>
      </c>
      <c r="AT585">
        <v>1</v>
      </c>
      <c r="AU585">
        <v>1</v>
      </c>
      <c r="AV585">
        <v>1</v>
      </c>
      <c r="AW585" t="s">
        <v>12</v>
      </c>
      <c r="AY585" t="s">
        <v>1676</v>
      </c>
      <c r="AZ585" t="s">
        <v>3433</v>
      </c>
      <c r="BA585" s="4" t="str">
        <f>HYPERLINK("http://exon.niaid.nih.gov/transcriptome/C_felis/S1/links/SWISSP/cf-contig_485-SWISSP.txt","Myelin gene regulatory factor")</f>
        <v>Myelin gene regulatory factor</v>
      </c>
      <c r="BB585" t="str">
        <f>HYPERLINK("http://www.uniprot.org/uniprot/Q9Y2G1","1.6")</f>
        <v>1.6</v>
      </c>
      <c r="BC585" t="s">
        <v>3434</v>
      </c>
      <c r="BD585">
        <v>31.6</v>
      </c>
      <c r="BE585">
        <v>15</v>
      </c>
      <c r="BF585">
        <v>1151</v>
      </c>
      <c r="BG585">
        <v>68</v>
      </c>
      <c r="BH585">
        <v>1</v>
      </c>
      <c r="BI585">
        <v>5</v>
      </c>
      <c r="BJ585">
        <v>0</v>
      </c>
      <c r="BK585">
        <v>77</v>
      </c>
      <c r="BL585">
        <v>3</v>
      </c>
      <c r="BM585">
        <v>1</v>
      </c>
      <c r="BN585">
        <v>-2</v>
      </c>
      <c r="BO585" t="s">
        <v>12</v>
      </c>
      <c r="BQ585" t="s">
        <v>1666</v>
      </c>
      <c r="BR585" t="s">
        <v>1690</v>
      </c>
      <c r="BS585" s="4" t="str">
        <f>HYPERLINK("http://exon.niaid.nih.gov/transcriptome/C_felis/S1/links/CDD/cf-contig_485-CDD.txt","PRK10572")</f>
        <v>PRK10572</v>
      </c>
      <c r="BT585" t="str">
        <f>HYPERLINK("http://www.ncbi.nlm.nih.gov/Structure/cdd/cddsrv.cgi?uid=PRK10572&amp;version=v4.0","1.4")</f>
        <v>1.4</v>
      </c>
      <c r="BU585" t="s">
        <v>3435</v>
      </c>
      <c r="BV585" s="4" t="s">
        <v>42</v>
      </c>
      <c r="BW585" t="s">
        <v>42</v>
      </c>
      <c r="BX585" t="s">
        <v>42</v>
      </c>
      <c r="BY585" t="s">
        <v>42</v>
      </c>
      <c r="BZ585" t="s">
        <v>42</v>
      </c>
      <c r="CA585" t="s">
        <v>42</v>
      </c>
      <c r="CB585" t="s">
        <v>42</v>
      </c>
      <c r="CC585" t="s">
        <v>42</v>
      </c>
      <c r="CD585" t="s">
        <v>42</v>
      </c>
      <c r="CE585" t="s">
        <v>42</v>
      </c>
      <c r="CF585" t="s">
        <v>42</v>
      </c>
      <c r="CG585" t="s">
        <v>42</v>
      </c>
      <c r="CH585" t="s">
        <v>42</v>
      </c>
      <c r="CI585" t="s">
        <v>42</v>
      </c>
      <c r="CJ585" t="s">
        <v>42</v>
      </c>
      <c r="CK585" t="s">
        <v>42</v>
      </c>
      <c r="CL585" t="s">
        <v>42</v>
      </c>
      <c r="CM585" t="s">
        <v>42</v>
      </c>
      <c r="CN585" t="s">
        <v>42</v>
      </c>
      <c r="CO585" t="s">
        <v>42</v>
      </c>
      <c r="CP585" t="s">
        <v>42</v>
      </c>
      <c r="CQ585" t="s">
        <v>42</v>
      </c>
      <c r="CR585" t="s">
        <v>42</v>
      </c>
      <c r="CS585" s="4" t="str">
        <f>HYPERLINK("http://exon.niaid.nih.gov/transcriptome/C_felis/S1/links/KOG/cf-contig_485-KOG.txt","Predicted RNA binding protein, contains SWAP, RPR and G-patch domains")</f>
        <v>Predicted RNA binding protein, contains SWAP, RPR and G-patch domains</v>
      </c>
      <c r="CT585" t="str">
        <f>HYPERLINK("http://www.ncbi.nlm.nih.gov/COG/grace/shokog.cgi?KOG4368","0.35")</f>
        <v>0.35</v>
      </c>
      <c r="CU585" t="s">
        <v>1721</v>
      </c>
      <c r="CV585" s="4" t="str">
        <f>HYPERLINK("http://exon.niaid.nih.gov/transcriptome/C_felis/S1/links/PFAM/cf-contig_485-PFAM.txt","DUF1632")</f>
        <v>DUF1632</v>
      </c>
      <c r="CW585" t="str">
        <f>HYPERLINK("http://pfam.sanger.ac.uk/family?acc=PF07857","1.1")</f>
        <v>1.1</v>
      </c>
      <c r="CX585" s="4" t="str">
        <f>HYPERLINK("http://exon.niaid.nih.gov/transcriptome/C_felis/S1/links/SMART/cf-contig_485-SMART.txt","PAX")</f>
        <v>PAX</v>
      </c>
      <c r="CY585" t="str">
        <f>HYPERLINK("http://smart.embl-heidelberg.de/smart/do_annotation.pl?DOMAIN=PAX&amp;BLAST=DUMMY","0.40")</f>
        <v>0.40</v>
      </c>
      <c r="CZ585" s="4" t="s">
        <v>42</v>
      </c>
      <c r="DA585" t="s">
        <v>42</v>
      </c>
      <c r="DB585" t="s">
        <v>42</v>
      </c>
      <c r="DC585" t="s">
        <v>42</v>
      </c>
      <c r="DD585" t="s">
        <v>42</v>
      </c>
      <c r="DE585" t="s">
        <v>42</v>
      </c>
      <c r="DF585" t="s">
        <v>42</v>
      </c>
      <c r="DG585" t="s">
        <v>42</v>
      </c>
      <c r="DH585" s="4" t="s">
        <v>42</v>
      </c>
      <c r="DI585" t="s">
        <v>42</v>
      </c>
      <c r="DJ585" s="4" t="s">
        <v>42</v>
      </c>
      <c r="DK585" t="s">
        <v>42</v>
      </c>
      <c r="DL585" s="4">
        <v>395</v>
      </c>
      <c r="DM585">
        <v>1</v>
      </c>
      <c r="DN585" s="4">
        <v>404</v>
      </c>
      <c r="DO585">
        <v>1</v>
      </c>
      <c r="DP585" s="4">
        <v>409</v>
      </c>
      <c r="DQ585">
        <v>1</v>
      </c>
      <c r="DR585" s="4">
        <v>424</v>
      </c>
      <c r="DS585">
        <v>1</v>
      </c>
      <c r="DT585" s="4">
        <v>434</v>
      </c>
      <c r="DU585">
        <v>1</v>
      </c>
      <c r="DV585" s="4">
        <v>448</v>
      </c>
      <c r="DW585">
        <v>1</v>
      </c>
      <c r="DX585" s="4">
        <v>452</v>
      </c>
      <c r="DY585">
        <v>1</v>
      </c>
      <c r="DZ585" s="4">
        <v>459</v>
      </c>
      <c r="EA585">
        <v>1</v>
      </c>
      <c r="EB585" s="4">
        <v>464</v>
      </c>
      <c r="EC585">
        <v>1</v>
      </c>
      <c r="ED585" s="4">
        <v>468</v>
      </c>
      <c r="EE585">
        <v>1</v>
      </c>
      <c r="EF585" s="4">
        <v>473</v>
      </c>
      <c r="EG585">
        <v>1</v>
      </c>
      <c r="EH585" s="4">
        <v>479</v>
      </c>
      <c r="EI585">
        <v>1</v>
      </c>
      <c r="EJ585" s="4">
        <v>485</v>
      </c>
      <c r="EK585">
        <v>1</v>
      </c>
    </row>
    <row r="586" spans="1:141" x14ac:dyDescent="0.2">
      <c r="A586" t="str">
        <f>HYPERLINK("http://exon.niaid.nih.gov/transcriptome/C_felis/S1/links/cf/cf-contig_45.txt","cf-contig_45")</f>
        <v>cf-contig_45</v>
      </c>
      <c r="B586">
        <v>27</v>
      </c>
      <c r="C586" s="10" t="s">
        <v>4600</v>
      </c>
      <c r="D586">
        <v>27</v>
      </c>
      <c r="E586" t="str">
        <f>HYPERLINK("http://exon.niaid.nih.gov/transcriptome/C_felis/S1/links/cf/cf-5-36-asb-45.txt","Contig-45")</f>
        <v>Contig-45</v>
      </c>
      <c r="F586" t="str">
        <f>HYPERLINK("http://exon.niaid.nih.gov/transcriptome/C_felis/S1/links/cf/cf-5-36-45-CLU.txt","Contig45")</f>
        <v>Contig45</v>
      </c>
      <c r="G586" t="str">
        <f>HYPERLINK("http://exon.niaid.nih.gov/transcriptome/C_felis/S1/links/cf/cf-5-36-45-qual.txt","87.9")</f>
        <v>87.9</v>
      </c>
      <c r="H586" t="s">
        <v>11</v>
      </c>
      <c r="I586">
        <v>66.900000000000006</v>
      </c>
      <c r="J586">
        <v>422</v>
      </c>
      <c r="K586" t="s">
        <v>12</v>
      </c>
      <c r="L586">
        <v>27</v>
      </c>
      <c r="M586" t="s">
        <v>58</v>
      </c>
      <c r="N586">
        <v>420</v>
      </c>
      <c r="O586">
        <v>453</v>
      </c>
      <c r="P586">
        <v>270</v>
      </c>
      <c r="Q586" t="s">
        <v>867</v>
      </c>
      <c r="R586">
        <v>1</v>
      </c>
      <c r="S586" s="7" t="str">
        <f>HYPERLINK("http://exon.niaid.nih.gov/transcriptome/C_felis/S1/links/Sigp/CF-CONTIG_45-SigP.txt","Cyt")</f>
        <v>Cyt</v>
      </c>
      <c r="U586">
        <v>27</v>
      </c>
      <c r="V586" s="4">
        <f>HYPERLINK("http://exon.niaid.nih.gov/transcriptome/C_felis/S1/links/cluster/cf-5-36-asb30-50-Id-CLU28.txt", 28)</f>
        <v>28</v>
      </c>
      <c r="W586">
        <f>HYPERLINK("http://exon.niaid.nih.gov/transcriptome/C_felis/S1/links/cluster/cf-5-36-asb30-50-Id-CLTL28.txt", 2)</f>
        <v>2</v>
      </c>
      <c r="X586" s="4">
        <f>HYPERLINK("http://exon.niaid.nih.gov/transcriptome/C_felis/S1/links/cluster/cf-5-36-asb35-50-Id-CLU23.txt", 23)</f>
        <v>23</v>
      </c>
      <c r="Y586">
        <f>HYPERLINK("http://exon.niaid.nih.gov/transcriptome/C_felis/S1/links/cluster/cf-5-36-asb35-50-Id-CLTL23.txt", 2)</f>
        <v>2</v>
      </c>
      <c r="Z586" s="4">
        <f>HYPERLINK("http://exon.niaid.nih.gov/transcriptome/C_felis/S1/links/cluster/cf-5-36-asb40-50-Id-CLU22.txt", 22)</f>
        <v>22</v>
      </c>
      <c r="AA586">
        <f>HYPERLINK("http://exon.niaid.nih.gov/transcriptome/C_felis/S1/links/cluster/cf-5-36-asb40-50-Id-CLTL22.txt", 2)</f>
        <v>2</v>
      </c>
      <c r="AB586" s="4" t="str">
        <f>HYPERLINK("http://exon.niaid.nih.gov/transcriptome/C_felis/S1/links/XC-ASB/cf-contig_45-XC-ASB.txt","XC-contig_144")</f>
        <v>XC-contig_144</v>
      </c>
      <c r="AC586">
        <v>0.13</v>
      </c>
      <c r="AD586" s="10" t="s">
        <v>4600</v>
      </c>
      <c r="AE586" t="s">
        <v>4601</v>
      </c>
      <c r="AI586" s="4" t="str">
        <f>HYPERLINK("http://exon.niaid.nih.gov/transcriptome/C_felis/S1/links/NR/cf-contig_45-NR.txt","similar to predicted protein")</f>
        <v>similar to predicted protein</v>
      </c>
      <c r="AJ586" t="str">
        <f>HYPERLINK("http://www.ncbi.nlm.nih.gov/sutils/blink.cgi?pid=198428634","4.2")</f>
        <v>4.2</v>
      </c>
      <c r="AK586" t="str">
        <f>HYPERLINK("http://www.ncbi.nlm.nih.gov/protein/198428634","gi|198428634")</f>
        <v>gi|198428634</v>
      </c>
      <c r="AL586">
        <v>35</v>
      </c>
      <c r="AM586">
        <v>65</v>
      </c>
      <c r="AN586">
        <v>605</v>
      </c>
      <c r="AO586">
        <v>26</v>
      </c>
      <c r="AP586">
        <v>11</v>
      </c>
      <c r="AQ586">
        <v>52</v>
      </c>
      <c r="AR586">
        <v>3</v>
      </c>
      <c r="AS586">
        <v>407</v>
      </c>
      <c r="AT586">
        <v>61</v>
      </c>
      <c r="AU586">
        <v>1</v>
      </c>
      <c r="AV586">
        <v>1</v>
      </c>
      <c r="AW586" t="s">
        <v>12</v>
      </c>
      <c r="AY586" t="s">
        <v>1676</v>
      </c>
      <c r="AZ586" t="s">
        <v>1824</v>
      </c>
      <c r="BA586" s="4" t="str">
        <f>HYPERLINK("http://exon.niaid.nih.gov/transcriptome/C_felis/S1/links/SWISSP/cf-contig_45-SWISSP.txt","Histone-lysine N-methyltransferase EZH2")</f>
        <v>Histone-lysine N-methyltransferase EZH2</v>
      </c>
      <c r="BB586" t="str">
        <f>HYPERLINK("http://www.uniprot.org/uniprot/Q28D84","2.6")</f>
        <v>2.6</v>
      </c>
      <c r="BC586" t="s">
        <v>1825</v>
      </c>
      <c r="BD586">
        <v>31.2</v>
      </c>
      <c r="BE586">
        <v>33</v>
      </c>
      <c r="BF586">
        <v>748</v>
      </c>
      <c r="BG586">
        <v>35</v>
      </c>
      <c r="BH586">
        <v>5</v>
      </c>
      <c r="BI586">
        <v>22</v>
      </c>
      <c r="BJ586">
        <v>0</v>
      </c>
      <c r="BK586">
        <v>545</v>
      </c>
      <c r="BL586">
        <v>157</v>
      </c>
      <c r="BM586">
        <v>1</v>
      </c>
      <c r="BN586">
        <v>1</v>
      </c>
      <c r="BO586" t="s">
        <v>12</v>
      </c>
      <c r="BQ586" t="s">
        <v>1676</v>
      </c>
      <c r="BR586" t="s">
        <v>1826</v>
      </c>
      <c r="BS586" s="4" t="str">
        <f>HYPERLINK("http://exon.niaid.nih.gov/transcriptome/C_felis/S1/links/CDD/cf-contig_45-CDD.txt","PqiA")</f>
        <v>PqiA</v>
      </c>
      <c r="BT586" t="str">
        <f>HYPERLINK("http://www.ncbi.nlm.nih.gov/Structure/cdd/cddsrv.cgi?uid=pfam04403&amp;version=v4.0","0.77")</f>
        <v>0.77</v>
      </c>
      <c r="BU586" t="s">
        <v>1827</v>
      </c>
      <c r="BV586" s="4" t="s">
        <v>42</v>
      </c>
      <c r="BW586" t="s">
        <v>42</v>
      </c>
      <c r="BX586" t="s">
        <v>42</v>
      </c>
      <c r="BY586" t="s">
        <v>42</v>
      </c>
      <c r="BZ586" t="s">
        <v>42</v>
      </c>
      <c r="CA586" t="s">
        <v>42</v>
      </c>
      <c r="CB586" t="s">
        <v>42</v>
      </c>
      <c r="CC586" t="s">
        <v>42</v>
      </c>
      <c r="CD586" t="s">
        <v>42</v>
      </c>
      <c r="CE586" t="s">
        <v>42</v>
      </c>
      <c r="CF586" t="s">
        <v>42</v>
      </c>
      <c r="CG586" t="s">
        <v>42</v>
      </c>
      <c r="CH586" t="s">
        <v>42</v>
      </c>
      <c r="CI586" t="s">
        <v>42</v>
      </c>
      <c r="CJ586" t="s">
        <v>42</v>
      </c>
      <c r="CK586" t="s">
        <v>42</v>
      </c>
      <c r="CL586" t="s">
        <v>42</v>
      </c>
      <c r="CM586" t="s">
        <v>42</v>
      </c>
      <c r="CN586" t="s">
        <v>42</v>
      </c>
      <c r="CO586" t="s">
        <v>42</v>
      </c>
      <c r="CP586" t="s">
        <v>42</v>
      </c>
      <c r="CQ586" t="s">
        <v>42</v>
      </c>
      <c r="CR586" t="s">
        <v>42</v>
      </c>
      <c r="CS586" s="4" t="str">
        <f>HYPERLINK("http://exon.niaid.nih.gov/transcriptome/C_felis/S1/links/KOG/cf-contig_45-KOG.txt","Proteins containing regions of low-complexity")</f>
        <v>Proteins containing regions of low-complexity</v>
      </c>
      <c r="CT586" t="str">
        <f>HYPERLINK("http://www.ncbi.nlm.nih.gov/COG/grace/shokog.cgi?KOG2226","1.6")</f>
        <v>1.6</v>
      </c>
      <c r="CU586" t="s">
        <v>1721</v>
      </c>
      <c r="CV586" s="4" t="str">
        <f>HYPERLINK("http://exon.niaid.nih.gov/transcriptome/C_felis/S1/links/PFAM/cf-contig_45-PFAM.txt","PqiA")</f>
        <v>PqiA</v>
      </c>
      <c r="CW586" t="str">
        <f>HYPERLINK("http://pfam.sanger.ac.uk/family?acc=PF04403","0.17")</f>
        <v>0.17</v>
      </c>
      <c r="CX586" s="4" t="str">
        <f>HYPERLINK("http://exon.niaid.nih.gov/transcriptome/C_felis/S1/links/SMART/cf-contig_45-SMART.txt","MYSc")</f>
        <v>MYSc</v>
      </c>
      <c r="CY586" t="str">
        <f>HYPERLINK("http://smart.embl-heidelberg.de/smart/do_annotation.pl?DOMAIN=MYSc&amp;BLAST=DUMMY","0.35")</f>
        <v>0.35</v>
      </c>
      <c r="CZ586" s="4" t="s">
        <v>42</v>
      </c>
      <c r="DA586" t="s">
        <v>42</v>
      </c>
      <c r="DB586" t="s">
        <v>42</v>
      </c>
      <c r="DC586" t="s">
        <v>42</v>
      </c>
      <c r="DD586" t="s">
        <v>42</v>
      </c>
      <c r="DE586" t="s">
        <v>42</v>
      </c>
      <c r="DF586" t="s">
        <v>42</v>
      </c>
      <c r="DG586" t="s">
        <v>42</v>
      </c>
      <c r="DH586" s="4" t="s">
        <v>42</v>
      </c>
      <c r="DI586" t="s">
        <v>42</v>
      </c>
      <c r="DJ586" s="4" t="s">
        <v>42</v>
      </c>
      <c r="DK586" t="s">
        <v>42</v>
      </c>
      <c r="DL586" s="4">
        <f>HYPERLINK("http://exon.niaid.nih.gov/transcriptome/C_felis/S1/links/cluster/cf-5-36-asb30-50-Id-CLU28.txt", 28)</f>
        <v>28</v>
      </c>
      <c r="DM586">
        <f>HYPERLINK("http://exon.niaid.nih.gov/transcriptome/C_felis/S1/links/cluster/cf-5-36-asb30-50-Id-CLTL28.txt", 2)</f>
        <v>2</v>
      </c>
      <c r="DN586" s="4">
        <f>HYPERLINK("http://exon.niaid.nih.gov/transcriptome/C_felis/S1/links/cluster/cf-5-36-asb35-50-Id-CLU23.txt", 23)</f>
        <v>23</v>
      </c>
      <c r="DO586">
        <f>HYPERLINK("http://exon.niaid.nih.gov/transcriptome/C_felis/S1/links/cluster/cf-5-36-asb35-50-Id-CLTL23.txt", 2)</f>
        <v>2</v>
      </c>
      <c r="DP586" s="4">
        <f>HYPERLINK("http://exon.niaid.nih.gov/transcriptome/C_felis/S1/links/cluster/cf-5-36-asb40-50-Id-CLU22.txt", 22)</f>
        <v>22</v>
      </c>
      <c r="DQ586">
        <f>HYPERLINK("http://exon.niaid.nih.gov/transcriptome/C_felis/S1/links/cluster/cf-5-36-asb40-50-Id-CLTL22.txt", 2)</f>
        <v>2</v>
      </c>
      <c r="DR586" s="4">
        <f>HYPERLINK("http://exon.niaid.nih.gov/transcriptome/C_felis/S1/links/cluster/cf-5-36-asb45-50-Id-CLU20.txt", 20)</f>
        <v>20</v>
      </c>
      <c r="DS586">
        <f>HYPERLINK("http://exon.niaid.nih.gov/transcriptome/C_felis/S1/links/cluster/cf-5-36-asb45-50-Id-CLTL20.txt", 2)</f>
        <v>2</v>
      </c>
      <c r="DT586" s="4">
        <f>HYPERLINK("http://exon.niaid.nih.gov/transcriptome/C_felis/S1/links/cluster/cf-5-36-asb50-50-Id-CLU16.txt", 16)</f>
        <v>16</v>
      </c>
      <c r="DU586">
        <f>HYPERLINK("http://exon.niaid.nih.gov/transcriptome/C_felis/S1/links/cluster/cf-5-36-asb50-50-Id-CLTL16.txt", 2)</f>
        <v>2</v>
      </c>
      <c r="DV586" s="4">
        <f>HYPERLINK("http://exon.niaid.nih.gov/transcriptome/C_felis/S1/links/cluster/cf-5-36-asb55-50-Id-CLU17.txt", 17)</f>
        <v>17</v>
      </c>
      <c r="DW586">
        <f>HYPERLINK("http://exon.niaid.nih.gov/transcriptome/C_felis/S1/links/cluster/cf-5-36-asb55-50-Id-CLTL17.txt", 2)</f>
        <v>2</v>
      </c>
      <c r="DX586" s="4">
        <f>HYPERLINK("http://exon.niaid.nih.gov/transcriptome/C_felis/S1/links/cluster/cf-5-36-asb60-50-Id-CLU15.txt", 15)</f>
        <v>15</v>
      </c>
      <c r="DY586">
        <f>HYPERLINK("http://exon.niaid.nih.gov/transcriptome/C_felis/S1/links/cluster/cf-5-36-asb60-50-Id-CLTL15.txt", 2)</f>
        <v>2</v>
      </c>
      <c r="DZ586" s="4">
        <f>HYPERLINK("http://exon.niaid.nih.gov/transcriptome/C_felis/S1/links/cluster/cf-5-36-asb65-50-Id-CLU13.txt", 13)</f>
        <v>13</v>
      </c>
      <c r="EA586">
        <f>HYPERLINK("http://exon.niaid.nih.gov/transcriptome/C_felis/S1/links/cluster/cf-5-36-asb65-50-Id-CLTL13.txt", 2)</f>
        <v>2</v>
      </c>
      <c r="EB586" s="4">
        <f>HYPERLINK("http://exon.niaid.nih.gov/transcriptome/C_felis/S1/links/cluster/cf-5-36-asb70-50-Id-CLU9.txt", 9)</f>
        <v>9</v>
      </c>
      <c r="EC586">
        <f>HYPERLINK("http://exon.niaid.nih.gov/transcriptome/C_felis/S1/links/cluster/cf-5-36-asb70-50-Id-CLTL9.txt", 2)</f>
        <v>2</v>
      </c>
      <c r="ED586" s="4">
        <f>HYPERLINK("http://exon.niaid.nih.gov/transcriptome/C_felis/S1/links/cluster/cf-5-36-asb75-50-Id-CLU7.txt", 7)</f>
        <v>7</v>
      </c>
      <c r="EE586">
        <f>HYPERLINK("http://exon.niaid.nih.gov/transcriptome/C_felis/S1/links/cluster/cf-5-36-asb75-50-Id-CLTL7.txt", 2)</f>
        <v>2</v>
      </c>
      <c r="EF586" s="4">
        <f>HYPERLINK("http://exon.niaid.nih.gov/transcriptome/C_felis/S1/links/cluster/cf-5-36-asb80-50-Id-CLU6.txt", 6)</f>
        <v>6</v>
      </c>
      <c r="EG586">
        <f>HYPERLINK("http://exon.niaid.nih.gov/transcriptome/C_felis/S1/links/cluster/cf-5-36-asb80-50-Id-CLTL6.txt", 2)</f>
        <v>2</v>
      </c>
      <c r="EH586" s="4">
        <v>47</v>
      </c>
      <c r="EI586">
        <v>1</v>
      </c>
      <c r="EJ586" s="4">
        <v>45</v>
      </c>
      <c r="EK586">
        <v>1</v>
      </c>
    </row>
    <row r="587" spans="1:141" x14ac:dyDescent="0.2">
      <c r="A587" t="str">
        <f>HYPERLINK("http://exon.niaid.nih.gov/transcriptome/C_felis/S1/links/cf/cf-contig_46.txt","cf-contig_46")</f>
        <v>cf-contig_46</v>
      </c>
      <c r="B587">
        <v>1</v>
      </c>
      <c r="C587" s="10" t="s">
        <v>4600</v>
      </c>
      <c r="D587">
        <v>1</v>
      </c>
      <c r="E587" t="str">
        <f>HYPERLINK("http://exon.niaid.nih.gov/transcriptome/C_felis/S1/links/cf/cf-5-36-asb-46.txt","Contig-46")</f>
        <v>Contig-46</v>
      </c>
      <c r="F587" t="str">
        <f>HYPERLINK("http://exon.niaid.nih.gov/transcriptome/C_felis/S1/links/cf/cf-5-36-46-CLU.txt","Contig46")</f>
        <v>Contig46</v>
      </c>
      <c r="G587" t="str">
        <f>HYPERLINK("http://exon.niaid.nih.gov/transcriptome/C_felis/S1/links/cf/cf-5-36-46-qual.txt","65.7")</f>
        <v>65.7</v>
      </c>
      <c r="H587" t="s">
        <v>11</v>
      </c>
      <c r="I587">
        <v>66</v>
      </c>
      <c r="J587">
        <v>416</v>
      </c>
      <c r="K587" t="s">
        <v>12</v>
      </c>
      <c r="L587">
        <v>1</v>
      </c>
      <c r="M587" t="s">
        <v>59</v>
      </c>
      <c r="N587">
        <v>416</v>
      </c>
      <c r="O587">
        <v>435</v>
      </c>
      <c r="P587">
        <v>264</v>
      </c>
      <c r="Q587" t="s">
        <v>868</v>
      </c>
      <c r="R587">
        <v>1</v>
      </c>
      <c r="S587" s="7" t="str">
        <f>HYPERLINK("http://exon.niaid.nih.gov/transcriptome/C_felis/S1/links/Sigp/CF-CONTIG_46-SigP.txt","Cyt")</f>
        <v>Cyt</v>
      </c>
      <c r="U587">
        <v>1</v>
      </c>
      <c r="V587" s="4">
        <f>HYPERLINK("http://exon.niaid.nih.gov/transcriptome/C_felis/S1/links/cluster/cf-5-36-asb30-50-Id-CLU28.txt", 28)</f>
        <v>28</v>
      </c>
      <c r="W587">
        <f>HYPERLINK("http://exon.niaid.nih.gov/transcriptome/C_felis/S1/links/cluster/cf-5-36-asb30-50-Id-CLTL28.txt", 2)</f>
        <v>2</v>
      </c>
      <c r="X587" s="4">
        <f>HYPERLINK("http://exon.niaid.nih.gov/transcriptome/C_felis/S1/links/cluster/cf-5-36-asb35-50-Id-CLU23.txt", 23)</f>
        <v>23</v>
      </c>
      <c r="Y587">
        <f>HYPERLINK("http://exon.niaid.nih.gov/transcriptome/C_felis/S1/links/cluster/cf-5-36-asb35-50-Id-CLTL23.txt", 2)</f>
        <v>2</v>
      </c>
      <c r="Z587" s="4">
        <f>HYPERLINK("http://exon.niaid.nih.gov/transcriptome/C_felis/S1/links/cluster/cf-5-36-asb40-50-Id-CLU22.txt", 22)</f>
        <v>22</v>
      </c>
      <c r="AA587">
        <f>HYPERLINK("http://exon.niaid.nih.gov/transcriptome/C_felis/S1/links/cluster/cf-5-36-asb40-50-Id-CLTL22.txt", 2)</f>
        <v>2</v>
      </c>
      <c r="AB587" s="4" t="str">
        <f>HYPERLINK("http://exon.niaid.nih.gov/transcriptome/C_felis/S1/links/XC-ASB/cf-contig_46-XC-ASB.txt","XC-contig_144")</f>
        <v>XC-contig_144</v>
      </c>
      <c r="AC587">
        <v>0.12</v>
      </c>
      <c r="AD587" s="10" t="s">
        <v>4600</v>
      </c>
      <c r="AE587" t="s">
        <v>4601</v>
      </c>
      <c r="AI587" s="4" t="str">
        <f>HYPERLINK("http://exon.niaid.nih.gov/transcriptome/C_felis/S1/links/NR/cf-contig_46-NR.txt","similar to predicted protein")</f>
        <v>similar to predicted protein</v>
      </c>
      <c r="AJ587" t="str">
        <f>HYPERLINK("http://www.ncbi.nlm.nih.gov/sutils/blink.cgi?pid=198428634","4.2")</f>
        <v>4.2</v>
      </c>
      <c r="AK587" t="str">
        <f>HYPERLINK("http://www.ncbi.nlm.nih.gov/protein/198428634","gi|198428634")</f>
        <v>gi|198428634</v>
      </c>
      <c r="AL587">
        <v>35</v>
      </c>
      <c r="AM587">
        <v>65</v>
      </c>
      <c r="AN587">
        <v>605</v>
      </c>
      <c r="AO587">
        <v>26</v>
      </c>
      <c r="AP587">
        <v>11</v>
      </c>
      <c r="AQ587">
        <v>52</v>
      </c>
      <c r="AR587">
        <v>3</v>
      </c>
      <c r="AS587">
        <v>407</v>
      </c>
      <c r="AT587">
        <v>55</v>
      </c>
      <c r="AU587">
        <v>1</v>
      </c>
      <c r="AV587">
        <v>1</v>
      </c>
      <c r="AW587" t="s">
        <v>12</v>
      </c>
      <c r="AY587" t="s">
        <v>1676</v>
      </c>
      <c r="AZ587" t="s">
        <v>1824</v>
      </c>
      <c r="BA587" s="4" t="str">
        <f>HYPERLINK("http://exon.niaid.nih.gov/transcriptome/C_felis/S1/links/SWISSP/cf-contig_46-SWISSP.txt","Virulence factor mviN homolog")</f>
        <v>Virulence factor mviN homolog</v>
      </c>
      <c r="BB587" t="str">
        <f>HYPERLINK("http://www.uniprot.org/uniprot/Q55179","1.4")</f>
        <v>1.4</v>
      </c>
      <c r="BC587" t="s">
        <v>1828</v>
      </c>
      <c r="BD587">
        <v>32</v>
      </c>
      <c r="BE587">
        <v>64</v>
      </c>
      <c r="BF587">
        <v>533</v>
      </c>
      <c r="BG587">
        <v>23</v>
      </c>
      <c r="BH587">
        <v>12</v>
      </c>
      <c r="BI587">
        <v>50</v>
      </c>
      <c r="BJ587">
        <v>4</v>
      </c>
      <c r="BK587">
        <v>447</v>
      </c>
      <c r="BL587">
        <v>115</v>
      </c>
      <c r="BM587">
        <v>1</v>
      </c>
      <c r="BN587">
        <v>-1</v>
      </c>
      <c r="BO587" t="s">
        <v>12</v>
      </c>
      <c r="BP587">
        <v>1.5629999999999999</v>
      </c>
      <c r="BQ587" t="s">
        <v>1666</v>
      </c>
      <c r="BR587" t="s">
        <v>1829</v>
      </c>
      <c r="BS587" s="4" t="str">
        <f>HYPERLINK("http://exon.niaid.nih.gov/transcriptome/C_felis/S1/links/CDD/cf-contig_46-CDD.txt","ND5")</f>
        <v>ND5</v>
      </c>
      <c r="BT587" t="str">
        <f>HYPERLINK("http://www.ncbi.nlm.nih.gov/Structure/cdd/cddsrv.cgi?uid=MTH00165&amp;version=v4.0","0.60")</f>
        <v>0.60</v>
      </c>
      <c r="BU587" t="s">
        <v>1830</v>
      </c>
      <c r="BV587" s="4" t="s">
        <v>42</v>
      </c>
      <c r="BW587" t="s">
        <v>42</v>
      </c>
      <c r="BX587" t="s">
        <v>42</v>
      </c>
      <c r="BY587" t="s">
        <v>42</v>
      </c>
      <c r="BZ587" t="s">
        <v>42</v>
      </c>
      <c r="CA587" t="s">
        <v>42</v>
      </c>
      <c r="CB587" t="s">
        <v>42</v>
      </c>
      <c r="CC587" t="s">
        <v>42</v>
      </c>
      <c r="CD587" t="s">
        <v>42</v>
      </c>
      <c r="CE587" t="s">
        <v>42</v>
      </c>
      <c r="CF587" t="s">
        <v>42</v>
      </c>
      <c r="CG587" t="s">
        <v>42</v>
      </c>
      <c r="CH587" t="s">
        <v>42</v>
      </c>
      <c r="CI587" t="s">
        <v>42</v>
      </c>
      <c r="CJ587" t="s">
        <v>42</v>
      </c>
      <c r="CK587" t="s">
        <v>42</v>
      </c>
      <c r="CL587" t="s">
        <v>42</v>
      </c>
      <c r="CM587" t="s">
        <v>42</v>
      </c>
      <c r="CN587" t="s">
        <v>42</v>
      </c>
      <c r="CO587" t="s">
        <v>42</v>
      </c>
      <c r="CP587" t="s">
        <v>42</v>
      </c>
      <c r="CQ587" t="s">
        <v>42</v>
      </c>
      <c r="CR587" t="s">
        <v>42</v>
      </c>
      <c r="CS587" s="4" t="str">
        <f>HYPERLINK("http://exon.niaid.nih.gov/transcriptome/C_felis/S1/links/KOG/cf-contig_46-KOG.txt","Serine/threonine protein kinase")</f>
        <v>Serine/threonine protein kinase</v>
      </c>
      <c r="CT587" t="str">
        <f>HYPERLINK("http://www.ncbi.nlm.nih.gov/COG/grace/shokog.cgi?KOG4279","0.47")</f>
        <v>0.47</v>
      </c>
      <c r="CU587" t="s">
        <v>1780</v>
      </c>
      <c r="CV587" s="4" t="str">
        <f>HYPERLINK("http://exon.niaid.nih.gov/transcriptome/C_felis/S1/links/PFAM/cf-contig_46-PFAM.txt","PqiA")</f>
        <v>PqiA</v>
      </c>
      <c r="CW587" t="str">
        <f>HYPERLINK("http://pfam.sanger.ac.uk/family?acc=PF04403","0.15")</f>
        <v>0.15</v>
      </c>
      <c r="CX587" s="4" t="str">
        <f>HYPERLINK("http://exon.niaid.nih.gov/transcriptome/C_felis/S1/links/SMART/cf-contig_46-SMART.txt","MYSc")</f>
        <v>MYSc</v>
      </c>
      <c r="CY587" t="str">
        <f>HYPERLINK("http://smart.embl-heidelberg.de/smart/do_annotation.pl?DOMAIN=MYSc&amp;BLAST=DUMMY","0.33")</f>
        <v>0.33</v>
      </c>
      <c r="CZ587" s="4" t="s">
        <v>42</v>
      </c>
      <c r="DA587" t="s">
        <v>42</v>
      </c>
      <c r="DB587" t="s">
        <v>42</v>
      </c>
      <c r="DC587" t="s">
        <v>42</v>
      </c>
      <c r="DD587" t="s">
        <v>42</v>
      </c>
      <c r="DE587" t="s">
        <v>42</v>
      </c>
      <c r="DF587" t="s">
        <v>42</v>
      </c>
      <c r="DG587" t="s">
        <v>42</v>
      </c>
      <c r="DH587" s="4" t="s">
        <v>42</v>
      </c>
      <c r="DI587" t="s">
        <v>42</v>
      </c>
      <c r="DJ587" s="4" t="s">
        <v>42</v>
      </c>
      <c r="DK587" t="s">
        <v>42</v>
      </c>
      <c r="DL587" s="4">
        <f>HYPERLINK("http://exon.niaid.nih.gov/transcriptome/C_felis/S1/links/cluster/cf-5-36-asb30-50-Id-CLU28.txt", 28)</f>
        <v>28</v>
      </c>
      <c r="DM587">
        <f>HYPERLINK("http://exon.niaid.nih.gov/transcriptome/C_felis/S1/links/cluster/cf-5-36-asb30-50-Id-CLTL28.txt", 2)</f>
        <v>2</v>
      </c>
      <c r="DN587" s="4">
        <f>HYPERLINK("http://exon.niaid.nih.gov/transcriptome/C_felis/S1/links/cluster/cf-5-36-asb35-50-Id-CLU23.txt", 23)</f>
        <v>23</v>
      </c>
      <c r="DO587">
        <f>HYPERLINK("http://exon.niaid.nih.gov/transcriptome/C_felis/S1/links/cluster/cf-5-36-asb35-50-Id-CLTL23.txt", 2)</f>
        <v>2</v>
      </c>
      <c r="DP587" s="4">
        <f>HYPERLINK("http://exon.niaid.nih.gov/transcriptome/C_felis/S1/links/cluster/cf-5-36-asb40-50-Id-CLU22.txt", 22)</f>
        <v>22</v>
      </c>
      <c r="DQ587">
        <f>HYPERLINK("http://exon.niaid.nih.gov/transcriptome/C_felis/S1/links/cluster/cf-5-36-asb40-50-Id-CLTL22.txt", 2)</f>
        <v>2</v>
      </c>
      <c r="DR587" s="4">
        <f>HYPERLINK("http://exon.niaid.nih.gov/transcriptome/C_felis/S1/links/cluster/cf-5-36-asb45-50-Id-CLU20.txt", 20)</f>
        <v>20</v>
      </c>
      <c r="DS587">
        <f>HYPERLINK("http://exon.niaid.nih.gov/transcriptome/C_felis/S1/links/cluster/cf-5-36-asb45-50-Id-CLTL20.txt", 2)</f>
        <v>2</v>
      </c>
      <c r="DT587" s="4">
        <f>HYPERLINK("http://exon.niaid.nih.gov/transcriptome/C_felis/S1/links/cluster/cf-5-36-asb50-50-Id-CLU16.txt", 16)</f>
        <v>16</v>
      </c>
      <c r="DU587">
        <f>HYPERLINK("http://exon.niaid.nih.gov/transcriptome/C_felis/S1/links/cluster/cf-5-36-asb50-50-Id-CLTL16.txt", 2)</f>
        <v>2</v>
      </c>
      <c r="DV587" s="4">
        <f>HYPERLINK("http://exon.niaid.nih.gov/transcriptome/C_felis/S1/links/cluster/cf-5-36-asb55-50-Id-CLU17.txt", 17)</f>
        <v>17</v>
      </c>
      <c r="DW587">
        <f>HYPERLINK("http://exon.niaid.nih.gov/transcriptome/C_felis/S1/links/cluster/cf-5-36-asb55-50-Id-CLTL17.txt", 2)</f>
        <v>2</v>
      </c>
      <c r="DX587" s="4">
        <f>HYPERLINK("http://exon.niaid.nih.gov/transcriptome/C_felis/S1/links/cluster/cf-5-36-asb60-50-Id-CLU15.txt", 15)</f>
        <v>15</v>
      </c>
      <c r="DY587">
        <f>HYPERLINK("http://exon.niaid.nih.gov/transcriptome/C_felis/S1/links/cluster/cf-5-36-asb60-50-Id-CLTL15.txt", 2)</f>
        <v>2</v>
      </c>
      <c r="DZ587" s="4">
        <f>HYPERLINK("http://exon.niaid.nih.gov/transcriptome/C_felis/S1/links/cluster/cf-5-36-asb65-50-Id-CLU13.txt", 13)</f>
        <v>13</v>
      </c>
      <c r="EA587">
        <f>HYPERLINK("http://exon.niaid.nih.gov/transcriptome/C_felis/S1/links/cluster/cf-5-36-asb65-50-Id-CLTL13.txt", 2)</f>
        <v>2</v>
      </c>
      <c r="EB587" s="4">
        <f>HYPERLINK("http://exon.niaid.nih.gov/transcriptome/C_felis/S1/links/cluster/cf-5-36-asb70-50-Id-CLU9.txt", 9)</f>
        <v>9</v>
      </c>
      <c r="EC587">
        <f>HYPERLINK("http://exon.niaid.nih.gov/transcriptome/C_felis/S1/links/cluster/cf-5-36-asb70-50-Id-CLTL9.txt", 2)</f>
        <v>2</v>
      </c>
      <c r="ED587" s="4">
        <f>HYPERLINK("http://exon.niaid.nih.gov/transcriptome/C_felis/S1/links/cluster/cf-5-36-asb75-50-Id-CLU7.txt", 7)</f>
        <v>7</v>
      </c>
      <c r="EE587">
        <f>HYPERLINK("http://exon.niaid.nih.gov/transcriptome/C_felis/S1/links/cluster/cf-5-36-asb75-50-Id-CLTL7.txt", 2)</f>
        <v>2</v>
      </c>
      <c r="EF587" s="4">
        <f>HYPERLINK("http://exon.niaid.nih.gov/transcriptome/C_felis/S1/links/cluster/cf-5-36-asb80-50-Id-CLU6.txt", 6)</f>
        <v>6</v>
      </c>
      <c r="EG587">
        <f>HYPERLINK("http://exon.niaid.nih.gov/transcriptome/C_felis/S1/links/cluster/cf-5-36-asb80-50-Id-CLTL6.txt", 2)</f>
        <v>2</v>
      </c>
      <c r="EH587" s="4">
        <v>48</v>
      </c>
      <c r="EI587">
        <v>1</v>
      </c>
      <c r="EJ587" s="4">
        <v>46</v>
      </c>
      <c r="EK587">
        <v>1</v>
      </c>
    </row>
    <row r="588" spans="1:141" x14ac:dyDescent="0.2">
      <c r="A588" t="str">
        <f>HYPERLINK("http://exon.niaid.nih.gov/transcriptome/C_felis/S1/links/cf/cf-contig_384.txt","cf-contig_384")</f>
        <v>cf-contig_384</v>
      </c>
      <c r="B588">
        <v>1</v>
      </c>
      <c r="C588" s="10" t="s">
        <v>4600</v>
      </c>
      <c r="D588">
        <v>1</v>
      </c>
      <c r="E588" t="str">
        <f>HYPERLINK("http://exon.niaid.nih.gov/transcriptome/C_felis/S1/links/cf/cf-5-36-asb-384.txt","Contig-384")</f>
        <v>Contig-384</v>
      </c>
      <c r="F588" t="str">
        <f>HYPERLINK("http://exon.niaid.nih.gov/transcriptome/C_felis/S1/links/cf/cf-5-36-384-CLU.txt","Contig384")</f>
        <v>Contig384</v>
      </c>
      <c r="G588" t="str">
        <f>HYPERLINK("http://exon.niaid.nih.gov/transcriptome/C_felis/S1/links/cf/cf-5-36-384-qual.txt","57.3")</f>
        <v>57.3</v>
      </c>
      <c r="H588" t="s">
        <v>11</v>
      </c>
      <c r="I588">
        <v>75.400000000000006</v>
      </c>
      <c r="J588">
        <v>383</v>
      </c>
      <c r="K588" t="s">
        <v>12</v>
      </c>
      <c r="L588">
        <v>1</v>
      </c>
      <c r="M588" t="s">
        <v>397</v>
      </c>
      <c r="N588">
        <v>383</v>
      </c>
      <c r="O588">
        <v>402</v>
      </c>
      <c r="P588">
        <v>129</v>
      </c>
      <c r="Q588" t="s">
        <v>1204</v>
      </c>
      <c r="R588">
        <v>1</v>
      </c>
      <c r="S588" s="7" t="s">
        <v>4585</v>
      </c>
      <c r="U588">
        <v>1</v>
      </c>
      <c r="V588" s="4">
        <v>312</v>
      </c>
      <c r="W588">
        <v>1</v>
      </c>
      <c r="X588" s="4">
        <v>320</v>
      </c>
      <c r="Y588">
        <v>1</v>
      </c>
      <c r="Z588" s="4">
        <v>321</v>
      </c>
      <c r="AA588">
        <v>1</v>
      </c>
      <c r="AB588" s="4" t="str">
        <f>HYPERLINK("http://exon.niaid.nih.gov/transcriptome/C_felis/S1/links/XC-ASB/cf-contig_384-XC-ASB.txt","XC-contig_25")</f>
        <v>XC-contig_25</v>
      </c>
      <c r="AC588">
        <v>0.06</v>
      </c>
      <c r="AD588" s="10" t="s">
        <v>4600</v>
      </c>
      <c r="AE588" t="s">
        <v>4601</v>
      </c>
      <c r="AI588" s="4" t="str">
        <f>HYPERLINK("http://exon.niaid.nih.gov/transcriptome/C_felis/S1/links/NR/cf-contig_384-NR.txt","hypothetical protein CdifQCD-2_01062")</f>
        <v>hypothetical protein CdifQCD-2_01062</v>
      </c>
      <c r="AJ588" t="str">
        <f>HYPERLINK("http://www.ncbi.nlm.nih.gov/sutils/blink.cgi?pid=255654290","1.5")</f>
        <v>1.5</v>
      </c>
      <c r="AK588" t="str">
        <f>HYPERLINK("http://www.ncbi.nlm.nih.gov/protein/255654290","gi|255654290")</f>
        <v>gi|255654290</v>
      </c>
      <c r="AL588">
        <v>36.6</v>
      </c>
      <c r="AM588">
        <v>28</v>
      </c>
      <c r="AN588">
        <v>277</v>
      </c>
      <c r="AO588">
        <v>55</v>
      </c>
      <c r="AP588">
        <v>10</v>
      </c>
      <c r="AQ588">
        <v>13</v>
      </c>
      <c r="AR588">
        <v>0</v>
      </c>
      <c r="AS588">
        <v>222</v>
      </c>
      <c r="AT588">
        <v>117</v>
      </c>
      <c r="AU588">
        <v>1</v>
      </c>
      <c r="AV588">
        <v>3</v>
      </c>
      <c r="AW588" t="s">
        <v>12</v>
      </c>
      <c r="AX588">
        <v>7.1429999999999998</v>
      </c>
      <c r="AY588" t="s">
        <v>1676</v>
      </c>
      <c r="AZ588" t="s">
        <v>3026</v>
      </c>
      <c r="BA588" s="4" t="str">
        <f>HYPERLINK("http://exon.niaid.nih.gov/transcriptome/C_felis/S1/links/SWISSP/cf-contig_384-SWISSP.txt","ATP phosphoribosyltransferase regulatory subunit")</f>
        <v>ATP phosphoribosyltransferase regulatory subunit</v>
      </c>
      <c r="BB588" t="str">
        <f>HYPERLINK("http://www.uniprot.org/uniprot/Q7TU96","2.7")</f>
        <v>2.7</v>
      </c>
      <c r="BC588" t="s">
        <v>3027</v>
      </c>
      <c r="BD588">
        <v>30.8</v>
      </c>
      <c r="BE588">
        <v>72</v>
      </c>
      <c r="BF588">
        <v>383</v>
      </c>
      <c r="BG588">
        <v>30</v>
      </c>
      <c r="BH588">
        <v>19</v>
      </c>
      <c r="BI588">
        <v>51</v>
      </c>
      <c r="BJ588">
        <v>11</v>
      </c>
      <c r="BK588">
        <v>262</v>
      </c>
      <c r="BL588">
        <v>34</v>
      </c>
      <c r="BM588">
        <v>1</v>
      </c>
      <c r="BN588">
        <v>1</v>
      </c>
      <c r="BO588" t="s">
        <v>12</v>
      </c>
      <c r="BP588">
        <v>2.778</v>
      </c>
      <c r="BQ588" t="s">
        <v>1676</v>
      </c>
      <c r="BR588" t="s">
        <v>3028</v>
      </c>
      <c r="BS588" s="4" t="str">
        <f>HYPERLINK("http://exon.niaid.nih.gov/transcriptome/C_felis/S1/links/CDD/cf-contig_384-CDD.txt","YfhO")</f>
        <v>YfhO</v>
      </c>
      <c r="BT588" t="str">
        <f>HYPERLINK("http://www.ncbi.nlm.nih.gov/Structure/cdd/cddsrv.cgi?uid=pfam09586&amp;version=v4.0","0.050")</f>
        <v>0.050</v>
      </c>
      <c r="BU588" t="s">
        <v>3029</v>
      </c>
      <c r="BV588" s="4" t="s">
        <v>42</v>
      </c>
      <c r="BW588" t="s">
        <v>42</v>
      </c>
      <c r="BX588" t="s">
        <v>42</v>
      </c>
      <c r="BY588" t="s">
        <v>42</v>
      </c>
      <c r="BZ588" t="s">
        <v>42</v>
      </c>
      <c r="CA588" t="s">
        <v>42</v>
      </c>
      <c r="CB588" t="s">
        <v>42</v>
      </c>
      <c r="CC588" t="s">
        <v>42</v>
      </c>
      <c r="CD588" t="s">
        <v>42</v>
      </c>
      <c r="CE588" t="s">
        <v>42</v>
      </c>
      <c r="CF588" t="s">
        <v>42</v>
      </c>
      <c r="CG588" t="s">
        <v>42</v>
      </c>
      <c r="CH588" t="s">
        <v>42</v>
      </c>
      <c r="CI588" t="s">
        <v>42</v>
      </c>
      <c r="CJ588" t="s">
        <v>42</v>
      </c>
      <c r="CK588" t="s">
        <v>42</v>
      </c>
      <c r="CL588" t="s">
        <v>42</v>
      </c>
      <c r="CM588" t="s">
        <v>42</v>
      </c>
      <c r="CN588" t="s">
        <v>42</v>
      </c>
      <c r="CO588" t="s">
        <v>42</v>
      </c>
      <c r="CP588" t="s">
        <v>42</v>
      </c>
      <c r="CQ588" t="s">
        <v>42</v>
      </c>
      <c r="CR588" t="s">
        <v>42</v>
      </c>
      <c r="CS588" s="4" t="str">
        <f>HYPERLINK("http://exon.niaid.nih.gov/transcriptome/C_felis/S1/links/KOG/cf-contig_384-KOG.txt","Metalloprotease")</f>
        <v>Metalloprotease</v>
      </c>
      <c r="CT588" t="str">
        <f>HYPERLINK("http://www.ncbi.nlm.nih.gov/COG/grace/shokog.cgi?KOG2719","1.6")</f>
        <v>1.6</v>
      </c>
      <c r="CU588" t="s">
        <v>1721</v>
      </c>
      <c r="CV588" s="4" t="str">
        <f>HYPERLINK("http://exon.niaid.nih.gov/transcriptome/C_felis/S1/links/PFAM/cf-contig_384-PFAM.txt","YfhO")</f>
        <v>YfhO</v>
      </c>
      <c r="CW588" t="str">
        <f>HYPERLINK("http://pfam.sanger.ac.uk/family?acc=PF09586","0.011")</f>
        <v>0.011</v>
      </c>
      <c r="CX588" s="4" t="str">
        <f>HYPERLINK("http://exon.niaid.nih.gov/transcriptome/C_felis/S1/links/SMART/cf-contig_384-SMART.txt","AgrB")</f>
        <v>AgrB</v>
      </c>
      <c r="CY588" t="str">
        <f>HYPERLINK("http://smart.embl-heidelberg.de/smart/do_annotation.pl?DOMAIN=AgrB&amp;BLAST=DUMMY","0.32")</f>
        <v>0.32</v>
      </c>
      <c r="CZ588" s="4" t="s">
        <v>42</v>
      </c>
      <c r="DA588" t="s">
        <v>42</v>
      </c>
      <c r="DB588" t="s">
        <v>42</v>
      </c>
      <c r="DC588" t="s">
        <v>42</v>
      </c>
      <c r="DD588" t="s">
        <v>42</v>
      </c>
      <c r="DE588" t="s">
        <v>42</v>
      </c>
      <c r="DF588" t="s">
        <v>42</v>
      </c>
      <c r="DG588" t="s">
        <v>42</v>
      </c>
      <c r="DH588" s="4" t="s">
        <v>42</v>
      </c>
      <c r="DI588" t="s">
        <v>42</v>
      </c>
      <c r="DJ588" s="4" t="s">
        <v>42</v>
      </c>
      <c r="DK588" t="s">
        <v>42</v>
      </c>
      <c r="DL588" s="4">
        <v>312</v>
      </c>
      <c r="DM588">
        <v>1</v>
      </c>
      <c r="DN588" s="4">
        <v>320</v>
      </c>
      <c r="DO588">
        <v>1</v>
      </c>
      <c r="DP588" s="4">
        <v>321</v>
      </c>
      <c r="DQ588">
        <v>1</v>
      </c>
      <c r="DR588" s="4">
        <v>332</v>
      </c>
      <c r="DS588">
        <v>1</v>
      </c>
      <c r="DT588" s="4">
        <v>342</v>
      </c>
      <c r="DU588">
        <v>1</v>
      </c>
      <c r="DV588" s="4">
        <v>355</v>
      </c>
      <c r="DW588">
        <v>1</v>
      </c>
      <c r="DX588" s="4">
        <v>358</v>
      </c>
      <c r="DY588">
        <v>1</v>
      </c>
      <c r="DZ588" s="4">
        <v>363</v>
      </c>
      <c r="EA588">
        <v>1</v>
      </c>
      <c r="EB588" s="4">
        <v>368</v>
      </c>
      <c r="EC588">
        <v>1</v>
      </c>
      <c r="ED588" s="4">
        <v>372</v>
      </c>
      <c r="EE588">
        <v>1</v>
      </c>
      <c r="EF588" s="4">
        <v>377</v>
      </c>
      <c r="EG588">
        <v>1</v>
      </c>
      <c r="EH588" s="4">
        <v>379</v>
      </c>
      <c r="EI588">
        <v>1</v>
      </c>
      <c r="EJ588" s="4">
        <v>384</v>
      </c>
      <c r="EK588">
        <v>1</v>
      </c>
    </row>
    <row r="589" spans="1:141" x14ac:dyDescent="0.2">
      <c r="A589" t="str">
        <f>HYPERLINK("http://exon.niaid.nih.gov/transcriptome/C_felis/S1/links/cf/cf-contig_400.txt","cf-contig_400")</f>
        <v>cf-contig_400</v>
      </c>
      <c r="B589">
        <v>1</v>
      </c>
      <c r="C589" s="10" t="s">
        <v>4600</v>
      </c>
      <c r="D589">
        <v>1</v>
      </c>
      <c r="E589" t="str">
        <f>HYPERLINK("http://exon.niaid.nih.gov/transcriptome/C_felis/S1/links/cf/cf-5-36-asb-400.txt","Contig-400")</f>
        <v>Contig-400</v>
      </c>
      <c r="F589" t="str">
        <f>HYPERLINK("http://exon.niaid.nih.gov/transcriptome/C_felis/S1/links/cf/cf-5-36-400-CLU.txt","Contig400")</f>
        <v>Contig400</v>
      </c>
      <c r="G589" t="str">
        <f>HYPERLINK("http://exon.niaid.nih.gov/transcriptome/C_felis/S1/links/cf/cf-5-36-400-qual.txt","54.7")</f>
        <v>54.7</v>
      </c>
      <c r="H589">
        <v>1</v>
      </c>
      <c r="I589">
        <v>71.400000000000006</v>
      </c>
      <c r="J589">
        <v>177</v>
      </c>
      <c r="K589" t="s">
        <v>12</v>
      </c>
      <c r="L589">
        <v>1</v>
      </c>
      <c r="M589" t="s">
        <v>413</v>
      </c>
      <c r="N589">
        <v>177</v>
      </c>
      <c r="O589">
        <v>196</v>
      </c>
      <c r="P589">
        <v>138</v>
      </c>
      <c r="Q589" t="s">
        <v>1220</v>
      </c>
      <c r="R589">
        <v>1</v>
      </c>
      <c r="S589" s="7" t="s">
        <v>4585</v>
      </c>
      <c r="U589">
        <v>1</v>
      </c>
      <c r="V589" s="4">
        <v>326</v>
      </c>
      <c r="W589">
        <v>1</v>
      </c>
      <c r="X589" s="4">
        <v>334</v>
      </c>
      <c r="Y589">
        <v>1</v>
      </c>
      <c r="Z589" s="4">
        <v>335</v>
      </c>
      <c r="AA589">
        <v>1</v>
      </c>
      <c r="AB589" s="4" t="str">
        <f>HYPERLINK("http://exon.niaid.nih.gov/transcriptome/C_felis/S1/links/XC-ASB/cf-contig_400-XC-ASB.txt","XC-contig_107")</f>
        <v>XC-contig_107</v>
      </c>
      <c r="AC589">
        <v>0.11</v>
      </c>
      <c r="AD589" s="10" t="s">
        <v>4600</v>
      </c>
      <c r="AE589" t="s">
        <v>4601</v>
      </c>
      <c r="AI589" s="4" t="str">
        <f>HYPERLINK("http://exon.niaid.nih.gov/transcriptome/C_felis/S1/links/NR/cf-contig_400-NR.txt","hypothetical protein CKR_2981")</f>
        <v>hypothetical protein CKR_2981</v>
      </c>
      <c r="AJ589" t="str">
        <f>HYPERLINK("http://www.ncbi.nlm.nih.gov/sutils/blink.cgi?pid=219856324","12")</f>
        <v>12</v>
      </c>
      <c r="AK589" t="str">
        <f>HYPERLINK("http://www.ncbi.nlm.nih.gov/protein/219856324","gi|219856324")</f>
        <v>gi|219856324</v>
      </c>
      <c r="AL589">
        <v>33.5</v>
      </c>
      <c r="AM589">
        <v>56</v>
      </c>
      <c r="AN589">
        <v>305</v>
      </c>
      <c r="AO589">
        <v>33</v>
      </c>
      <c r="AP589">
        <v>19</v>
      </c>
      <c r="AQ589">
        <v>38</v>
      </c>
      <c r="AR589">
        <v>1</v>
      </c>
      <c r="AS589">
        <v>10</v>
      </c>
      <c r="AT589">
        <v>6</v>
      </c>
      <c r="AU589">
        <v>1</v>
      </c>
      <c r="AV589">
        <v>-3</v>
      </c>
      <c r="AW589" t="s">
        <v>12</v>
      </c>
      <c r="AY589" t="s">
        <v>1666</v>
      </c>
      <c r="AZ589" t="s">
        <v>3084</v>
      </c>
      <c r="BA589" s="4" t="str">
        <f>HYPERLINK("http://exon.niaid.nih.gov/transcriptome/C_felis/S1/links/SWISSP/cf-contig_400-SWISSP.txt","Uncharacterized protein L504")</f>
        <v>Uncharacterized protein L504</v>
      </c>
      <c r="BB589" t="str">
        <f>HYPERLINK("http://www.uniprot.org/uniprot/Q5UQ69","18")</f>
        <v>18</v>
      </c>
      <c r="BC589" t="s">
        <v>3085</v>
      </c>
      <c r="BD589">
        <v>28.1</v>
      </c>
      <c r="BE589">
        <v>37</v>
      </c>
      <c r="BF589">
        <v>406</v>
      </c>
      <c r="BG589">
        <v>41</v>
      </c>
      <c r="BH589">
        <v>9</v>
      </c>
      <c r="BI589">
        <v>24</v>
      </c>
      <c r="BJ589">
        <v>0</v>
      </c>
      <c r="BK589">
        <v>307</v>
      </c>
      <c r="BL589">
        <v>49</v>
      </c>
      <c r="BM589">
        <v>1</v>
      </c>
      <c r="BN589">
        <v>1</v>
      </c>
      <c r="BO589" t="s">
        <v>12</v>
      </c>
      <c r="BP589">
        <v>2.7029999999999998</v>
      </c>
      <c r="BQ589" t="s">
        <v>1676</v>
      </c>
      <c r="BR589" t="s">
        <v>3086</v>
      </c>
      <c r="BS589" s="4" t="str">
        <f>HYPERLINK("http://exon.niaid.nih.gov/transcriptome/C_felis/S1/links/CDD/cf-contig_400-CDD.txt","PRK14538")</f>
        <v>PRK14538</v>
      </c>
      <c r="BT589" t="str">
        <f>HYPERLINK("http://www.ncbi.nlm.nih.gov/Structure/cdd/cddsrv.cgi?uid=PRK14538&amp;version=v4.0","0.17")</f>
        <v>0.17</v>
      </c>
      <c r="BU589" t="s">
        <v>3087</v>
      </c>
      <c r="BV589" s="4" t="s">
        <v>42</v>
      </c>
      <c r="BW589" t="s">
        <v>42</v>
      </c>
      <c r="BX589" t="s">
        <v>42</v>
      </c>
      <c r="BY589" t="s">
        <v>42</v>
      </c>
      <c r="BZ589" t="s">
        <v>42</v>
      </c>
      <c r="CA589" t="s">
        <v>42</v>
      </c>
      <c r="CB589" t="s">
        <v>42</v>
      </c>
      <c r="CC589" t="s">
        <v>42</v>
      </c>
      <c r="CD589" t="s">
        <v>42</v>
      </c>
      <c r="CE589" t="s">
        <v>42</v>
      </c>
      <c r="CF589" t="s">
        <v>42</v>
      </c>
      <c r="CG589" t="s">
        <v>42</v>
      </c>
      <c r="CH589" t="s">
        <v>42</v>
      </c>
      <c r="CI589" t="s">
        <v>42</v>
      </c>
      <c r="CJ589" t="s">
        <v>42</v>
      </c>
      <c r="CK589" t="s">
        <v>42</v>
      </c>
      <c r="CL589" t="s">
        <v>42</v>
      </c>
      <c r="CM589" t="s">
        <v>42</v>
      </c>
      <c r="CN589" t="s">
        <v>42</v>
      </c>
      <c r="CO589" t="s">
        <v>42</v>
      </c>
      <c r="CP589" t="s">
        <v>42</v>
      </c>
      <c r="CQ589" t="s">
        <v>42</v>
      </c>
      <c r="CR589" t="s">
        <v>42</v>
      </c>
      <c r="CS589" s="4" t="str">
        <f>HYPERLINK("http://exon.niaid.nih.gov/transcriptome/C_felis/S1/links/KOG/cf-contig_400-KOG.txt","Ca2+-activated K+ channel proteins (intermediate/small conductance classes)")</f>
        <v>Ca2+-activated K+ channel proteins (intermediate/small conductance classes)</v>
      </c>
      <c r="CT589" t="str">
        <f>HYPERLINK("http://www.ncbi.nlm.nih.gov/COG/grace/shokog.cgi?KOG3684","0.45")</f>
        <v>0.45</v>
      </c>
      <c r="CU589" t="s">
        <v>1681</v>
      </c>
      <c r="CV589" s="4" t="str">
        <f>HYPERLINK("http://exon.niaid.nih.gov/transcriptome/C_felis/S1/links/PFAM/cf-contig_400-PFAM.txt","UPF0259")</f>
        <v>UPF0259</v>
      </c>
      <c r="CW589" t="str">
        <f>HYPERLINK("http://pfam.sanger.ac.uk/family?acc=PF06790","0.54")</f>
        <v>0.54</v>
      </c>
      <c r="CX589" s="4" t="str">
        <f>HYPERLINK("http://exon.niaid.nih.gov/transcriptome/C_felis/S1/links/SMART/cf-contig_400-SMART.txt","s48_45")</f>
        <v>s48_45</v>
      </c>
      <c r="CY589" t="str">
        <f>HYPERLINK("http://smart.embl-heidelberg.de/smart/do_annotation.pl?DOMAIN=s48_45&amp;BLAST=DUMMY","0.14")</f>
        <v>0.14</v>
      </c>
      <c r="CZ589" s="4" t="s">
        <v>42</v>
      </c>
      <c r="DA589" t="s">
        <v>42</v>
      </c>
      <c r="DB589" t="s">
        <v>42</v>
      </c>
      <c r="DC589" t="s">
        <v>42</v>
      </c>
      <c r="DD589" t="s">
        <v>42</v>
      </c>
      <c r="DE589" t="s">
        <v>42</v>
      </c>
      <c r="DF589" t="s">
        <v>42</v>
      </c>
      <c r="DG589" t="s">
        <v>42</v>
      </c>
      <c r="DH589" s="4" t="s">
        <v>42</v>
      </c>
      <c r="DI589" t="s">
        <v>42</v>
      </c>
      <c r="DJ589" s="4" t="s">
        <v>42</v>
      </c>
      <c r="DK589" t="s">
        <v>42</v>
      </c>
      <c r="DL589" s="4">
        <v>326</v>
      </c>
      <c r="DM589">
        <v>1</v>
      </c>
      <c r="DN589" s="4">
        <v>334</v>
      </c>
      <c r="DO589">
        <v>1</v>
      </c>
      <c r="DP589" s="4">
        <v>335</v>
      </c>
      <c r="DQ589">
        <v>1</v>
      </c>
      <c r="DR589" s="4">
        <v>346</v>
      </c>
      <c r="DS589">
        <v>1</v>
      </c>
      <c r="DT589" s="4">
        <v>356</v>
      </c>
      <c r="DU589">
        <v>1</v>
      </c>
      <c r="DV589" s="4">
        <v>369</v>
      </c>
      <c r="DW589">
        <v>1</v>
      </c>
      <c r="DX589" s="4">
        <v>372</v>
      </c>
      <c r="DY589">
        <v>1</v>
      </c>
      <c r="DZ589" s="4">
        <v>377</v>
      </c>
      <c r="EA589">
        <v>1</v>
      </c>
      <c r="EB589" s="4">
        <v>382</v>
      </c>
      <c r="EC589">
        <v>1</v>
      </c>
      <c r="ED589" s="4">
        <v>386</v>
      </c>
      <c r="EE589">
        <v>1</v>
      </c>
      <c r="EF589" s="4">
        <v>391</v>
      </c>
      <c r="EG589">
        <v>1</v>
      </c>
      <c r="EH589" s="4">
        <v>394</v>
      </c>
      <c r="EI589">
        <v>1</v>
      </c>
      <c r="EJ589" s="4">
        <v>400</v>
      </c>
      <c r="EK589">
        <v>1</v>
      </c>
    </row>
    <row r="590" spans="1:141" x14ac:dyDescent="0.2">
      <c r="A590" t="str">
        <f>HYPERLINK("http://exon.niaid.nih.gov/transcriptome/C_felis/S1/links/cf/cf-contig_717.txt","cf-contig_717")</f>
        <v>cf-contig_717</v>
      </c>
      <c r="B590">
        <v>1</v>
      </c>
      <c r="C590" s="10" t="s">
        <v>4600</v>
      </c>
      <c r="D590">
        <v>1</v>
      </c>
      <c r="E590" t="str">
        <f>HYPERLINK("http://exon.niaid.nih.gov/transcriptome/C_felis/S1/links/cf/cf-5-36-asb-717.txt","Contig-717")</f>
        <v>Contig-717</v>
      </c>
      <c r="F590" t="str">
        <f>HYPERLINK("http://exon.niaid.nih.gov/transcriptome/C_felis/S1/links/cf/cf-5-36-717-CLU.txt","Contig717")</f>
        <v>Contig717</v>
      </c>
      <c r="G590" t="str">
        <f>HYPERLINK("http://exon.niaid.nih.gov/transcriptome/C_felis/S1/links/cf/cf-5-36-717-qual.txt","63.8")</f>
        <v>63.8</v>
      </c>
      <c r="H590" t="s">
        <v>11</v>
      </c>
      <c r="I590">
        <v>75.5</v>
      </c>
      <c r="J590">
        <v>307</v>
      </c>
      <c r="K590" t="s">
        <v>12</v>
      </c>
      <c r="L590">
        <v>1</v>
      </c>
      <c r="M590" t="s">
        <v>730</v>
      </c>
      <c r="N590">
        <v>307</v>
      </c>
      <c r="O590">
        <v>326</v>
      </c>
      <c r="P590">
        <v>129</v>
      </c>
      <c r="Q590" t="s">
        <v>1536</v>
      </c>
      <c r="R590">
        <v>1</v>
      </c>
      <c r="S590" s="7" t="s">
        <v>4585</v>
      </c>
      <c r="U590">
        <v>1</v>
      </c>
      <c r="V590" s="4">
        <v>581</v>
      </c>
      <c r="W590">
        <v>1</v>
      </c>
      <c r="X590" s="4">
        <v>597</v>
      </c>
      <c r="Y590">
        <v>1</v>
      </c>
      <c r="Z590" s="4">
        <v>610</v>
      </c>
      <c r="AA590">
        <v>1</v>
      </c>
      <c r="AB590" s="4" t="str">
        <f>HYPERLINK("http://exon.niaid.nih.gov/transcriptome/C_felis/S1/links/XC-ASB/cf-contig_717-XC-ASB.txt","XC-contig_190")</f>
        <v>XC-contig_190</v>
      </c>
      <c r="AC590">
        <v>3.0000000000000001E-3</v>
      </c>
      <c r="AD590" s="10" t="s">
        <v>4600</v>
      </c>
      <c r="AE590" t="s">
        <v>4601</v>
      </c>
      <c r="AI590" s="4" t="str">
        <f>HYPERLINK("http://exon.niaid.nih.gov/transcriptome/C_felis/S1/links/NR/cf-contig_717-NR.txt","hypothetical protein Closa_3702")</f>
        <v>hypothetical protein Closa_3702</v>
      </c>
      <c r="AJ590" t="str">
        <f>HYPERLINK("http://www.ncbi.nlm.nih.gov/sutils/blink.cgi?pid=302388023","16")</f>
        <v>16</v>
      </c>
      <c r="AK590" t="str">
        <f>HYPERLINK("http://www.ncbi.nlm.nih.gov/protein/302388023","gi|302388023")</f>
        <v>gi|302388023</v>
      </c>
      <c r="AL590">
        <v>33.1</v>
      </c>
      <c r="AM590">
        <v>45</v>
      </c>
      <c r="AN590">
        <v>101</v>
      </c>
      <c r="AO590">
        <v>33</v>
      </c>
      <c r="AP590">
        <v>46</v>
      </c>
      <c r="AQ590">
        <v>32</v>
      </c>
      <c r="AR590">
        <v>2</v>
      </c>
      <c r="AS590">
        <v>3</v>
      </c>
      <c r="AT590">
        <v>60</v>
      </c>
      <c r="AU590">
        <v>1</v>
      </c>
      <c r="AV590">
        <v>-1</v>
      </c>
      <c r="AW590" t="s">
        <v>12</v>
      </c>
      <c r="AX590">
        <v>2.222</v>
      </c>
      <c r="AY590" t="s">
        <v>1666</v>
      </c>
      <c r="AZ590" t="s">
        <v>4264</v>
      </c>
      <c r="BA590" s="4" t="str">
        <f>HYPERLINK("http://exon.niaid.nih.gov/transcriptome/C_felis/S1/links/SWISSP/cf-contig_717-SWISSP.txt","Uncharacterized membrane protein YHL071W")</f>
        <v>Uncharacterized membrane protein YHL071W</v>
      </c>
      <c r="BB590" t="str">
        <f>HYPERLINK("http://www.uniprot.org/uniprot/P38745","14")</f>
        <v>14</v>
      </c>
      <c r="BC590" t="s">
        <v>4265</v>
      </c>
      <c r="BD590">
        <v>28.5</v>
      </c>
      <c r="BE590">
        <v>43</v>
      </c>
      <c r="BF590">
        <v>532</v>
      </c>
      <c r="BG590">
        <v>36</v>
      </c>
      <c r="BH590">
        <v>8</v>
      </c>
      <c r="BI590">
        <v>28</v>
      </c>
      <c r="BJ590">
        <v>2</v>
      </c>
      <c r="BK590">
        <v>343</v>
      </c>
      <c r="BL590">
        <v>127</v>
      </c>
      <c r="BM590">
        <v>1</v>
      </c>
      <c r="BN590">
        <v>1</v>
      </c>
      <c r="BO590" t="s">
        <v>12</v>
      </c>
      <c r="BP590">
        <v>2.3260000000000001</v>
      </c>
      <c r="BQ590" t="s">
        <v>1676</v>
      </c>
      <c r="BR590" t="s">
        <v>1796</v>
      </c>
      <c r="BS590" s="4" t="str">
        <f>HYPERLINK("http://exon.niaid.nih.gov/transcriptome/C_felis/S1/links/CDD/cf-contig_717-CDD.txt","Mannosyl_trans2")</f>
        <v>Mannosyl_trans2</v>
      </c>
      <c r="BT590" t="str">
        <f>HYPERLINK("http://www.ncbi.nlm.nih.gov/Structure/cdd/cddsrv.cgi?uid=pfam04188&amp;version=v4.0","0.072")</f>
        <v>0.072</v>
      </c>
      <c r="BU590" t="s">
        <v>4266</v>
      </c>
      <c r="BV590" s="4" t="s">
        <v>42</v>
      </c>
      <c r="BW590" t="s">
        <v>42</v>
      </c>
      <c r="BX590" t="s">
        <v>42</v>
      </c>
      <c r="BY590" t="s">
        <v>42</v>
      </c>
      <c r="BZ590" t="s">
        <v>42</v>
      </c>
      <c r="CA590" t="s">
        <v>42</v>
      </c>
      <c r="CB590" t="s">
        <v>42</v>
      </c>
      <c r="CC590" t="s">
        <v>42</v>
      </c>
      <c r="CD590" t="s">
        <v>42</v>
      </c>
      <c r="CE590" t="s">
        <v>42</v>
      </c>
      <c r="CF590" t="s">
        <v>42</v>
      </c>
      <c r="CG590" t="s">
        <v>42</v>
      </c>
      <c r="CH590" t="s">
        <v>42</v>
      </c>
      <c r="CI590" t="s">
        <v>42</v>
      </c>
      <c r="CJ590" t="s">
        <v>42</v>
      </c>
      <c r="CK590" t="s">
        <v>42</v>
      </c>
      <c r="CL590" t="s">
        <v>42</v>
      </c>
      <c r="CM590" t="s">
        <v>42</v>
      </c>
      <c r="CN590" t="s">
        <v>42</v>
      </c>
      <c r="CO590" t="s">
        <v>42</v>
      </c>
      <c r="CP590" t="s">
        <v>42</v>
      </c>
      <c r="CQ590" t="s">
        <v>42</v>
      </c>
      <c r="CR590" t="s">
        <v>42</v>
      </c>
      <c r="CS590" s="4" t="str">
        <f>HYPERLINK("http://exon.niaid.nih.gov/transcriptome/C_felis/S1/links/KOG/cf-contig_717-KOG.txt","ATP-dependent DNA ligase I")</f>
        <v>ATP-dependent DNA ligase I</v>
      </c>
      <c r="CT590" t="str">
        <f>HYPERLINK("http://www.ncbi.nlm.nih.gov/COG/grace/shokog.cgi?KOG0967","2.2")</f>
        <v>2.2</v>
      </c>
      <c r="CU590" t="s">
        <v>2520</v>
      </c>
      <c r="CV590" s="4" t="str">
        <f>HYPERLINK("http://exon.niaid.nih.gov/transcriptome/C_felis/S1/links/PFAM/cf-contig_717-PFAM.txt","Mannosyl_trans2")</f>
        <v>Mannosyl_trans2</v>
      </c>
      <c r="CW590" t="str">
        <f>HYPERLINK("http://pfam.sanger.ac.uk/family?acc=PF04188","0.015")</f>
        <v>0.015</v>
      </c>
      <c r="CX590" s="4" t="str">
        <f>HYPERLINK("http://exon.niaid.nih.gov/transcriptome/C_felis/S1/links/SMART/cf-contig_717-SMART.txt","RPR")</f>
        <v>RPR</v>
      </c>
      <c r="CY590" t="str">
        <f>HYPERLINK("http://smart.embl-heidelberg.de/smart/do_annotation.pl?DOMAIN=RPR&amp;BLAST=DUMMY","0.085")</f>
        <v>0.085</v>
      </c>
      <c r="CZ590" s="4" t="s">
        <v>42</v>
      </c>
      <c r="DA590" t="s">
        <v>42</v>
      </c>
      <c r="DB590" t="s">
        <v>42</v>
      </c>
      <c r="DC590" t="s">
        <v>42</v>
      </c>
      <c r="DD590" t="s">
        <v>42</v>
      </c>
      <c r="DE590" t="s">
        <v>42</v>
      </c>
      <c r="DF590" t="s">
        <v>42</v>
      </c>
      <c r="DG590" t="s">
        <v>42</v>
      </c>
      <c r="DH590" s="4" t="s">
        <v>42</v>
      </c>
      <c r="DI590" t="s">
        <v>42</v>
      </c>
      <c r="DJ590" s="4" t="s">
        <v>42</v>
      </c>
      <c r="DK590" t="s">
        <v>42</v>
      </c>
      <c r="DL590" s="4">
        <v>581</v>
      </c>
      <c r="DM590">
        <v>1</v>
      </c>
      <c r="DN590" s="4">
        <v>597</v>
      </c>
      <c r="DO590">
        <v>1</v>
      </c>
      <c r="DP590" s="4">
        <v>610</v>
      </c>
      <c r="DQ590">
        <v>1</v>
      </c>
      <c r="DR590" s="4">
        <v>631</v>
      </c>
      <c r="DS590">
        <v>1</v>
      </c>
      <c r="DT590" s="4">
        <v>646</v>
      </c>
      <c r="DU590">
        <v>1</v>
      </c>
      <c r="DV590" s="4">
        <v>661</v>
      </c>
      <c r="DW590">
        <v>1</v>
      </c>
      <c r="DX590" s="4">
        <v>672</v>
      </c>
      <c r="DY590">
        <v>1</v>
      </c>
      <c r="DZ590" s="4">
        <v>682</v>
      </c>
      <c r="EA590">
        <v>1</v>
      </c>
      <c r="EB590" s="4">
        <v>688</v>
      </c>
      <c r="EC590">
        <v>1</v>
      </c>
      <c r="ED590" s="4">
        <v>692</v>
      </c>
      <c r="EE590">
        <v>1</v>
      </c>
      <c r="EF590" s="4">
        <v>698</v>
      </c>
      <c r="EG590">
        <v>1</v>
      </c>
      <c r="EH590" s="4">
        <v>708</v>
      </c>
      <c r="EI590">
        <v>1</v>
      </c>
      <c r="EJ590" s="4">
        <v>717</v>
      </c>
      <c r="EK590">
        <v>1</v>
      </c>
    </row>
    <row r="591" spans="1:141" x14ac:dyDescent="0.2">
      <c r="A591" t="str">
        <f>HYPERLINK("http://exon.niaid.nih.gov/transcriptome/C_felis/S1/links/cf/cf-contig_149.txt","cf-contig_149")</f>
        <v>cf-contig_149</v>
      </c>
      <c r="B591">
        <v>1</v>
      </c>
      <c r="C591" s="10" t="s">
        <v>4600</v>
      </c>
      <c r="D591">
        <v>1</v>
      </c>
      <c r="E591" t="str">
        <f>HYPERLINK("http://exon.niaid.nih.gov/transcriptome/C_felis/S1/links/cf/cf-5-36-asb-149.txt","Contig-149")</f>
        <v>Contig-149</v>
      </c>
      <c r="F591" t="str">
        <f>HYPERLINK("http://exon.niaid.nih.gov/transcriptome/C_felis/S1/links/cf/cf-5-36-149-CLU.txt","Contig149")</f>
        <v>Contig149</v>
      </c>
      <c r="G591" t="str">
        <f>HYPERLINK("http://exon.niaid.nih.gov/transcriptome/C_felis/S1/links/cf/cf-5-36-149-qual.txt","47.1")</f>
        <v>47.1</v>
      </c>
      <c r="H591">
        <v>1</v>
      </c>
      <c r="I591">
        <v>64.7</v>
      </c>
      <c r="J591">
        <v>83</v>
      </c>
      <c r="K591" t="s">
        <v>12</v>
      </c>
      <c r="L591">
        <v>1</v>
      </c>
      <c r="M591" t="s">
        <v>162</v>
      </c>
      <c r="N591">
        <v>83</v>
      </c>
      <c r="O591">
        <v>102</v>
      </c>
      <c r="P591">
        <v>96</v>
      </c>
      <c r="Q591" t="s">
        <v>969</v>
      </c>
      <c r="R591">
        <v>3</v>
      </c>
      <c r="S591" s="7" t="s">
        <v>4585</v>
      </c>
      <c r="U591">
        <v>1</v>
      </c>
      <c r="V591" s="4">
        <v>140</v>
      </c>
      <c r="W591">
        <v>1</v>
      </c>
      <c r="X591" s="4">
        <v>137</v>
      </c>
      <c r="Y591">
        <v>1</v>
      </c>
      <c r="Z591" s="4">
        <v>134</v>
      </c>
      <c r="AA591">
        <v>1</v>
      </c>
      <c r="AB591" s="4" t="str">
        <f>HYPERLINK("http://exon.niaid.nih.gov/transcriptome/C_felis/S1/links/XC-ASB/cf-contig_149-XC-ASB.txt","XC-contig_193")</f>
        <v>XC-contig_193</v>
      </c>
      <c r="AC591">
        <v>3.0000000000000001E-3</v>
      </c>
      <c r="AD591" s="10" t="s">
        <v>4600</v>
      </c>
      <c r="AE591" t="s">
        <v>4601</v>
      </c>
      <c r="AI591" s="4" t="str">
        <f>HYPERLINK("http://exon.niaid.nih.gov/transcriptome/C_felis/S1/links/NR/cf-contig_149-NR.txt","hypothetical protein COLSTE_00035")</f>
        <v>hypothetical protein COLSTE_00035</v>
      </c>
      <c r="AJ591" t="str">
        <f>HYPERLINK("http://www.ncbi.nlm.nih.gov/sutils/blink.cgi?pid=210629855","46")</f>
        <v>46</v>
      </c>
      <c r="AK591" t="str">
        <f>HYPERLINK("http://www.ncbi.nlm.nih.gov/protein/210629855","gi|210629855")</f>
        <v>gi|210629855</v>
      </c>
      <c r="AL591">
        <v>31.6</v>
      </c>
      <c r="AM591">
        <v>20</v>
      </c>
      <c r="AN591">
        <v>53</v>
      </c>
      <c r="AO591">
        <v>52</v>
      </c>
      <c r="AP591">
        <v>40</v>
      </c>
      <c r="AQ591">
        <v>10</v>
      </c>
      <c r="AR591">
        <v>0</v>
      </c>
      <c r="AS591">
        <v>25</v>
      </c>
      <c r="AT591">
        <v>14</v>
      </c>
      <c r="AU591">
        <v>1</v>
      </c>
      <c r="AV591">
        <v>-3</v>
      </c>
      <c r="AW591" t="s">
        <v>12</v>
      </c>
      <c r="AY591" t="s">
        <v>1666</v>
      </c>
      <c r="AZ591" t="s">
        <v>2238</v>
      </c>
      <c r="BA591" s="4" t="str">
        <f>HYPERLINK("http://exon.niaid.nih.gov/transcriptome/C_felis/S1/links/SWISSP/cf-contig_149-SWISSP.txt","Disks large homolog 5")</f>
        <v>Disks large homolog 5</v>
      </c>
      <c r="BB591" t="str">
        <f>HYPERLINK("http://www.uniprot.org/uniprot/Q8TDM6","23")</f>
        <v>23</v>
      </c>
      <c r="BC591" t="s">
        <v>2239</v>
      </c>
      <c r="BD591">
        <v>27.7</v>
      </c>
      <c r="BE591">
        <v>20</v>
      </c>
      <c r="BF591">
        <v>1919</v>
      </c>
      <c r="BG591">
        <v>47</v>
      </c>
      <c r="BH591">
        <v>1</v>
      </c>
      <c r="BI591">
        <v>11</v>
      </c>
      <c r="BJ591">
        <v>0</v>
      </c>
      <c r="BK591">
        <v>1782</v>
      </c>
      <c r="BL591">
        <v>5</v>
      </c>
      <c r="BM591">
        <v>1</v>
      </c>
      <c r="BN591">
        <v>-3</v>
      </c>
      <c r="BO591" t="s">
        <v>12</v>
      </c>
      <c r="BQ591" t="s">
        <v>1666</v>
      </c>
      <c r="BR591" t="s">
        <v>1690</v>
      </c>
      <c r="BS591" s="4" t="str">
        <f>HYPERLINK("http://exon.niaid.nih.gov/transcriptome/C_felis/S1/links/CDD/cf-contig_149-CDD.txt","MPN_eIF3f")</f>
        <v>MPN_eIF3f</v>
      </c>
      <c r="BT591" t="str">
        <f>HYPERLINK("http://www.ncbi.nlm.nih.gov/Structure/cdd/cddsrv.cgi?uid=cd08064&amp;version=v4.0","8.0")</f>
        <v>8.0</v>
      </c>
      <c r="BU591" t="s">
        <v>2240</v>
      </c>
      <c r="BV591" s="4" t="s">
        <v>42</v>
      </c>
      <c r="BW591" t="s">
        <v>42</v>
      </c>
      <c r="BX591" t="s">
        <v>42</v>
      </c>
      <c r="BY591" t="s">
        <v>42</v>
      </c>
      <c r="BZ591" t="s">
        <v>42</v>
      </c>
      <c r="CA591" t="s">
        <v>42</v>
      </c>
      <c r="CB591" t="s">
        <v>42</v>
      </c>
      <c r="CC591" t="s">
        <v>42</v>
      </c>
      <c r="CD591" t="s">
        <v>42</v>
      </c>
      <c r="CE591" t="s">
        <v>42</v>
      </c>
      <c r="CF591" t="s">
        <v>42</v>
      </c>
      <c r="CG591" t="s">
        <v>42</v>
      </c>
      <c r="CH591" t="s">
        <v>42</v>
      </c>
      <c r="CI591" t="s">
        <v>42</v>
      </c>
      <c r="CJ591" t="s">
        <v>42</v>
      </c>
      <c r="CK591" t="s">
        <v>42</v>
      </c>
      <c r="CL591" t="s">
        <v>42</v>
      </c>
      <c r="CM591" t="s">
        <v>42</v>
      </c>
      <c r="CN591" t="s">
        <v>42</v>
      </c>
      <c r="CO591" t="s">
        <v>42</v>
      </c>
      <c r="CP591" t="s">
        <v>42</v>
      </c>
      <c r="CQ591" t="s">
        <v>42</v>
      </c>
      <c r="CR591" t="s">
        <v>42</v>
      </c>
      <c r="CS591" s="4" t="str">
        <f>HYPERLINK("http://exon.niaid.nih.gov/transcriptome/C_felis/S1/links/KOG/cf-contig_149-KOG.txt","Casein kinase II, alpha subunit")</f>
        <v>Casein kinase II, alpha subunit</v>
      </c>
      <c r="CT591" t="str">
        <f>HYPERLINK("http://www.ncbi.nlm.nih.gov/COG/grace/shokog.cgi?KOG0668","6.5")</f>
        <v>6.5</v>
      </c>
      <c r="CU591" t="s">
        <v>2241</v>
      </c>
      <c r="CV591" s="4" t="str">
        <f>HYPERLINK("http://exon.niaid.nih.gov/transcriptome/C_felis/S1/links/PFAM/cf-contig_149-PFAM.txt","DUF1116")</f>
        <v>DUF1116</v>
      </c>
      <c r="CW591" t="str">
        <f>HYPERLINK("http://pfam.sanger.ac.uk/family?acc=PF06545","5.8")</f>
        <v>5.8</v>
      </c>
      <c r="CX591" s="4" t="str">
        <f>HYPERLINK("http://exon.niaid.nih.gov/transcriptome/C_felis/S1/links/SMART/cf-contig_149-SMART.txt","EGF_CA")</f>
        <v>EGF_CA</v>
      </c>
      <c r="CY591" t="str">
        <f>HYPERLINK("http://smart.embl-heidelberg.de/smart/do_annotation.pl?DOMAIN=EGF_CA&amp;BLAST=DUMMY","0.99")</f>
        <v>0.99</v>
      </c>
      <c r="CZ591" s="4" t="s">
        <v>42</v>
      </c>
      <c r="DA591" t="s">
        <v>42</v>
      </c>
      <c r="DB591" t="s">
        <v>42</v>
      </c>
      <c r="DC591" t="s">
        <v>42</v>
      </c>
      <c r="DD591" t="s">
        <v>42</v>
      </c>
      <c r="DE591" t="s">
        <v>42</v>
      </c>
      <c r="DF591" t="s">
        <v>42</v>
      </c>
      <c r="DG591" t="s">
        <v>42</v>
      </c>
      <c r="DH591" s="4" t="s">
        <v>42</v>
      </c>
      <c r="DI591" t="s">
        <v>42</v>
      </c>
      <c r="DJ591" s="4" t="s">
        <v>42</v>
      </c>
      <c r="DK591" t="s">
        <v>42</v>
      </c>
      <c r="DL591" s="4">
        <v>140</v>
      </c>
      <c r="DM591">
        <v>1</v>
      </c>
      <c r="DN591" s="4">
        <v>137</v>
      </c>
      <c r="DO591">
        <v>1</v>
      </c>
      <c r="DP591" s="4">
        <v>134</v>
      </c>
      <c r="DQ591">
        <v>1</v>
      </c>
      <c r="DR591" s="4">
        <v>131</v>
      </c>
      <c r="DS591">
        <v>1</v>
      </c>
      <c r="DT591" s="4">
        <v>130</v>
      </c>
      <c r="DU591">
        <v>1</v>
      </c>
      <c r="DV591" s="4">
        <v>140</v>
      </c>
      <c r="DW591">
        <v>1</v>
      </c>
      <c r="DX591" s="4">
        <v>142</v>
      </c>
      <c r="DY591">
        <v>1</v>
      </c>
      <c r="DZ591" s="4">
        <v>142</v>
      </c>
      <c r="EA591">
        <v>1</v>
      </c>
      <c r="EB591" s="4">
        <v>147</v>
      </c>
      <c r="EC591">
        <v>1</v>
      </c>
      <c r="ED591" s="4">
        <v>148</v>
      </c>
      <c r="EE591">
        <v>1</v>
      </c>
      <c r="EF591" s="4">
        <v>147</v>
      </c>
      <c r="EG591">
        <v>1</v>
      </c>
      <c r="EH591" s="4">
        <v>146</v>
      </c>
      <c r="EI591">
        <v>1</v>
      </c>
      <c r="EJ591" s="4">
        <v>149</v>
      </c>
      <c r="EK591">
        <v>1</v>
      </c>
    </row>
    <row r="592" spans="1:141" x14ac:dyDescent="0.2">
      <c r="A592" t="str">
        <f>HYPERLINK("http://exon.niaid.nih.gov/transcriptome/C_felis/S1/links/cf/cf-contig_528.txt","cf-contig_528")</f>
        <v>cf-contig_528</v>
      </c>
      <c r="B592">
        <v>1</v>
      </c>
      <c r="C592" s="10" t="s">
        <v>4600</v>
      </c>
      <c r="D592">
        <v>1</v>
      </c>
      <c r="E592" t="str">
        <f>HYPERLINK("http://exon.niaid.nih.gov/transcriptome/C_felis/S1/links/cf/cf-5-36-asb-528.txt","Contig-528")</f>
        <v>Contig-528</v>
      </c>
      <c r="F592" t="str">
        <f>HYPERLINK("http://exon.niaid.nih.gov/transcriptome/C_felis/S1/links/cf/cf-5-36-528-CLU.txt","Contig528")</f>
        <v>Contig528</v>
      </c>
      <c r="G592" t="str">
        <f>HYPERLINK("http://exon.niaid.nih.gov/transcriptome/C_felis/S1/links/cf/cf-5-36-528-qual.txt","38.3")</f>
        <v>38.3</v>
      </c>
      <c r="H592" t="s">
        <v>11</v>
      </c>
      <c r="I592">
        <v>66.400000000000006</v>
      </c>
      <c r="J592">
        <v>88</v>
      </c>
      <c r="K592" t="s">
        <v>12</v>
      </c>
      <c r="L592">
        <v>1</v>
      </c>
      <c r="M592" t="s">
        <v>541</v>
      </c>
      <c r="N592">
        <v>88</v>
      </c>
      <c r="O592">
        <v>107</v>
      </c>
      <c r="P592">
        <v>105</v>
      </c>
      <c r="Q592" t="s">
        <v>1347</v>
      </c>
      <c r="R592">
        <v>1</v>
      </c>
      <c r="S592" s="7" t="s">
        <v>4585</v>
      </c>
      <c r="U592">
        <v>1</v>
      </c>
      <c r="V592" s="4">
        <f>HYPERLINK("http://exon.niaid.nih.gov/transcriptome/C_felis/S1/links/cluster/cf-5-36-asb30-50-Id-CLU26.txt", 26)</f>
        <v>26</v>
      </c>
      <c r="W592">
        <f>HYPERLINK("http://exon.niaid.nih.gov/transcriptome/C_felis/S1/links/cluster/cf-5-36-asb30-50-Id-CLTL26.txt", 3)</f>
        <v>3</v>
      </c>
      <c r="X592" s="4">
        <v>441</v>
      </c>
      <c r="Y592">
        <v>1</v>
      </c>
      <c r="Z592" s="4">
        <v>446</v>
      </c>
      <c r="AA592">
        <v>1</v>
      </c>
      <c r="AB592" s="4" t="str">
        <f>HYPERLINK("http://exon.niaid.nih.gov/transcriptome/C_felis/S1/links/XC-ASB/cf-contig_528-XC-ASB.txt","XC-contig_183")</f>
        <v>XC-contig_183</v>
      </c>
      <c r="AC592">
        <v>1.1000000000000001</v>
      </c>
      <c r="AD592" s="10" t="s">
        <v>4600</v>
      </c>
      <c r="AE592" t="s">
        <v>4601</v>
      </c>
      <c r="AI592" s="4" t="str">
        <f>HYPERLINK("http://exon.niaid.nih.gov/transcriptome/C_felis/S1/links/NR/cf-contig_528-NR.txt","lysine exporter protein LysE/YggA")</f>
        <v>lysine exporter protein LysE/YggA</v>
      </c>
      <c r="AJ592" t="str">
        <f>HYPERLINK("http://www.ncbi.nlm.nih.gov/sutils/blink.cgi?pid=334564538","63")</f>
        <v>63</v>
      </c>
      <c r="AK592" t="str">
        <f>HYPERLINK("http://www.ncbi.nlm.nih.gov/protein/334564538","gi|334564538")</f>
        <v>gi|334564538</v>
      </c>
      <c r="AL592">
        <v>31.2</v>
      </c>
      <c r="AM592">
        <v>20</v>
      </c>
      <c r="AN592">
        <v>180</v>
      </c>
      <c r="AO592">
        <v>42</v>
      </c>
      <c r="AP592">
        <v>12</v>
      </c>
      <c r="AQ592">
        <v>12</v>
      </c>
      <c r="AR592">
        <v>0</v>
      </c>
      <c r="AS592">
        <v>119</v>
      </c>
      <c r="AT592">
        <v>14</v>
      </c>
      <c r="AU592">
        <v>1</v>
      </c>
      <c r="AV592">
        <v>-2</v>
      </c>
      <c r="AW592" t="s">
        <v>12</v>
      </c>
      <c r="AY592" t="s">
        <v>1666</v>
      </c>
      <c r="AZ592" t="s">
        <v>3604</v>
      </c>
      <c r="BA592" s="4" t="str">
        <f>HYPERLINK("http://exon.niaid.nih.gov/transcriptome/C_felis/S1/links/SWISSP/cf-contig_528-SWISSP.txt","Uncharacterized protein MG349")</f>
        <v>Uncharacterized protein MG349</v>
      </c>
      <c r="BB592" t="str">
        <f>HYPERLINK("http://www.uniprot.org/uniprot/P47591","18")</f>
        <v>18</v>
      </c>
      <c r="BC592" t="s">
        <v>3605</v>
      </c>
      <c r="BD592">
        <v>28.1</v>
      </c>
      <c r="BE592">
        <v>26</v>
      </c>
      <c r="BF592">
        <v>404</v>
      </c>
      <c r="BG592">
        <v>44</v>
      </c>
      <c r="BH592">
        <v>7</v>
      </c>
      <c r="BI592">
        <v>15</v>
      </c>
      <c r="BJ592">
        <v>0</v>
      </c>
      <c r="BK592">
        <v>5</v>
      </c>
      <c r="BL592">
        <v>5</v>
      </c>
      <c r="BM592">
        <v>1</v>
      </c>
      <c r="BN592">
        <v>-2</v>
      </c>
      <c r="BO592" t="s">
        <v>12</v>
      </c>
      <c r="BQ592" t="s">
        <v>1666</v>
      </c>
      <c r="BR592" t="s">
        <v>1815</v>
      </c>
      <c r="BS592" s="4" t="str">
        <f>HYPERLINK("http://exon.niaid.nih.gov/transcriptome/C_felis/S1/links/CDD/cf-contig_528-CDD.txt","ULP1")</f>
        <v>ULP1</v>
      </c>
      <c r="BT592" t="str">
        <f>HYPERLINK("http://www.ncbi.nlm.nih.gov/Structure/cdd/cddsrv.cgi?uid=COG5160&amp;version=v4.0","1.4")</f>
        <v>1.4</v>
      </c>
      <c r="BU592" t="s">
        <v>3606</v>
      </c>
      <c r="BV592" s="4" t="s">
        <v>42</v>
      </c>
      <c r="BW592" t="s">
        <v>42</v>
      </c>
      <c r="BX592" t="s">
        <v>42</v>
      </c>
      <c r="BY592" t="s">
        <v>42</v>
      </c>
      <c r="BZ592" t="s">
        <v>42</v>
      </c>
      <c r="CA592" t="s">
        <v>42</v>
      </c>
      <c r="CB592" t="s">
        <v>42</v>
      </c>
      <c r="CC592" t="s">
        <v>42</v>
      </c>
      <c r="CD592" t="s">
        <v>42</v>
      </c>
      <c r="CE592" t="s">
        <v>42</v>
      </c>
      <c r="CF592" t="s">
        <v>42</v>
      </c>
      <c r="CG592" t="s">
        <v>42</v>
      </c>
      <c r="CH592" t="s">
        <v>42</v>
      </c>
      <c r="CI592" t="s">
        <v>42</v>
      </c>
      <c r="CJ592" t="s">
        <v>42</v>
      </c>
      <c r="CK592" t="s">
        <v>42</v>
      </c>
      <c r="CL592" t="s">
        <v>42</v>
      </c>
      <c r="CM592" t="s">
        <v>42</v>
      </c>
      <c r="CN592" t="s">
        <v>42</v>
      </c>
      <c r="CO592" t="s">
        <v>42</v>
      </c>
      <c r="CP592" t="s">
        <v>42</v>
      </c>
      <c r="CQ592" t="s">
        <v>42</v>
      </c>
      <c r="CR592" t="s">
        <v>42</v>
      </c>
      <c r="CS592" s="4" t="str">
        <f>HYPERLINK("http://exon.niaid.nih.gov/transcriptome/C_felis/S1/links/KOG/cf-contig_528-KOG.txt","Predicted Mg2+-dependent phosphodiesterase TTRAP")</f>
        <v>Predicted Mg2+-dependent phosphodiesterase TTRAP</v>
      </c>
      <c r="CT592" t="str">
        <f>HYPERLINK("http://www.ncbi.nlm.nih.gov/COG/grace/shokog.cgi?KOG2756","4.1")</f>
        <v>4.1</v>
      </c>
      <c r="CU592" t="s">
        <v>1780</v>
      </c>
      <c r="CV592" s="4" t="str">
        <f>HYPERLINK("http://exon.niaid.nih.gov/transcriptome/C_felis/S1/links/PFAM/cf-contig_528-PFAM.txt","DUF2152")</f>
        <v>DUF2152</v>
      </c>
      <c r="CW592" t="str">
        <f>HYPERLINK("http://pfam.sanger.ac.uk/family?acc=PF10222","1.6")</f>
        <v>1.6</v>
      </c>
      <c r="CX592" s="4" t="str">
        <f>HYPERLINK("http://exon.niaid.nih.gov/transcriptome/C_felis/S1/links/SMART/cf-contig_528-SMART.txt","TSPc")</f>
        <v>TSPc</v>
      </c>
      <c r="CY592" t="str">
        <f>HYPERLINK("http://smart.embl-heidelberg.de/smart/do_annotation.pl?DOMAIN=TSPc&amp;BLAST=DUMMY","0.31")</f>
        <v>0.31</v>
      </c>
      <c r="CZ592" s="4" t="s">
        <v>42</v>
      </c>
      <c r="DA592" t="s">
        <v>42</v>
      </c>
      <c r="DB592" t="s">
        <v>42</v>
      </c>
      <c r="DC592" t="s">
        <v>42</v>
      </c>
      <c r="DD592" t="s">
        <v>42</v>
      </c>
      <c r="DE592" t="s">
        <v>42</v>
      </c>
      <c r="DF592" t="s">
        <v>42</v>
      </c>
      <c r="DG592" t="s">
        <v>42</v>
      </c>
      <c r="DH592" s="4" t="s">
        <v>42</v>
      </c>
      <c r="DI592" t="s">
        <v>42</v>
      </c>
      <c r="DJ592" s="4" t="s">
        <v>42</v>
      </c>
      <c r="DK592" t="s">
        <v>42</v>
      </c>
      <c r="DL592" s="4">
        <f>HYPERLINK("http://exon.niaid.nih.gov/transcriptome/C_felis/S1/links/cluster/cf-5-36-asb30-50-Id-CLU26.txt", 26)</f>
        <v>26</v>
      </c>
      <c r="DM592">
        <f>HYPERLINK("http://exon.niaid.nih.gov/transcriptome/C_felis/S1/links/cluster/cf-5-36-asb30-50-Id-CLTL26.txt", 3)</f>
        <v>3</v>
      </c>
      <c r="DN592" s="4">
        <v>441</v>
      </c>
      <c r="DO592">
        <v>1</v>
      </c>
      <c r="DP592" s="4">
        <v>446</v>
      </c>
      <c r="DQ592">
        <v>1</v>
      </c>
      <c r="DR592" s="4">
        <v>461</v>
      </c>
      <c r="DS592">
        <v>1</v>
      </c>
      <c r="DT592" s="4">
        <v>473</v>
      </c>
      <c r="DU592">
        <v>1</v>
      </c>
      <c r="DV592" s="4">
        <v>487</v>
      </c>
      <c r="DW592">
        <v>1</v>
      </c>
      <c r="DX592" s="4">
        <v>493</v>
      </c>
      <c r="DY592">
        <v>1</v>
      </c>
      <c r="DZ592" s="4">
        <v>501</v>
      </c>
      <c r="EA592">
        <v>1</v>
      </c>
      <c r="EB592" s="4">
        <v>506</v>
      </c>
      <c r="EC592">
        <v>1</v>
      </c>
      <c r="ED592" s="4">
        <v>510</v>
      </c>
      <c r="EE592">
        <v>1</v>
      </c>
      <c r="EF592" s="4">
        <v>515</v>
      </c>
      <c r="EG592">
        <v>1</v>
      </c>
      <c r="EH592" s="4">
        <v>521</v>
      </c>
      <c r="EI592">
        <v>1</v>
      </c>
      <c r="EJ592" s="4">
        <v>528</v>
      </c>
      <c r="EK592">
        <v>1</v>
      </c>
    </row>
    <row r="593" spans="1:141" x14ac:dyDescent="0.2">
      <c r="A593" t="str">
        <f>HYPERLINK("http://exon.niaid.nih.gov/transcriptome/C_felis/S1/links/cf/cf-contig_247.txt","cf-contig_247")</f>
        <v>cf-contig_247</v>
      </c>
      <c r="B593">
        <v>2</v>
      </c>
      <c r="C593" s="10" t="s">
        <v>4600</v>
      </c>
      <c r="D593">
        <v>2</v>
      </c>
      <c r="E593" t="str">
        <f>HYPERLINK("http://exon.niaid.nih.gov/transcriptome/C_felis/S1/links/cf/cf-5-36-asb-247.txt","Contig-247")</f>
        <v>Contig-247</v>
      </c>
      <c r="F593" t="str">
        <f>HYPERLINK("http://exon.niaid.nih.gov/transcriptome/C_felis/S1/links/cf/cf-5-36-247-CLU.txt","Contig247")</f>
        <v>Contig247</v>
      </c>
      <c r="G593" t="str">
        <f>HYPERLINK("http://exon.niaid.nih.gov/transcriptome/C_felis/S1/links/cf/cf-5-36-247-qual.txt","82.4")</f>
        <v>82.4</v>
      </c>
      <c r="H593" t="s">
        <v>11</v>
      </c>
      <c r="I593">
        <v>75.2</v>
      </c>
      <c r="J593">
        <v>130</v>
      </c>
      <c r="K593" t="s">
        <v>12</v>
      </c>
      <c r="L593">
        <v>2</v>
      </c>
      <c r="M593" t="s">
        <v>260</v>
      </c>
      <c r="N593">
        <v>156</v>
      </c>
      <c r="O593">
        <v>149</v>
      </c>
      <c r="P593">
        <v>126</v>
      </c>
      <c r="Q593" t="s">
        <v>1067</v>
      </c>
      <c r="R593">
        <v>3</v>
      </c>
      <c r="S593" s="7" t="s">
        <v>4585</v>
      </c>
      <c r="U593">
        <v>2</v>
      </c>
      <c r="V593" s="4">
        <v>195</v>
      </c>
      <c r="W593">
        <v>1</v>
      </c>
      <c r="X593" s="4">
        <v>198</v>
      </c>
      <c r="Y593">
        <v>1</v>
      </c>
      <c r="Z593" s="4">
        <v>196</v>
      </c>
      <c r="AA593">
        <v>1</v>
      </c>
      <c r="AB593" s="4" t="str">
        <f>HYPERLINK("http://exon.niaid.nih.gov/transcriptome/C_felis/S1/links/XC-ASB/cf-contig_247-XC-ASB.txt","XC-contig_220")</f>
        <v>XC-contig_220</v>
      </c>
      <c r="AC593">
        <v>1.4E-2</v>
      </c>
      <c r="AD593" s="10" t="s">
        <v>4600</v>
      </c>
      <c r="AE593" t="s">
        <v>4601</v>
      </c>
      <c r="AI593" s="4" t="str">
        <f>HYPERLINK("http://exon.niaid.nih.gov/transcriptome/C_felis/S1/links/NR/cf-contig_247-NR.txt","Alkaline ceramidase 2")</f>
        <v>Alkaline ceramidase 2</v>
      </c>
      <c r="AJ593" t="str">
        <f>HYPERLINK("http://www.ncbi.nlm.nih.gov/sutils/blink.cgi?pid=344242245","82")</f>
        <v>82</v>
      </c>
      <c r="AK593" t="str">
        <f>HYPERLINK("http://www.ncbi.nlm.nih.gov/protein/344242245","gi|344242245")</f>
        <v>gi|344242245</v>
      </c>
      <c r="AL593">
        <v>30.8</v>
      </c>
      <c r="AM593">
        <v>28</v>
      </c>
      <c r="AN593">
        <v>275</v>
      </c>
      <c r="AO593">
        <v>34</v>
      </c>
      <c r="AP593">
        <v>11</v>
      </c>
      <c r="AQ593">
        <v>19</v>
      </c>
      <c r="AR593">
        <v>0</v>
      </c>
      <c r="AS593">
        <v>199</v>
      </c>
      <c r="AT593">
        <v>10</v>
      </c>
      <c r="AU593">
        <v>1</v>
      </c>
      <c r="AV593">
        <v>1</v>
      </c>
      <c r="AW593" t="s">
        <v>12</v>
      </c>
      <c r="AY593" t="s">
        <v>1676</v>
      </c>
      <c r="AZ593" t="s">
        <v>2092</v>
      </c>
      <c r="BA593" s="4" t="str">
        <f>HYPERLINK("http://exon.niaid.nih.gov/transcriptome/C_felis/S1/links/SWISSP/cf-contig_247-SWISSP.txt","Isoleucyl-tRNA synthetase, mitochondrial")</f>
        <v>Isoleucyl-tRNA synthetase, mitochondrial</v>
      </c>
      <c r="BB593" t="str">
        <f>HYPERLINK("http://www.uniprot.org/uniprot/Q9USL3","8.3")</f>
        <v>8.3</v>
      </c>
      <c r="BC593" t="s">
        <v>2600</v>
      </c>
      <c r="BD593">
        <v>29.3</v>
      </c>
      <c r="BE593">
        <v>27</v>
      </c>
      <c r="BF593">
        <v>973</v>
      </c>
      <c r="BG593">
        <v>39</v>
      </c>
      <c r="BH593">
        <v>3</v>
      </c>
      <c r="BI593">
        <v>17</v>
      </c>
      <c r="BJ593">
        <v>0</v>
      </c>
      <c r="BK593">
        <v>732</v>
      </c>
      <c r="BL593">
        <v>45</v>
      </c>
      <c r="BM593">
        <v>1</v>
      </c>
      <c r="BN593">
        <v>3</v>
      </c>
      <c r="BO593" t="s">
        <v>12</v>
      </c>
      <c r="BQ593" t="s">
        <v>1676</v>
      </c>
      <c r="BR593" t="s">
        <v>1695</v>
      </c>
      <c r="BS593" s="4" t="str">
        <f>HYPERLINK("http://exon.niaid.nih.gov/transcriptome/C_felis/S1/links/CDD/cf-contig_247-CDD.txt","Pox_A6")</f>
        <v>Pox_A6</v>
      </c>
      <c r="BT593" t="str">
        <f>HYPERLINK("http://www.ncbi.nlm.nih.gov/Structure/cdd/cddsrv.cgi?uid=pfam04924&amp;version=v4.0","1.3")</f>
        <v>1.3</v>
      </c>
      <c r="BU593" t="s">
        <v>2601</v>
      </c>
      <c r="BV593" s="4" t="s">
        <v>42</v>
      </c>
      <c r="BW593" t="s">
        <v>42</v>
      </c>
      <c r="BX593" t="s">
        <v>42</v>
      </c>
      <c r="BY593" t="s">
        <v>42</v>
      </c>
      <c r="BZ593" t="s">
        <v>42</v>
      </c>
      <c r="CA593" t="s">
        <v>42</v>
      </c>
      <c r="CB593" t="s">
        <v>42</v>
      </c>
      <c r="CC593" t="s">
        <v>42</v>
      </c>
      <c r="CD593" t="s">
        <v>42</v>
      </c>
      <c r="CE593" t="s">
        <v>42</v>
      </c>
      <c r="CF593" t="s">
        <v>42</v>
      </c>
      <c r="CG593" t="s">
        <v>42</v>
      </c>
      <c r="CH593" t="s">
        <v>42</v>
      </c>
      <c r="CI593" t="s">
        <v>42</v>
      </c>
      <c r="CJ593" t="s">
        <v>42</v>
      </c>
      <c r="CK593" t="s">
        <v>42</v>
      </c>
      <c r="CL593" t="s">
        <v>42</v>
      </c>
      <c r="CM593" t="s">
        <v>42</v>
      </c>
      <c r="CN593" t="s">
        <v>42</v>
      </c>
      <c r="CO593" t="s">
        <v>42</v>
      </c>
      <c r="CP593" t="s">
        <v>42</v>
      </c>
      <c r="CQ593" t="s">
        <v>42</v>
      </c>
      <c r="CR593" t="s">
        <v>42</v>
      </c>
      <c r="CS593" s="4" t="str">
        <f>HYPERLINK("http://exon.niaid.nih.gov/transcriptome/C_felis/S1/links/KOG/cf-contig_247-KOG.txt","Mitotic spindle checkpoint protein")</f>
        <v>Mitotic spindle checkpoint protein</v>
      </c>
      <c r="CT593" t="str">
        <f>HYPERLINK("http://www.ncbi.nlm.nih.gov/COG/grace/shokog.cgi?KOG3186","0.48")</f>
        <v>0.48</v>
      </c>
      <c r="CU593" t="s">
        <v>1750</v>
      </c>
      <c r="CV593" s="4" t="str">
        <f>HYPERLINK("http://exon.niaid.nih.gov/transcriptome/C_felis/S1/links/PFAM/cf-contig_247-PFAM.txt","Pox_A6")</f>
        <v>Pox_A6</v>
      </c>
      <c r="CW593" t="str">
        <f>HYPERLINK("http://pfam.sanger.ac.uk/family?acc=PF04924","0.27")</f>
        <v>0.27</v>
      </c>
      <c r="CX593" s="4" t="str">
        <f>HYPERLINK("http://exon.niaid.nih.gov/transcriptome/C_felis/S1/links/SMART/cf-contig_247-SMART.txt","SprT")</f>
        <v>SprT</v>
      </c>
      <c r="CY593" t="str">
        <f>HYPERLINK("http://smart.embl-heidelberg.de/smart/do_annotation.pl?DOMAIN=SprT&amp;BLAST=DUMMY","0.48")</f>
        <v>0.48</v>
      </c>
      <c r="CZ593" s="4" t="s">
        <v>42</v>
      </c>
      <c r="DA593" t="s">
        <v>42</v>
      </c>
      <c r="DB593" t="s">
        <v>42</v>
      </c>
      <c r="DC593" t="s">
        <v>42</v>
      </c>
      <c r="DD593" t="s">
        <v>42</v>
      </c>
      <c r="DE593" t="s">
        <v>42</v>
      </c>
      <c r="DF593" t="s">
        <v>42</v>
      </c>
      <c r="DG593" t="s">
        <v>42</v>
      </c>
      <c r="DH593" s="4" t="s">
        <v>42</v>
      </c>
      <c r="DI593" t="s">
        <v>42</v>
      </c>
      <c r="DJ593" s="4" t="s">
        <v>42</v>
      </c>
      <c r="DK593" t="s">
        <v>42</v>
      </c>
      <c r="DL593" s="4">
        <v>195</v>
      </c>
      <c r="DM593">
        <v>1</v>
      </c>
      <c r="DN593" s="4">
        <v>198</v>
      </c>
      <c r="DO593">
        <v>1</v>
      </c>
      <c r="DP593" s="4">
        <v>196</v>
      </c>
      <c r="DQ593">
        <v>1</v>
      </c>
      <c r="DR593" s="4">
        <v>205</v>
      </c>
      <c r="DS593">
        <v>1</v>
      </c>
      <c r="DT593" s="4">
        <v>211</v>
      </c>
      <c r="DU593">
        <v>1</v>
      </c>
      <c r="DV593" s="4">
        <v>223</v>
      </c>
      <c r="DW593">
        <v>1</v>
      </c>
      <c r="DX593" s="4">
        <v>225</v>
      </c>
      <c r="DY593">
        <v>1</v>
      </c>
      <c r="DZ593" s="4">
        <v>229</v>
      </c>
      <c r="EA593">
        <v>1</v>
      </c>
      <c r="EB593" s="4">
        <v>234</v>
      </c>
      <c r="EC593">
        <v>1</v>
      </c>
      <c r="ED593" s="4">
        <v>237</v>
      </c>
      <c r="EE593">
        <v>1</v>
      </c>
      <c r="EF593" s="4">
        <v>240</v>
      </c>
      <c r="EG593">
        <v>1</v>
      </c>
      <c r="EH593" s="4">
        <v>242</v>
      </c>
      <c r="EI593">
        <v>1</v>
      </c>
      <c r="EJ593" s="4">
        <v>247</v>
      </c>
      <c r="EK593">
        <v>1</v>
      </c>
    </row>
    <row r="594" spans="1:141" x14ac:dyDescent="0.2">
      <c r="A594" t="str">
        <f>HYPERLINK("http://exon.niaid.nih.gov/transcriptome/C_felis/S1/links/cf/cf-contig_112.txt","cf-contig_112")</f>
        <v>cf-contig_112</v>
      </c>
      <c r="B594">
        <v>2</v>
      </c>
      <c r="C594" s="10" t="s">
        <v>4600</v>
      </c>
      <c r="D594">
        <v>2</v>
      </c>
      <c r="E594" t="str">
        <f>HYPERLINK("http://exon.niaid.nih.gov/transcriptome/C_felis/S1/links/cf/cf-5-36-asb-112.txt","Contig-112")</f>
        <v>Contig-112</v>
      </c>
      <c r="F594" t="str">
        <f>HYPERLINK("http://exon.niaid.nih.gov/transcriptome/C_felis/S1/links/cf/cf-5-36-112-CLU.txt","Contig112")</f>
        <v>Contig112</v>
      </c>
      <c r="G594" t="str">
        <f>HYPERLINK("http://exon.niaid.nih.gov/transcriptome/C_felis/S1/links/cf/cf-5-36-112-qual.txt","88.9")</f>
        <v>88.9</v>
      </c>
      <c r="H594" t="s">
        <v>11</v>
      </c>
      <c r="I594">
        <v>72.599999999999994</v>
      </c>
      <c r="J594">
        <v>149</v>
      </c>
      <c r="K594" t="s">
        <v>12</v>
      </c>
      <c r="L594">
        <v>2</v>
      </c>
      <c r="M594" t="s">
        <v>125</v>
      </c>
      <c r="N594">
        <v>163</v>
      </c>
      <c r="O594">
        <v>168</v>
      </c>
      <c r="P594">
        <v>120</v>
      </c>
      <c r="Q594" t="s">
        <v>932</v>
      </c>
      <c r="R594">
        <v>3</v>
      </c>
      <c r="S594" s="7" t="s">
        <v>4585</v>
      </c>
      <c r="U594">
        <v>2</v>
      </c>
      <c r="V594" s="4">
        <v>125</v>
      </c>
      <c r="W594">
        <v>1</v>
      </c>
      <c r="X594" s="4">
        <v>120</v>
      </c>
      <c r="Y594">
        <v>1</v>
      </c>
      <c r="Z594" s="4">
        <v>117</v>
      </c>
      <c r="AA594">
        <v>1</v>
      </c>
      <c r="AB594" s="4" t="str">
        <f>HYPERLINK("http://exon.niaid.nih.gov/transcriptome/C_felis/S1/links/XC-ASB/cf-contig_112-XC-ASB.txt","XC-contig_188")</f>
        <v>XC-contig_188</v>
      </c>
      <c r="AC594">
        <v>3.2000000000000001E-2</v>
      </c>
      <c r="AD594" s="10" t="s">
        <v>4600</v>
      </c>
      <c r="AE594" t="s">
        <v>4601</v>
      </c>
      <c r="AI594" s="4" t="str">
        <f>HYPERLINK("http://exon.niaid.nih.gov/transcriptome/C_felis/S1/links/NR/cf-contig_112-NR.txt","hypothetical protein I79_008707")</f>
        <v>hypothetical protein I79_008707</v>
      </c>
      <c r="AJ594" t="str">
        <f>HYPERLINK("http://www.ncbi.nlm.nih.gov/sutils/blink.cgi?pid=344238185","3.2")</f>
        <v>3.2</v>
      </c>
      <c r="AK594" t="str">
        <f>HYPERLINK("http://www.ncbi.nlm.nih.gov/protein/344238185","gi|344238185")</f>
        <v>gi|344238185</v>
      </c>
      <c r="AL594">
        <v>35.4</v>
      </c>
      <c r="AM594">
        <v>28</v>
      </c>
      <c r="AN594">
        <v>212</v>
      </c>
      <c r="AO594">
        <v>65</v>
      </c>
      <c r="AP594">
        <v>14</v>
      </c>
      <c r="AQ594">
        <v>10</v>
      </c>
      <c r="AR594">
        <v>0</v>
      </c>
      <c r="AS594">
        <v>175</v>
      </c>
      <c r="AT594">
        <v>18</v>
      </c>
      <c r="AU594">
        <v>1</v>
      </c>
      <c r="AV594">
        <v>3</v>
      </c>
      <c r="AW594" t="s">
        <v>12</v>
      </c>
      <c r="AY594" t="s">
        <v>1676</v>
      </c>
      <c r="AZ594" t="s">
        <v>2092</v>
      </c>
      <c r="BA594" s="4" t="str">
        <f>HYPERLINK("http://exon.niaid.nih.gov/transcriptome/C_felis/S1/links/SWISSP/cf-contig_112-SWISSP.txt","Histone H1")</f>
        <v>Histone H1</v>
      </c>
      <c r="BB594" t="str">
        <f>HYPERLINK("http://www.uniprot.org/uniprot/Q75C22","0.15")</f>
        <v>0.15</v>
      </c>
      <c r="BC594" t="s">
        <v>2093</v>
      </c>
      <c r="BD594">
        <v>35</v>
      </c>
      <c r="BE594">
        <v>46</v>
      </c>
      <c r="BF594">
        <v>225</v>
      </c>
      <c r="BG594">
        <v>53</v>
      </c>
      <c r="BH594">
        <v>21</v>
      </c>
      <c r="BI594">
        <v>14</v>
      </c>
      <c r="BJ594">
        <v>0</v>
      </c>
      <c r="BK594">
        <v>93</v>
      </c>
      <c r="BL594">
        <v>12</v>
      </c>
      <c r="BM594">
        <v>2</v>
      </c>
      <c r="BN594">
        <v>3</v>
      </c>
      <c r="BO594" t="s">
        <v>12</v>
      </c>
      <c r="BQ594" t="s">
        <v>1676</v>
      </c>
      <c r="BR594" t="s">
        <v>2094</v>
      </c>
      <c r="BS594" s="4" t="str">
        <f>HYPERLINK("http://exon.niaid.nih.gov/transcriptome/C_felis/S1/links/CDD/cf-contig_112-CDD.txt","PRK13808")</f>
        <v>PRK13808</v>
      </c>
      <c r="BT594" t="str">
        <f>HYPERLINK("http://www.ncbi.nlm.nih.gov/Structure/cdd/cddsrv.cgi?uid=PRK13808&amp;version=v4.0","0.044")</f>
        <v>0.044</v>
      </c>
      <c r="BU594" t="s">
        <v>2095</v>
      </c>
      <c r="BV594" s="4" t="s">
        <v>42</v>
      </c>
      <c r="BW594" t="s">
        <v>42</v>
      </c>
      <c r="BX594" t="s">
        <v>42</v>
      </c>
      <c r="BY594" t="s">
        <v>42</v>
      </c>
      <c r="BZ594" t="s">
        <v>42</v>
      </c>
      <c r="CA594" t="s">
        <v>42</v>
      </c>
      <c r="CB594" t="s">
        <v>42</v>
      </c>
      <c r="CC594" t="s">
        <v>42</v>
      </c>
      <c r="CD594" t="s">
        <v>42</v>
      </c>
      <c r="CE594" t="s">
        <v>42</v>
      </c>
      <c r="CF594" t="s">
        <v>42</v>
      </c>
      <c r="CG594" t="s">
        <v>42</v>
      </c>
      <c r="CH594" t="s">
        <v>42</v>
      </c>
      <c r="CI594" t="s">
        <v>42</v>
      </c>
      <c r="CJ594" t="s">
        <v>42</v>
      </c>
      <c r="CK594" t="s">
        <v>42</v>
      </c>
      <c r="CL594" t="s">
        <v>42</v>
      </c>
      <c r="CM594" t="s">
        <v>42</v>
      </c>
      <c r="CN594" t="s">
        <v>42</v>
      </c>
      <c r="CO594" t="s">
        <v>42</v>
      </c>
      <c r="CP594" t="s">
        <v>42</v>
      </c>
      <c r="CQ594" t="s">
        <v>42</v>
      </c>
      <c r="CR594" t="s">
        <v>42</v>
      </c>
      <c r="CS594" s="4" t="str">
        <f>HYPERLINK("http://exon.niaid.nih.gov/transcriptome/C_felis/S1/links/KOG/cf-contig_112-KOG.txt","Histone H1")</f>
        <v>Histone H1</v>
      </c>
      <c r="CT594" t="str">
        <f>HYPERLINK("http://www.ncbi.nlm.nih.gov/COG/grace/shokog.cgi?KOG4012","0.038")</f>
        <v>0.038</v>
      </c>
      <c r="CU594" t="s">
        <v>2096</v>
      </c>
      <c r="CV594" s="4" t="str">
        <f>HYPERLINK("http://exon.niaid.nih.gov/transcriptome/C_felis/S1/links/PFAM/cf-contig_112-PFAM.txt","EIIC-GAT")</f>
        <v>EIIC-GAT</v>
      </c>
      <c r="CW594" t="str">
        <f>HYPERLINK("http://pfam.sanger.ac.uk/family?acc=PF03611","0.010")</f>
        <v>0.010</v>
      </c>
      <c r="CX594" s="4" t="str">
        <f>HYPERLINK("http://exon.niaid.nih.gov/transcriptome/C_felis/S1/links/SMART/cf-contig_112-SMART.txt","AHS1")</f>
        <v>AHS1</v>
      </c>
      <c r="CY594" t="str">
        <f>HYPERLINK("http://smart.embl-heidelberg.de/smart/do_annotation.pl?DOMAIN=AHS1&amp;BLAST=DUMMY","0.053")</f>
        <v>0.053</v>
      </c>
      <c r="CZ594" s="4" t="s">
        <v>42</v>
      </c>
      <c r="DA594" t="s">
        <v>42</v>
      </c>
      <c r="DB594" t="s">
        <v>42</v>
      </c>
      <c r="DC594" t="s">
        <v>42</v>
      </c>
      <c r="DD594" t="s">
        <v>42</v>
      </c>
      <c r="DE594" t="s">
        <v>42</v>
      </c>
      <c r="DF594" t="s">
        <v>42</v>
      </c>
      <c r="DG594" t="s">
        <v>42</v>
      </c>
      <c r="DH594" s="4" t="s">
        <v>42</v>
      </c>
      <c r="DI594" t="s">
        <v>42</v>
      </c>
      <c r="DJ594" s="4" t="s">
        <v>42</v>
      </c>
      <c r="DK594" t="s">
        <v>42</v>
      </c>
      <c r="DL594" s="4">
        <v>125</v>
      </c>
      <c r="DM594">
        <v>1</v>
      </c>
      <c r="DN594" s="4">
        <v>120</v>
      </c>
      <c r="DO594">
        <v>1</v>
      </c>
      <c r="DP594" s="4">
        <v>117</v>
      </c>
      <c r="DQ594">
        <v>1</v>
      </c>
      <c r="DR594" s="4">
        <v>108</v>
      </c>
      <c r="DS594">
        <v>1</v>
      </c>
      <c r="DT594" s="4">
        <v>106</v>
      </c>
      <c r="DU594">
        <v>1</v>
      </c>
      <c r="DV594" s="4">
        <v>115</v>
      </c>
      <c r="DW594">
        <v>1</v>
      </c>
      <c r="DX594" s="4">
        <v>117</v>
      </c>
      <c r="DY594">
        <v>1</v>
      </c>
      <c r="DZ594" s="4">
        <v>116</v>
      </c>
      <c r="EA594">
        <v>1</v>
      </c>
      <c r="EB594" s="4">
        <v>116</v>
      </c>
      <c r="EC594">
        <v>1</v>
      </c>
      <c r="ED594" s="4">
        <v>117</v>
      </c>
      <c r="EE594">
        <v>1</v>
      </c>
      <c r="EF594" s="4">
        <v>114</v>
      </c>
      <c r="EG594">
        <v>1</v>
      </c>
      <c r="EH594" s="4">
        <v>111</v>
      </c>
      <c r="EI594">
        <v>1</v>
      </c>
      <c r="EJ594" s="4">
        <v>112</v>
      </c>
      <c r="EK594">
        <v>1</v>
      </c>
    </row>
    <row r="595" spans="1:141" x14ac:dyDescent="0.2">
      <c r="A595" t="str">
        <f>HYPERLINK("http://exon.niaid.nih.gov/transcriptome/C_felis/S1/links/cf/cf-contig_678.txt","cf-contig_678")</f>
        <v>cf-contig_678</v>
      </c>
      <c r="B595">
        <v>1</v>
      </c>
      <c r="C595" s="10" t="s">
        <v>4600</v>
      </c>
      <c r="D595">
        <v>1</v>
      </c>
      <c r="E595" t="str">
        <f>HYPERLINK("http://exon.niaid.nih.gov/transcriptome/C_felis/S1/links/cf/cf-5-36-asb-678.txt","Contig-678")</f>
        <v>Contig-678</v>
      </c>
      <c r="F595" t="str">
        <f>HYPERLINK("http://exon.niaid.nih.gov/transcriptome/C_felis/S1/links/cf/cf-5-36-678-CLU.txt","Contig678")</f>
        <v>Contig678</v>
      </c>
      <c r="G595" t="str">
        <f>HYPERLINK("http://exon.niaid.nih.gov/transcriptome/C_felis/S1/links/cf/cf-5-36-678-qual.txt","61.3")</f>
        <v>61.3</v>
      </c>
      <c r="H595" t="s">
        <v>11</v>
      </c>
      <c r="I595">
        <v>73.8</v>
      </c>
      <c r="J595">
        <v>233</v>
      </c>
      <c r="K595" t="s">
        <v>12</v>
      </c>
      <c r="L595">
        <v>1</v>
      </c>
      <c r="M595" t="s">
        <v>691</v>
      </c>
      <c r="N595">
        <v>233</v>
      </c>
      <c r="O595">
        <v>252</v>
      </c>
      <c r="P595">
        <v>144</v>
      </c>
      <c r="Q595" t="s">
        <v>1497</v>
      </c>
      <c r="R595">
        <v>3</v>
      </c>
      <c r="S595" s="7" t="s">
        <v>4585</v>
      </c>
      <c r="U595">
        <v>1</v>
      </c>
      <c r="V595" s="4">
        <f>HYPERLINK("http://exon.niaid.nih.gov/transcriptome/C_felis/S1/links/cluster/cf-5-36-asb30-50-Id-CLU4.txt", 4)</f>
        <v>4</v>
      </c>
      <c r="W595">
        <f>HYPERLINK("http://exon.niaid.nih.gov/transcriptome/C_felis/S1/links/cluster/cf-5-36-asb30-50-Id-CLTL4.txt", 6)</f>
        <v>6</v>
      </c>
      <c r="X595" s="4">
        <v>566</v>
      </c>
      <c r="Y595">
        <v>1</v>
      </c>
      <c r="Z595" s="4">
        <v>578</v>
      </c>
      <c r="AA595">
        <v>1</v>
      </c>
      <c r="AB595" s="4" t="str">
        <f>HYPERLINK("http://exon.niaid.nih.gov/transcriptome/C_felis/S1/links/XC-ASB/cf-contig_678-XC-ASB.txt","XC-contig_206")</f>
        <v>XC-contig_206</v>
      </c>
      <c r="AC595">
        <v>2E-8</v>
      </c>
      <c r="AD595" s="10" t="s">
        <v>4600</v>
      </c>
      <c r="AE595" t="s">
        <v>4601</v>
      </c>
      <c r="AI595" s="4" t="str">
        <f>HYPERLINK("http://exon.niaid.nih.gov/transcriptome/C_felis/S1/links/NR/cf-contig_678-NR.txt","hypothetical protein I79_019834")</f>
        <v>hypothetical protein I79_019834</v>
      </c>
      <c r="AJ595" t="str">
        <f>HYPERLINK("http://www.ncbi.nlm.nih.gov/sutils/blink.cgi?pid=344255351","1E-011")</f>
        <v>1E-011</v>
      </c>
      <c r="AK595" t="str">
        <f>HYPERLINK("http://www.ncbi.nlm.nih.gov/protein/344255351","gi|344255351")</f>
        <v>gi|344255351</v>
      </c>
      <c r="AL595">
        <v>73.2</v>
      </c>
      <c r="AM595">
        <v>129</v>
      </c>
      <c r="AN595">
        <v>140</v>
      </c>
      <c r="AO595">
        <v>51</v>
      </c>
      <c r="AP595">
        <v>93</v>
      </c>
      <c r="AQ595">
        <v>36</v>
      </c>
      <c r="AR595">
        <v>0</v>
      </c>
      <c r="AS595">
        <v>0</v>
      </c>
      <c r="AT595">
        <v>0</v>
      </c>
      <c r="AU595">
        <v>47</v>
      </c>
      <c r="AV595">
        <v>2</v>
      </c>
      <c r="AW595" t="s">
        <v>1689</v>
      </c>
      <c r="AX595">
        <v>1.55</v>
      </c>
      <c r="AY595" t="s">
        <v>1676</v>
      </c>
      <c r="AZ595" t="s">
        <v>2092</v>
      </c>
      <c r="BA595" s="4" t="str">
        <f>HYPERLINK("http://exon.niaid.nih.gov/transcriptome/C_felis/S1/links/SWISSP/cf-contig_678-SWISSP.txt","Protein PXR1")</f>
        <v>Protein PXR1</v>
      </c>
      <c r="BB595" t="str">
        <f>HYPERLINK("http://www.uniprot.org/uniprot/A5E4P1","1E-009")</f>
        <v>1E-009</v>
      </c>
      <c r="BC595" t="s">
        <v>3060</v>
      </c>
      <c r="BD595">
        <v>61.6</v>
      </c>
      <c r="BE595">
        <v>163</v>
      </c>
      <c r="BF595">
        <v>345</v>
      </c>
      <c r="BG595">
        <v>48</v>
      </c>
      <c r="BH595">
        <v>48</v>
      </c>
      <c r="BI595">
        <v>39</v>
      </c>
      <c r="BJ595">
        <v>2</v>
      </c>
      <c r="BK595">
        <v>0</v>
      </c>
      <c r="BL595">
        <v>0</v>
      </c>
      <c r="BM595">
        <v>32</v>
      </c>
      <c r="BN595">
        <v>2</v>
      </c>
      <c r="BO595" t="s">
        <v>1689</v>
      </c>
      <c r="BP595">
        <v>1.2270000000000001</v>
      </c>
      <c r="BQ595" t="s">
        <v>1676</v>
      </c>
      <c r="BR595" t="s">
        <v>3061</v>
      </c>
      <c r="BS595" s="4" t="str">
        <f>HYPERLINK("http://exon.niaid.nih.gov/transcriptome/C_felis/S1/links/CDD/cf-contig_678-CDD.txt","ND5")</f>
        <v>ND5</v>
      </c>
      <c r="BT595" t="str">
        <f>HYPERLINK("http://www.ncbi.nlm.nih.gov/Structure/cdd/cddsrv.cgi?uid=MTH00095&amp;version=v4.0","2E-009")</f>
        <v>2E-009</v>
      </c>
      <c r="BU595" t="s">
        <v>4133</v>
      </c>
      <c r="BV595" s="4" t="s">
        <v>3063</v>
      </c>
      <c r="BW595">
        <f>HYPERLINK("http://exon.niaid.nih.gov/transcriptome/C_felis/S1/links/GO/cf-contig_678-GO.txt",0.00000000001)</f>
        <v>9.9999999999999994E-12</v>
      </c>
      <c r="BX595" t="str">
        <f>HYPERLINK("http://amigo.geneontology.org/cgi-bin/amigo/term_details?term=GO:0005086","GO:0005086")</f>
        <v>GO:0005086</v>
      </c>
      <c r="BY595" t="s">
        <v>2950</v>
      </c>
      <c r="BZ595" t="s">
        <v>2951</v>
      </c>
      <c r="CA595" t="s">
        <v>42</v>
      </c>
      <c r="CB595" t="s">
        <v>42</v>
      </c>
      <c r="CD595">
        <v>2E-8</v>
      </c>
      <c r="CE595" t="str">
        <f>HYPERLINK("http://amigo.geneontology.org/cgi-bin/amigo/term_details?term=GO:0005737","GO:0005737")</f>
        <v>GO:0005737</v>
      </c>
      <c r="CF595" t="s">
        <v>1966</v>
      </c>
      <c r="CG595" t="s">
        <v>1967</v>
      </c>
      <c r="CH595" t="s">
        <v>42</v>
      </c>
      <c r="CI595" t="s">
        <v>42</v>
      </c>
      <c r="CK595">
        <v>2E-8</v>
      </c>
      <c r="CL595" t="str">
        <f>HYPERLINK("http://amigo.geneontology.org/cgi-bin/amigo/term_details?term=GO:0016192","GO:0016192")</f>
        <v>GO:0016192</v>
      </c>
      <c r="CM595" t="s">
        <v>3112</v>
      </c>
      <c r="CN595" t="s">
        <v>3113</v>
      </c>
      <c r="CO595" t="s">
        <v>3114</v>
      </c>
      <c r="CP595" t="s">
        <v>42</v>
      </c>
      <c r="CR595">
        <v>2E-8</v>
      </c>
      <c r="CS595" s="4" t="str">
        <f>HYPERLINK("http://exon.niaid.nih.gov/transcriptome/C_felis/S1/links/KOG/cf-contig_678-KOG.txt","Predicted RNA binding protein, contains G-patch domain")</f>
        <v>Predicted RNA binding protein, contains G-patch domain</v>
      </c>
      <c r="CT595" t="str">
        <f>HYPERLINK("http://www.ncbi.nlm.nih.gov/COG/grace/shokog.cgi?KOG2138","4E-008")</f>
        <v>4E-008</v>
      </c>
      <c r="CU595" t="s">
        <v>1817</v>
      </c>
      <c r="CV595" s="4" t="str">
        <f>HYPERLINK("http://exon.niaid.nih.gov/transcriptome/C_felis/S1/links/PFAM/cf-contig_678-PFAM.txt","RNA_polI_A34")</f>
        <v>RNA_polI_A34</v>
      </c>
      <c r="CW595" t="str">
        <f>HYPERLINK("http://pfam.sanger.ac.uk/family?acc=PF08208","1E-007")</f>
        <v>1E-007</v>
      </c>
      <c r="CX595" s="4" t="str">
        <f>HYPERLINK("http://exon.niaid.nih.gov/transcriptome/C_felis/S1/links/SMART/cf-contig_678-SMART.txt","PSN")</f>
        <v>PSN</v>
      </c>
      <c r="CY595" t="str">
        <f>HYPERLINK("http://smart.embl-heidelberg.de/smart/do_annotation.pl?DOMAIN=PSN&amp;BLAST=DUMMY","2E-007")</f>
        <v>2E-007</v>
      </c>
      <c r="CZ595" s="4" t="s">
        <v>42</v>
      </c>
      <c r="DA595" t="s">
        <v>42</v>
      </c>
      <c r="DB595" t="s">
        <v>42</v>
      </c>
      <c r="DC595" t="s">
        <v>42</v>
      </c>
      <c r="DD595" t="s">
        <v>42</v>
      </c>
      <c r="DE595" t="s">
        <v>42</v>
      </c>
      <c r="DF595" t="s">
        <v>42</v>
      </c>
      <c r="DG595" t="s">
        <v>42</v>
      </c>
      <c r="DH595" s="4" t="s">
        <v>42</v>
      </c>
      <c r="DI595" t="s">
        <v>42</v>
      </c>
      <c r="DJ595" s="4" t="s">
        <v>42</v>
      </c>
      <c r="DK595" t="s">
        <v>42</v>
      </c>
      <c r="DL595" s="4">
        <f>HYPERLINK("http://exon.niaid.nih.gov/transcriptome/C_felis/S1/links/cluster/cf-5-36-asb30-50-Id-CLU4.txt", 4)</f>
        <v>4</v>
      </c>
      <c r="DM595">
        <f>HYPERLINK("http://exon.niaid.nih.gov/transcriptome/C_felis/S1/links/cluster/cf-5-36-asb30-50-Id-CLTL4.txt", 6)</f>
        <v>6</v>
      </c>
      <c r="DN595" s="4">
        <v>566</v>
      </c>
      <c r="DO595">
        <v>1</v>
      </c>
      <c r="DP595" s="4">
        <v>578</v>
      </c>
      <c r="DQ595">
        <v>1</v>
      </c>
      <c r="DR595" s="4">
        <v>599</v>
      </c>
      <c r="DS595">
        <v>1</v>
      </c>
      <c r="DT595" s="4">
        <v>613</v>
      </c>
      <c r="DU595">
        <v>1</v>
      </c>
      <c r="DV595" s="4">
        <v>627</v>
      </c>
      <c r="DW595">
        <v>1</v>
      </c>
      <c r="DX595" s="4">
        <v>636</v>
      </c>
      <c r="DY595">
        <v>1</v>
      </c>
      <c r="DZ595" s="4">
        <v>646</v>
      </c>
      <c r="EA595">
        <v>1</v>
      </c>
      <c r="EB595" s="4">
        <v>651</v>
      </c>
      <c r="EC595">
        <v>1</v>
      </c>
      <c r="ED595" s="4">
        <v>655</v>
      </c>
      <c r="EE595">
        <v>1</v>
      </c>
      <c r="EF595" s="4">
        <v>661</v>
      </c>
      <c r="EG595">
        <v>1</v>
      </c>
      <c r="EH595" s="4">
        <v>669</v>
      </c>
      <c r="EI595">
        <v>1</v>
      </c>
      <c r="EJ595" s="4">
        <v>678</v>
      </c>
      <c r="EK595">
        <v>1</v>
      </c>
    </row>
    <row r="596" spans="1:141" x14ac:dyDescent="0.2">
      <c r="A596" t="str">
        <f>HYPERLINK("http://exon.niaid.nih.gov/transcriptome/C_felis/S1/links/cf/cf-contig_590.txt","cf-contig_590")</f>
        <v>cf-contig_590</v>
      </c>
      <c r="B596">
        <v>1</v>
      </c>
      <c r="C596" s="10" t="s">
        <v>4600</v>
      </c>
      <c r="D596">
        <v>1</v>
      </c>
      <c r="E596" t="str">
        <f>HYPERLINK("http://exon.niaid.nih.gov/transcriptome/C_felis/S1/links/cf/cf-5-36-asb-590.txt","Contig-590")</f>
        <v>Contig-590</v>
      </c>
      <c r="F596" t="str">
        <f>HYPERLINK("http://exon.niaid.nih.gov/transcriptome/C_felis/S1/links/cf/cf-5-36-590-CLU.txt","Contig590")</f>
        <v>Contig590</v>
      </c>
      <c r="G596" t="str">
        <f>HYPERLINK("http://exon.niaid.nih.gov/transcriptome/C_felis/S1/links/cf/cf-5-36-590-qual.txt","51.4")</f>
        <v>51.4</v>
      </c>
      <c r="H596" t="s">
        <v>11</v>
      </c>
      <c r="I596">
        <v>78.900000000000006</v>
      </c>
      <c r="J596">
        <v>90</v>
      </c>
      <c r="K596" t="s">
        <v>12</v>
      </c>
      <c r="L596">
        <v>1</v>
      </c>
      <c r="M596" t="s">
        <v>603</v>
      </c>
      <c r="N596">
        <v>90</v>
      </c>
      <c r="O596">
        <v>109</v>
      </c>
      <c r="P596">
        <v>87</v>
      </c>
      <c r="Q596" t="s">
        <v>1409</v>
      </c>
      <c r="R596">
        <v>2</v>
      </c>
      <c r="S596" s="7" t="s">
        <v>4585</v>
      </c>
      <c r="U596">
        <v>1</v>
      </c>
      <c r="V596" s="4">
        <f>HYPERLINK("http://exon.niaid.nih.gov/transcriptome/C_felis/S1/links/cluster/cf-5-36-asb30-50-Id-CLU27.txt", 27)</f>
        <v>27</v>
      </c>
      <c r="W596">
        <f>HYPERLINK("http://exon.niaid.nih.gov/transcriptome/C_felis/S1/links/cluster/cf-5-36-asb30-50-Id-CLTL27.txt", 3)</f>
        <v>3</v>
      </c>
      <c r="X596" s="4">
        <f>HYPERLINK("http://exon.niaid.nih.gov/transcriptome/C_felis/S1/links/cluster/cf-5-36-asb35-50-Id-CLU79.txt", 79)</f>
        <v>79</v>
      </c>
      <c r="Y596">
        <f>HYPERLINK("http://exon.niaid.nih.gov/transcriptome/C_felis/S1/links/cluster/cf-5-36-asb35-50-Id-CLTL79.txt", 2)</f>
        <v>2</v>
      </c>
      <c r="Z596" s="4">
        <f>HYPERLINK("http://exon.niaid.nih.gov/transcriptome/C_felis/S1/links/cluster/cf-5-36-asb40-50-Id-CLU71.txt", 71)</f>
        <v>71</v>
      </c>
      <c r="AA596">
        <f>HYPERLINK("http://exon.niaid.nih.gov/transcriptome/C_felis/S1/links/cluster/cf-5-36-asb40-50-Id-CLTL71.txt", 2)</f>
        <v>2</v>
      </c>
      <c r="AB596" s="4" t="str">
        <f>HYPERLINK("http://exon.niaid.nih.gov/transcriptome/C_felis/S1/links/XC-ASB/cf-contig_590-XC-ASB.txt","XC-contig_182")</f>
        <v>XC-contig_182</v>
      </c>
      <c r="AC596">
        <v>1E-4</v>
      </c>
      <c r="AD596" s="10" t="s">
        <v>4600</v>
      </c>
      <c r="AE596" t="s">
        <v>4601</v>
      </c>
      <c r="AI596" s="4" t="str">
        <f>HYPERLINK("http://exon.niaid.nih.gov/transcriptome/C_felis/S1/links/NR/cf-contig_590-NR.txt","Thyrotropin-releasing hormone receptor")</f>
        <v>Thyrotropin-releasing hormone receptor</v>
      </c>
      <c r="AJ596" t="str">
        <f>HYPERLINK("http://www.ncbi.nlm.nih.gov/sutils/blink.cgi?pid=344237983","48")</f>
        <v>48</v>
      </c>
      <c r="AK596" t="str">
        <f>HYPERLINK("http://www.ncbi.nlm.nih.gov/protein/344237983","gi|344237983")</f>
        <v>gi|344237983</v>
      </c>
      <c r="AL596">
        <v>31.6</v>
      </c>
      <c r="AM596">
        <v>15</v>
      </c>
      <c r="AN596">
        <v>476</v>
      </c>
      <c r="AO596">
        <v>68</v>
      </c>
      <c r="AP596">
        <v>3</v>
      </c>
      <c r="AQ596">
        <v>5</v>
      </c>
      <c r="AR596">
        <v>0</v>
      </c>
      <c r="AS596">
        <v>382</v>
      </c>
      <c r="AT596">
        <v>23</v>
      </c>
      <c r="AU596">
        <v>1</v>
      </c>
      <c r="AV596">
        <v>2</v>
      </c>
      <c r="AW596" t="s">
        <v>12</v>
      </c>
      <c r="AY596" t="s">
        <v>1676</v>
      </c>
      <c r="AZ596" t="s">
        <v>2092</v>
      </c>
      <c r="BA596" s="4" t="str">
        <f>HYPERLINK("http://exon.niaid.nih.gov/transcriptome/C_felis/S1/links/SWISSP/cf-contig_590-SWISSP.txt","Thyrotropin-releasing hormone receptor")</f>
        <v>Thyrotropin-releasing hormone receptor</v>
      </c>
      <c r="BB596" t="str">
        <f>HYPERLINK("http://www.uniprot.org/uniprot/Q28596","8.2")</f>
        <v>8.2</v>
      </c>
      <c r="BC596" t="s">
        <v>3686</v>
      </c>
      <c r="BD596">
        <v>29.3</v>
      </c>
      <c r="BE596">
        <v>16</v>
      </c>
      <c r="BF596">
        <v>398</v>
      </c>
      <c r="BG596">
        <v>52</v>
      </c>
      <c r="BH596">
        <v>4</v>
      </c>
      <c r="BI596">
        <v>8</v>
      </c>
      <c r="BJ596">
        <v>0</v>
      </c>
      <c r="BK596">
        <v>299</v>
      </c>
      <c r="BL596">
        <v>20</v>
      </c>
      <c r="BM596">
        <v>1</v>
      </c>
      <c r="BN596">
        <v>2</v>
      </c>
      <c r="BO596" t="s">
        <v>12</v>
      </c>
      <c r="BQ596" t="s">
        <v>1676</v>
      </c>
      <c r="BR596" t="s">
        <v>3246</v>
      </c>
      <c r="BS596" s="4" t="str">
        <f>HYPERLINK("http://exon.niaid.nih.gov/transcriptome/C_felis/S1/links/CDD/cf-contig_590-CDD.txt","SCAMP")</f>
        <v>SCAMP</v>
      </c>
      <c r="BT596" t="str">
        <f>HYPERLINK("http://www.ncbi.nlm.nih.gov/Structure/cdd/cddsrv.cgi?uid=pfam04144&amp;version=v4.0","2.9")</f>
        <v>2.9</v>
      </c>
      <c r="BU596" t="s">
        <v>3831</v>
      </c>
      <c r="BV596" s="4" t="s">
        <v>42</v>
      </c>
      <c r="BW596" t="s">
        <v>42</v>
      </c>
      <c r="BX596" t="s">
        <v>42</v>
      </c>
      <c r="BY596" t="s">
        <v>42</v>
      </c>
      <c r="BZ596" t="s">
        <v>42</v>
      </c>
      <c r="CA596" t="s">
        <v>42</v>
      </c>
      <c r="CB596" t="s">
        <v>42</v>
      </c>
      <c r="CC596" t="s">
        <v>42</v>
      </c>
      <c r="CD596" t="s">
        <v>42</v>
      </c>
      <c r="CE596" t="s">
        <v>42</v>
      </c>
      <c r="CF596" t="s">
        <v>42</v>
      </c>
      <c r="CG596" t="s">
        <v>42</v>
      </c>
      <c r="CH596" t="s">
        <v>42</v>
      </c>
      <c r="CI596" t="s">
        <v>42</v>
      </c>
      <c r="CJ596" t="s">
        <v>42</v>
      </c>
      <c r="CK596" t="s">
        <v>42</v>
      </c>
      <c r="CL596" t="s">
        <v>42</v>
      </c>
      <c r="CM596" t="s">
        <v>42</v>
      </c>
      <c r="CN596" t="s">
        <v>42</v>
      </c>
      <c r="CO596" t="s">
        <v>42</v>
      </c>
      <c r="CP596" t="s">
        <v>42</v>
      </c>
      <c r="CQ596" t="s">
        <v>42</v>
      </c>
      <c r="CR596" t="s">
        <v>42</v>
      </c>
      <c r="CS596" s="4" t="str">
        <f>HYPERLINK("http://exon.niaid.nih.gov/transcriptome/C_felis/S1/links/KOG/cf-contig_590-KOG.txt","Integral membrane protein involved in transport between the late Golgi and endosome")</f>
        <v>Integral membrane protein involved in transport between the late Golgi and endosome</v>
      </c>
      <c r="CT596" t="str">
        <f>HYPERLINK("http://www.ncbi.nlm.nih.gov/COG/grace/shokog.cgi?KOG4697","0.32")</f>
        <v>0.32</v>
      </c>
      <c r="CU596" t="s">
        <v>1686</v>
      </c>
      <c r="CV596" s="4" t="str">
        <f>HYPERLINK("http://exon.niaid.nih.gov/transcriptome/C_felis/S1/links/PFAM/cf-contig_590-PFAM.txt","SCAMP")</f>
        <v>SCAMP</v>
      </c>
      <c r="CW596" t="str">
        <f>HYPERLINK("http://pfam.sanger.ac.uk/family?acc=PF04144","0.61")</f>
        <v>0.61</v>
      </c>
      <c r="CX596" s="4" t="str">
        <f>HYPERLINK("http://exon.niaid.nih.gov/transcriptome/C_felis/S1/links/SMART/cf-contig_590-SMART.txt","TLC")</f>
        <v>TLC</v>
      </c>
      <c r="CY596" t="str">
        <f>HYPERLINK("http://smart.embl-heidelberg.de/smart/do_annotation.pl?DOMAIN=TLC&amp;BLAST=DUMMY","0.74")</f>
        <v>0.74</v>
      </c>
      <c r="CZ596" s="4" t="s">
        <v>42</v>
      </c>
      <c r="DA596" t="s">
        <v>42</v>
      </c>
      <c r="DB596" t="s">
        <v>42</v>
      </c>
      <c r="DC596" t="s">
        <v>42</v>
      </c>
      <c r="DD596" t="s">
        <v>42</v>
      </c>
      <c r="DE596" t="s">
        <v>42</v>
      </c>
      <c r="DF596" t="s">
        <v>42</v>
      </c>
      <c r="DG596" t="s">
        <v>42</v>
      </c>
      <c r="DH596" s="4" t="s">
        <v>42</v>
      </c>
      <c r="DI596" t="s">
        <v>42</v>
      </c>
      <c r="DJ596" s="4" t="s">
        <v>42</v>
      </c>
      <c r="DK596" t="s">
        <v>42</v>
      </c>
      <c r="DL596" s="4">
        <f>HYPERLINK("http://exon.niaid.nih.gov/transcriptome/C_felis/S1/links/cluster/cf-5-36-asb30-50-Id-CLU27.txt", 27)</f>
        <v>27</v>
      </c>
      <c r="DM596">
        <f>HYPERLINK("http://exon.niaid.nih.gov/transcriptome/C_felis/S1/links/cluster/cf-5-36-asb30-50-Id-CLTL27.txt", 3)</f>
        <v>3</v>
      </c>
      <c r="DN596" s="4">
        <f>HYPERLINK("http://exon.niaid.nih.gov/transcriptome/C_felis/S1/links/cluster/cf-5-36-asb35-50-Id-CLU79.txt", 79)</f>
        <v>79</v>
      </c>
      <c r="DO596">
        <f>HYPERLINK("http://exon.niaid.nih.gov/transcriptome/C_felis/S1/links/cluster/cf-5-36-asb35-50-Id-CLTL79.txt", 2)</f>
        <v>2</v>
      </c>
      <c r="DP596" s="4">
        <f>HYPERLINK("http://exon.niaid.nih.gov/transcriptome/C_felis/S1/links/cluster/cf-5-36-asb40-50-Id-CLU71.txt", 71)</f>
        <v>71</v>
      </c>
      <c r="DQ596">
        <f>HYPERLINK("http://exon.niaid.nih.gov/transcriptome/C_felis/S1/links/cluster/cf-5-36-asb40-50-Id-CLTL71.txt", 2)</f>
        <v>2</v>
      </c>
      <c r="DR596" s="4">
        <f>HYPERLINK("http://exon.niaid.nih.gov/transcriptome/C_felis/S1/links/cluster/cf-5-36-asb45-50-Id-CLU58.txt", 58)</f>
        <v>58</v>
      </c>
      <c r="DS596">
        <f>HYPERLINK("http://exon.niaid.nih.gov/transcriptome/C_felis/S1/links/cluster/cf-5-36-asb45-50-Id-CLTL58.txt", 2)</f>
        <v>2</v>
      </c>
      <c r="DT596" s="4">
        <f>HYPERLINK("http://exon.niaid.nih.gov/transcriptome/C_felis/S1/links/cluster/cf-5-36-asb50-50-Id-CLU50.txt", 50)</f>
        <v>50</v>
      </c>
      <c r="DU596">
        <f>HYPERLINK("http://exon.niaid.nih.gov/transcriptome/C_felis/S1/links/cluster/cf-5-36-asb50-50-Id-CLTL50.txt", 2)</f>
        <v>2</v>
      </c>
      <c r="DV596" s="4">
        <f>HYPERLINK("http://exon.niaid.nih.gov/transcriptome/C_felis/S1/links/cluster/cf-5-36-asb55-50-Id-CLU46.txt", 46)</f>
        <v>46</v>
      </c>
      <c r="DW596">
        <f>HYPERLINK("http://exon.niaid.nih.gov/transcriptome/C_felis/S1/links/cluster/cf-5-36-asb55-50-Id-CLTL46.txt", 2)</f>
        <v>2</v>
      </c>
      <c r="DX596" s="4">
        <v>554</v>
      </c>
      <c r="DY596">
        <v>1</v>
      </c>
      <c r="DZ596" s="4">
        <v>562</v>
      </c>
      <c r="EA596">
        <v>1</v>
      </c>
      <c r="EB596" s="4">
        <v>567</v>
      </c>
      <c r="EC596">
        <v>1</v>
      </c>
      <c r="ED596" s="4">
        <v>571</v>
      </c>
      <c r="EE596">
        <v>1</v>
      </c>
      <c r="EF596" s="4">
        <v>576</v>
      </c>
      <c r="EG596">
        <v>1</v>
      </c>
      <c r="EH596" s="4">
        <v>583</v>
      </c>
      <c r="EI596">
        <v>1</v>
      </c>
      <c r="EJ596" s="4">
        <v>590</v>
      </c>
      <c r="EK596">
        <v>1</v>
      </c>
    </row>
    <row r="597" spans="1:141" x14ac:dyDescent="0.2">
      <c r="A597" t="str">
        <f>HYPERLINK("http://exon.niaid.nih.gov/transcriptome/C_felis/S1/links/cf/cf-contig_302.txt","cf-contig_302")</f>
        <v>cf-contig_302</v>
      </c>
      <c r="B597">
        <v>1</v>
      </c>
      <c r="C597" s="10" t="s">
        <v>4600</v>
      </c>
      <c r="D597">
        <v>1</v>
      </c>
      <c r="E597" t="str">
        <f>HYPERLINK("http://exon.niaid.nih.gov/transcriptome/C_felis/S1/links/cf/cf-5-36-asb-302.txt","Contig-302")</f>
        <v>Contig-302</v>
      </c>
      <c r="F597" t="str">
        <f>HYPERLINK("http://exon.niaid.nih.gov/transcriptome/C_felis/S1/links/cf/cf-5-36-302-CLU.txt","Contig302")</f>
        <v>Contig302</v>
      </c>
      <c r="G597" t="str">
        <f>HYPERLINK("http://exon.niaid.nih.gov/transcriptome/C_felis/S1/links/cf/cf-5-36-302-qual.txt","64.7")</f>
        <v>64.7</v>
      </c>
      <c r="H597" t="s">
        <v>11</v>
      </c>
      <c r="I597">
        <v>78.7</v>
      </c>
      <c r="J597">
        <v>356</v>
      </c>
      <c r="K597" t="s">
        <v>12</v>
      </c>
      <c r="L597">
        <v>1</v>
      </c>
      <c r="M597" t="s">
        <v>315</v>
      </c>
      <c r="N597">
        <v>356</v>
      </c>
      <c r="O597">
        <v>375</v>
      </c>
      <c r="P597">
        <v>150</v>
      </c>
      <c r="Q597" t="s">
        <v>1122</v>
      </c>
      <c r="R597">
        <v>3</v>
      </c>
      <c r="S597" s="7" t="s">
        <v>4585</v>
      </c>
      <c r="U597">
        <v>1</v>
      </c>
      <c r="V597" s="4">
        <v>243</v>
      </c>
      <c r="W597">
        <v>1</v>
      </c>
      <c r="X597" s="4">
        <v>248</v>
      </c>
      <c r="Y597">
        <v>1</v>
      </c>
      <c r="Z597" s="4">
        <v>247</v>
      </c>
      <c r="AA597">
        <v>1</v>
      </c>
      <c r="AB597" s="4" t="str">
        <f>HYPERLINK("http://exon.niaid.nih.gov/transcriptome/C_felis/S1/links/XC-ASB/cf-contig_302-XC-ASB.txt","XC-contig_165")</f>
        <v>XC-contig_165</v>
      </c>
      <c r="AC597">
        <v>1.0000000000000001E-5</v>
      </c>
      <c r="AD597" s="10" t="s">
        <v>4600</v>
      </c>
      <c r="AE597" t="s">
        <v>4601</v>
      </c>
      <c r="AI597" s="4" t="str">
        <f>HYPERLINK("http://exon.niaid.nih.gov/transcriptome/C_felis/S1/links/NR/cf-contig_302-NR.txt","hypothetical protein CPARA_3gp384")</f>
        <v>hypothetical protein CPARA_3gp384</v>
      </c>
      <c r="AJ597" t="str">
        <f>HYPERLINK("http://www.ncbi.nlm.nih.gov/sutils/blink.cgi?pid=330040514","1.1")</f>
        <v>1.1</v>
      </c>
      <c r="AK597" t="str">
        <f>HYPERLINK("http://www.ncbi.nlm.nih.gov/protein/330040514","gi|330040514")</f>
        <v>gi|330040514</v>
      </c>
      <c r="AL597">
        <v>37</v>
      </c>
      <c r="AM597">
        <v>86</v>
      </c>
      <c r="AN597">
        <v>302</v>
      </c>
      <c r="AO597">
        <v>30</v>
      </c>
      <c r="AP597">
        <v>29</v>
      </c>
      <c r="AQ597">
        <v>61</v>
      </c>
      <c r="AR597">
        <v>8</v>
      </c>
      <c r="AS597">
        <v>139</v>
      </c>
      <c r="AT597">
        <v>28</v>
      </c>
      <c r="AU597">
        <v>1</v>
      </c>
      <c r="AV597">
        <v>-1</v>
      </c>
      <c r="AW597" t="s">
        <v>12</v>
      </c>
      <c r="AX597">
        <v>2.3260000000000001</v>
      </c>
      <c r="AY597" t="s">
        <v>1666</v>
      </c>
      <c r="AZ597" t="s">
        <v>2734</v>
      </c>
      <c r="BA597" s="4" t="str">
        <f>HYPERLINK("http://exon.niaid.nih.gov/transcriptome/C_felis/S1/links/SWISSP/cf-contig_302-SWISSP.txt","Protein ycf2")</f>
        <v>Protein ycf2</v>
      </c>
      <c r="BB597" t="str">
        <f>HYPERLINK("http://www.uniprot.org/uniprot/P09975","4.7")</f>
        <v>4.7</v>
      </c>
      <c r="BC597" t="s">
        <v>2731</v>
      </c>
      <c r="BD597">
        <v>30</v>
      </c>
      <c r="BE597">
        <v>55</v>
      </c>
      <c r="BF597">
        <v>2136</v>
      </c>
      <c r="BG597">
        <v>35</v>
      </c>
      <c r="BH597">
        <v>3</v>
      </c>
      <c r="BI597">
        <v>39</v>
      </c>
      <c r="BJ597">
        <v>0</v>
      </c>
      <c r="BK597">
        <v>104</v>
      </c>
      <c r="BL597">
        <v>70</v>
      </c>
      <c r="BM597">
        <v>1</v>
      </c>
      <c r="BN597">
        <v>-1</v>
      </c>
      <c r="BO597" t="s">
        <v>12</v>
      </c>
      <c r="BP597">
        <v>1.8180000000000001</v>
      </c>
      <c r="BQ597" t="s">
        <v>1666</v>
      </c>
      <c r="BR597" t="s">
        <v>2732</v>
      </c>
      <c r="BS597" s="4" t="str">
        <f>HYPERLINK("http://exon.niaid.nih.gov/transcriptome/C_felis/S1/links/CDD/cf-contig_302-CDD.txt","MSV199")</f>
        <v>MSV199</v>
      </c>
      <c r="BT597" t="str">
        <f>HYPERLINK("http://www.ncbi.nlm.nih.gov/Structure/cdd/cddsrv.cgi?uid=pfam10553&amp;version=v4.0","0.20")</f>
        <v>0.20</v>
      </c>
      <c r="BU597" t="s">
        <v>2735</v>
      </c>
      <c r="BV597" s="4" t="s">
        <v>42</v>
      </c>
      <c r="BW597" t="s">
        <v>42</v>
      </c>
      <c r="BX597" t="s">
        <v>42</v>
      </c>
      <c r="BY597" t="s">
        <v>42</v>
      </c>
      <c r="BZ597" t="s">
        <v>42</v>
      </c>
      <c r="CA597" t="s">
        <v>42</v>
      </c>
      <c r="CB597" t="s">
        <v>42</v>
      </c>
      <c r="CC597" t="s">
        <v>42</v>
      </c>
      <c r="CD597" t="s">
        <v>42</v>
      </c>
      <c r="CE597" t="s">
        <v>42</v>
      </c>
      <c r="CF597" t="s">
        <v>42</v>
      </c>
      <c r="CG597" t="s">
        <v>42</v>
      </c>
      <c r="CH597" t="s">
        <v>42</v>
      </c>
      <c r="CI597" t="s">
        <v>42</v>
      </c>
      <c r="CJ597" t="s">
        <v>42</v>
      </c>
      <c r="CK597" t="s">
        <v>42</v>
      </c>
      <c r="CL597" t="s">
        <v>42</v>
      </c>
      <c r="CM597" t="s">
        <v>42</v>
      </c>
      <c r="CN597" t="s">
        <v>42</v>
      </c>
      <c r="CO597" t="s">
        <v>42</v>
      </c>
      <c r="CP597" t="s">
        <v>42</v>
      </c>
      <c r="CQ597" t="s">
        <v>42</v>
      </c>
      <c r="CR597" t="s">
        <v>42</v>
      </c>
      <c r="CS597" s="4" t="str">
        <f>HYPERLINK("http://exon.niaid.nih.gov/transcriptome/C_felis/S1/links/KOG/cf-contig_302-KOG.txt","Predicted acyltransferase")</f>
        <v>Predicted acyltransferase</v>
      </c>
      <c r="CT597" t="str">
        <f>HYPERLINK("http://www.ncbi.nlm.nih.gov/COG/grace/shokog.cgi?KOG3700","3.0")</f>
        <v>3.0</v>
      </c>
      <c r="CU597" t="s">
        <v>1721</v>
      </c>
      <c r="CV597" s="4" t="str">
        <f>HYPERLINK("http://exon.niaid.nih.gov/transcriptome/C_felis/S1/links/PFAM/cf-contig_302-PFAM.txt","MSV199")</f>
        <v>MSV199</v>
      </c>
      <c r="CW597" t="str">
        <f>HYPERLINK("http://pfam.sanger.ac.uk/family?acc=PF10553","0.048")</f>
        <v>0.048</v>
      </c>
      <c r="CX597" s="4" t="str">
        <f>HYPERLINK("http://exon.niaid.nih.gov/transcriptome/C_felis/S1/links/SMART/cf-contig_302-SMART.txt","CBM49")</f>
        <v>CBM49</v>
      </c>
      <c r="CY597" t="str">
        <f>HYPERLINK("http://smart.embl-heidelberg.de/smart/do_annotation.pl?DOMAIN=CBM49&amp;BLAST=DUMMY","0.010")</f>
        <v>0.010</v>
      </c>
      <c r="CZ597" s="4" t="s">
        <v>42</v>
      </c>
      <c r="DA597" t="s">
        <v>42</v>
      </c>
      <c r="DB597" t="s">
        <v>42</v>
      </c>
      <c r="DC597" t="s">
        <v>42</v>
      </c>
      <c r="DD597" t="s">
        <v>42</v>
      </c>
      <c r="DE597" t="s">
        <v>42</v>
      </c>
      <c r="DF597" t="s">
        <v>42</v>
      </c>
      <c r="DG597" t="s">
        <v>42</v>
      </c>
      <c r="DH597" s="4" t="s">
        <v>42</v>
      </c>
      <c r="DI597" t="s">
        <v>42</v>
      </c>
      <c r="DJ597" s="4" t="s">
        <v>42</v>
      </c>
      <c r="DK597" t="s">
        <v>42</v>
      </c>
      <c r="DL597" s="4">
        <v>243</v>
      </c>
      <c r="DM597">
        <v>1</v>
      </c>
      <c r="DN597" s="4">
        <v>248</v>
      </c>
      <c r="DO597">
        <v>1</v>
      </c>
      <c r="DP597" s="4">
        <v>247</v>
      </c>
      <c r="DQ597">
        <v>1</v>
      </c>
      <c r="DR597" s="4">
        <v>256</v>
      </c>
      <c r="DS597">
        <v>1</v>
      </c>
      <c r="DT597" s="4">
        <v>264</v>
      </c>
      <c r="DU597">
        <v>1</v>
      </c>
      <c r="DV597" s="4">
        <v>276</v>
      </c>
      <c r="DW597">
        <v>1</v>
      </c>
      <c r="DX597" s="4">
        <v>278</v>
      </c>
      <c r="DY597">
        <v>1</v>
      </c>
      <c r="DZ597" s="4">
        <v>283</v>
      </c>
      <c r="EA597">
        <v>1</v>
      </c>
      <c r="EB597" s="4">
        <v>288</v>
      </c>
      <c r="EC597">
        <v>1</v>
      </c>
      <c r="ED597" s="4">
        <v>291</v>
      </c>
      <c r="EE597">
        <v>1</v>
      </c>
      <c r="EF597" s="4">
        <v>295</v>
      </c>
      <c r="EG597">
        <v>1</v>
      </c>
      <c r="EH597" s="4">
        <v>297</v>
      </c>
      <c r="EI597">
        <v>1</v>
      </c>
      <c r="EJ597" s="4">
        <v>302</v>
      </c>
      <c r="EK597">
        <v>1</v>
      </c>
    </row>
    <row r="598" spans="1:141" x14ac:dyDescent="0.2">
      <c r="A598" t="str">
        <f>HYPERLINK("http://exon.niaid.nih.gov/transcriptome/C_felis/S1/links/cf/cf-contig_804.txt","cf-contig_804")</f>
        <v>cf-contig_804</v>
      </c>
      <c r="B598">
        <v>1</v>
      </c>
      <c r="C598" s="10" t="s">
        <v>4600</v>
      </c>
      <c r="D598">
        <v>1</v>
      </c>
      <c r="E598" t="str">
        <f>HYPERLINK("http://exon.niaid.nih.gov/transcriptome/C_felis/S1/links/cf/cf-5-36-asb-804.txt","Contig-804")</f>
        <v>Contig-804</v>
      </c>
      <c r="F598" t="str">
        <f>HYPERLINK("http://exon.niaid.nih.gov/transcriptome/C_felis/S1/links/cf/cf-5-36-804-CLU.txt","Contig804")</f>
        <v>Contig804</v>
      </c>
      <c r="G598" t="str">
        <f>HYPERLINK("http://exon.niaid.nih.gov/transcriptome/C_felis/S1/links/cf/cf-5-36-804-qual.txt","55.5")</f>
        <v>55.5</v>
      </c>
      <c r="H598" t="s">
        <v>11</v>
      </c>
      <c r="I598">
        <v>77.8</v>
      </c>
      <c r="J598">
        <v>125</v>
      </c>
      <c r="K598" t="s">
        <v>12</v>
      </c>
      <c r="L598">
        <v>1</v>
      </c>
      <c r="M598" t="s">
        <v>817</v>
      </c>
      <c r="N598">
        <v>125</v>
      </c>
      <c r="O598">
        <v>144</v>
      </c>
      <c r="P598">
        <v>60</v>
      </c>
      <c r="Q598" t="s">
        <v>1623</v>
      </c>
      <c r="R598">
        <v>3</v>
      </c>
      <c r="S598" s="7" t="s">
        <v>4585</v>
      </c>
      <c r="U598">
        <v>1</v>
      </c>
      <c r="V598" s="4">
        <f>HYPERLINK("http://exon.niaid.nih.gov/transcriptome/C_felis/S1/links/cluster/cf-5-36-asb30-50-Id-CLU24.txt", 24)</f>
        <v>24</v>
      </c>
      <c r="W598">
        <f>HYPERLINK("http://exon.niaid.nih.gov/transcriptome/C_felis/S1/links/cluster/cf-5-36-asb30-50-Id-CLTL24.txt", 3)</f>
        <v>3</v>
      </c>
      <c r="X598" s="4">
        <f>HYPERLINK("http://exon.niaid.nih.gov/transcriptome/C_felis/S1/links/cluster/cf-5-36-asb35-50-Id-CLU87.txt", 87)</f>
        <v>87</v>
      </c>
      <c r="Y598">
        <f>HYPERLINK("http://exon.niaid.nih.gov/transcriptome/C_felis/S1/links/cluster/cf-5-36-asb35-50-Id-CLTL87.txt", 2)</f>
        <v>2</v>
      </c>
      <c r="Z598" s="4">
        <f>HYPERLINK("http://exon.niaid.nih.gov/transcriptome/C_felis/S1/links/cluster/cf-5-36-asb40-50-Id-CLU78.txt", 78)</f>
        <v>78</v>
      </c>
      <c r="AA598">
        <f>HYPERLINK("http://exon.niaid.nih.gov/transcriptome/C_felis/S1/links/cluster/cf-5-36-asb40-50-Id-CLTL78.txt", 2)</f>
        <v>2</v>
      </c>
      <c r="AB598" s="4" t="str">
        <f>HYPERLINK("http://exon.niaid.nih.gov/transcriptome/C_felis/S1/links/XC-ASB/cf-contig_804-XC-ASB.txt","XC-contig_43")</f>
        <v>XC-contig_43</v>
      </c>
      <c r="AC598">
        <v>8.4000000000000005E-2</v>
      </c>
      <c r="AD598" s="10" t="s">
        <v>4600</v>
      </c>
      <c r="AE598" t="s">
        <v>4601</v>
      </c>
      <c r="AI598" s="4" t="str">
        <f>HYPERLINK("http://exon.niaid.nih.gov/transcriptome/C_felis/S1/links/NR/cf-contig_804-NR.txt","hypothetical protein")</f>
        <v>hypothetical protein</v>
      </c>
      <c r="AJ598" t="str">
        <f>HYPERLINK("http://www.ncbi.nlm.nih.gov/sutils/blink.cgi?pid=209876700","37")</f>
        <v>37</v>
      </c>
      <c r="AK598" t="str">
        <f>HYPERLINK("http://www.ncbi.nlm.nih.gov/protein/209876700","gi|209876700")</f>
        <v>gi|209876700</v>
      </c>
      <c r="AL598">
        <v>32</v>
      </c>
      <c r="AM598">
        <v>34</v>
      </c>
      <c r="AN598">
        <v>1964</v>
      </c>
      <c r="AO598">
        <v>34</v>
      </c>
      <c r="AP598">
        <v>2</v>
      </c>
      <c r="AQ598">
        <v>23</v>
      </c>
      <c r="AR598">
        <v>0</v>
      </c>
      <c r="AS598">
        <v>1217</v>
      </c>
      <c r="AT598">
        <v>1</v>
      </c>
      <c r="AU598">
        <v>1</v>
      </c>
      <c r="AV598">
        <v>-1</v>
      </c>
      <c r="AW598" t="s">
        <v>12</v>
      </c>
      <c r="AY598" t="s">
        <v>1666</v>
      </c>
      <c r="AZ598" t="s">
        <v>4573</v>
      </c>
      <c r="BA598" s="4" t="str">
        <f>HYPERLINK("http://exon.niaid.nih.gov/transcriptome/C_felis/S1/links/SWISSP/cf-contig_804-SWISSP.txt","Protein ycf2")</f>
        <v>Protein ycf2</v>
      </c>
      <c r="BB598" t="str">
        <f>HYPERLINK("http://www.uniprot.org/uniprot/P61243","24")</f>
        <v>24</v>
      </c>
      <c r="BC598" t="s">
        <v>1943</v>
      </c>
      <c r="BD598">
        <v>27.7</v>
      </c>
      <c r="BE598">
        <v>31</v>
      </c>
      <c r="BF598">
        <v>2259</v>
      </c>
      <c r="BG598">
        <v>43</v>
      </c>
      <c r="BH598">
        <v>1</v>
      </c>
      <c r="BI598">
        <v>18</v>
      </c>
      <c r="BJ598">
        <v>0</v>
      </c>
      <c r="BK598">
        <v>617</v>
      </c>
      <c r="BL598">
        <v>10</v>
      </c>
      <c r="BM598">
        <v>1</v>
      </c>
      <c r="BN598">
        <v>-1</v>
      </c>
      <c r="BO598" t="s">
        <v>12</v>
      </c>
      <c r="BQ598" t="s">
        <v>1666</v>
      </c>
      <c r="BR598" t="s">
        <v>1944</v>
      </c>
      <c r="BS598" s="4" t="str">
        <f>HYPERLINK("http://exon.niaid.nih.gov/transcriptome/C_felis/S1/links/CDD/cf-contig_804-CDD.txt","PRP38")</f>
        <v>PRP38</v>
      </c>
      <c r="BT598" t="str">
        <f>HYPERLINK("http://www.ncbi.nlm.nih.gov/Structure/cdd/cddsrv.cgi?uid=pfam03371&amp;version=v4.0","0.80")</f>
        <v>0.80</v>
      </c>
      <c r="BU598" t="s">
        <v>4574</v>
      </c>
      <c r="BV598" s="4" t="s">
        <v>42</v>
      </c>
      <c r="BW598" t="s">
        <v>42</v>
      </c>
      <c r="BX598" t="s">
        <v>42</v>
      </c>
      <c r="BY598" t="s">
        <v>42</v>
      </c>
      <c r="BZ598" t="s">
        <v>42</v>
      </c>
      <c r="CA598" t="s">
        <v>42</v>
      </c>
      <c r="CB598" t="s">
        <v>42</v>
      </c>
      <c r="CC598" t="s">
        <v>42</v>
      </c>
      <c r="CD598" t="s">
        <v>42</v>
      </c>
      <c r="CE598" t="s">
        <v>42</v>
      </c>
      <c r="CF598" t="s">
        <v>42</v>
      </c>
      <c r="CG598" t="s">
        <v>42</v>
      </c>
      <c r="CH598" t="s">
        <v>42</v>
      </c>
      <c r="CI598" t="s">
        <v>42</v>
      </c>
      <c r="CJ598" t="s">
        <v>42</v>
      </c>
      <c r="CK598" t="s">
        <v>42</v>
      </c>
      <c r="CL598" t="s">
        <v>42</v>
      </c>
      <c r="CM598" t="s">
        <v>42</v>
      </c>
      <c r="CN598" t="s">
        <v>42</v>
      </c>
      <c r="CO598" t="s">
        <v>42</v>
      </c>
      <c r="CP598" t="s">
        <v>42</v>
      </c>
      <c r="CQ598" t="s">
        <v>42</v>
      </c>
      <c r="CR598" t="s">
        <v>42</v>
      </c>
      <c r="CS598" s="4" t="str">
        <f>HYPERLINK("http://exon.niaid.nih.gov/transcriptome/C_felis/S1/links/KOG/cf-contig_804-KOG.txt","P-type ATPase")</f>
        <v>P-type ATPase</v>
      </c>
      <c r="CT598" t="str">
        <f>HYPERLINK("http://www.ncbi.nlm.nih.gov/COG/grace/shokog.cgi?KOG0206","2.8")</f>
        <v>2.8</v>
      </c>
      <c r="CU598" t="s">
        <v>1721</v>
      </c>
      <c r="CV598" s="4" t="str">
        <f>HYPERLINK("http://exon.niaid.nih.gov/transcriptome/C_felis/S1/links/PFAM/cf-contig_804-PFAM.txt","PRP38")</f>
        <v>PRP38</v>
      </c>
      <c r="CW598" t="str">
        <f>HYPERLINK("http://pfam.sanger.ac.uk/family?acc=PF03371","0.17")</f>
        <v>0.17</v>
      </c>
      <c r="CX598" s="4" t="str">
        <f>HYPERLINK("http://exon.niaid.nih.gov/transcriptome/C_felis/S1/links/SMART/cf-contig_804-SMART.txt","WGR")</f>
        <v>WGR</v>
      </c>
      <c r="CY598" t="str">
        <f>HYPERLINK("http://smart.embl-heidelberg.de/smart/do_annotation.pl?DOMAIN=WGR&amp;BLAST=DUMMY","0.28")</f>
        <v>0.28</v>
      </c>
      <c r="CZ598" s="4" t="s">
        <v>42</v>
      </c>
      <c r="DA598" t="s">
        <v>42</v>
      </c>
      <c r="DB598" t="s">
        <v>42</v>
      </c>
      <c r="DC598" t="s">
        <v>42</v>
      </c>
      <c r="DD598" t="s">
        <v>42</v>
      </c>
      <c r="DE598" t="s">
        <v>42</v>
      </c>
      <c r="DF598" t="s">
        <v>42</v>
      </c>
      <c r="DG598" t="s">
        <v>42</v>
      </c>
      <c r="DH598" s="4" t="s">
        <v>42</v>
      </c>
      <c r="DI598" t="s">
        <v>42</v>
      </c>
      <c r="DJ598" s="4" t="s">
        <v>42</v>
      </c>
      <c r="DK598" t="s">
        <v>42</v>
      </c>
      <c r="DL598" s="4">
        <f>HYPERLINK("http://exon.niaid.nih.gov/transcriptome/C_felis/S1/links/cluster/cf-5-36-asb30-50-Id-CLU24.txt", 24)</f>
        <v>24</v>
      </c>
      <c r="DM598">
        <f>HYPERLINK("http://exon.niaid.nih.gov/transcriptome/C_felis/S1/links/cluster/cf-5-36-asb30-50-Id-CLTL24.txt", 3)</f>
        <v>3</v>
      </c>
      <c r="DN598" s="4">
        <f>HYPERLINK("http://exon.niaid.nih.gov/transcriptome/C_felis/S1/links/cluster/cf-5-36-asb35-50-Id-CLU87.txt", 87)</f>
        <v>87</v>
      </c>
      <c r="DO598">
        <f>HYPERLINK("http://exon.niaid.nih.gov/transcriptome/C_felis/S1/links/cluster/cf-5-36-asb35-50-Id-CLTL87.txt", 2)</f>
        <v>2</v>
      </c>
      <c r="DP598" s="4">
        <f>HYPERLINK("http://exon.niaid.nih.gov/transcriptome/C_felis/S1/links/cluster/cf-5-36-asb40-50-Id-CLU78.txt", 78)</f>
        <v>78</v>
      </c>
      <c r="DQ598">
        <f>HYPERLINK("http://exon.niaid.nih.gov/transcriptome/C_felis/S1/links/cluster/cf-5-36-asb40-50-Id-CLTL78.txt", 2)</f>
        <v>2</v>
      </c>
      <c r="DR598" s="4">
        <f>HYPERLINK("http://exon.niaid.nih.gov/transcriptome/C_felis/S1/links/cluster/cf-5-36-asb45-50-Id-CLU64.txt", 64)</f>
        <v>64</v>
      </c>
      <c r="DS598">
        <f>HYPERLINK("http://exon.niaid.nih.gov/transcriptome/C_felis/S1/links/cluster/cf-5-36-asb45-50-Id-CLTL64.txt", 2)</f>
        <v>2</v>
      </c>
      <c r="DT598" s="4">
        <f>HYPERLINK("http://exon.niaid.nih.gov/transcriptome/C_felis/S1/links/cluster/cf-5-36-asb50-50-Id-CLU56.txt", 56)</f>
        <v>56</v>
      </c>
      <c r="DU598">
        <f>HYPERLINK("http://exon.niaid.nih.gov/transcriptome/C_felis/S1/links/cluster/cf-5-36-asb50-50-Id-CLTL56.txt", 2)</f>
        <v>2</v>
      </c>
      <c r="DV598" s="4">
        <f>HYPERLINK("http://exon.niaid.nih.gov/transcriptome/C_felis/S1/links/cluster/cf-5-36-asb55-50-Id-CLU51.txt", 51)</f>
        <v>51</v>
      </c>
      <c r="DW598">
        <f>HYPERLINK("http://exon.niaid.nih.gov/transcriptome/C_felis/S1/links/cluster/cf-5-36-asb55-50-Id-CLTL51.txt", 2)</f>
        <v>2</v>
      </c>
      <c r="DX598" s="4">
        <f>HYPERLINK("http://exon.niaid.nih.gov/transcriptome/C_felis/S1/links/cluster/cf-5-36-asb60-50-Id-CLU44.txt", 44)</f>
        <v>44</v>
      </c>
      <c r="DY598">
        <f>HYPERLINK("http://exon.niaid.nih.gov/transcriptome/C_felis/S1/links/cluster/cf-5-36-asb60-50-Id-CLTL44.txt", 2)</f>
        <v>2</v>
      </c>
      <c r="DZ598" s="4">
        <v>764</v>
      </c>
      <c r="EA598">
        <v>1</v>
      </c>
      <c r="EB598" s="4">
        <v>771</v>
      </c>
      <c r="EC598">
        <v>1</v>
      </c>
      <c r="ED598" s="4">
        <v>776</v>
      </c>
      <c r="EE598">
        <v>1</v>
      </c>
      <c r="EF598" s="4">
        <v>783</v>
      </c>
      <c r="EG598">
        <v>1</v>
      </c>
      <c r="EH598" s="4">
        <v>795</v>
      </c>
      <c r="EI598">
        <v>1</v>
      </c>
      <c r="EJ598" s="4">
        <v>804</v>
      </c>
      <c r="EK598">
        <v>1</v>
      </c>
    </row>
    <row r="599" spans="1:141" x14ac:dyDescent="0.2">
      <c r="A599" t="str">
        <f>HYPERLINK("http://exon.niaid.nih.gov/transcriptome/C_felis/S1/links/cf/cf-contig_604.txt","cf-contig_604")</f>
        <v>cf-contig_604</v>
      </c>
      <c r="B599">
        <v>1</v>
      </c>
      <c r="C599" s="10" t="s">
        <v>4600</v>
      </c>
      <c r="D599">
        <v>1</v>
      </c>
      <c r="E599" t="str">
        <f>HYPERLINK("http://exon.niaid.nih.gov/transcriptome/C_felis/S1/links/cf/cf-5-36-asb-604.txt","Contig-604")</f>
        <v>Contig-604</v>
      </c>
      <c r="F599" t="str">
        <f>HYPERLINK("http://exon.niaid.nih.gov/transcriptome/C_felis/S1/links/cf/cf-5-36-604-CLU.txt","Contig604")</f>
        <v>Contig604</v>
      </c>
      <c r="G599" t="str">
        <f>HYPERLINK("http://exon.niaid.nih.gov/transcriptome/C_felis/S1/links/cf/cf-5-36-604-qual.txt","30.1")</f>
        <v>30.1</v>
      </c>
      <c r="H599" t="s">
        <v>11</v>
      </c>
      <c r="I599">
        <v>74.2</v>
      </c>
      <c r="J599" t="s">
        <v>42</v>
      </c>
      <c r="K599" t="s">
        <v>12</v>
      </c>
      <c r="L599">
        <v>1</v>
      </c>
      <c r="M599" t="s">
        <v>617</v>
      </c>
      <c r="N599" t="s">
        <v>42</v>
      </c>
      <c r="O599">
        <v>388</v>
      </c>
      <c r="P599">
        <v>111</v>
      </c>
      <c r="Q599" t="s">
        <v>1423</v>
      </c>
      <c r="R599">
        <v>2</v>
      </c>
      <c r="S599" s="7" t="s">
        <v>4585</v>
      </c>
      <c r="U599">
        <v>1</v>
      </c>
      <c r="V599" s="4">
        <v>491</v>
      </c>
      <c r="W599">
        <v>1</v>
      </c>
      <c r="X599" s="4">
        <v>503</v>
      </c>
      <c r="Y599">
        <v>1</v>
      </c>
      <c r="Z599" s="4">
        <v>513</v>
      </c>
      <c r="AA599">
        <v>1</v>
      </c>
      <c r="AB599" s="4" t="str">
        <f>HYPERLINK("http://exon.niaid.nih.gov/transcriptome/C_felis/S1/links/XC-ASB/cf-contig_604-XC-ASB.txt","XC-contig_151")</f>
        <v>XC-contig_151</v>
      </c>
      <c r="AC599">
        <v>1</v>
      </c>
      <c r="AD599" s="10" t="s">
        <v>4600</v>
      </c>
      <c r="AE599" t="s">
        <v>4601</v>
      </c>
      <c r="AI599" s="4" t="str">
        <f>HYPERLINK("http://exon.niaid.nih.gov/transcriptome/C_felis/S1/links/NR/cf-contig_604-NR.txt","hypothetical predicted multi-pass transmembrane protein, unknown function")</f>
        <v>hypothetical predicted multi-pass transmembrane protein, unknown function</v>
      </c>
      <c r="AJ599" t="str">
        <f>HYPERLINK("http://www.ncbi.nlm.nih.gov/sutils/blink.cgi?pid=32399026","16")</f>
        <v>16</v>
      </c>
      <c r="AK599" t="str">
        <f>HYPERLINK("http://www.ncbi.nlm.nih.gov/protein/32399026","gi|32399026")</f>
        <v>gi|32399026</v>
      </c>
      <c r="AL599">
        <v>33.1</v>
      </c>
      <c r="AM599">
        <v>58</v>
      </c>
      <c r="AN599">
        <v>1001</v>
      </c>
      <c r="AO599">
        <v>40</v>
      </c>
      <c r="AP599">
        <v>6</v>
      </c>
      <c r="AQ599">
        <v>35</v>
      </c>
      <c r="AR599">
        <v>4</v>
      </c>
      <c r="AS599">
        <v>867</v>
      </c>
      <c r="AT599">
        <v>176</v>
      </c>
      <c r="AU599">
        <v>1</v>
      </c>
      <c r="AV599">
        <v>2</v>
      </c>
      <c r="AW599" t="s">
        <v>12</v>
      </c>
      <c r="AX599">
        <v>5.1719999999999997</v>
      </c>
      <c r="AY599" t="s">
        <v>1676</v>
      </c>
      <c r="AZ599" t="s">
        <v>3899</v>
      </c>
      <c r="BA599" s="4" t="str">
        <f>HYPERLINK("http://exon.niaid.nih.gov/transcriptome/C_felis/S1/links/SWISSP/cf-contig_604-SWISSP.txt","Olfactory receptor 51E2")</f>
        <v>Olfactory receptor 51E2</v>
      </c>
      <c r="BB599" t="str">
        <f>HYPERLINK("http://www.uniprot.org/uniprot/O88628","4.8")</f>
        <v>4.8</v>
      </c>
      <c r="BC599" t="s">
        <v>3900</v>
      </c>
      <c r="BD599">
        <v>30</v>
      </c>
      <c r="BE599">
        <v>48</v>
      </c>
      <c r="BF599">
        <v>320</v>
      </c>
      <c r="BG599">
        <v>26</v>
      </c>
      <c r="BH599">
        <v>15</v>
      </c>
      <c r="BI599">
        <v>36</v>
      </c>
      <c r="BJ599">
        <v>1</v>
      </c>
      <c r="BK599">
        <v>154</v>
      </c>
      <c r="BL599">
        <v>208</v>
      </c>
      <c r="BM599">
        <v>1</v>
      </c>
      <c r="BN599">
        <v>1</v>
      </c>
      <c r="BO599" t="s">
        <v>12</v>
      </c>
      <c r="BP599">
        <v>2.0830000000000002</v>
      </c>
      <c r="BQ599" t="s">
        <v>1676</v>
      </c>
      <c r="BR599" t="s">
        <v>1684</v>
      </c>
      <c r="BS599" s="4" t="str">
        <f>HYPERLINK("http://exon.niaid.nih.gov/transcriptome/C_felis/S1/links/CDD/cf-contig_604-CDD.txt","DUF975")</f>
        <v>DUF975</v>
      </c>
      <c r="BT599" t="str">
        <f>HYPERLINK("http://www.ncbi.nlm.nih.gov/Structure/cdd/cddsrv.cgi?uid=pfam06161&amp;version=v4.0","0.21")</f>
        <v>0.21</v>
      </c>
      <c r="BU599" t="s">
        <v>3901</v>
      </c>
      <c r="BV599" s="4" t="s">
        <v>42</v>
      </c>
      <c r="BW599" t="s">
        <v>42</v>
      </c>
      <c r="BX599" t="s">
        <v>42</v>
      </c>
      <c r="BY599" t="s">
        <v>42</v>
      </c>
      <c r="BZ599" t="s">
        <v>42</v>
      </c>
      <c r="CA599" t="s">
        <v>42</v>
      </c>
      <c r="CB599" t="s">
        <v>42</v>
      </c>
      <c r="CC599" t="s">
        <v>42</v>
      </c>
      <c r="CD599" t="s">
        <v>42</v>
      </c>
      <c r="CE599" t="s">
        <v>42</v>
      </c>
      <c r="CF599" t="s">
        <v>42</v>
      </c>
      <c r="CG599" t="s">
        <v>42</v>
      </c>
      <c r="CH599" t="s">
        <v>42</v>
      </c>
      <c r="CI599" t="s">
        <v>42</v>
      </c>
      <c r="CJ599" t="s">
        <v>42</v>
      </c>
      <c r="CK599" t="s">
        <v>42</v>
      </c>
      <c r="CL599" t="s">
        <v>42</v>
      </c>
      <c r="CM599" t="s">
        <v>42</v>
      </c>
      <c r="CN599" t="s">
        <v>42</v>
      </c>
      <c r="CO599" t="s">
        <v>42</v>
      </c>
      <c r="CP599" t="s">
        <v>42</v>
      </c>
      <c r="CQ599" t="s">
        <v>42</v>
      </c>
      <c r="CR599" t="s">
        <v>42</v>
      </c>
      <c r="CS599" s="4" t="str">
        <f>HYPERLINK("http://exon.niaid.nih.gov/transcriptome/C_felis/S1/links/KOG/cf-contig_604-KOG.txt","Sugar transporter/spinster transmembrane protein")</f>
        <v>Sugar transporter/spinster transmembrane protein</v>
      </c>
      <c r="CT599" t="str">
        <f>HYPERLINK("http://www.ncbi.nlm.nih.gov/COG/grace/shokog.cgi?KOG1330","3.0")</f>
        <v>3.0</v>
      </c>
      <c r="CU599" t="s">
        <v>1823</v>
      </c>
      <c r="CV599" s="4" t="str">
        <f>HYPERLINK("http://exon.niaid.nih.gov/transcriptome/C_felis/S1/links/PFAM/cf-contig_604-PFAM.txt","DUF975")</f>
        <v>DUF975</v>
      </c>
      <c r="CW599" t="str">
        <f>HYPERLINK("http://pfam.sanger.ac.uk/family?acc=PF06161","0.049")</f>
        <v>0.049</v>
      </c>
      <c r="CX599" s="4" t="str">
        <f>HYPERLINK("http://exon.niaid.nih.gov/transcriptome/C_felis/S1/links/SMART/cf-contig_604-SMART.txt","Piwi")</f>
        <v>Piwi</v>
      </c>
      <c r="CY599" t="str">
        <f>HYPERLINK("http://smart.embl-heidelberg.de/smart/do_annotation.pl?DOMAIN=Piwi&amp;BLAST=DUMMY","0.17")</f>
        <v>0.17</v>
      </c>
      <c r="CZ599" s="4" t="s">
        <v>42</v>
      </c>
      <c r="DA599" t="s">
        <v>42</v>
      </c>
      <c r="DB599" t="s">
        <v>42</v>
      </c>
      <c r="DC599" t="s">
        <v>42</v>
      </c>
      <c r="DD599" t="s">
        <v>42</v>
      </c>
      <c r="DE599" t="s">
        <v>42</v>
      </c>
      <c r="DF599" t="s">
        <v>42</v>
      </c>
      <c r="DG599" t="s">
        <v>42</v>
      </c>
      <c r="DH599" s="4" t="s">
        <v>42</v>
      </c>
      <c r="DI599" t="s">
        <v>42</v>
      </c>
      <c r="DJ599" s="4" t="s">
        <v>42</v>
      </c>
      <c r="DK599" t="s">
        <v>42</v>
      </c>
      <c r="DL599" s="4">
        <v>491</v>
      </c>
      <c r="DM599">
        <v>1</v>
      </c>
      <c r="DN599" s="4">
        <v>503</v>
      </c>
      <c r="DO599">
        <v>1</v>
      </c>
      <c r="DP599" s="4">
        <v>513</v>
      </c>
      <c r="DQ599">
        <v>1</v>
      </c>
      <c r="DR599" s="4">
        <v>532</v>
      </c>
      <c r="DS599">
        <v>1</v>
      </c>
      <c r="DT599" s="4">
        <v>544</v>
      </c>
      <c r="DU599">
        <v>1</v>
      </c>
      <c r="DV599" s="4">
        <v>558</v>
      </c>
      <c r="DW599">
        <v>1</v>
      </c>
      <c r="DX599" s="4">
        <v>567</v>
      </c>
      <c r="DY599">
        <v>1</v>
      </c>
      <c r="DZ599" s="4">
        <v>575</v>
      </c>
      <c r="EA599">
        <v>1</v>
      </c>
      <c r="EB599" s="4">
        <v>580</v>
      </c>
      <c r="EC599">
        <v>1</v>
      </c>
      <c r="ED599" s="4">
        <v>584</v>
      </c>
      <c r="EE599">
        <v>1</v>
      </c>
      <c r="EF599" s="4">
        <v>590</v>
      </c>
      <c r="EG599">
        <v>1</v>
      </c>
      <c r="EH599" s="4">
        <v>597</v>
      </c>
      <c r="EI599">
        <v>1</v>
      </c>
      <c r="EJ599" s="4">
        <v>604</v>
      </c>
      <c r="EK599">
        <v>1</v>
      </c>
    </row>
    <row r="600" spans="1:141" x14ac:dyDescent="0.2">
      <c r="A600" t="str">
        <f>HYPERLINK("http://exon.niaid.nih.gov/transcriptome/C_felis/S1/links/cf/cf-contig_608.txt","cf-contig_608")</f>
        <v>cf-contig_608</v>
      </c>
      <c r="B600">
        <v>1</v>
      </c>
      <c r="C600" s="10" t="s">
        <v>4600</v>
      </c>
      <c r="D600">
        <v>1</v>
      </c>
      <c r="E600" t="str">
        <f>HYPERLINK("http://exon.niaid.nih.gov/transcriptome/C_felis/S1/links/cf/cf-5-36-asb-608.txt","Contig-608")</f>
        <v>Contig-608</v>
      </c>
      <c r="F600" t="str">
        <f>HYPERLINK("http://exon.niaid.nih.gov/transcriptome/C_felis/S1/links/cf/cf-5-36-608-CLU.txt","Contig608")</f>
        <v>Contig608</v>
      </c>
      <c r="G600" t="str">
        <f>HYPERLINK("http://exon.niaid.nih.gov/transcriptome/C_felis/S1/links/cf/cf-5-36-608-qual.txt","57.1")</f>
        <v>57.1</v>
      </c>
      <c r="H600">
        <v>0.7</v>
      </c>
      <c r="I600">
        <v>70.900000000000006</v>
      </c>
      <c r="J600">
        <v>256</v>
      </c>
      <c r="K600" t="s">
        <v>12</v>
      </c>
      <c r="L600">
        <v>1</v>
      </c>
      <c r="M600" t="s">
        <v>621</v>
      </c>
      <c r="N600">
        <v>256</v>
      </c>
      <c r="O600">
        <v>275</v>
      </c>
      <c r="P600">
        <v>99</v>
      </c>
      <c r="Q600" t="s">
        <v>1427</v>
      </c>
      <c r="R600">
        <v>2</v>
      </c>
      <c r="S600" s="7" t="s">
        <v>4585</v>
      </c>
      <c r="U600">
        <v>1</v>
      </c>
      <c r="V600" s="4">
        <v>494</v>
      </c>
      <c r="W600">
        <v>1</v>
      </c>
      <c r="X600" s="4">
        <v>506</v>
      </c>
      <c r="Y600">
        <v>1</v>
      </c>
      <c r="Z600" s="4">
        <v>516</v>
      </c>
      <c r="AA600">
        <v>1</v>
      </c>
      <c r="AB600" s="4" t="str">
        <f>HYPERLINK("http://exon.niaid.nih.gov/transcriptome/C_felis/S1/links/XC-ASB/cf-contig_608-XC-ASB.txt","XC-contig_95")</f>
        <v>XC-contig_95</v>
      </c>
      <c r="AC600">
        <v>0.88</v>
      </c>
      <c r="AD600" s="10" t="s">
        <v>4600</v>
      </c>
      <c r="AE600" t="s">
        <v>4601</v>
      </c>
      <c r="AI600" s="4" t="str">
        <f>HYPERLINK("http://exon.niaid.nih.gov/transcriptome/C_felis/S1/links/NR/cf-contig_608-NR.txt","hect E3 ubiquitin ligase")</f>
        <v>hect E3 ubiquitin ligase</v>
      </c>
      <c r="AJ600" t="str">
        <f>HYPERLINK("http://www.ncbi.nlm.nih.gov/sutils/blink.cgi?pid=170060307","0.035")</f>
        <v>0.035</v>
      </c>
      <c r="AK600" t="str">
        <f>HYPERLINK("http://www.ncbi.nlm.nih.gov/protein/170060307","gi|170060307")</f>
        <v>gi|170060307</v>
      </c>
      <c r="AL600">
        <v>42</v>
      </c>
      <c r="AM600">
        <v>24</v>
      </c>
      <c r="AN600">
        <v>1063</v>
      </c>
      <c r="AO600">
        <v>80</v>
      </c>
      <c r="AP600">
        <v>2</v>
      </c>
      <c r="AQ600">
        <v>5</v>
      </c>
      <c r="AR600">
        <v>0</v>
      </c>
      <c r="AS600">
        <v>1039</v>
      </c>
      <c r="AT600">
        <v>26</v>
      </c>
      <c r="AU600">
        <v>1</v>
      </c>
      <c r="AV600">
        <v>2</v>
      </c>
      <c r="AW600" t="s">
        <v>12</v>
      </c>
      <c r="AY600" t="s">
        <v>1676</v>
      </c>
      <c r="AZ600" t="s">
        <v>1769</v>
      </c>
      <c r="BA600" s="4" t="str">
        <f>HYPERLINK("http://exon.niaid.nih.gov/transcriptome/C_felis/S1/links/SWISSP/cf-contig_608-SWISSP.txt","Probable E3 ubiquitin-protein ligase HERC4")</f>
        <v>Probable E3 ubiquitin-protein ligase HERC4</v>
      </c>
      <c r="BB600" t="str">
        <f>HYPERLINK("http://www.uniprot.org/uniprot/Q5PQN1","2.8")</f>
        <v>2.8</v>
      </c>
      <c r="BC600" t="s">
        <v>3918</v>
      </c>
      <c r="BD600">
        <v>30.8</v>
      </c>
      <c r="BE600">
        <v>20</v>
      </c>
      <c r="BF600">
        <v>1057</v>
      </c>
      <c r="BG600">
        <v>66</v>
      </c>
      <c r="BH600">
        <v>2</v>
      </c>
      <c r="BI600">
        <v>7</v>
      </c>
      <c r="BJ600">
        <v>0</v>
      </c>
      <c r="BK600">
        <v>1037</v>
      </c>
      <c r="BL600">
        <v>38</v>
      </c>
      <c r="BM600">
        <v>1</v>
      </c>
      <c r="BN600">
        <v>2</v>
      </c>
      <c r="BO600" t="s">
        <v>12</v>
      </c>
      <c r="BQ600" t="s">
        <v>1676</v>
      </c>
      <c r="BR600" t="s">
        <v>1684</v>
      </c>
      <c r="BS600" s="4" t="str">
        <f>HYPERLINK("http://exon.niaid.nih.gov/transcriptome/C_felis/S1/links/CDD/cf-contig_608-CDD.txt","HECTc")</f>
        <v>HECTc</v>
      </c>
      <c r="BT600" t="str">
        <f>HYPERLINK("http://www.ncbi.nlm.nih.gov/Structure/cdd/cddsrv.cgi?uid=smart00119&amp;version=v4.0","0.033")</f>
        <v>0.033</v>
      </c>
      <c r="BU600" t="s">
        <v>3919</v>
      </c>
      <c r="BV600" s="4" t="s">
        <v>42</v>
      </c>
      <c r="BW600" t="s">
        <v>42</v>
      </c>
      <c r="BX600" t="s">
        <v>42</v>
      </c>
      <c r="BY600" t="s">
        <v>42</v>
      </c>
      <c r="BZ600" t="s">
        <v>42</v>
      </c>
      <c r="CA600" t="s">
        <v>42</v>
      </c>
      <c r="CB600" t="s">
        <v>42</v>
      </c>
      <c r="CC600" t="s">
        <v>42</v>
      </c>
      <c r="CD600" t="s">
        <v>42</v>
      </c>
      <c r="CE600" t="s">
        <v>42</v>
      </c>
      <c r="CF600" t="s">
        <v>42</v>
      </c>
      <c r="CG600" t="s">
        <v>42</v>
      </c>
      <c r="CH600" t="s">
        <v>42</v>
      </c>
      <c r="CI600" t="s">
        <v>42</v>
      </c>
      <c r="CJ600" t="s">
        <v>42</v>
      </c>
      <c r="CK600" t="s">
        <v>42</v>
      </c>
      <c r="CL600" t="s">
        <v>42</v>
      </c>
      <c r="CM600" t="s">
        <v>42</v>
      </c>
      <c r="CN600" t="s">
        <v>42</v>
      </c>
      <c r="CO600" t="s">
        <v>42</v>
      </c>
      <c r="CP600" t="s">
        <v>42</v>
      </c>
      <c r="CQ600" t="s">
        <v>42</v>
      </c>
      <c r="CR600" t="s">
        <v>42</v>
      </c>
      <c r="CS600" s="4" t="str">
        <f>HYPERLINK("http://exon.niaid.nih.gov/transcriptome/C_felis/S1/links/KOG/cf-contig_608-KOG.txt","E3 ubiquitin protein ligase")</f>
        <v>E3 ubiquitin protein ligase</v>
      </c>
      <c r="CT600" t="str">
        <f>HYPERLINK("http://www.ncbi.nlm.nih.gov/COG/grace/shokog.cgi?KOG0941","0.004")</f>
        <v>0.004</v>
      </c>
      <c r="CU600" t="s">
        <v>2198</v>
      </c>
      <c r="CV600" s="4" t="str">
        <f>HYPERLINK("http://exon.niaid.nih.gov/transcriptome/C_felis/S1/links/PFAM/cf-contig_608-PFAM.txt","Phytochelatin_C")</f>
        <v>Phytochelatin_C</v>
      </c>
      <c r="CW600" t="str">
        <f>HYPERLINK("http://pfam.sanger.ac.uk/family?acc=PF09328","0.031")</f>
        <v>0.031</v>
      </c>
      <c r="CX600" s="4" t="str">
        <f>HYPERLINK("http://exon.niaid.nih.gov/transcriptome/C_felis/S1/links/SMART/cf-contig_608-SMART.txt","HECTc")</f>
        <v>HECTc</v>
      </c>
      <c r="CY600" t="str">
        <f>HYPERLINK("http://smart.embl-heidelberg.de/smart/do_annotation.pl?DOMAIN=HECTc&amp;BLAST=DUMMY","4E-004")</f>
        <v>4E-004</v>
      </c>
      <c r="CZ600" s="4" t="s">
        <v>42</v>
      </c>
      <c r="DA600" t="s">
        <v>42</v>
      </c>
      <c r="DB600" t="s">
        <v>42</v>
      </c>
      <c r="DC600" t="s">
        <v>42</v>
      </c>
      <c r="DD600" t="s">
        <v>42</v>
      </c>
      <c r="DE600" t="s">
        <v>42</v>
      </c>
      <c r="DF600" t="s">
        <v>42</v>
      </c>
      <c r="DG600" t="s">
        <v>42</v>
      </c>
      <c r="DH600" s="4" t="s">
        <v>42</v>
      </c>
      <c r="DI600" t="s">
        <v>42</v>
      </c>
      <c r="DJ600" s="4" t="s">
        <v>42</v>
      </c>
      <c r="DK600" t="s">
        <v>42</v>
      </c>
      <c r="DL600" s="4">
        <v>494</v>
      </c>
      <c r="DM600">
        <v>1</v>
      </c>
      <c r="DN600" s="4">
        <v>506</v>
      </c>
      <c r="DO600">
        <v>1</v>
      </c>
      <c r="DP600" s="4">
        <v>516</v>
      </c>
      <c r="DQ600">
        <v>1</v>
      </c>
      <c r="DR600" s="4">
        <v>535</v>
      </c>
      <c r="DS600">
        <v>1</v>
      </c>
      <c r="DT600" s="4">
        <v>547</v>
      </c>
      <c r="DU600">
        <v>1</v>
      </c>
      <c r="DV600" s="4">
        <v>561</v>
      </c>
      <c r="DW600">
        <v>1</v>
      </c>
      <c r="DX600" s="4">
        <v>570</v>
      </c>
      <c r="DY600">
        <v>1</v>
      </c>
      <c r="DZ600" s="4">
        <v>578</v>
      </c>
      <c r="EA600">
        <v>1</v>
      </c>
      <c r="EB600" s="4">
        <v>583</v>
      </c>
      <c r="EC600">
        <v>1</v>
      </c>
      <c r="ED600" s="4">
        <v>587</v>
      </c>
      <c r="EE600">
        <v>1</v>
      </c>
      <c r="EF600" s="4">
        <v>593</v>
      </c>
      <c r="EG600">
        <v>1</v>
      </c>
      <c r="EH600" s="4">
        <v>601</v>
      </c>
      <c r="EI600">
        <v>1</v>
      </c>
      <c r="EJ600" s="4">
        <v>608</v>
      </c>
      <c r="EK600">
        <v>1</v>
      </c>
    </row>
    <row r="601" spans="1:141" x14ac:dyDescent="0.2">
      <c r="A601" t="str">
        <f>HYPERLINK("http://exon.niaid.nih.gov/transcriptome/C_felis/S1/links/cf/cf-contig_27.txt","cf-contig_27")</f>
        <v>cf-contig_27</v>
      </c>
      <c r="B601">
        <v>2</v>
      </c>
      <c r="C601" s="10" t="s">
        <v>4600</v>
      </c>
      <c r="D601">
        <v>2</v>
      </c>
      <c r="E601" t="str">
        <f>HYPERLINK("http://exon.niaid.nih.gov/transcriptome/C_felis/S1/links/cf/cf-5-36-asb-27.txt","Contig-27")</f>
        <v>Contig-27</v>
      </c>
      <c r="F601" t="str">
        <f>HYPERLINK("http://exon.niaid.nih.gov/transcriptome/C_felis/S1/links/cf/cf-5-36-27-CLU.txt","Contig27")</f>
        <v>Contig27</v>
      </c>
      <c r="G601" t="str">
        <f>HYPERLINK("http://exon.niaid.nih.gov/transcriptome/C_felis/S1/links/cf/cf-5-36-27-qual.txt","80.7")</f>
        <v>80.7</v>
      </c>
      <c r="H601" t="s">
        <v>11</v>
      </c>
      <c r="I601">
        <v>74.400000000000006</v>
      </c>
      <c r="J601">
        <v>180</v>
      </c>
      <c r="K601" t="s">
        <v>12</v>
      </c>
      <c r="L601">
        <v>2</v>
      </c>
      <c r="M601" t="s">
        <v>39</v>
      </c>
      <c r="N601">
        <v>196</v>
      </c>
      <c r="O601">
        <v>199</v>
      </c>
      <c r="P601">
        <v>114</v>
      </c>
      <c r="Q601" t="s">
        <v>849</v>
      </c>
      <c r="R601">
        <v>1</v>
      </c>
      <c r="S601" s="7" t="s">
        <v>4585</v>
      </c>
      <c r="U601">
        <v>2</v>
      </c>
      <c r="V601" s="4">
        <f>HYPERLINK("http://exon.niaid.nih.gov/transcriptome/C_felis/S1/links/cluster/cf-5-36-asb30-50-Id-CLU1.txt", 1)</f>
        <v>1</v>
      </c>
      <c r="W601">
        <f>HYPERLINK("http://exon.niaid.nih.gov/transcriptome/C_felis/S1/links/cluster/cf-5-36-asb30-50-Id-CLTL1.txt", 14)</f>
        <v>14</v>
      </c>
      <c r="X601" s="4">
        <f>HYPERLINK("http://exon.niaid.nih.gov/transcriptome/C_felis/S1/links/cluster/cf-5-36-asb35-50-Id-CLU2.txt", 2)</f>
        <v>2</v>
      </c>
      <c r="Y601">
        <f>HYPERLINK("http://exon.niaid.nih.gov/transcriptome/C_felis/S1/links/cluster/cf-5-36-asb35-50-Id-CLTL2.txt", 9)</f>
        <v>9</v>
      </c>
      <c r="Z601" s="4">
        <f>HYPERLINK("http://exon.niaid.nih.gov/transcriptome/C_felis/S1/links/cluster/cf-5-36-asb40-50-Id-CLU2.txt", 2)</f>
        <v>2</v>
      </c>
      <c r="AA601">
        <f>HYPERLINK("http://exon.niaid.nih.gov/transcriptome/C_felis/S1/links/cluster/cf-5-36-asb40-50-Id-CLTL2.txt", 7)</f>
        <v>7</v>
      </c>
      <c r="AB601" s="4" t="str">
        <f>HYPERLINK("http://exon.niaid.nih.gov/transcriptome/C_felis/S1/links/XC-ASB/cf-contig_27-XC-ASB.txt","XC-contig_77")</f>
        <v>XC-contig_77</v>
      </c>
      <c r="AC601">
        <v>0.55000000000000004</v>
      </c>
      <c r="AD601" s="10" t="s">
        <v>4600</v>
      </c>
      <c r="AE601" t="s">
        <v>4601</v>
      </c>
      <c r="AI601" s="4" t="str">
        <f>HYPERLINK("http://exon.niaid.nih.gov/transcriptome/C_felis/S1/links/NR/cf-contig_27-NR.txt","kek1")</f>
        <v>kek1</v>
      </c>
      <c r="AJ601" t="str">
        <f>HYPERLINK("http://www.ncbi.nlm.nih.gov/sutils/blink.cgi?pid=170029919","9.5")</f>
        <v>9.5</v>
      </c>
      <c r="AK601" t="str">
        <f>HYPERLINK("http://www.ncbi.nlm.nih.gov/protein/170029919","gi|170029919")</f>
        <v>gi|170029919</v>
      </c>
      <c r="AL601">
        <v>33.9</v>
      </c>
      <c r="AM601">
        <v>44</v>
      </c>
      <c r="AN601">
        <v>832</v>
      </c>
      <c r="AO601">
        <v>31</v>
      </c>
      <c r="AP601">
        <v>5</v>
      </c>
      <c r="AQ601">
        <v>31</v>
      </c>
      <c r="AR601">
        <v>0</v>
      </c>
      <c r="AS601">
        <v>133</v>
      </c>
      <c r="AT601">
        <v>23</v>
      </c>
      <c r="AU601">
        <v>1</v>
      </c>
      <c r="AV601">
        <v>-1</v>
      </c>
      <c r="AW601" t="s">
        <v>12</v>
      </c>
      <c r="AY601" t="s">
        <v>1666</v>
      </c>
      <c r="AZ601" t="s">
        <v>1769</v>
      </c>
      <c r="BA601" s="4" t="str">
        <f>HYPERLINK("http://exon.niaid.nih.gov/transcriptome/C_felis/S1/links/SWISSP/cf-contig_27-SWISSP.txt","Probable tRNA threonylcarbamoyladenosine biosynthesis protein Gcp")</f>
        <v>Probable tRNA threonylcarbamoyladenosine biosynthesis protein Gcp</v>
      </c>
      <c r="BB601" t="str">
        <f>HYPERLINK("http://www.uniprot.org/uniprot/Q68XR3","2.1")</f>
        <v>2.1</v>
      </c>
      <c r="BC601" t="s">
        <v>1770</v>
      </c>
      <c r="BD601">
        <v>31.2</v>
      </c>
      <c r="BE601">
        <v>34</v>
      </c>
      <c r="BF601">
        <v>387</v>
      </c>
      <c r="BG601">
        <v>37</v>
      </c>
      <c r="BH601">
        <v>9</v>
      </c>
      <c r="BI601">
        <v>22</v>
      </c>
      <c r="BJ601">
        <v>0</v>
      </c>
      <c r="BK601">
        <v>256</v>
      </c>
      <c r="BL601">
        <v>14</v>
      </c>
      <c r="BM601">
        <v>1</v>
      </c>
      <c r="BN601">
        <v>-1</v>
      </c>
      <c r="BO601" t="s">
        <v>12</v>
      </c>
      <c r="BQ601" t="s">
        <v>1666</v>
      </c>
      <c r="BR601" t="s">
        <v>1771</v>
      </c>
      <c r="BS601" s="4" t="str">
        <f>HYPERLINK("http://exon.niaid.nih.gov/transcriptome/C_felis/S1/links/CDD/cf-contig_27-CDD.txt","PHA03031")</f>
        <v>PHA03031</v>
      </c>
      <c r="BT601" t="str">
        <f>HYPERLINK("http://www.ncbi.nlm.nih.gov/Structure/cdd/cddsrv.cgi?uid=PHA03031&amp;version=v4.0","0.21")</f>
        <v>0.21</v>
      </c>
      <c r="BU601" t="s">
        <v>1772</v>
      </c>
      <c r="BV601" s="4" t="s">
        <v>42</v>
      </c>
      <c r="BW601" t="s">
        <v>42</v>
      </c>
      <c r="BX601" t="s">
        <v>42</v>
      </c>
      <c r="BY601" t="s">
        <v>42</v>
      </c>
      <c r="BZ601" t="s">
        <v>42</v>
      </c>
      <c r="CA601" t="s">
        <v>42</v>
      </c>
      <c r="CB601" t="s">
        <v>42</v>
      </c>
      <c r="CC601" t="s">
        <v>42</v>
      </c>
      <c r="CD601" t="s">
        <v>42</v>
      </c>
      <c r="CE601" t="s">
        <v>42</v>
      </c>
      <c r="CF601" t="s">
        <v>42</v>
      </c>
      <c r="CG601" t="s">
        <v>42</v>
      </c>
      <c r="CH601" t="s">
        <v>42</v>
      </c>
      <c r="CI601" t="s">
        <v>42</v>
      </c>
      <c r="CJ601" t="s">
        <v>42</v>
      </c>
      <c r="CK601" t="s">
        <v>42</v>
      </c>
      <c r="CL601" t="s">
        <v>42</v>
      </c>
      <c r="CM601" t="s">
        <v>42</v>
      </c>
      <c r="CN601" t="s">
        <v>42</v>
      </c>
      <c r="CO601" t="s">
        <v>42</v>
      </c>
      <c r="CP601" t="s">
        <v>42</v>
      </c>
      <c r="CQ601" t="s">
        <v>42</v>
      </c>
      <c r="CR601" t="s">
        <v>42</v>
      </c>
      <c r="CS601" s="4" t="str">
        <f>HYPERLINK("http://exon.niaid.nih.gov/transcriptome/C_felis/S1/links/KOG/cf-contig_27-KOG.txt","Transmembrane protein")</f>
        <v>Transmembrane protein</v>
      </c>
      <c r="CT601" t="str">
        <f>HYPERLINK("http://www.ncbi.nlm.nih.gov/COG/grace/shokog.cgi?KOG2489","1.7")</f>
        <v>1.7</v>
      </c>
      <c r="CU601" t="s">
        <v>1721</v>
      </c>
      <c r="CV601" s="4" t="str">
        <f>HYPERLINK("http://exon.niaid.nih.gov/transcriptome/C_felis/S1/links/PFAM/cf-contig_27-PFAM.txt","7TM_GPCR_Srw")</f>
        <v>7TM_GPCR_Srw</v>
      </c>
      <c r="CW601" t="str">
        <f>HYPERLINK("http://pfam.sanger.ac.uk/family?acc=PF10324","0.047")</f>
        <v>0.047</v>
      </c>
      <c r="CX601" s="4" t="str">
        <f>HYPERLINK("http://exon.niaid.nih.gov/transcriptome/C_felis/S1/links/SMART/cf-contig_27-SMART.txt","Brr6_like_C_C")</f>
        <v>Brr6_like_C_C</v>
      </c>
      <c r="CY601" t="str">
        <f>HYPERLINK("http://smart.embl-heidelberg.de/smart/do_annotation.pl?DOMAIN=Brr6_like_C_C&amp;BLAST=DUMMY","0.22")</f>
        <v>0.22</v>
      </c>
      <c r="CZ601" s="4" t="s">
        <v>42</v>
      </c>
      <c r="DA601" t="s">
        <v>42</v>
      </c>
      <c r="DB601" t="s">
        <v>42</v>
      </c>
      <c r="DC601" t="s">
        <v>42</v>
      </c>
      <c r="DD601" t="s">
        <v>42</v>
      </c>
      <c r="DE601" t="s">
        <v>42</v>
      </c>
      <c r="DF601" t="s">
        <v>42</v>
      </c>
      <c r="DG601" t="s">
        <v>42</v>
      </c>
      <c r="DH601" s="4" t="s">
        <v>42</v>
      </c>
      <c r="DI601" t="s">
        <v>42</v>
      </c>
      <c r="DJ601" s="4" t="s">
        <v>42</v>
      </c>
      <c r="DK601" t="s">
        <v>42</v>
      </c>
      <c r="DL601" s="4">
        <f>HYPERLINK("http://exon.niaid.nih.gov/transcriptome/C_felis/S1/links/cluster/cf-5-36-asb30-50-Id-CLU1.txt", 1)</f>
        <v>1</v>
      </c>
      <c r="DM601">
        <f>HYPERLINK("http://exon.niaid.nih.gov/transcriptome/C_felis/S1/links/cluster/cf-5-36-asb30-50-Id-CLTL1.txt", 14)</f>
        <v>14</v>
      </c>
      <c r="DN601" s="4">
        <f>HYPERLINK("http://exon.niaid.nih.gov/transcriptome/C_felis/S1/links/cluster/cf-5-36-asb35-50-Id-CLU2.txt", 2)</f>
        <v>2</v>
      </c>
      <c r="DO601">
        <f>HYPERLINK("http://exon.niaid.nih.gov/transcriptome/C_felis/S1/links/cluster/cf-5-36-asb35-50-Id-CLTL2.txt", 9)</f>
        <v>9</v>
      </c>
      <c r="DP601" s="4">
        <f>HYPERLINK("http://exon.niaid.nih.gov/transcriptome/C_felis/S1/links/cluster/cf-5-36-asb40-50-Id-CLU2.txt", 2)</f>
        <v>2</v>
      </c>
      <c r="DQ601">
        <f>HYPERLINK("http://exon.niaid.nih.gov/transcriptome/C_felis/S1/links/cluster/cf-5-36-asb40-50-Id-CLTL2.txt", 7)</f>
        <v>7</v>
      </c>
      <c r="DR601" s="4">
        <f>HYPERLINK("http://exon.niaid.nih.gov/transcriptome/C_felis/S1/links/cluster/cf-5-36-asb45-50-Id-CLU2.txt", 2)</f>
        <v>2</v>
      </c>
      <c r="DS601">
        <f>HYPERLINK("http://exon.niaid.nih.gov/transcriptome/C_felis/S1/links/cluster/cf-5-36-asb45-50-Id-CLTL2.txt", 6)</f>
        <v>6</v>
      </c>
      <c r="DT601" s="4">
        <f>HYPERLINK("http://exon.niaid.nih.gov/transcriptome/C_felis/S1/links/cluster/cf-5-36-asb50-50-Id-CLU2.txt", 2)</f>
        <v>2</v>
      </c>
      <c r="DU601">
        <f>HYPERLINK("http://exon.niaid.nih.gov/transcriptome/C_felis/S1/links/cluster/cf-5-36-asb50-50-Id-CLTL2.txt", 6)</f>
        <v>6</v>
      </c>
      <c r="DV601" s="4">
        <f>HYPERLINK("http://exon.niaid.nih.gov/transcriptome/C_felis/S1/links/cluster/cf-5-36-asb55-50-Id-CLU2.txt", 2)</f>
        <v>2</v>
      </c>
      <c r="DW601">
        <f>HYPERLINK("http://exon.niaid.nih.gov/transcriptome/C_felis/S1/links/cluster/cf-5-36-asb55-50-Id-CLTL2.txt", 4)</f>
        <v>4</v>
      </c>
      <c r="DX601" s="4">
        <v>57</v>
      </c>
      <c r="DY601">
        <v>1</v>
      </c>
      <c r="DZ601" s="4">
        <v>52</v>
      </c>
      <c r="EA601">
        <v>1</v>
      </c>
      <c r="EB601" s="4">
        <v>50</v>
      </c>
      <c r="EC601">
        <v>1</v>
      </c>
      <c r="ED601" s="4">
        <v>50</v>
      </c>
      <c r="EE601">
        <v>1</v>
      </c>
      <c r="EF601" s="4">
        <v>44</v>
      </c>
      <c r="EG601">
        <v>1</v>
      </c>
      <c r="EH601" s="4">
        <v>32</v>
      </c>
      <c r="EI601">
        <v>1</v>
      </c>
      <c r="EJ601" s="4">
        <v>27</v>
      </c>
      <c r="EK601">
        <v>1</v>
      </c>
    </row>
    <row r="602" spans="1:141" x14ac:dyDescent="0.2">
      <c r="A602" t="str">
        <f>HYPERLINK("http://exon.niaid.nih.gov/transcriptome/C_felis/S1/links/cf/cf-contig_551.txt","cf-contig_551")</f>
        <v>cf-contig_551</v>
      </c>
      <c r="B602">
        <v>1</v>
      </c>
      <c r="C602" s="10" t="s">
        <v>4600</v>
      </c>
      <c r="D602">
        <v>1</v>
      </c>
      <c r="E602" t="str">
        <f>HYPERLINK("http://exon.niaid.nih.gov/transcriptome/C_felis/S1/links/cf/cf-5-36-asb-551.txt","Contig-551")</f>
        <v>Contig-551</v>
      </c>
      <c r="F602" t="str">
        <f>HYPERLINK("http://exon.niaid.nih.gov/transcriptome/C_felis/S1/links/cf/cf-5-36-551-CLU.txt","Contig551")</f>
        <v>Contig551</v>
      </c>
      <c r="G602" t="str">
        <f>HYPERLINK("http://exon.niaid.nih.gov/transcriptome/C_felis/S1/links/cf/cf-5-36-551-qual.txt","59.2")</f>
        <v>59.2</v>
      </c>
      <c r="H602" t="s">
        <v>11</v>
      </c>
      <c r="I602">
        <v>72.599999999999994</v>
      </c>
      <c r="J602">
        <v>346</v>
      </c>
      <c r="K602" t="s">
        <v>12</v>
      </c>
      <c r="L602">
        <v>1</v>
      </c>
      <c r="M602" t="s">
        <v>564</v>
      </c>
      <c r="N602">
        <v>346</v>
      </c>
      <c r="O602">
        <v>365</v>
      </c>
      <c r="P602">
        <v>189</v>
      </c>
      <c r="Q602" t="s">
        <v>1370</v>
      </c>
      <c r="R602">
        <v>1</v>
      </c>
      <c r="S602" s="7" t="s">
        <v>4585</v>
      </c>
      <c r="U602">
        <v>1</v>
      </c>
      <c r="V602" s="4">
        <v>450</v>
      </c>
      <c r="W602">
        <v>1</v>
      </c>
      <c r="X602" s="4">
        <v>460</v>
      </c>
      <c r="Y602">
        <v>1</v>
      </c>
      <c r="Z602" s="4">
        <v>466</v>
      </c>
      <c r="AA602">
        <v>1</v>
      </c>
      <c r="AB602" s="4" t="str">
        <f>HYPERLINK("http://exon.niaid.nih.gov/transcriptome/C_felis/S1/links/XC-ASB/cf-contig_551-XC-ASB.txt","XC-contig_174")</f>
        <v>XC-contig_174</v>
      </c>
      <c r="AC602">
        <v>4.4999999999999998E-2</v>
      </c>
      <c r="AD602" s="10" t="s">
        <v>4600</v>
      </c>
      <c r="AE602" t="s">
        <v>4601</v>
      </c>
      <c r="AI602" s="4" t="str">
        <f>HYPERLINK("http://exon.niaid.nih.gov/transcriptome/C_felis/S1/links/NR/cf-contig_551-NR.txt","rabenosyn-5")</f>
        <v>rabenosyn-5</v>
      </c>
      <c r="AJ602" t="str">
        <f>HYPERLINK("http://www.ncbi.nlm.nih.gov/sutils/blink.cgi?pid=170035065","0.004")</f>
        <v>0.004</v>
      </c>
      <c r="AK602" t="str">
        <f>HYPERLINK("http://www.ncbi.nlm.nih.gov/protein/170035065","gi|170035065")</f>
        <v>gi|170035065</v>
      </c>
      <c r="AL602">
        <v>45.1</v>
      </c>
      <c r="AM602">
        <v>28</v>
      </c>
      <c r="AN602">
        <v>514</v>
      </c>
      <c r="AO602">
        <v>72</v>
      </c>
      <c r="AP602">
        <v>6</v>
      </c>
      <c r="AQ602">
        <v>8</v>
      </c>
      <c r="AR602">
        <v>0</v>
      </c>
      <c r="AS602">
        <v>474</v>
      </c>
      <c r="AT602">
        <v>33</v>
      </c>
      <c r="AU602">
        <v>1</v>
      </c>
      <c r="AV602">
        <v>3</v>
      </c>
      <c r="AW602" t="s">
        <v>12</v>
      </c>
      <c r="AY602" t="s">
        <v>1676</v>
      </c>
      <c r="AZ602" t="s">
        <v>1769</v>
      </c>
      <c r="BA602" s="4" t="str">
        <f>HYPERLINK("http://exon.niaid.nih.gov/transcriptome/C_felis/S1/links/SWISSP/cf-contig_551-SWISSP.txt","Ribosomal RNA small subunit methyltransferase A")</f>
        <v>Ribosomal RNA small subunit methyltransferase A</v>
      </c>
      <c r="BB602" t="str">
        <f>HYPERLINK("http://www.uniprot.org/uniprot/Q8KA00","6.2")</f>
        <v>6.2</v>
      </c>
      <c r="BC602" t="s">
        <v>3684</v>
      </c>
      <c r="BD602">
        <v>29.6</v>
      </c>
      <c r="BE602">
        <v>60</v>
      </c>
      <c r="BF602">
        <v>274</v>
      </c>
      <c r="BG602">
        <v>31</v>
      </c>
      <c r="BH602">
        <v>22</v>
      </c>
      <c r="BI602">
        <v>42</v>
      </c>
      <c r="BJ602">
        <v>1</v>
      </c>
      <c r="BK602">
        <v>69</v>
      </c>
      <c r="BL602">
        <v>154</v>
      </c>
      <c r="BM602">
        <v>1</v>
      </c>
      <c r="BN602">
        <v>1</v>
      </c>
      <c r="BO602" t="s">
        <v>12</v>
      </c>
      <c r="BQ602" t="s">
        <v>1676</v>
      </c>
      <c r="BR602" t="s">
        <v>2200</v>
      </c>
      <c r="BS602" s="4" t="str">
        <f>HYPERLINK("http://exon.niaid.nih.gov/transcriptome/C_felis/S1/links/CDD/cf-contig_551-CDD.txt","Rbsn")</f>
        <v>Rbsn</v>
      </c>
      <c r="BT602" t="str">
        <f>HYPERLINK("http://www.ncbi.nlm.nih.gov/Structure/cdd/cddsrv.cgi?uid=pfam11464&amp;version=v4.0","3E-006")</f>
        <v>3E-006</v>
      </c>
      <c r="BU602" t="s">
        <v>3685</v>
      </c>
      <c r="BV602" s="4" t="s">
        <v>42</v>
      </c>
      <c r="BW602" t="s">
        <v>42</v>
      </c>
      <c r="BX602" t="s">
        <v>42</v>
      </c>
      <c r="BY602" t="s">
        <v>42</v>
      </c>
      <c r="BZ602" t="s">
        <v>42</v>
      </c>
      <c r="CA602" t="s">
        <v>42</v>
      </c>
      <c r="CB602" t="s">
        <v>42</v>
      </c>
      <c r="CC602" t="s">
        <v>42</v>
      </c>
      <c r="CD602" t="s">
        <v>42</v>
      </c>
      <c r="CE602" t="s">
        <v>42</v>
      </c>
      <c r="CF602" t="s">
        <v>42</v>
      </c>
      <c r="CG602" t="s">
        <v>42</v>
      </c>
      <c r="CH602" t="s">
        <v>42</v>
      </c>
      <c r="CI602" t="s">
        <v>42</v>
      </c>
      <c r="CJ602" t="s">
        <v>42</v>
      </c>
      <c r="CK602" t="s">
        <v>42</v>
      </c>
      <c r="CL602" t="s">
        <v>42</v>
      </c>
      <c r="CM602" t="s">
        <v>42</v>
      </c>
      <c r="CN602" t="s">
        <v>42</v>
      </c>
      <c r="CO602" t="s">
        <v>42</v>
      </c>
      <c r="CP602" t="s">
        <v>42</v>
      </c>
      <c r="CQ602" t="s">
        <v>42</v>
      </c>
      <c r="CR602" t="s">
        <v>42</v>
      </c>
      <c r="CS602" s="4" t="str">
        <f>HYPERLINK("http://exon.niaid.nih.gov/transcriptome/C_felis/S1/links/KOG/cf-contig_551-KOG.txt","FYVE finger-containing protein")</f>
        <v>FYVE finger-containing protein</v>
      </c>
      <c r="CT602" t="str">
        <f>HYPERLINK("http://www.ncbi.nlm.nih.gov/COG/grace/shokog.cgi?KOG1842","2E-004")</f>
        <v>2E-004</v>
      </c>
      <c r="CU602" t="s">
        <v>1721</v>
      </c>
      <c r="CV602" s="4" t="str">
        <f>HYPERLINK("http://exon.niaid.nih.gov/transcriptome/C_felis/S1/links/PFAM/cf-contig_551-PFAM.txt","Rbsn")</f>
        <v>Rbsn</v>
      </c>
      <c r="CW602" t="str">
        <f>HYPERLINK("http://pfam.sanger.ac.uk/family?acc=PF11464","7E-007")</f>
        <v>7E-007</v>
      </c>
      <c r="CX602" s="4" t="str">
        <f>HYPERLINK("http://exon.niaid.nih.gov/transcriptome/C_felis/S1/links/SMART/cf-contig_551-SMART.txt","AgrB")</f>
        <v>AgrB</v>
      </c>
      <c r="CY602" t="str">
        <f>HYPERLINK("http://smart.embl-heidelberg.de/smart/do_annotation.pl?DOMAIN=AgrB&amp;BLAST=DUMMY","0.031")</f>
        <v>0.031</v>
      </c>
      <c r="CZ602" s="4" t="s">
        <v>42</v>
      </c>
      <c r="DA602" t="s">
        <v>42</v>
      </c>
      <c r="DB602" t="s">
        <v>42</v>
      </c>
      <c r="DC602" t="s">
        <v>42</v>
      </c>
      <c r="DD602" t="s">
        <v>42</v>
      </c>
      <c r="DE602" t="s">
        <v>42</v>
      </c>
      <c r="DF602" t="s">
        <v>42</v>
      </c>
      <c r="DG602" t="s">
        <v>42</v>
      </c>
      <c r="DH602" s="4" t="s">
        <v>42</v>
      </c>
      <c r="DI602" t="s">
        <v>42</v>
      </c>
      <c r="DJ602" s="4" t="s">
        <v>42</v>
      </c>
      <c r="DK602" t="s">
        <v>42</v>
      </c>
      <c r="DL602" s="4">
        <v>450</v>
      </c>
      <c r="DM602">
        <v>1</v>
      </c>
      <c r="DN602" s="4">
        <v>460</v>
      </c>
      <c r="DO602">
        <v>1</v>
      </c>
      <c r="DP602" s="4">
        <v>466</v>
      </c>
      <c r="DQ602">
        <v>1</v>
      </c>
      <c r="DR602" s="4">
        <v>481</v>
      </c>
      <c r="DS602">
        <v>1</v>
      </c>
      <c r="DT602" s="4">
        <v>493</v>
      </c>
      <c r="DU602">
        <v>1</v>
      </c>
      <c r="DV602" s="4">
        <v>507</v>
      </c>
      <c r="DW602">
        <v>1</v>
      </c>
      <c r="DX602" s="4">
        <v>515</v>
      </c>
      <c r="DY602">
        <v>1</v>
      </c>
      <c r="DZ602" s="4">
        <v>523</v>
      </c>
      <c r="EA602">
        <v>1</v>
      </c>
      <c r="EB602" s="4">
        <v>528</v>
      </c>
      <c r="EC602">
        <v>1</v>
      </c>
      <c r="ED602" s="4">
        <v>532</v>
      </c>
      <c r="EE602">
        <v>1</v>
      </c>
      <c r="EF602" s="4">
        <v>537</v>
      </c>
      <c r="EG602">
        <v>1</v>
      </c>
      <c r="EH602" s="4">
        <v>544</v>
      </c>
      <c r="EI602">
        <v>1</v>
      </c>
      <c r="EJ602" s="4">
        <v>551</v>
      </c>
      <c r="EK602">
        <v>1</v>
      </c>
    </row>
    <row r="603" spans="1:141" x14ac:dyDescent="0.2">
      <c r="A603" t="str">
        <f>HYPERLINK("http://exon.niaid.nih.gov/transcriptome/C_felis/S1/links/cf/cf-contig_92.txt","cf-contig_92")</f>
        <v>cf-contig_92</v>
      </c>
      <c r="B603">
        <v>8</v>
      </c>
      <c r="C603" s="10" t="s">
        <v>4600</v>
      </c>
      <c r="D603">
        <v>8</v>
      </c>
      <c r="E603" t="str">
        <f>HYPERLINK("http://exon.niaid.nih.gov/transcriptome/C_felis/S1/links/cf/cf-5-36-asb-92.txt","Contig-92")</f>
        <v>Contig-92</v>
      </c>
      <c r="F603" t="str">
        <f>HYPERLINK("http://exon.niaid.nih.gov/transcriptome/C_felis/S1/links/cf/cf-5-36-92-CLU.txt","Contig92")</f>
        <v>Contig92</v>
      </c>
      <c r="G603" t="str">
        <f>HYPERLINK("http://exon.niaid.nih.gov/transcriptome/C_felis/S1/links/cf/cf-5-36-92-qual.txt","90.3")</f>
        <v>90.3</v>
      </c>
      <c r="H603" t="s">
        <v>11</v>
      </c>
      <c r="I603">
        <v>76.3</v>
      </c>
      <c r="J603">
        <v>293</v>
      </c>
      <c r="K603" t="s">
        <v>12</v>
      </c>
      <c r="L603">
        <v>8</v>
      </c>
      <c r="M603" t="s">
        <v>105</v>
      </c>
      <c r="N603">
        <v>315</v>
      </c>
      <c r="O603">
        <v>312</v>
      </c>
      <c r="P603">
        <v>141</v>
      </c>
      <c r="Q603" t="s">
        <v>912</v>
      </c>
      <c r="R603">
        <v>2</v>
      </c>
      <c r="S603" s="7" t="s">
        <v>4585</v>
      </c>
      <c r="U603">
        <v>8</v>
      </c>
      <c r="V603" s="4">
        <f>HYPERLINK("http://exon.niaid.nih.gov/transcriptome/C_felis/S1/links/cluster/cf-5-36-asb30-50-Id-CLU37.txt", 37)</f>
        <v>37</v>
      </c>
      <c r="W603">
        <f>HYPERLINK("http://exon.niaid.nih.gov/transcriptome/C_felis/S1/links/cluster/cf-5-36-asb30-50-Id-CLTL37.txt", 2)</f>
        <v>2</v>
      </c>
      <c r="X603" s="4">
        <f>HYPERLINK("http://exon.niaid.nih.gov/transcriptome/C_felis/S1/links/cluster/cf-5-36-asb35-50-Id-CLU30.txt", 30)</f>
        <v>30</v>
      </c>
      <c r="Y603">
        <f>HYPERLINK("http://exon.niaid.nih.gov/transcriptome/C_felis/S1/links/cluster/cf-5-36-asb35-50-Id-CLTL30.txt", 2)</f>
        <v>2</v>
      </c>
      <c r="Z603" s="4">
        <f>HYPERLINK("http://exon.niaid.nih.gov/transcriptome/C_felis/S1/links/cluster/cf-5-36-asb40-50-Id-CLU28.txt", 28)</f>
        <v>28</v>
      </c>
      <c r="AA603">
        <f>HYPERLINK("http://exon.niaid.nih.gov/transcriptome/C_felis/S1/links/cluster/cf-5-36-asb40-50-Id-CLTL28.txt", 2)</f>
        <v>2</v>
      </c>
      <c r="AB603" s="4" t="str">
        <f>HYPERLINK("http://exon.niaid.nih.gov/transcriptome/C_felis/S1/links/XC-ASB/cf-contig_92-XC-ASB.txt","XC-contig_57")</f>
        <v>XC-contig_57</v>
      </c>
      <c r="AC603">
        <v>3.0000000000000001E-3</v>
      </c>
      <c r="AD603" s="10" t="s">
        <v>4600</v>
      </c>
      <c r="AE603" t="s">
        <v>4601</v>
      </c>
      <c r="AI603" s="4" t="str">
        <f>HYPERLINK("http://exon.niaid.nih.gov/transcriptome/C_felis/S1/links/NR/cf-contig_92-NR.txt","hypothetical protein")</f>
        <v>hypothetical protein</v>
      </c>
      <c r="AJ603" t="str">
        <f>HYPERLINK("http://www.ncbi.nlm.nih.gov/sutils/blink.cgi?pid=321268762","2.5")</f>
        <v>2.5</v>
      </c>
      <c r="AK603" t="str">
        <f>HYPERLINK("http://www.ncbi.nlm.nih.gov/protein/321268762","gi|321268762")</f>
        <v>gi|321268762</v>
      </c>
      <c r="AL603">
        <v>35.799999999999997</v>
      </c>
      <c r="AM603">
        <v>51</v>
      </c>
      <c r="AN603">
        <v>344</v>
      </c>
      <c r="AO603">
        <v>36</v>
      </c>
      <c r="AP603">
        <v>15</v>
      </c>
      <c r="AQ603">
        <v>33</v>
      </c>
      <c r="AR603">
        <v>6</v>
      </c>
      <c r="AS603">
        <v>149</v>
      </c>
      <c r="AT603">
        <v>153</v>
      </c>
      <c r="AU603">
        <v>1</v>
      </c>
      <c r="AV603">
        <v>-2</v>
      </c>
      <c r="AW603" t="s">
        <v>12</v>
      </c>
      <c r="AX603">
        <v>3.9220000000000002</v>
      </c>
      <c r="AY603" t="s">
        <v>1666</v>
      </c>
      <c r="AZ603" t="s">
        <v>2017</v>
      </c>
      <c r="BA603" s="4" t="str">
        <f>HYPERLINK("http://exon.niaid.nih.gov/transcriptome/C_felis/S1/links/SWISSP/cf-contig_92-SWISSP.txt","Maturase K")</f>
        <v>Maturase K</v>
      </c>
      <c r="BB603" t="str">
        <f>HYPERLINK("http://www.uniprot.org/uniprot/Q6PP79","2.8")</f>
        <v>2.8</v>
      </c>
      <c r="BC603" t="s">
        <v>2018</v>
      </c>
      <c r="BD603">
        <v>30.8</v>
      </c>
      <c r="BE603">
        <v>80</v>
      </c>
      <c r="BF603">
        <v>504</v>
      </c>
      <c r="BG603">
        <v>27</v>
      </c>
      <c r="BH603">
        <v>16</v>
      </c>
      <c r="BI603">
        <v>61</v>
      </c>
      <c r="BJ603">
        <v>4</v>
      </c>
      <c r="BK603">
        <v>208</v>
      </c>
      <c r="BL603">
        <v>43</v>
      </c>
      <c r="BM603">
        <v>1</v>
      </c>
      <c r="BN603">
        <v>-1</v>
      </c>
      <c r="BO603" t="s">
        <v>12</v>
      </c>
      <c r="BP603">
        <v>3.75</v>
      </c>
      <c r="BQ603" t="s">
        <v>1666</v>
      </c>
      <c r="BR603" t="s">
        <v>2019</v>
      </c>
      <c r="BS603" s="4" t="str">
        <f>HYPERLINK("http://exon.niaid.nih.gov/transcriptome/C_felis/S1/links/CDD/cf-contig_92-CDD.txt","ND5")</f>
        <v>ND5</v>
      </c>
      <c r="BT603" t="str">
        <f>HYPERLINK("http://www.ncbi.nlm.nih.gov/Structure/cdd/cddsrv.cgi?uid=MTH00095&amp;version=v4.0","0.012")</f>
        <v>0.012</v>
      </c>
      <c r="BU603" t="s">
        <v>2020</v>
      </c>
      <c r="BV603" s="4" t="s">
        <v>42</v>
      </c>
      <c r="BW603" t="s">
        <v>42</v>
      </c>
      <c r="BX603" t="s">
        <v>42</v>
      </c>
      <c r="BY603" t="s">
        <v>42</v>
      </c>
      <c r="BZ603" t="s">
        <v>42</v>
      </c>
      <c r="CA603" t="s">
        <v>42</v>
      </c>
      <c r="CB603" t="s">
        <v>42</v>
      </c>
      <c r="CC603" t="s">
        <v>42</v>
      </c>
      <c r="CD603" t="s">
        <v>42</v>
      </c>
      <c r="CE603" t="s">
        <v>42</v>
      </c>
      <c r="CF603" t="s">
        <v>42</v>
      </c>
      <c r="CG603" t="s">
        <v>42</v>
      </c>
      <c r="CH603" t="s">
        <v>42</v>
      </c>
      <c r="CI603" t="s">
        <v>42</v>
      </c>
      <c r="CJ603" t="s">
        <v>42</v>
      </c>
      <c r="CK603" t="s">
        <v>42</v>
      </c>
      <c r="CL603" t="s">
        <v>42</v>
      </c>
      <c r="CM603" t="s">
        <v>42</v>
      </c>
      <c r="CN603" t="s">
        <v>42</v>
      </c>
      <c r="CO603" t="s">
        <v>42</v>
      </c>
      <c r="CP603" t="s">
        <v>42</v>
      </c>
      <c r="CQ603" t="s">
        <v>42</v>
      </c>
      <c r="CR603" t="s">
        <v>42</v>
      </c>
      <c r="CS603" s="4" t="str">
        <f>HYPERLINK("http://exon.niaid.nih.gov/transcriptome/C_felis/S1/links/KOG/cf-contig_92-KOG.txt","MAPK-activating protein DENN")</f>
        <v>MAPK-activating protein DENN</v>
      </c>
      <c r="CT603" t="str">
        <f>HYPERLINK("http://www.ncbi.nlm.nih.gov/COG/grace/shokog.cgi?KOG3570","0.19")</f>
        <v>0.19</v>
      </c>
      <c r="CU603" t="s">
        <v>1780</v>
      </c>
      <c r="CV603" s="4" t="str">
        <f>HYPERLINK("http://exon.niaid.nih.gov/transcriptome/C_felis/S1/links/PFAM/cf-contig_92-PFAM.txt","DUF70")</f>
        <v>DUF70</v>
      </c>
      <c r="CW603" t="str">
        <f>HYPERLINK("http://pfam.sanger.ac.uk/family?acc=PF01901","0.023")</f>
        <v>0.023</v>
      </c>
      <c r="CX603" s="4" t="str">
        <f>HYPERLINK("http://exon.niaid.nih.gov/transcriptome/C_felis/S1/links/SMART/cf-contig_92-SMART.txt","BAH")</f>
        <v>BAH</v>
      </c>
      <c r="CY603" t="str">
        <f>HYPERLINK("http://smart.embl-heidelberg.de/smart/do_annotation.pl?DOMAIN=BAH&amp;BLAST=DUMMY","0.051")</f>
        <v>0.051</v>
      </c>
      <c r="CZ603" s="4" t="s">
        <v>42</v>
      </c>
      <c r="DA603" t="s">
        <v>42</v>
      </c>
      <c r="DB603" t="s">
        <v>42</v>
      </c>
      <c r="DC603" t="s">
        <v>42</v>
      </c>
      <c r="DD603" t="s">
        <v>42</v>
      </c>
      <c r="DE603" t="s">
        <v>42</v>
      </c>
      <c r="DF603" t="s">
        <v>42</v>
      </c>
      <c r="DG603" t="s">
        <v>42</v>
      </c>
      <c r="DH603" s="4" t="s">
        <v>42</v>
      </c>
      <c r="DI603" t="s">
        <v>42</v>
      </c>
      <c r="DJ603" s="4" t="s">
        <v>42</v>
      </c>
      <c r="DK603" t="s">
        <v>42</v>
      </c>
      <c r="DL603" s="4">
        <f>HYPERLINK("http://exon.niaid.nih.gov/transcriptome/C_felis/S1/links/cluster/cf-5-36-asb30-50-Id-CLU37.txt", 37)</f>
        <v>37</v>
      </c>
      <c r="DM603">
        <f>HYPERLINK("http://exon.niaid.nih.gov/transcriptome/C_felis/S1/links/cluster/cf-5-36-asb30-50-Id-CLTL37.txt", 2)</f>
        <v>2</v>
      </c>
      <c r="DN603" s="4">
        <f>HYPERLINK("http://exon.niaid.nih.gov/transcriptome/C_felis/S1/links/cluster/cf-5-36-asb35-50-Id-CLU30.txt", 30)</f>
        <v>30</v>
      </c>
      <c r="DO603">
        <f>HYPERLINK("http://exon.niaid.nih.gov/transcriptome/C_felis/S1/links/cluster/cf-5-36-asb35-50-Id-CLTL30.txt", 2)</f>
        <v>2</v>
      </c>
      <c r="DP603" s="4">
        <f>HYPERLINK("http://exon.niaid.nih.gov/transcriptome/C_felis/S1/links/cluster/cf-5-36-asb40-50-Id-CLU28.txt", 28)</f>
        <v>28</v>
      </c>
      <c r="DQ603">
        <f>HYPERLINK("http://exon.niaid.nih.gov/transcriptome/C_felis/S1/links/cluster/cf-5-36-asb40-50-Id-CLTL28.txt", 2)</f>
        <v>2</v>
      </c>
      <c r="DR603" s="4">
        <f>HYPERLINK("http://exon.niaid.nih.gov/transcriptome/C_felis/S1/links/cluster/cf-5-36-asb45-50-Id-CLU26.txt", 26)</f>
        <v>26</v>
      </c>
      <c r="DS603">
        <f>HYPERLINK("http://exon.niaid.nih.gov/transcriptome/C_felis/S1/links/cluster/cf-5-36-asb45-50-Id-CLTL26.txt", 2)</f>
        <v>2</v>
      </c>
      <c r="DT603" s="4">
        <f>HYPERLINK("http://exon.niaid.nih.gov/transcriptome/C_felis/S1/links/cluster/cf-5-36-asb50-50-Id-CLU22.txt", 22)</f>
        <v>22</v>
      </c>
      <c r="DU603">
        <f>HYPERLINK("http://exon.niaid.nih.gov/transcriptome/C_felis/S1/links/cluster/cf-5-36-asb50-50-Id-CLTL22.txt", 2)</f>
        <v>2</v>
      </c>
      <c r="DV603" s="4">
        <v>104</v>
      </c>
      <c r="DW603">
        <v>1</v>
      </c>
      <c r="DX603" s="4">
        <v>103</v>
      </c>
      <c r="DY603">
        <v>1</v>
      </c>
      <c r="DZ603" s="4">
        <v>101</v>
      </c>
      <c r="EA603">
        <v>1</v>
      </c>
      <c r="EB603" s="4">
        <v>101</v>
      </c>
      <c r="EC603">
        <v>1</v>
      </c>
      <c r="ED603" s="4">
        <v>102</v>
      </c>
      <c r="EE603">
        <v>1</v>
      </c>
      <c r="EF603" s="4">
        <v>99</v>
      </c>
      <c r="EG603">
        <v>1</v>
      </c>
      <c r="EH603" s="4">
        <v>94</v>
      </c>
      <c r="EI603">
        <v>1</v>
      </c>
      <c r="EJ603" s="4">
        <v>92</v>
      </c>
      <c r="EK603">
        <v>1</v>
      </c>
    </row>
    <row r="604" spans="1:141" x14ac:dyDescent="0.2">
      <c r="A604" t="str">
        <f>HYPERLINK("http://exon.niaid.nih.gov/transcriptome/C_felis/S1/links/cf/cf-contig_611.txt","cf-contig_611")</f>
        <v>cf-contig_611</v>
      </c>
      <c r="B604">
        <v>1</v>
      </c>
      <c r="C604" s="10" t="s">
        <v>4600</v>
      </c>
      <c r="D604">
        <v>1</v>
      </c>
      <c r="E604" t="str">
        <f>HYPERLINK("http://exon.niaid.nih.gov/transcriptome/C_felis/S1/links/cf/cf-5-36-asb-611.txt","Contig-611")</f>
        <v>Contig-611</v>
      </c>
      <c r="F604" t="str">
        <f>HYPERLINK("http://exon.niaid.nih.gov/transcriptome/C_felis/S1/links/cf/cf-5-36-611-CLU.txt","Contig611")</f>
        <v>Contig611</v>
      </c>
      <c r="G604" t="str">
        <f>HYPERLINK("http://exon.niaid.nih.gov/transcriptome/C_felis/S1/links/cf/cf-5-36-611-qual.txt","59.6")</f>
        <v>59.6</v>
      </c>
      <c r="H604" t="s">
        <v>11</v>
      </c>
      <c r="I604">
        <v>72.3</v>
      </c>
      <c r="J604">
        <v>360</v>
      </c>
      <c r="K604" t="s">
        <v>12</v>
      </c>
      <c r="L604">
        <v>1</v>
      </c>
      <c r="M604" t="s">
        <v>624</v>
      </c>
      <c r="N604">
        <v>360</v>
      </c>
      <c r="O604">
        <v>379</v>
      </c>
      <c r="P604">
        <v>132</v>
      </c>
      <c r="Q604" t="s">
        <v>1430</v>
      </c>
      <c r="R604">
        <v>1</v>
      </c>
      <c r="S604" s="7" t="s">
        <v>4585</v>
      </c>
      <c r="U604">
        <v>1</v>
      </c>
      <c r="V604" s="4">
        <v>497</v>
      </c>
      <c r="W604">
        <v>1</v>
      </c>
      <c r="X604" s="4">
        <v>509</v>
      </c>
      <c r="Y604">
        <v>1</v>
      </c>
      <c r="Z604" s="4">
        <v>519</v>
      </c>
      <c r="AA604">
        <v>1</v>
      </c>
      <c r="AB604" s="4" t="str">
        <f>HYPERLINK("http://exon.niaid.nih.gov/transcriptome/C_felis/S1/links/XC-ASB/cf-contig_611-XC-ASB.txt","XC-contig_190")</f>
        <v>XC-contig_190</v>
      </c>
      <c r="AC604">
        <v>0.11</v>
      </c>
      <c r="AD604" s="10" t="s">
        <v>4600</v>
      </c>
      <c r="AE604" t="s">
        <v>4601</v>
      </c>
      <c r="AI604" s="4" t="str">
        <f>HYPERLINK("http://exon.niaid.nih.gov/transcriptome/C_felis/S1/links/NR/cf-contig_611-NR.txt","ABC-type phosphate/phosphonate transport system periplasmic component-like")</f>
        <v>ABC-type phosphate/phosphonate transport system periplasmic component-like</v>
      </c>
      <c r="AJ604" t="str">
        <f>HYPERLINK("http://www.ncbi.nlm.nih.gov/sutils/blink.cgi?pid=256818718","2.5")</f>
        <v>2.5</v>
      </c>
      <c r="AK604" t="str">
        <f>HYPERLINK("http://www.ncbi.nlm.nih.gov/protein/256818718","gi|256818718")</f>
        <v>gi|256818718</v>
      </c>
      <c r="AL604">
        <v>35.799999999999997</v>
      </c>
      <c r="AM604">
        <v>40</v>
      </c>
      <c r="AN604">
        <v>286</v>
      </c>
      <c r="AO604">
        <v>39</v>
      </c>
      <c r="AP604">
        <v>14</v>
      </c>
      <c r="AQ604">
        <v>25</v>
      </c>
      <c r="AR604">
        <v>0</v>
      </c>
      <c r="AS604">
        <v>39</v>
      </c>
      <c r="AT604">
        <v>172</v>
      </c>
      <c r="AU604">
        <v>1</v>
      </c>
      <c r="AV604">
        <v>-2</v>
      </c>
      <c r="AW604" t="s">
        <v>12</v>
      </c>
      <c r="AX604">
        <v>2.5</v>
      </c>
      <c r="AY604" t="s">
        <v>1666</v>
      </c>
      <c r="AZ604" t="s">
        <v>3925</v>
      </c>
      <c r="BA604" s="4" t="str">
        <f>HYPERLINK("http://exon.niaid.nih.gov/transcriptome/C_felis/S1/links/SWISSP/cf-contig_611-SWISSP.txt","Dynein beta chain, ciliary")</f>
        <v>Dynein beta chain, ciliary</v>
      </c>
      <c r="BB604" t="str">
        <f>HYPERLINK("http://www.uniprot.org/uniprot/P23098","0.64")</f>
        <v>0.64</v>
      </c>
      <c r="BC604" t="s">
        <v>3926</v>
      </c>
      <c r="BD604">
        <v>29.3</v>
      </c>
      <c r="BE604">
        <v>42</v>
      </c>
      <c r="BF604">
        <v>4466</v>
      </c>
      <c r="BG604">
        <v>63</v>
      </c>
      <c r="BH604">
        <v>1</v>
      </c>
      <c r="BI604">
        <v>7</v>
      </c>
      <c r="BJ604">
        <v>0</v>
      </c>
      <c r="BK604">
        <v>1005</v>
      </c>
      <c r="BL604">
        <v>161</v>
      </c>
      <c r="BM604">
        <v>2</v>
      </c>
      <c r="BN604">
        <v>-2</v>
      </c>
      <c r="BO604" t="s">
        <v>1689</v>
      </c>
      <c r="BQ604" t="s">
        <v>1666</v>
      </c>
      <c r="BR604" t="s">
        <v>3927</v>
      </c>
      <c r="BS604" s="4" t="str">
        <f>HYPERLINK("http://exon.niaid.nih.gov/transcriptome/C_felis/S1/links/CDD/cf-contig_611-CDD.txt","Otopetrin")</f>
        <v>Otopetrin</v>
      </c>
      <c r="BT604" t="str">
        <f>HYPERLINK("http://www.ncbi.nlm.nih.gov/Structure/cdd/cddsrv.cgi?uid=pfam03189&amp;version=v4.0","0.76")</f>
        <v>0.76</v>
      </c>
      <c r="BU604" t="s">
        <v>3928</v>
      </c>
      <c r="BV604" s="4" t="s">
        <v>42</v>
      </c>
      <c r="BW604" t="s">
        <v>42</v>
      </c>
      <c r="BX604" t="s">
        <v>42</v>
      </c>
      <c r="BY604" t="s">
        <v>42</v>
      </c>
      <c r="BZ604" t="s">
        <v>42</v>
      </c>
      <c r="CA604" t="s">
        <v>42</v>
      </c>
      <c r="CB604" t="s">
        <v>42</v>
      </c>
      <c r="CC604" t="s">
        <v>42</v>
      </c>
      <c r="CD604" t="s">
        <v>42</v>
      </c>
      <c r="CE604" t="s">
        <v>42</v>
      </c>
      <c r="CF604" t="s">
        <v>42</v>
      </c>
      <c r="CG604" t="s">
        <v>42</v>
      </c>
      <c r="CH604" t="s">
        <v>42</v>
      </c>
      <c r="CI604" t="s">
        <v>42</v>
      </c>
      <c r="CJ604" t="s">
        <v>42</v>
      </c>
      <c r="CK604" t="s">
        <v>42</v>
      </c>
      <c r="CL604" t="s">
        <v>42</v>
      </c>
      <c r="CM604" t="s">
        <v>42</v>
      </c>
      <c r="CN604" t="s">
        <v>42</v>
      </c>
      <c r="CO604" t="s">
        <v>42</v>
      </c>
      <c r="CP604" t="s">
        <v>42</v>
      </c>
      <c r="CQ604" t="s">
        <v>42</v>
      </c>
      <c r="CR604" t="s">
        <v>42</v>
      </c>
      <c r="CS604" s="4" t="str">
        <f>HYPERLINK("http://exon.niaid.nih.gov/transcriptome/C_felis/S1/links/KOG/cf-contig_611-KOG.txt","SNF2 family DNA-dependent ATPase")</f>
        <v>SNF2 family DNA-dependent ATPase</v>
      </c>
      <c r="CT604" t="str">
        <f>HYPERLINK("http://www.ncbi.nlm.nih.gov/COG/grace/shokog.cgi?KOG0389","0.15")</f>
        <v>0.15</v>
      </c>
      <c r="CU604" t="s">
        <v>2096</v>
      </c>
      <c r="CV604" s="4" t="str">
        <f>HYPERLINK("http://exon.niaid.nih.gov/transcriptome/C_felis/S1/links/PFAM/cf-contig_611-PFAM.txt","Otopetrin")</f>
        <v>Otopetrin</v>
      </c>
      <c r="CW604" t="str">
        <f>HYPERLINK("http://pfam.sanger.ac.uk/family?acc=PF03189","0.17")</f>
        <v>0.17</v>
      </c>
      <c r="CX604" s="4" t="str">
        <f>HYPERLINK("http://exon.niaid.nih.gov/transcriptome/C_felis/S1/links/SMART/cf-contig_611-SMART.txt","AARP2CN")</f>
        <v>AARP2CN</v>
      </c>
      <c r="CY604" t="str">
        <f>HYPERLINK("http://smart.embl-heidelberg.de/smart/do_annotation.pl?DOMAIN=AARP2CN&amp;BLAST=DUMMY","0.16")</f>
        <v>0.16</v>
      </c>
      <c r="CZ604" s="4" t="s">
        <v>42</v>
      </c>
      <c r="DA604" t="s">
        <v>42</v>
      </c>
      <c r="DB604" t="s">
        <v>42</v>
      </c>
      <c r="DC604" t="s">
        <v>42</v>
      </c>
      <c r="DD604" t="s">
        <v>42</v>
      </c>
      <c r="DE604" t="s">
        <v>42</v>
      </c>
      <c r="DF604" t="s">
        <v>42</v>
      </c>
      <c r="DG604" t="s">
        <v>42</v>
      </c>
      <c r="DH604" s="4" t="s">
        <v>42</v>
      </c>
      <c r="DI604" t="s">
        <v>42</v>
      </c>
      <c r="DJ604" s="4" t="s">
        <v>42</v>
      </c>
      <c r="DK604" t="s">
        <v>42</v>
      </c>
      <c r="DL604" s="4">
        <v>497</v>
      </c>
      <c r="DM604">
        <v>1</v>
      </c>
      <c r="DN604" s="4">
        <v>509</v>
      </c>
      <c r="DO604">
        <v>1</v>
      </c>
      <c r="DP604" s="4">
        <v>519</v>
      </c>
      <c r="DQ604">
        <v>1</v>
      </c>
      <c r="DR604" s="4">
        <v>538</v>
      </c>
      <c r="DS604">
        <v>1</v>
      </c>
      <c r="DT604" s="4">
        <v>550</v>
      </c>
      <c r="DU604">
        <v>1</v>
      </c>
      <c r="DV604" s="4">
        <v>564</v>
      </c>
      <c r="DW604">
        <v>1</v>
      </c>
      <c r="DX604" s="4">
        <v>573</v>
      </c>
      <c r="DY604">
        <v>1</v>
      </c>
      <c r="DZ604" s="4">
        <v>581</v>
      </c>
      <c r="EA604">
        <v>1</v>
      </c>
      <c r="EB604" s="4">
        <v>586</v>
      </c>
      <c r="EC604">
        <v>1</v>
      </c>
      <c r="ED604" s="4">
        <v>590</v>
      </c>
      <c r="EE604">
        <v>1</v>
      </c>
      <c r="EF604" s="4">
        <v>596</v>
      </c>
      <c r="EG604">
        <v>1</v>
      </c>
      <c r="EH604" s="4">
        <v>604</v>
      </c>
      <c r="EI604">
        <v>1</v>
      </c>
      <c r="EJ604" s="4">
        <v>611</v>
      </c>
      <c r="EK604">
        <v>1</v>
      </c>
    </row>
    <row r="605" spans="1:141" x14ac:dyDescent="0.2">
      <c r="A605" t="str">
        <f>HYPERLINK("http://exon.niaid.nih.gov/transcriptome/C_felis/S1/links/cf/cf-contig_582.txt","cf-contig_582")</f>
        <v>cf-contig_582</v>
      </c>
      <c r="B605">
        <v>1</v>
      </c>
      <c r="C605" s="10" t="s">
        <v>4600</v>
      </c>
      <c r="D605">
        <v>1</v>
      </c>
      <c r="E605" t="str">
        <f>HYPERLINK("http://exon.niaid.nih.gov/transcriptome/C_felis/S1/links/cf/cf-5-36-asb-582.txt","Contig-582")</f>
        <v>Contig-582</v>
      </c>
      <c r="F605" t="str">
        <f>HYPERLINK("http://exon.niaid.nih.gov/transcriptome/C_felis/S1/links/cf/cf-5-36-582-CLU.txt","Contig582")</f>
        <v>Contig582</v>
      </c>
      <c r="G605" t="str">
        <f>HYPERLINK("http://exon.niaid.nih.gov/transcriptome/C_felis/S1/links/cf/cf-5-36-582-qual.txt","60.9")</f>
        <v>60.9</v>
      </c>
      <c r="H605" t="s">
        <v>11</v>
      </c>
      <c r="I605">
        <v>74.900000000000006</v>
      </c>
      <c r="J605">
        <v>176</v>
      </c>
      <c r="K605" t="s">
        <v>12</v>
      </c>
      <c r="L605">
        <v>1</v>
      </c>
      <c r="M605" t="s">
        <v>595</v>
      </c>
      <c r="N605">
        <v>176</v>
      </c>
      <c r="O605">
        <v>195</v>
      </c>
      <c r="P605">
        <v>57</v>
      </c>
      <c r="Q605" t="s">
        <v>1401</v>
      </c>
      <c r="R605">
        <v>3</v>
      </c>
      <c r="S605" s="7" t="s">
        <v>4585</v>
      </c>
      <c r="U605">
        <v>1</v>
      </c>
      <c r="V605" s="4">
        <v>474</v>
      </c>
      <c r="W605">
        <v>1</v>
      </c>
      <c r="X605" s="4">
        <v>484</v>
      </c>
      <c r="Y605">
        <v>1</v>
      </c>
      <c r="Z605" s="4">
        <v>493</v>
      </c>
      <c r="AA605">
        <v>1</v>
      </c>
      <c r="AB605" s="4" t="str">
        <f>HYPERLINK("http://exon.niaid.nih.gov/transcriptome/C_felis/S1/links/XC-ASB/cf-contig_582-XC-ASB.txt","XC-contig_43")</f>
        <v>XC-contig_43</v>
      </c>
      <c r="AC605">
        <v>0.19</v>
      </c>
      <c r="AD605" s="10" t="s">
        <v>4600</v>
      </c>
      <c r="AE605" t="s">
        <v>4601</v>
      </c>
      <c r="AI605" s="4" t="str">
        <f>HYPERLINK("http://exon.niaid.nih.gov/transcriptome/C_felis/S1/links/NR/cf-contig_582-NR.txt","odorant receptor, family E, subfamily 124, member 2")</f>
        <v>odorant receptor, family E, subfamily 124, member 2</v>
      </c>
      <c r="AJ605" t="str">
        <f>HYPERLINK("http://www.ncbi.nlm.nih.gov/sutils/blink.cgi?pid=190358552","9.5")</f>
        <v>9.5</v>
      </c>
      <c r="AK605" t="str">
        <f>HYPERLINK("http://www.ncbi.nlm.nih.gov/protein/190358552","gi|190358552")</f>
        <v>gi|190358552</v>
      </c>
      <c r="AL605">
        <v>33.9</v>
      </c>
      <c r="AM605">
        <v>49</v>
      </c>
      <c r="AN605">
        <v>310</v>
      </c>
      <c r="AO605">
        <v>36</v>
      </c>
      <c r="AP605">
        <v>16</v>
      </c>
      <c r="AQ605">
        <v>32</v>
      </c>
      <c r="AR605">
        <v>9</v>
      </c>
      <c r="AS605">
        <v>244</v>
      </c>
      <c r="AT605">
        <v>3</v>
      </c>
      <c r="AU605">
        <v>1</v>
      </c>
      <c r="AV605">
        <v>-2</v>
      </c>
      <c r="AW605" t="s">
        <v>12</v>
      </c>
      <c r="AY605" t="s">
        <v>1666</v>
      </c>
      <c r="AZ605" t="s">
        <v>2736</v>
      </c>
      <c r="BA605" s="4" t="str">
        <f>HYPERLINK("http://exon.niaid.nih.gov/transcriptome/C_felis/S1/links/SWISSP/cf-contig_582-SWISSP.txt","Glutamate receptor delta-2 subunit")</f>
        <v>Glutamate receptor delta-2 subunit</v>
      </c>
      <c r="BB605" t="str">
        <f>HYPERLINK("http://www.uniprot.org/uniprot/Q63226","31")</f>
        <v>31</v>
      </c>
      <c r="BC605" t="s">
        <v>3793</v>
      </c>
      <c r="BD605">
        <v>27.3</v>
      </c>
      <c r="BE605">
        <v>43</v>
      </c>
      <c r="BF605">
        <v>1007</v>
      </c>
      <c r="BG605">
        <v>33</v>
      </c>
      <c r="BH605">
        <v>4</v>
      </c>
      <c r="BI605">
        <v>30</v>
      </c>
      <c r="BJ605">
        <v>0</v>
      </c>
      <c r="BK605">
        <v>443</v>
      </c>
      <c r="BL605">
        <v>10</v>
      </c>
      <c r="BM605">
        <v>1</v>
      </c>
      <c r="BN605">
        <v>-1</v>
      </c>
      <c r="BO605" t="s">
        <v>12</v>
      </c>
      <c r="BP605">
        <v>2.3260000000000001</v>
      </c>
      <c r="BQ605" t="s">
        <v>1666</v>
      </c>
      <c r="BR605" t="s">
        <v>1684</v>
      </c>
      <c r="BS605" s="4" t="str">
        <f>HYPERLINK("http://exon.niaid.nih.gov/transcriptome/C_felis/S1/links/CDD/cf-contig_582-CDD.txt","ATP6")</f>
        <v>ATP6</v>
      </c>
      <c r="BT605" t="str">
        <f>HYPERLINK("http://www.ncbi.nlm.nih.gov/Structure/cdd/cddsrv.cgi?uid=MTH00005&amp;version=v4.0","1.1")</f>
        <v>1.1</v>
      </c>
      <c r="BU605" t="s">
        <v>3794</v>
      </c>
      <c r="BV605" s="4" t="s">
        <v>42</v>
      </c>
      <c r="BW605" t="s">
        <v>42</v>
      </c>
      <c r="BX605" t="s">
        <v>42</v>
      </c>
      <c r="BY605" t="s">
        <v>42</v>
      </c>
      <c r="BZ605" t="s">
        <v>42</v>
      </c>
      <c r="CA605" t="s">
        <v>42</v>
      </c>
      <c r="CB605" t="s">
        <v>42</v>
      </c>
      <c r="CC605" t="s">
        <v>42</v>
      </c>
      <c r="CD605" t="s">
        <v>42</v>
      </c>
      <c r="CE605" t="s">
        <v>42</v>
      </c>
      <c r="CF605" t="s">
        <v>42</v>
      </c>
      <c r="CG605" t="s">
        <v>42</v>
      </c>
      <c r="CH605" t="s">
        <v>42</v>
      </c>
      <c r="CI605" t="s">
        <v>42</v>
      </c>
      <c r="CJ605" t="s">
        <v>42</v>
      </c>
      <c r="CK605" t="s">
        <v>42</v>
      </c>
      <c r="CL605" t="s">
        <v>42</v>
      </c>
      <c r="CM605" t="s">
        <v>42</v>
      </c>
      <c r="CN605" t="s">
        <v>42</v>
      </c>
      <c r="CO605" t="s">
        <v>42</v>
      </c>
      <c r="CP605" t="s">
        <v>42</v>
      </c>
      <c r="CQ605" t="s">
        <v>42</v>
      </c>
      <c r="CR605" t="s">
        <v>42</v>
      </c>
      <c r="CS605" s="4" t="str">
        <f>HYPERLINK("http://exon.niaid.nih.gov/transcriptome/C_felis/S1/links/KOG/cf-contig_582-KOG.txt","Predicted small molecule transporter")</f>
        <v>Predicted small molecule transporter</v>
      </c>
      <c r="CT605" t="str">
        <f>HYPERLINK("http://www.ncbi.nlm.nih.gov/COG/grace/shokog.cgi?KOG1162","1.00")</f>
        <v>1.00</v>
      </c>
      <c r="CU605" t="s">
        <v>1686</v>
      </c>
      <c r="CV605" s="4" t="str">
        <f>HYPERLINK("http://exon.niaid.nih.gov/transcriptome/C_felis/S1/links/PFAM/cf-contig_582-PFAM.txt","Tmp39")</f>
        <v>Tmp39</v>
      </c>
      <c r="CW605" t="str">
        <f>HYPERLINK("http://pfam.sanger.ac.uk/family?acc=PF10271","0.27")</f>
        <v>0.27</v>
      </c>
      <c r="CX605" s="4" t="str">
        <f>HYPERLINK("http://exon.niaid.nih.gov/transcriptome/C_felis/S1/links/SMART/cf-contig_582-SMART.txt","BAR")</f>
        <v>BAR</v>
      </c>
      <c r="CY605" t="str">
        <f>HYPERLINK("http://smart.embl-heidelberg.de/smart/do_annotation.pl?DOMAIN=BAR&amp;BLAST=DUMMY","0.20")</f>
        <v>0.20</v>
      </c>
      <c r="CZ605" s="4" t="s">
        <v>42</v>
      </c>
      <c r="DA605" t="s">
        <v>42</v>
      </c>
      <c r="DB605" t="s">
        <v>42</v>
      </c>
      <c r="DC605" t="s">
        <v>42</v>
      </c>
      <c r="DD605" t="s">
        <v>42</v>
      </c>
      <c r="DE605" t="s">
        <v>42</v>
      </c>
      <c r="DF605" t="s">
        <v>42</v>
      </c>
      <c r="DG605" t="s">
        <v>42</v>
      </c>
      <c r="DH605" s="4" t="s">
        <v>42</v>
      </c>
      <c r="DI605" t="s">
        <v>42</v>
      </c>
      <c r="DJ605" s="4" t="s">
        <v>42</v>
      </c>
      <c r="DK605" t="s">
        <v>42</v>
      </c>
      <c r="DL605" s="4">
        <v>474</v>
      </c>
      <c r="DM605">
        <v>1</v>
      </c>
      <c r="DN605" s="4">
        <v>484</v>
      </c>
      <c r="DO605">
        <v>1</v>
      </c>
      <c r="DP605" s="4">
        <v>493</v>
      </c>
      <c r="DQ605">
        <v>1</v>
      </c>
      <c r="DR605" s="4">
        <v>512</v>
      </c>
      <c r="DS605">
        <v>1</v>
      </c>
      <c r="DT605" s="4">
        <v>524</v>
      </c>
      <c r="DU605">
        <v>1</v>
      </c>
      <c r="DV605" s="4">
        <v>538</v>
      </c>
      <c r="DW605">
        <v>1</v>
      </c>
      <c r="DX605" s="4">
        <v>546</v>
      </c>
      <c r="DY605">
        <v>1</v>
      </c>
      <c r="DZ605" s="4">
        <v>554</v>
      </c>
      <c r="EA605">
        <v>1</v>
      </c>
      <c r="EB605" s="4">
        <v>559</v>
      </c>
      <c r="EC605">
        <v>1</v>
      </c>
      <c r="ED605" s="4">
        <v>563</v>
      </c>
      <c r="EE605">
        <v>1</v>
      </c>
      <c r="EF605" s="4">
        <v>568</v>
      </c>
      <c r="EG605">
        <v>1</v>
      </c>
      <c r="EH605" s="4">
        <v>575</v>
      </c>
      <c r="EI605">
        <v>1</v>
      </c>
      <c r="EJ605" s="4">
        <v>582</v>
      </c>
      <c r="EK605">
        <v>1</v>
      </c>
    </row>
    <row r="606" spans="1:141" x14ac:dyDescent="0.2">
      <c r="A606" t="str">
        <f>HYPERLINK("http://exon.niaid.nih.gov/transcriptome/C_felis/S1/links/cf/cf-contig_250.txt","cf-contig_250")</f>
        <v>cf-contig_250</v>
      </c>
      <c r="B606">
        <v>1</v>
      </c>
      <c r="C606" s="10" t="s">
        <v>4600</v>
      </c>
      <c r="D606">
        <v>1</v>
      </c>
      <c r="E606" t="str">
        <f>HYPERLINK("http://exon.niaid.nih.gov/transcriptome/C_felis/S1/links/cf/cf-5-36-asb-250.txt","Contig-250")</f>
        <v>Contig-250</v>
      </c>
      <c r="F606" t="str">
        <f>HYPERLINK("http://exon.niaid.nih.gov/transcriptome/C_felis/S1/links/cf/cf-5-36-250-CLU.txt","Contig250")</f>
        <v>Contig250</v>
      </c>
      <c r="G606" t="str">
        <f>HYPERLINK("http://exon.niaid.nih.gov/transcriptome/C_felis/S1/links/cf/cf-5-36-250-qual.txt","64.8")</f>
        <v>64.8</v>
      </c>
      <c r="H606" t="s">
        <v>11</v>
      </c>
      <c r="I606">
        <v>71.2</v>
      </c>
      <c r="J606">
        <v>353</v>
      </c>
      <c r="K606" t="s">
        <v>12</v>
      </c>
      <c r="L606">
        <v>1</v>
      </c>
      <c r="M606" t="s">
        <v>263</v>
      </c>
      <c r="N606">
        <v>353</v>
      </c>
      <c r="O606">
        <v>372</v>
      </c>
      <c r="P606">
        <v>129</v>
      </c>
      <c r="Q606" t="s">
        <v>1070</v>
      </c>
      <c r="R606">
        <v>3</v>
      </c>
      <c r="S606" s="7" t="s">
        <v>4585</v>
      </c>
      <c r="U606">
        <v>1</v>
      </c>
      <c r="V606" s="4">
        <v>198</v>
      </c>
      <c r="W606">
        <v>1</v>
      </c>
      <c r="X606" s="4">
        <v>201</v>
      </c>
      <c r="Y606">
        <v>1</v>
      </c>
      <c r="Z606" s="4">
        <v>199</v>
      </c>
      <c r="AA606">
        <v>1</v>
      </c>
      <c r="AB606" s="4" t="str">
        <f>HYPERLINK("http://exon.niaid.nih.gov/transcriptome/C_felis/S1/links/XC-ASB/cf-contig_250-XC-ASB.txt","XC-contig_55")</f>
        <v>XC-contig_55</v>
      </c>
      <c r="AC606">
        <v>0.95</v>
      </c>
      <c r="AD606" s="10" t="s">
        <v>4600</v>
      </c>
      <c r="AE606" t="s">
        <v>4601</v>
      </c>
      <c r="AI606" s="4" t="str">
        <f>HYPERLINK("http://exon.niaid.nih.gov/transcriptome/C_felis/S1/links/NR/cf-contig_250-NR.txt","DEHA2E21802p")</f>
        <v>DEHA2E21802p</v>
      </c>
      <c r="AJ606" t="str">
        <f>HYPERLINK("http://www.ncbi.nlm.nih.gov/sutils/blink.cgi?pid=294657941","21")</f>
        <v>21</v>
      </c>
      <c r="AK606" t="str">
        <f>HYPERLINK("http://www.ncbi.nlm.nih.gov/protein/294657941","gi|294657941")</f>
        <v>gi|294657941</v>
      </c>
      <c r="AL606">
        <v>32.700000000000003</v>
      </c>
      <c r="AM606">
        <v>47</v>
      </c>
      <c r="AN606">
        <v>1550</v>
      </c>
      <c r="AO606">
        <v>35</v>
      </c>
      <c r="AP606">
        <v>3</v>
      </c>
      <c r="AQ606">
        <v>31</v>
      </c>
      <c r="AR606">
        <v>1</v>
      </c>
      <c r="AS606">
        <v>1289</v>
      </c>
      <c r="AT606">
        <v>146</v>
      </c>
      <c r="AU606">
        <v>1</v>
      </c>
      <c r="AV606">
        <v>-3</v>
      </c>
      <c r="AW606" t="s">
        <v>12</v>
      </c>
      <c r="AY606" t="s">
        <v>1666</v>
      </c>
      <c r="AZ606" t="s">
        <v>2608</v>
      </c>
      <c r="BA606" s="4" t="str">
        <f>HYPERLINK("http://exon.niaid.nih.gov/transcriptome/C_felis/S1/links/SWISSP/cf-contig_250-SWISSP.txt","Uncharacterized lipoprotein RT0028")</f>
        <v>Uncharacterized lipoprotein RT0028</v>
      </c>
      <c r="BB606" t="str">
        <f>HYPERLINK("http://www.uniprot.org/uniprot/Q68XX6","10")</f>
        <v>10</v>
      </c>
      <c r="BC606" t="s">
        <v>2609</v>
      </c>
      <c r="BD606">
        <v>28.9</v>
      </c>
      <c r="BE606">
        <v>50</v>
      </c>
      <c r="BF606">
        <v>1154</v>
      </c>
      <c r="BG606">
        <v>33</v>
      </c>
      <c r="BH606">
        <v>4</v>
      </c>
      <c r="BI606">
        <v>35</v>
      </c>
      <c r="BJ606">
        <v>2</v>
      </c>
      <c r="BK606">
        <v>392</v>
      </c>
      <c r="BL606">
        <v>84</v>
      </c>
      <c r="BM606">
        <v>1</v>
      </c>
      <c r="BN606">
        <v>3</v>
      </c>
      <c r="BO606" t="s">
        <v>12</v>
      </c>
      <c r="BP606">
        <v>4</v>
      </c>
      <c r="BQ606" t="s">
        <v>1676</v>
      </c>
      <c r="BR606" t="s">
        <v>1771</v>
      </c>
      <c r="BS606" s="4" t="str">
        <f>HYPERLINK("http://exon.niaid.nih.gov/transcriptome/C_felis/S1/links/CDD/cf-contig_250-CDD.txt","rexB_recomb")</f>
        <v>rexB_recomb</v>
      </c>
      <c r="BT606" t="str">
        <f>HYPERLINK("http://www.ncbi.nlm.nih.gov/Structure/cdd/cddsrv.cgi?uid=TIGR02774&amp;version=v4.0","0.38")</f>
        <v>0.38</v>
      </c>
      <c r="BU606" t="s">
        <v>2610</v>
      </c>
      <c r="BV606" s="4" t="s">
        <v>42</v>
      </c>
      <c r="BW606" t="s">
        <v>42</v>
      </c>
      <c r="BX606" t="s">
        <v>42</v>
      </c>
      <c r="BY606" t="s">
        <v>42</v>
      </c>
      <c r="BZ606" t="s">
        <v>42</v>
      </c>
      <c r="CA606" t="s">
        <v>42</v>
      </c>
      <c r="CB606" t="s">
        <v>42</v>
      </c>
      <c r="CC606" t="s">
        <v>42</v>
      </c>
      <c r="CD606" t="s">
        <v>42</v>
      </c>
      <c r="CE606" t="s">
        <v>42</v>
      </c>
      <c r="CF606" t="s">
        <v>42</v>
      </c>
      <c r="CG606" t="s">
        <v>42</v>
      </c>
      <c r="CH606" t="s">
        <v>42</v>
      </c>
      <c r="CI606" t="s">
        <v>42</v>
      </c>
      <c r="CJ606" t="s">
        <v>42</v>
      </c>
      <c r="CK606" t="s">
        <v>42</v>
      </c>
      <c r="CL606" t="s">
        <v>42</v>
      </c>
      <c r="CM606" t="s">
        <v>42</v>
      </c>
      <c r="CN606" t="s">
        <v>42</v>
      </c>
      <c r="CO606" t="s">
        <v>42</v>
      </c>
      <c r="CP606" t="s">
        <v>42</v>
      </c>
      <c r="CQ606" t="s">
        <v>42</v>
      </c>
      <c r="CR606" t="s">
        <v>42</v>
      </c>
      <c r="CS606" s="4" t="str">
        <f>HYPERLINK("http://exon.niaid.nih.gov/transcriptome/C_felis/S1/links/KOG/cf-contig_250-KOG.txt","Splicing factor 3b, subunit 3")</f>
        <v>Splicing factor 3b, subunit 3</v>
      </c>
      <c r="CT606" t="str">
        <f>HYPERLINK("http://www.ncbi.nlm.nih.gov/COG/grace/shokog.cgi?KOG1898","2.3")</f>
        <v>2.3</v>
      </c>
      <c r="CU606" t="s">
        <v>1817</v>
      </c>
      <c r="CV606" s="4" t="str">
        <f>HYPERLINK("http://exon.niaid.nih.gov/transcriptome/C_felis/S1/links/PFAM/cf-contig_250-PFAM.txt","Sre")</f>
        <v>Sre</v>
      </c>
      <c r="CW606" t="str">
        <f>HYPERLINK("http://pfam.sanger.ac.uk/family?acc=PF03125","0.28")</f>
        <v>0.28</v>
      </c>
      <c r="CX606" s="4" t="str">
        <f>HYPERLINK("http://exon.niaid.nih.gov/transcriptome/C_felis/S1/links/SMART/cf-contig_250-SMART.txt","RNAse_Pc")</f>
        <v>RNAse_Pc</v>
      </c>
      <c r="CY606" t="str">
        <f>HYPERLINK("http://smart.embl-heidelberg.de/smart/do_annotation.pl?DOMAIN=RNAse_Pc&amp;BLAST=DUMMY","0.033")</f>
        <v>0.033</v>
      </c>
      <c r="CZ606" s="4" t="s">
        <v>42</v>
      </c>
      <c r="DA606" t="s">
        <v>42</v>
      </c>
      <c r="DB606" t="s">
        <v>42</v>
      </c>
      <c r="DC606" t="s">
        <v>42</v>
      </c>
      <c r="DD606" t="s">
        <v>42</v>
      </c>
      <c r="DE606" t="s">
        <v>42</v>
      </c>
      <c r="DF606" t="s">
        <v>42</v>
      </c>
      <c r="DG606" t="s">
        <v>42</v>
      </c>
      <c r="DH606" s="4" t="s">
        <v>42</v>
      </c>
      <c r="DI606" t="s">
        <v>42</v>
      </c>
      <c r="DJ606" s="4" t="s">
        <v>42</v>
      </c>
      <c r="DK606" t="s">
        <v>42</v>
      </c>
      <c r="DL606" s="4">
        <v>198</v>
      </c>
      <c r="DM606">
        <v>1</v>
      </c>
      <c r="DN606" s="4">
        <v>201</v>
      </c>
      <c r="DO606">
        <v>1</v>
      </c>
      <c r="DP606" s="4">
        <v>199</v>
      </c>
      <c r="DQ606">
        <v>1</v>
      </c>
      <c r="DR606" s="4">
        <v>208</v>
      </c>
      <c r="DS606">
        <v>1</v>
      </c>
      <c r="DT606" s="4">
        <v>214</v>
      </c>
      <c r="DU606">
        <v>1</v>
      </c>
      <c r="DV606" s="4">
        <v>226</v>
      </c>
      <c r="DW606">
        <v>1</v>
      </c>
      <c r="DX606" s="4">
        <v>228</v>
      </c>
      <c r="DY606">
        <v>1</v>
      </c>
      <c r="DZ606" s="4">
        <v>232</v>
      </c>
      <c r="EA606">
        <v>1</v>
      </c>
      <c r="EB606" s="4">
        <v>237</v>
      </c>
      <c r="EC606">
        <v>1</v>
      </c>
      <c r="ED606" s="4">
        <v>240</v>
      </c>
      <c r="EE606">
        <v>1</v>
      </c>
      <c r="EF606" s="4">
        <v>243</v>
      </c>
      <c r="EG606">
        <v>1</v>
      </c>
      <c r="EH606" s="4">
        <v>245</v>
      </c>
      <c r="EI606">
        <v>1</v>
      </c>
      <c r="EJ606" s="4">
        <v>250</v>
      </c>
      <c r="EK606">
        <v>1</v>
      </c>
    </row>
    <row r="607" spans="1:141" x14ac:dyDescent="0.2">
      <c r="A607" t="str">
        <f>HYPERLINK("http://exon.niaid.nih.gov/transcriptome/C_felis/S1/links/cf/cf-contig_572.txt","cf-contig_572")</f>
        <v>cf-contig_572</v>
      </c>
      <c r="B607">
        <v>1</v>
      </c>
      <c r="C607" s="10" t="s">
        <v>4600</v>
      </c>
      <c r="D607">
        <v>1</v>
      </c>
      <c r="E607" t="str">
        <f>HYPERLINK("http://exon.niaid.nih.gov/transcriptome/C_felis/S1/links/cf/cf-5-36-asb-572.txt","Contig-572")</f>
        <v>Contig-572</v>
      </c>
      <c r="F607" t="str">
        <f>HYPERLINK("http://exon.niaid.nih.gov/transcriptome/C_felis/S1/links/cf/cf-5-36-572-CLU.txt","Contig572")</f>
        <v>Contig572</v>
      </c>
      <c r="G607" t="str">
        <f>HYPERLINK("http://exon.niaid.nih.gov/transcriptome/C_felis/S1/links/cf/cf-5-36-572-qual.txt","59.6")</f>
        <v>59.6</v>
      </c>
      <c r="H607" t="s">
        <v>11</v>
      </c>
      <c r="I607">
        <v>63.1</v>
      </c>
      <c r="J607">
        <v>708</v>
      </c>
      <c r="K607" t="s">
        <v>12</v>
      </c>
      <c r="L607">
        <v>1</v>
      </c>
      <c r="M607" t="s">
        <v>585</v>
      </c>
      <c r="N607">
        <v>708</v>
      </c>
      <c r="O607">
        <v>727</v>
      </c>
      <c r="P607">
        <v>294</v>
      </c>
      <c r="Q607" t="s">
        <v>1391</v>
      </c>
      <c r="R607">
        <v>2</v>
      </c>
      <c r="S607" s="7" t="str">
        <f>HYPERLINK("http://exon.niaid.nih.gov/transcriptome/C_felis/S1/links/Sigp/CF-CONTIG_572-SigP.txt","Cyt")</f>
        <v>Cyt</v>
      </c>
      <c r="U607">
        <v>1</v>
      </c>
      <c r="V607" s="4">
        <v>466</v>
      </c>
      <c r="W607">
        <v>1</v>
      </c>
      <c r="X607" s="4">
        <v>476</v>
      </c>
      <c r="Y607">
        <v>1</v>
      </c>
      <c r="Z607" s="4">
        <v>484</v>
      </c>
      <c r="AA607">
        <v>1</v>
      </c>
      <c r="AB607" s="4" t="str">
        <f>HYPERLINK("http://exon.niaid.nih.gov/transcriptome/C_felis/S1/links/XC-ASB/cf-contig_572-XC-ASB.txt","XC-contig_124")</f>
        <v>XC-contig_124</v>
      </c>
      <c r="AC607">
        <v>2.9000000000000001E-2</v>
      </c>
      <c r="AD607" s="10" t="s">
        <v>4600</v>
      </c>
      <c r="AE607" t="s">
        <v>4601</v>
      </c>
      <c r="AI607" s="4" t="str">
        <f>HYPERLINK("http://exon.niaid.nih.gov/transcriptome/C_felis/S1/links/NR/cf-contig_572-NR.txt","IleS")</f>
        <v>IleS</v>
      </c>
      <c r="AJ607" t="str">
        <f>HYPERLINK("http://www.ncbi.nlm.nih.gov/sutils/blink.cgi?pid=224369583","6.4")</f>
        <v>6.4</v>
      </c>
      <c r="AK607" t="str">
        <f>HYPERLINK("http://www.ncbi.nlm.nih.gov/protein/224369583","gi|224369583")</f>
        <v>gi|224369583</v>
      </c>
      <c r="AL607">
        <v>35.799999999999997</v>
      </c>
      <c r="AM607">
        <v>90</v>
      </c>
      <c r="AN607">
        <v>936</v>
      </c>
      <c r="AO607">
        <v>31</v>
      </c>
      <c r="AP607">
        <v>10</v>
      </c>
      <c r="AQ607">
        <v>62</v>
      </c>
      <c r="AR607">
        <v>18</v>
      </c>
      <c r="AS607">
        <v>315</v>
      </c>
      <c r="AT607">
        <v>388</v>
      </c>
      <c r="AU607">
        <v>1</v>
      </c>
      <c r="AV607">
        <v>-2</v>
      </c>
      <c r="AW607" t="s">
        <v>12</v>
      </c>
      <c r="AX607">
        <v>1.111</v>
      </c>
      <c r="AY607" t="s">
        <v>1666</v>
      </c>
      <c r="AZ607" t="s">
        <v>3753</v>
      </c>
      <c r="BA607" s="4" t="str">
        <f>HYPERLINK("http://exon.niaid.nih.gov/transcriptome/C_felis/S1/links/SWISSP/cf-contig_572-SWISSP.txt","Inter-alpha-trypsin inhibitor heavy chain H5-like protein")</f>
        <v>Inter-alpha-trypsin inhibitor heavy chain H5-like protein</v>
      </c>
      <c r="BB607" t="str">
        <f>HYPERLINK("http://www.uniprot.org/uniprot/Q6UXX5","2.6")</f>
        <v>2.6</v>
      </c>
      <c r="BC607" t="s">
        <v>3754</v>
      </c>
      <c r="BD607">
        <v>32.700000000000003</v>
      </c>
      <c r="BE607">
        <v>49</v>
      </c>
      <c r="BF607">
        <v>1313</v>
      </c>
      <c r="BG607">
        <v>42</v>
      </c>
      <c r="BH607">
        <v>4</v>
      </c>
      <c r="BI607">
        <v>30</v>
      </c>
      <c r="BJ607">
        <v>2</v>
      </c>
      <c r="BK607">
        <v>622</v>
      </c>
      <c r="BL607">
        <v>488</v>
      </c>
      <c r="BM607">
        <v>1</v>
      </c>
      <c r="BN607">
        <v>2</v>
      </c>
      <c r="BO607" t="s">
        <v>12</v>
      </c>
      <c r="BQ607" t="s">
        <v>1676</v>
      </c>
      <c r="BR607" t="s">
        <v>1690</v>
      </c>
      <c r="BS607" s="4" t="str">
        <f>HYPERLINK("http://exon.niaid.nih.gov/transcriptome/C_felis/S1/links/CDD/cf-contig_572-CDD.txt","SF-CC1")</f>
        <v>SF-CC1</v>
      </c>
      <c r="BT607" t="str">
        <f>HYPERLINK("http://www.ncbi.nlm.nih.gov/Structure/cdd/cddsrv.cgi?uid=TIGR01622&amp;version=v4.0","0.45")</f>
        <v>0.45</v>
      </c>
      <c r="BU607" t="s">
        <v>3755</v>
      </c>
      <c r="BV607" s="4" t="s">
        <v>42</v>
      </c>
      <c r="BW607" t="s">
        <v>42</v>
      </c>
      <c r="BX607" t="s">
        <v>42</v>
      </c>
      <c r="BY607" t="s">
        <v>42</v>
      </c>
      <c r="BZ607" t="s">
        <v>42</v>
      </c>
      <c r="CA607" t="s">
        <v>42</v>
      </c>
      <c r="CB607" t="s">
        <v>42</v>
      </c>
      <c r="CC607" t="s">
        <v>42</v>
      </c>
      <c r="CD607" t="s">
        <v>42</v>
      </c>
      <c r="CE607" t="s">
        <v>42</v>
      </c>
      <c r="CF607" t="s">
        <v>42</v>
      </c>
      <c r="CG607" t="s">
        <v>42</v>
      </c>
      <c r="CH607" t="s">
        <v>42</v>
      </c>
      <c r="CI607" t="s">
        <v>42</v>
      </c>
      <c r="CJ607" t="s">
        <v>42</v>
      </c>
      <c r="CK607" t="s">
        <v>42</v>
      </c>
      <c r="CL607" t="s">
        <v>42</v>
      </c>
      <c r="CM607" t="s">
        <v>42</v>
      </c>
      <c r="CN607" t="s">
        <v>42</v>
      </c>
      <c r="CO607" t="s">
        <v>42</v>
      </c>
      <c r="CP607" t="s">
        <v>42</v>
      </c>
      <c r="CQ607" t="s">
        <v>42</v>
      </c>
      <c r="CR607" t="s">
        <v>42</v>
      </c>
      <c r="CS607" s="4" t="str">
        <f>HYPERLINK("http://exon.niaid.nih.gov/transcriptome/C_felis/S1/links/KOG/cf-contig_572-KOG.txt","WD40 repeat protein")</f>
        <v>WD40 repeat protein</v>
      </c>
      <c r="CT607" t="str">
        <f>HYPERLINK("http://www.ncbi.nlm.nih.gov/COG/grace/shokog.cgi?KOG1912","0.16")</f>
        <v>0.16</v>
      </c>
      <c r="CU607" t="s">
        <v>1721</v>
      </c>
      <c r="CV607" s="4" t="str">
        <f>HYPERLINK("http://exon.niaid.nih.gov/transcriptome/C_felis/S1/links/PFAM/cf-contig_572-PFAM.txt","Herpes_IE68")</f>
        <v>Herpes_IE68</v>
      </c>
      <c r="CW607" t="str">
        <f>HYPERLINK("http://pfam.sanger.ac.uk/family?acc=PF02479","0.37")</f>
        <v>0.37</v>
      </c>
      <c r="CX607" s="4" t="str">
        <f>HYPERLINK("http://exon.niaid.nih.gov/transcriptome/C_felis/S1/links/SMART/cf-contig_572-SMART.txt","ZP")</f>
        <v>ZP</v>
      </c>
      <c r="CY607" t="str">
        <f>HYPERLINK("http://smart.embl-heidelberg.de/smart/do_annotation.pl?DOMAIN=ZP&amp;BLAST=DUMMY","0.092")</f>
        <v>0.092</v>
      </c>
      <c r="CZ607" s="4" t="s">
        <v>42</v>
      </c>
      <c r="DA607" t="s">
        <v>42</v>
      </c>
      <c r="DB607" t="s">
        <v>42</v>
      </c>
      <c r="DC607" t="s">
        <v>42</v>
      </c>
      <c r="DD607" t="s">
        <v>42</v>
      </c>
      <c r="DE607" t="s">
        <v>42</v>
      </c>
      <c r="DF607" t="s">
        <v>42</v>
      </c>
      <c r="DG607" t="s">
        <v>42</v>
      </c>
      <c r="DH607" s="4" t="s">
        <v>42</v>
      </c>
      <c r="DI607" t="s">
        <v>42</v>
      </c>
      <c r="DJ607" s="4" t="s">
        <v>42</v>
      </c>
      <c r="DK607" t="s">
        <v>42</v>
      </c>
      <c r="DL607" s="4">
        <v>466</v>
      </c>
      <c r="DM607">
        <v>1</v>
      </c>
      <c r="DN607" s="4">
        <v>476</v>
      </c>
      <c r="DO607">
        <v>1</v>
      </c>
      <c r="DP607" s="4">
        <v>484</v>
      </c>
      <c r="DQ607">
        <v>1</v>
      </c>
      <c r="DR607" s="4">
        <v>502</v>
      </c>
      <c r="DS607">
        <v>1</v>
      </c>
      <c r="DT607" s="4">
        <v>514</v>
      </c>
      <c r="DU607">
        <v>1</v>
      </c>
      <c r="DV607" s="4">
        <v>528</v>
      </c>
      <c r="DW607">
        <v>1</v>
      </c>
      <c r="DX607" s="4">
        <v>536</v>
      </c>
      <c r="DY607">
        <v>1</v>
      </c>
      <c r="DZ607" s="4">
        <v>544</v>
      </c>
      <c r="EA607">
        <v>1</v>
      </c>
      <c r="EB607" s="4">
        <v>549</v>
      </c>
      <c r="EC607">
        <v>1</v>
      </c>
      <c r="ED607" s="4">
        <v>553</v>
      </c>
      <c r="EE607">
        <v>1</v>
      </c>
      <c r="EF607" s="4">
        <v>558</v>
      </c>
      <c r="EG607">
        <v>1</v>
      </c>
      <c r="EH607" s="4">
        <v>565</v>
      </c>
      <c r="EI607">
        <v>1</v>
      </c>
      <c r="EJ607" s="4">
        <v>572</v>
      </c>
      <c r="EK607">
        <v>1</v>
      </c>
    </row>
    <row r="608" spans="1:141" x14ac:dyDescent="0.2">
      <c r="A608" t="str">
        <f>HYPERLINK("http://exon.niaid.nih.gov/transcriptome/C_felis/S1/links/cf/cf-contig_447.txt","cf-contig_447")</f>
        <v>cf-contig_447</v>
      </c>
      <c r="B608">
        <v>1</v>
      </c>
      <c r="C608" s="10" t="s">
        <v>4600</v>
      </c>
      <c r="D608">
        <v>1</v>
      </c>
      <c r="E608" t="str">
        <f>HYPERLINK("http://exon.niaid.nih.gov/transcriptome/C_felis/S1/links/cf/cf-5-36-asb-447.txt","Contig-447")</f>
        <v>Contig-447</v>
      </c>
      <c r="F608" t="str">
        <f>HYPERLINK("http://exon.niaid.nih.gov/transcriptome/C_felis/S1/links/cf/cf-5-36-447-CLU.txt","Contig447")</f>
        <v>Contig447</v>
      </c>
      <c r="G608" t="str">
        <f>HYPERLINK("http://exon.niaid.nih.gov/transcriptome/C_felis/S1/links/cf/cf-5-36-447-qual.txt","60.9")</f>
        <v>60.9</v>
      </c>
      <c r="H608">
        <v>0.2</v>
      </c>
      <c r="I608">
        <v>77.2</v>
      </c>
      <c r="J608">
        <v>572</v>
      </c>
      <c r="K608" t="s">
        <v>12</v>
      </c>
      <c r="L608">
        <v>1</v>
      </c>
      <c r="M608" t="s">
        <v>460</v>
      </c>
      <c r="N608">
        <v>572</v>
      </c>
      <c r="O608">
        <v>591</v>
      </c>
      <c r="P608">
        <v>159</v>
      </c>
      <c r="Q608" t="s">
        <v>1266</v>
      </c>
      <c r="R608">
        <v>1</v>
      </c>
      <c r="S608" s="7" t="s">
        <v>4585</v>
      </c>
      <c r="U608">
        <v>1</v>
      </c>
      <c r="V608" s="4">
        <v>362</v>
      </c>
      <c r="W608">
        <v>1</v>
      </c>
      <c r="X608" s="4">
        <v>371</v>
      </c>
      <c r="Y608">
        <v>1</v>
      </c>
      <c r="Z608" s="4">
        <v>376</v>
      </c>
      <c r="AA608">
        <v>1</v>
      </c>
      <c r="AB608" s="4" t="str">
        <f>HYPERLINK("http://exon.niaid.nih.gov/transcriptome/C_felis/S1/links/XC-ASB/cf-contig_447-XC-ASB.txt","XC-contig_51")</f>
        <v>XC-contig_51</v>
      </c>
      <c r="AC608">
        <v>6.9000000000000006E-2</v>
      </c>
      <c r="AD608" s="10" t="s">
        <v>4600</v>
      </c>
      <c r="AE608" t="s">
        <v>4601</v>
      </c>
      <c r="AI608" s="4" t="str">
        <f>HYPERLINK("http://exon.niaid.nih.gov/transcriptome/C_felis/S1/links/NR/cf-contig_447-NR.txt","acetyltransferase family protein")</f>
        <v>acetyltransferase family protein</v>
      </c>
      <c r="AJ608" t="str">
        <f>HYPERLINK("http://www.ncbi.nlm.nih.gov/sutils/blink.cgi?pid=345860753","2.3")</f>
        <v>2.3</v>
      </c>
      <c r="AK608" t="str">
        <f>HYPERLINK("http://www.ncbi.nlm.nih.gov/protein/345860753","gi|345860753")</f>
        <v>gi|345860753</v>
      </c>
      <c r="AL608">
        <v>36.6</v>
      </c>
      <c r="AM608">
        <v>50</v>
      </c>
      <c r="AN608">
        <v>288</v>
      </c>
      <c r="AO608">
        <v>40</v>
      </c>
      <c r="AP608">
        <v>18</v>
      </c>
      <c r="AQ608">
        <v>31</v>
      </c>
      <c r="AR608">
        <v>4</v>
      </c>
      <c r="AS608">
        <v>3</v>
      </c>
      <c r="AT608">
        <v>180</v>
      </c>
      <c r="AU608">
        <v>1</v>
      </c>
      <c r="AV608">
        <v>-2</v>
      </c>
      <c r="AW608" t="s">
        <v>12</v>
      </c>
      <c r="AY608" t="s">
        <v>1666</v>
      </c>
      <c r="AZ608" t="s">
        <v>3276</v>
      </c>
      <c r="BA608" s="4" t="str">
        <f>HYPERLINK("http://exon.niaid.nih.gov/transcriptome/C_felis/S1/links/SWISSP/cf-contig_447-SWISSP.txt","DNA-directed RNA polymerase subunit beta")</f>
        <v>DNA-directed RNA polymerase subunit beta</v>
      </c>
      <c r="BB608" t="str">
        <f>HYPERLINK("http://www.uniprot.org/uniprot/P21421","3.8")</f>
        <v>3.8</v>
      </c>
      <c r="BC608" t="s">
        <v>1790</v>
      </c>
      <c r="BD608">
        <v>31.6</v>
      </c>
      <c r="BE608">
        <v>153</v>
      </c>
      <c r="BF608">
        <v>1024</v>
      </c>
      <c r="BG608">
        <v>27</v>
      </c>
      <c r="BH608">
        <v>15</v>
      </c>
      <c r="BI608">
        <v>123</v>
      </c>
      <c r="BJ608">
        <v>11</v>
      </c>
      <c r="BK608">
        <v>93</v>
      </c>
      <c r="BL608">
        <v>45</v>
      </c>
      <c r="BM608">
        <v>1</v>
      </c>
      <c r="BN608">
        <v>-2</v>
      </c>
      <c r="BO608" t="s">
        <v>12</v>
      </c>
      <c r="BP608">
        <v>3.9220000000000002</v>
      </c>
      <c r="BQ608" t="s">
        <v>1666</v>
      </c>
      <c r="BR608" t="s">
        <v>1791</v>
      </c>
      <c r="BS608" s="4" t="str">
        <f>HYPERLINK("http://exon.niaid.nih.gov/transcriptome/C_felis/S1/links/CDD/cf-contig_447-CDD.txt","GT_GPT_euk")</f>
        <v>GT_GPT_euk</v>
      </c>
      <c r="BT608" t="str">
        <f>HYPERLINK("http://www.ncbi.nlm.nih.gov/Structure/cdd/cddsrv.cgi?uid=cd06855&amp;version=v4.0","0.010")</f>
        <v>0.010</v>
      </c>
      <c r="BU608" t="s">
        <v>3277</v>
      </c>
      <c r="BV608" s="4" t="s">
        <v>42</v>
      </c>
      <c r="BW608" t="s">
        <v>42</v>
      </c>
      <c r="BX608" t="s">
        <v>42</v>
      </c>
      <c r="BY608" t="s">
        <v>42</v>
      </c>
      <c r="BZ608" t="s">
        <v>42</v>
      </c>
      <c r="CA608" t="s">
        <v>42</v>
      </c>
      <c r="CB608" t="s">
        <v>42</v>
      </c>
      <c r="CC608" t="s">
        <v>42</v>
      </c>
      <c r="CD608" t="s">
        <v>42</v>
      </c>
      <c r="CE608" t="s">
        <v>42</v>
      </c>
      <c r="CF608" t="s">
        <v>42</v>
      </c>
      <c r="CG608" t="s">
        <v>42</v>
      </c>
      <c r="CH608" t="s">
        <v>42</v>
      </c>
      <c r="CI608" t="s">
        <v>42</v>
      </c>
      <c r="CJ608" t="s">
        <v>42</v>
      </c>
      <c r="CK608" t="s">
        <v>42</v>
      </c>
      <c r="CL608" t="s">
        <v>42</v>
      </c>
      <c r="CM608" t="s">
        <v>42</v>
      </c>
      <c r="CN608" t="s">
        <v>42</v>
      </c>
      <c r="CO608" t="s">
        <v>42</v>
      </c>
      <c r="CP608" t="s">
        <v>42</v>
      </c>
      <c r="CQ608" t="s">
        <v>42</v>
      </c>
      <c r="CR608" t="s">
        <v>42</v>
      </c>
      <c r="CS608" s="4" t="str">
        <f>HYPERLINK("http://exon.niaid.nih.gov/transcriptome/C_felis/S1/links/KOG/cf-contig_447-KOG.txt","Prolactin regulatory element-binding protein/Protein transport protein SEC12p")</f>
        <v>Prolactin regulatory element-binding protein/Protein transport protein SEC12p</v>
      </c>
      <c r="CT608" t="str">
        <f>HYPERLINK("http://www.ncbi.nlm.nih.gov/COG/grace/shokog.cgi?KOG0771","0.15")</f>
        <v>0.15</v>
      </c>
      <c r="CU608" t="s">
        <v>1686</v>
      </c>
      <c r="CV608" s="4" t="str">
        <f>HYPERLINK("http://exon.niaid.nih.gov/transcriptome/C_felis/S1/links/PFAM/cf-contig_447-PFAM.txt","7TM_GPCR_Srz")</f>
        <v>7TM_GPCR_Srz</v>
      </c>
      <c r="CW608" t="str">
        <f>HYPERLINK("http://pfam.sanger.ac.uk/family?acc=PF10325","0.002")</f>
        <v>0.002</v>
      </c>
      <c r="CX608" s="4" t="str">
        <f>HYPERLINK("http://exon.niaid.nih.gov/transcriptome/C_felis/S1/links/SMART/cf-contig_447-SMART.txt","PSN")</f>
        <v>PSN</v>
      </c>
      <c r="CY608" t="str">
        <f>HYPERLINK("http://smart.embl-heidelberg.de/smart/do_annotation.pl?DOMAIN=PSN&amp;BLAST=DUMMY","0.11")</f>
        <v>0.11</v>
      </c>
      <c r="CZ608" s="4" t="s">
        <v>42</v>
      </c>
      <c r="DA608" t="s">
        <v>42</v>
      </c>
      <c r="DB608" t="s">
        <v>42</v>
      </c>
      <c r="DC608" t="s">
        <v>42</v>
      </c>
      <c r="DD608" t="s">
        <v>42</v>
      </c>
      <c r="DE608" t="s">
        <v>42</v>
      </c>
      <c r="DF608" t="s">
        <v>42</v>
      </c>
      <c r="DG608" t="s">
        <v>42</v>
      </c>
      <c r="DH608" s="4" t="s">
        <v>42</v>
      </c>
      <c r="DI608" t="s">
        <v>42</v>
      </c>
      <c r="DJ608" s="4" t="s">
        <v>42</v>
      </c>
      <c r="DK608" t="s">
        <v>42</v>
      </c>
      <c r="DL608" s="4">
        <v>362</v>
      </c>
      <c r="DM608">
        <v>1</v>
      </c>
      <c r="DN608" s="4">
        <v>371</v>
      </c>
      <c r="DO608">
        <v>1</v>
      </c>
      <c r="DP608" s="4">
        <v>376</v>
      </c>
      <c r="DQ608">
        <v>1</v>
      </c>
      <c r="DR608" s="4">
        <v>390</v>
      </c>
      <c r="DS608">
        <v>1</v>
      </c>
      <c r="DT608" s="4">
        <v>400</v>
      </c>
      <c r="DU608">
        <v>1</v>
      </c>
      <c r="DV608" s="4">
        <v>414</v>
      </c>
      <c r="DW608">
        <v>1</v>
      </c>
      <c r="DX608" s="4">
        <v>417</v>
      </c>
      <c r="DY608">
        <v>1</v>
      </c>
      <c r="DZ608" s="4">
        <v>422</v>
      </c>
      <c r="EA608">
        <v>1</v>
      </c>
      <c r="EB608" s="4">
        <v>427</v>
      </c>
      <c r="EC608">
        <v>1</v>
      </c>
      <c r="ED608" s="4">
        <v>431</v>
      </c>
      <c r="EE608">
        <v>1</v>
      </c>
      <c r="EF608" s="4">
        <v>436</v>
      </c>
      <c r="EG608">
        <v>1</v>
      </c>
      <c r="EH608" s="4">
        <v>441</v>
      </c>
      <c r="EI608">
        <v>1</v>
      </c>
      <c r="EJ608" s="4">
        <v>447</v>
      </c>
      <c r="EK608">
        <v>1</v>
      </c>
    </row>
    <row r="609" spans="1:141" x14ac:dyDescent="0.2">
      <c r="A609" t="str">
        <f>HYPERLINK("http://exon.niaid.nih.gov/transcriptome/C_felis/S1/links/cf/cf-contig_652.txt","cf-contig_652")</f>
        <v>cf-contig_652</v>
      </c>
      <c r="B609">
        <v>1</v>
      </c>
      <c r="C609" s="10" t="s">
        <v>4600</v>
      </c>
      <c r="D609">
        <v>1</v>
      </c>
      <c r="E609" t="str">
        <f>HYPERLINK("http://exon.niaid.nih.gov/transcriptome/C_felis/S1/links/cf/cf-5-36-asb-652.txt","Contig-652")</f>
        <v>Contig-652</v>
      </c>
      <c r="F609" t="str">
        <f>HYPERLINK("http://exon.niaid.nih.gov/transcriptome/C_felis/S1/links/cf/cf-5-36-652-CLU.txt","Contig652")</f>
        <v>Contig652</v>
      </c>
      <c r="G609" t="str">
        <f>HYPERLINK("http://exon.niaid.nih.gov/transcriptome/C_felis/S1/links/cf/cf-5-36-652-qual.txt","63.1")</f>
        <v>63.1</v>
      </c>
      <c r="H609">
        <v>0.3</v>
      </c>
      <c r="I609">
        <v>76.099999999999994</v>
      </c>
      <c r="J609">
        <v>303</v>
      </c>
      <c r="K609" t="s">
        <v>12</v>
      </c>
      <c r="L609">
        <v>1</v>
      </c>
      <c r="M609" t="s">
        <v>665</v>
      </c>
      <c r="N609">
        <v>303</v>
      </c>
      <c r="O609">
        <v>322</v>
      </c>
      <c r="P609">
        <v>126</v>
      </c>
      <c r="Q609" t="s">
        <v>1471</v>
      </c>
      <c r="R609">
        <v>2</v>
      </c>
      <c r="S609" s="7" t="s">
        <v>4585</v>
      </c>
      <c r="U609">
        <v>1</v>
      </c>
      <c r="V609" s="4">
        <v>533</v>
      </c>
      <c r="W609">
        <v>1</v>
      </c>
      <c r="X609" s="4">
        <v>545</v>
      </c>
      <c r="Y609">
        <v>1</v>
      </c>
      <c r="Z609" s="4">
        <v>557</v>
      </c>
      <c r="AA609">
        <v>1</v>
      </c>
      <c r="AB609" s="4" t="str">
        <f>HYPERLINK("http://exon.niaid.nih.gov/transcriptome/C_felis/S1/links/XC-ASB/cf-contig_652-XC-ASB.txt","XC-contig_157")</f>
        <v>XC-contig_157</v>
      </c>
      <c r="AC609">
        <v>0.21</v>
      </c>
      <c r="AD609" s="10" t="s">
        <v>4600</v>
      </c>
      <c r="AE609" t="s">
        <v>4601</v>
      </c>
      <c r="AI609" s="4" t="str">
        <f>HYPERLINK("http://exon.niaid.nih.gov/transcriptome/C_felis/S1/links/NR/cf-contig_652-NR.txt","O-antigen polymerase")</f>
        <v>O-antigen polymerase</v>
      </c>
      <c r="AJ609" t="str">
        <f>HYPERLINK("http://www.ncbi.nlm.nih.gov/sutils/blink.cgi?pid=288572892","16")</f>
        <v>16</v>
      </c>
      <c r="AK609" t="str">
        <f>HYPERLINK("http://www.ncbi.nlm.nih.gov/protein/288572892","gi|288572892")</f>
        <v>gi|288572892</v>
      </c>
      <c r="AL609">
        <v>33.1</v>
      </c>
      <c r="AM609">
        <v>52</v>
      </c>
      <c r="AN609">
        <v>585</v>
      </c>
      <c r="AO609">
        <v>35</v>
      </c>
      <c r="AP609">
        <v>9</v>
      </c>
      <c r="AQ609">
        <v>34</v>
      </c>
      <c r="AR609">
        <v>0</v>
      </c>
      <c r="AS609">
        <v>190</v>
      </c>
      <c r="AT609">
        <v>86</v>
      </c>
      <c r="AU609">
        <v>1</v>
      </c>
      <c r="AV609">
        <v>2</v>
      </c>
      <c r="AW609" t="s">
        <v>12</v>
      </c>
      <c r="AX609">
        <v>3.8460000000000001</v>
      </c>
      <c r="AY609" t="s">
        <v>1676</v>
      </c>
      <c r="AZ609" t="s">
        <v>4062</v>
      </c>
      <c r="BA609" s="4" t="str">
        <f>HYPERLINK("http://exon.niaid.nih.gov/transcriptome/C_felis/S1/links/SWISSP/cf-contig_652-SWISSP.txt","Serine/threonine-protein phosphatase 2A 65 kDa regulatory subunit A beta isoform")</f>
        <v>Serine/threonine-protein phosphatase 2A 65 kDa regulatory subunit A beta isoform</v>
      </c>
      <c r="BB609" t="str">
        <f>HYPERLINK("http://www.uniprot.org/uniprot/P54613","10")</f>
        <v>10</v>
      </c>
      <c r="BC609" t="s">
        <v>4063</v>
      </c>
      <c r="BD609">
        <v>28.9</v>
      </c>
      <c r="BE609">
        <v>43</v>
      </c>
      <c r="BF609">
        <v>602</v>
      </c>
      <c r="BG609">
        <v>34</v>
      </c>
      <c r="BH609">
        <v>7</v>
      </c>
      <c r="BI609">
        <v>31</v>
      </c>
      <c r="BJ609">
        <v>0</v>
      </c>
      <c r="BK609">
        <v>478</v>
      </c>
      <c r="BL609">
        <v>138</v>
      </c>
      <c r="BM609">
        <v>1</v>
      </c>
      <c r="BN609">
        <v>3</v>
      </c>
      <c r="BO609" t="s">
        <v>12</v>
      </c>
      <c r="BP609">
        <v>6.9770000000000003</v>
      </c>
      <c r="BQ609" t="s">
        <v>1676</v>
      </c>
      <c r="BR609" t="s">
        <v>1902</v>
      </c>
      <c r="BS609" s="4" t="str">
        <f>HYPERLINK("http://exon.niaid.nih.gov/transcriptome/C_felis/S1/links/CDD/cf-contig_652-CDD.txt","ATPase-IID_K-Na")</f>
        <v>ATPase-IID_K-Na</v>
      </c>
      <c r="BT609" t="str">
        <f>HYPERLINK("http://www.ncbi.nlm.nih.gov/Structure/cdd/cddsrv.cgi?uid=TIGR01523&amp;version=v4.0","0.81")</f>
        <v>0.81</v>
      </c>
      <c r="BU609" t="s">
        <v>4064</v>
      </c>
      <c r="BV609" s="4" t="s">
        <v>42</v>
      </c>
      <c r="BW609" t="s">
        <v>42</v>
      </c>
      <c r="BX609" t="s">
        <v>42</v>
      </c>
      <c r="BY609" t="s">
        <v>42</v>
      </c>
      <c r="BZ609" t="s">
        <v>42</v>
      </c>
      <c r="CA609" t="s">
        <v>42</v>
      </c>
      <c r="CB609" t="s">
        <v>42</v>
      </c>
      <c r="CC609" t="s">
        <v>42</v>
      </c>
      <c r="CD609" t="s">
        <v>42</v>
      </c>
      <c r="CE609" t="s">
        <v>42</v>
      </c>
      <c r="CF609" t="s">
        <v>42</v>
      </c>
      <c r="CG609" t="s">
        <v>42</v>
      </c>
      <c r="CH609" t="s">
        <v>42</v>
      </c>
      <c r="CI609" t="s">
        <v>42</v>
      </c>
      <c r="CJ609" t="s">
        <v>42</v>
      </c>
      <c r="CK609" t="s">
        <v>42</v>
      </c>
      <c r="CL609" t="s">
        <v>42</v>
      </c>
      <c r="CM609" t="s">
        <v>42</v>
      </c>
      <c r="CN609" t="s">
        <v>42</v>
      </c>
      <c r="CO609" t="s">
        <v>42</v>
      </c>
      <c r="CP609" t="s">
        <v>42</v>
      </c>
      <c r="CQ609" t="s">
        <v>42</v>
      </c>
      <c r="CR609" t="s">
        <v>42</v>
      </c>
      <c r="CS609" s="4" t="str">
        <f>HYPERLINK("http://exon.niaid.nih.gov/transcriptome/C_felis/S1/links/KOG/cf-contig_652-KOG.txt","Transcription-associated recombination protein - Thp1p")</f>
        <v>Transcription-associated recombination protein - Thp1p</v>
      </c>
      <c r="CT609" t="str">
        <f>HYPERLINK("http://www.ncbi.nlm.nih.gov/COG/grace/shokog.cgi?KOG2688","0.12")</f>
        <v>0.12</v>
      </c>
      <c r="CU609" t="s">
        <v>1750</v>
      </c>
      <c r="CV609" s="4" t="str">
        <f>HYPERLINK("http://exon.niaid.nih.gov/transcriptome/C_felis/S1/links/PFAM/cf-contig_652-PFAM.txt","DUF3785")</f>
        <v>DUF3785</v>
      </c>
      <c r="CW609" t="str">
        <f>HYPERLINK("http://pfam.sanger.ac.uk/family?acc=PF12653","0.20")</f>
        <v>0.20</v>
      </c>
      <c r="CX609" s="4" t="str">
        <f>HYPERLINK("http://exon.niaid.nih.gov/transcriptome/C_felis/S1/links/SMART/cf-contig_652-SMART.txt","SERPIN")</f>
        <v>SERPIN</v>
      </c>
      <c r="CY609" t="str">
        <f>HYPERLINK("http://smart.embl-heidelberg.de/smart/do_annotation.pl?DOMAIN=SERPIN&amp;BLAST=DUMMY","0.10")</f>
        <v>0.10</v>
      </c>
      <c r="CZ609" s="4" t="s">
        <v>42</v>
      </c>
      <c r="DA609" t="s">
        <v>42</v>
      </c>
      <c r="DB609" t="s">
        <v>42</v>
      </c>
      <c r="DC609" t="s">
        <v>42</v>
      </c>
      <c r="DD609" t="s">
        <v>42</v>
      </c>
      <c r="DE609" t="s">
        <v>42</v>
      </c>
      <c r="DF609" t="s">
        <v>42</v>
      </c>
      <c r="DG609" t="s">
        <v>42</v>
      </c>
      <c r="DH609" s="4" t="s">
        <v>42</v>
      </c>
      <c r="DI609" t="s">
        <v>42</v>
      </c>
      <c r="DJ609" s="4" t="s">
        <v>42</v>
      </c>
      <c r="DK609" t="s">
        <v>42</v>
      </c>
      <c r="DL609" s="4">
        <v>533</v>
      </c>
      <c r="DM609">
        <v>1</v>
      </c>
      <c r="DN609" s="4">
        <v>545</v>
      </c>
      <c r="DO609">
        <v>1</v>
      </c>
      <c r="DP609" s="4">
        <v>557</v>
      </c>
      <c r="DQ609">
        <v>1</v>
      </c>
      <c r="DR609" s="4">
        <v>577</v>
      </c>
      <c r="DS609">
        <v>1</v>
      </c>
      <c r="DT609" s="4">
        <v>590</v>
      </c>
      <c r="DU609">
        <v>1</v>
      </c>
      <c r="DV609" s="4">
        <v>604</v>
      </c>
      <c r="DW609">
        <v>1</v>
      </c>
      <c r="DX609" s="4">
        <v>613</v>
      </c>
      <c r="DY609">
        <v>1</v>
      </c>
      <c r="DZ609" s="4">
        <v>622</v>
      </c>
      <c r="EA609">
        <v>1</v>
      </c>
      <c r="EB609" s="4">
        <v>627</v>
      </c>
      <c r="EC609">
        <v>1</v>
      </c>
      <c r="ED609" s="4">
        <v>631</v>
      </c>
      <c r="EE609">
        <v>1</v>
      </c>
      <c r="EF609" s="4">
        <v>637</v>
      </c>
      <c r="EG609">
        <v>1</v>
      </c>
      <c r="EH609" s="4">
        <v>645</v>
      </c>
      <c r="EI609">
        <v>1</v>
      </c>
      <c r="EJ609" s="4">
        <v>652</v>
      </c>
      <c r="EK609">
        <v>1</v>
      </c>
    </row>
    <row r="610" spans="1:141" x14ac:dyDescent="0.2">
      <c r="A610" t="str">
        <f>HYPERLINK("http://exon.niaid.nih.gov/transcriptome/C_felis/S1/links/cf/cf-contig_435.txt","cf-contig_435")</f>
        <v>cf-contig_435</v>
      </c>
      <c r="B610">
        <v>1</v>
      </c>
      <c r="C610" s="10" t="s">
        <v>4600</v>
      </c>
      <c r="D610">
        <v>1</v>
      </c>
      <c r="E610" t="str">
        <f>HYPERLINK("http://exon.niaid.nih.gov/transcriptome/C_felis/S1/links/cf/cf-5-36-asb-435.txt","Contig-435")</f>
        <v>Contig-435</v>
      </c>
      <c r="F610" t="str">
        <f>HYPERLINK("http://exon.niaid.nih.gov/transcriptome/C_felis/S1/links/cf/cf-5-36-435-CLU.txt","Contig435")</f>
        <v>Contig435</v>
      </c>
      <c r="G610" t="str">
        <f>HYPERLINK("http://exon.niaid.nih.gov/transcriptome/C_felis/S1/links/cf/cf-5-36-435-qual.txt","55.8")</f>
        <v>55.8</v>
      </c>
      <c r="H610" t="s">
        <v>11</v>
      </c>
      <c r="I610">
        <v>79.7</v>
      </c>
      <c r="J610">
        <v>114</v>
      </c>
      <c r="K610" t="s">
        <v>12</v>
      </c>
      <c r="L610">
        <v>1</v>
      </c>
      <c r="M610" t="s">
        <v>448</v>
      </c>
      <c r="N610">
        <v>114</v>
      </c>
      <c r="O610">
        <v>133</v>
      </c>
      <c r="P610">
        <v>87</v>
      </c>
      <c r="Q610" t="s">
        <v>1254</v>
      </c>
      <c r="R610">
        <v>3</v>
      </c>
      <c r="S610" s="7" t="s">
        <v>4585</v>
      </c>
      <c r="U610">
        <v>1</v>
      </c>
      <c r="V610" s="4">
        <v>352</v>
      </c>
      <c r="W610">
        <v>1</v>
      </c>
      <c r="X610" s="4">
        <v>361</v>
      </c>
      <c r="Y610">
        <v>1</v>
      </c>
      <c r="Z610" s="4">
        <v>365</v>
      </c>
      <c r="AA610">
        <v>1</v>
      </c>
      <c r="AB610" s="4" t="str">
        <f>HYPERLINK("http://exon.niaid.nih.gov/transcriptome/C_felis/S1/links/XC-ASB/cf-contig_435-XC-ASB.txt","XC-contig_190")</f>
        <v>XC-contig_190</v>
      </c>
      <c r="AC610">
        <v>9.9000000000000005E-2</v>
      </c>
      <c r="AD610" s="10" t="s">
        <v>4600</v>
      </c>
      <c r="AE610" t="s">
        <v>4601</v>
      </c>
      <c r="AI610" s="4" t="str">
        <f>HYPERLINK("http://exon.niaid.nih.gov/transcriptome/C_felis/S1/links/NR/cf-contig_435-NR.txt","CoA-transferase family III protein")</f>
        <v>CoA-transferase family III protein</v>
      </c>
      <c r="AJ610" t="str">
        <f>HYPERLINK("http://www.ncbi.nlm.nih.gov/sutils/blink.cgi?pid=66826035","21")</f>
        <v>21</v>
      </c>
      <c r="AK610" t="str">
        <f>HYPERLINK("http://www.ncbi.nlm.nih.gov/protein/66826035","gi|66826035")</f>
        <v>gi|66826035</v>
      </c>
      <c r="AL610">
        <v>32.700000000000003</v>
      </c>
      <c r="AM610">
        <v>25</v>
      </c>
      <c r="AN610">
        <v>471</v>
      </c>
      <c r="AO610">
        <v>46</v>
      </c>
      <c r="AP610">
        <v>6</v>
      </c>
      <c r="AQ610">
        <v>14</v>
      </c>
      <c r="AR610">
        <v>0</v>
      </c>
      <c r="AS610">
        <v>361</v>
      </c>
      <c r="AT610">
        <v>27</v>
      </c>
      <c r="AU610">
        <v>1</v>
      </c>
      <c r="AV610">
        <v>3</v>
      </c>
      <c r="AW610" t="s">
        <v>12</v>
      </c>
      <c r="AX610">
        <v>4</v>
      </c>
      <c r="AY610" t="s">
        <v>1676</v>
      </c>
      <c r="AZ610" t="s">
        <v>3078</v>
      </c>
      <c r="BA610" s="4" t="str">
        <f>HYPERLINK("http://exon.niaid.nih.gov/transcriptome/C_felis/S1/links/SWISSP/cf-contig_435-SWISSP.txt","CaiB/baiF CoA-transferase family protein DDB_G0269880")</f>
        <v>CaiB/baiF CoA-transferase family protein DDB_G0269880</v>
      </c>
      <c r="BB610" t="str">
        <f>HYPERLINK("http://www.uniprot.org/uniprot/Q55CV9","0.73")</f>
        <v>0.73</v>
      </c>
      <c r="BC610" t="s">
        <v>3224</v>
      </c>
      <c r="BD610">
        <v>32.700000000000003</v>
      </c>
      <c r="BE610">
        <v>25</v>
      </c>
      <c r="BF610">
        <v>471</v>
      </c>
      <c r="BG610">
        <v>46</v>
      </c>
      <c r="BH610">
        <v>6</v>
      </c>
      <c r="BI610">
        <v>14</v>
      </c>
      <c r="BJ610">
        <v>0</v>
      </c>
      <c r="BK610">
        <v>361</v>
      </c>
      <c r="BL610">
        <v>27</v>
      </c>
      <c r="BM610">
        <v>1</v>
      </c>
      <c r="BN610">
        <v>3</v>
      </c>
      <c r="BO610" t="s">
        <v>12</v>
      </c>
      <c r="BP610">
        <v>4</v>
      </c>
      <c r="BQ610" t="s">
        <v>1676</v>
      </c>
      <c r="BR610" t="s">
        <v>1976</v>
      </c>
      <c r="BS610" s="4" t="str">
        <f>HYPERLINK("http://exon.niaid.nih.gov/transcriptome/C_felis/S1/links/CDD/cf-contig_435-CDD.txt","PRK14786")</f>
        <v>PRK14786</v>
      </c>
      <c r="BT610" t="str">
        <f>HYPERLINK("http://www.ncbi.nlm.nih.gov/Structure/cdd/cddsrv.cgi?uid=PRK14786&amp;version=v4.0","2.1")</f>
        <v>2.1</v>
      </c>
      <c r="BU610" t="s">
        <v>3225</v>
      </c>
      <c r="BV610" s="4" t="s">
        <v>42</v>
      </c>
      <c r="BW610" t="s">
        <v>42</v>
      </c>
      <c r="BX610" t="s">
        <v>42</v>
      </c>
      <c r="BY610" t="s">
        <v>42</v>
      </c>
      <c r="BZ610" t="s">
        <v>42</v>
      </c>
      <c r="CA610" t="s">
        <v>42</v>
      </c>
      <c r="CB610" t="s">
        <v>42</v>
      </c>
      <c r="CC610" t="s">
        <v>42</v>
      </c>
      <c r="CD610" t="s">
        <v>42</v>
      </c>
      <c r="CE610" t="s">
        <v>42</v>
      </c>
      <c r="CF610" t="s">
        <v>42</v>
      </c>
      <c r="CG610" t="s">
        <v>42</v>
      </c>
      <c r="CH610" t="s">
        <v>42</v>
      </c>
      <c r="CI610" t="s">
        <v>42</v>
      </c>
      <c r="CJ610" t="s">
        <v>42</v>
      </c>
      <c r="CK610" t="s">
        <v>42</v>
      </c>
      <c r="CL610" t="s">
        <v>42</v>
      </c>
      <c r="CM610" t="s">
        <v>42</v>
      </c>
      <c r="CN610" t="s">
        <v>42</v>
      </c>
      <c r="CO610" t="s">
        <v>42</v>
      </c>
      <c r="CP610" t="s">
        <v>42</v>
      </c>
      <c r="CQ610" t="s">
        <v>42</v>
      </c>
      <c r="CR610" t="s">
        <v>42</v>
      </c>
      <c r="CS610" s="4" t="s">
        <v>42</v>
      </c>
      <c r="CT610" t="s">
        <v>42</v>
      </c>
      <c r="CU610" t="s">
        <v>42</v>
      </c>
      <c r="CV610" s="4" t="str">
        <f>HYPERLINK("http://exon.niaid.nih.gov/transcriptome/C_felis/S1/links/PFAM/cf-contig_435-PFAM.txt","Bunya_G2")</f>
        <v>Bunya_G2</v>
      </c>
      <c r="CW610" t="str">
        <f>HYPERLINK("http://pfam.sanger.ac.uk/family?acc=PF03563","1.0")</f>
        <v>1.0</v>
      </c>
      <c r="CX610" s="4" t="str">
        <f>HYPERLINK("http://exon.niaid.nih.gov/transcriptome/C_felis/S1/links/SMART/cf-contig_435-SMART.txt","AgrB")</f>
        <v>AgrB</v>
      </c>
      <c r="CY610" t="str">
        <f>HYPERLINK("http://smart.embl-heidelberg.de/smart/do_annotation.pl?DOMAIN=AgrB&amp;BLAST=DUMMY","0.54")</f>
        <v>0.54</v>
      </c>
      <c r="CZ610" s="4" t="s">
        <v>42</v>
      </c>
      <c r="DA610" t="s">
        <v>42</v>
      </c>
      <c r="DB610" t="s">
        <v>42</v>
      </c>
      <c r="DC610" t="s">
        <v>42</v>
      </c>
      <c r="DD610" t="s">
        <v>42</v>
      </c>
      <c r="DE610" t="s">
        <v>42</v>
      </c>
      <c r="DF610" t="s">
        <v>42</v>
      </c>
      <c r="DG610" t="s">
        <v>42</v>
      </c>
      <c r="DH610" s="4" t="s">
        <v>42</v>
      </c>
      <c r="DI610" t="s">
        <v>42</v>
      </c>
      <c r="DJ610" s="4" t="s">
        <v>42</v>
      </c>
      <c r="DK610" t="s">
        <v>42</v>
      </c>
      <c r="DL610" s="4">
        <v>352</v>
      </c>
      <c r="DM610">
        <v>1</v>
      </c>
      <c r="DN610" s="4">
        <v>361</v>
      </c>
      <c r="DO610">
        <v>1</v>
      </c>
      <c r="DP610" s="4">
        <v>365</v>
      </c>
      <c r="DQ610">
        <v>1</v>
      </c>
      <c r="DR610" s="4">
        <v>379</v>
      </c>
      <c r="DS610">
        <v>1</v>
      </c>
      <c r="DT610" s="4">
        <v>389</v>
      </c>
      <c r="DU610">
        <v>1</v>
      </c>
      <c r="DV610" s="4">
        <v>403</v>
      </c>
      <c r="DW610">
        <v>1</v>
      </c>
      <c r="DX610" s="4">
        <v>406</v>
      </c>
      <c r="DY610">
        <v>1</v>
      </c>
      <c r="DZ610" s="4">
        <v>411</v>
      </c>
      <c r="EA610">
        <v>1</v>
      </c>
      <c r="EB610" s="4">
        <v>416</v>
      </c>
      <c r="EC610">
        <v>1</v>
      </c>
      <c r="ED610" s="4">
        <v>420</v>
      </c>
      <c r="EE610">
        <v>1</v>
      </c>
      <c r="EF610" s="4">
        <v>425</v>
      </c>
      <c r="EG610">
        <v>1</v>
      </c>
      <c r="EH610" s="4">
        <v>429</v>
      </c>
      <c r="EI610">
        <v>1</v>
      </c>
      <c r="EJ610" s="4">
        <v>435</v>
      </c>
      <c r="EK610">
        <v>1</v>
      </c>
    </row>
    <row r="611" spans="1:141" x14ac:dyDescent="0.2">
      <c r="A611" t="str">
        <f>HYPERLINK("http://exon.niaid.nih.gov/transcriptome/C_felis/S1/links/cf/cf-contig_515.txt","cf-contig_515")</f>
        <v>cf-contig_515</v>
      </c>
      <c r="B611">
        <v>1</v>
      </c>
      <c r="C611" s="10" t="s">
        <v>4600</v>
      </c>
      <c r="D611">
        <v>1</v>
      </c>
      <c r="E611" t="str">
        <f>HYPERLINK("http://exon.niaid.nih.gov/transcriptome/C_felis/S1/links/cf/cf-5-36-asb-515.txt","Contig-515")</f>
        <v>Contig-515</v>
      </c>
      <c r="F611" t="str">
        <f>HYPERLINK("http://exon.niaid.nih.gov/transcriptome/C_felis/S1/links/cf/cf-5-36-515-CLU.txt","Contig515")</f>
        <v>Contig515</v>
      </c>
      <c r="G611" t="str">
        <f>HYPERLINK("http://exon.niaid.nih.gov/transcriptome/C_felis/S1/links/cf/cf-5-36-515-qual.txt","59.5")</f>
        <v>59.5</v>
      </c>
      <c r="H611" t="s">
        <v>11</v>
      </c>
      <c r="I611">
        <v>73.400000000000006</v>
      </c>
      <c r="J611">
        <v>312</v>
      </c>
      <c r="K611" t="s">
        <v>12</v>
      </c>
      <c r="L611">
        <v>1</v>
      </c>
      <c r="M611" t="s">
        <v>528</v>
      </c>
      <c r="N611">
        <v>312</v>
      </c>
      <c r="O611">
        <v>331</v>
      </c>
      <c r="P611">
        <v>114</v>
      </c>
      <c r="Q611" t="s">
        <v>1334</v>
      </c>
      <c r="R611">
        <v>3</v>
      </c>
      <c r="S611" s="7" t="s">
        <v>4585</v>
      </c>
      <c r="U611">
        <v>1</v>
      </c>
      <c r="V611" s="4">
        <v>420</v>
      </c>
      <c r="W611">
        <v>1</v>
      </c>
      <c r="X611" s="4">
        <v>429</v>
      </c>
      <c r="Y611">
        <v>1</v>
      </c>
      <c r="Z611" s="4">
        <v>434</v>
      </c>
      <c r="AA611">
        <v>1</v>
      </c>
      <c r="AB611" s="4" t="str">
        <f>HYPERLINK("http://exon.niaid.nih.gov/transcriptome/C_felis/S1/links/XC-ASB/cf-contig_515-XC-ASB.txt","XC-contig_49")</f>
        <v>XC-contig_49</v>
      </c>
      <c r="AC611">
        <v>8.7999999999999995E-2</v>
      </c>
      <c r="AD611" s="10" t="s">
        <v>4600</v>
      </c>
      <c r="AE611" t="s">
        <v>4601</v>
      </c>
      <c r="AI611" s="4" t="str">
        <f>HYPERLINK("http://exon.niaid.nih.gov/transcriptome/C_felis/S1/links/NR/cf-contig_515-NR.txt","hypothetical protein DDB_G0279341")</f>
        <v>hypothetical protein DDB_G0279341</v>
      </c>
      <c r="AJ611" t="str">
        <f>HYPERLINK("http://www.ncbi.nlm.nih.gov/sutils/blink.cgi?pid=66815571","7.2")</f>
        <v>7.2</v>
      </c>
      <c r="AK611" t="str">
        <f>HYPERLINK("http://www.ncbi.nlm.nih.gov/protein/66815571","gi|66815571")</f>
        <v>gi|66815571</v>
      </c>
      <c r="AL611">
        <v>34.299999999999997</v>
      </c>
      <c r="AM611">
        <v>56</v>
      </c>
      <c r="AN611">
        <v>424</v>
      </c>
      <c r="AO611">
        <v>37</v>
      </c>
      <c r="AP611">
        <v>13</v>
      </c>
      <c r="AQ611">
        <v>36</v>
      </c>
      <c r="AR611">
        <v>1</v>
      </c>
      <c r="AS611">
        <v>49</v>
      </c>
      <c r="AT611">
        <v>125</v>
      </c>
      <c r="AU611">
        <v>1</v>
      </c>
      <c r="AV611">
        <v>-1</v>
      </c>
      <c r="AW611" t="s">
        <v>12</v>
      </c>
      <c r="AX611">
        <v>1.786</v>
      </c>
      <c r="AY611" t="s">
        <v>1666</v>
      </c>
      <c r="AZ611" t="s">
        <v>3078</v>
      </c>
      <c r="BA611" s="4" t="str">
        <f>HYPERLINK("http://exon.niaid.nih.gov/transcriptome/C_felis/S1/links/SWISSP/cf-contig_515-SWISSP.txt","Putative membrane protein ycf1")</f>
        <v>Putative membrane protein ycf1</v>
      </c>
      <c r="BB611" t="str">
        <f>HYPERLINK("http://www.uniprot.org/uniprot/Q8M9T2","8.1")</f>
        <v>8.1</v>
      </c>
      <c r="BC611" t="s">
        <v>3547</v>
      </c>
      <c r="BD611">
        <v>29.3</v>
      </c>
      <c r="BE611">
        <v>40</v>
      </c>
      <c r="BF611">
        <v>1450</v>
      </c>
      <c r="BG611">
        <v>30</v>
      </c>
      <c r="BH611">
        <v>3</v>
      </c>
      <c r="BI611">
        <v>29</v>
      </c>
      <c r="BJ611">
        <v>0</v>
      </c>
      <c r="BK611">
        <v>8</v>
      </c>
      <c r="BL611">
        <v>176</v>
      </c>
      <c r="BM611">
        <v>1</v>
      </c>
      <c r="BN611">
        <v>-1</v>
      </c>
      <c r="BO611" t="s">
        <v>12</v>
      </c>
      <c r="BQ611" t="s">
        <v>1666</v>
      </c>
      <c r="BR611" t="s">
        <v>3548</v>
      </c>
      <c r="BS611" s="4" t="str">
        <f>HYPERLINK("http://exon.niaid.nih.gov/transcriptome/C_felis/S1/links/CDD/cf-contig_515-CDD.txt","DUF63")</f>
        <v>DUF63</v>
      </c>
      <c r="BT611" t="str">
        <f>HYPERLINK("http://www.ncbi.nlm.nih.gov/Structure/cdd/cddsrv.cgi?uid=pfam01889&amp;version=v4.0","0.021")</f>
        <v>0.021</v>
      </c>
      <c r="BU611" t="s">
        <v>3549</v>
      </c>
      <c r="BV611" s="4" t="s">
        <v>42</v>
      </c>
      <c r="BW611" t="s">
        <v>42</v>
      </c>
      <c r="BX611" t="s">
        <v>42</v>
      </c>
      <c r="BY611" t="s">
        <v>42</v>
      </c>
      <c r="BZ611" t="s">
        <v>42</v>
      </c>
      <c r="CA611" t="s">
        <v>42</v>
      </c>
      <c r="CB611" t="s">
        <v>42</v>
      </c>
      <c r="CC611" t="s">
        <v>42</v>
      </c>
      <c r="CD611" t="s">
        <v>42</v>
      </c>
      <c r="CE611" t="s">
        <v>42</v>
      </c>
      <c r="CF611" t="s">
        <v>42</v>
      </c>
      <c r="CG611" t="s">
        <v>42</v>
      </c>
      <c r="CH611" t="s">
        <v>42</v>
      </c>
      <c r="CI611" t="s">
        <v>42</v>
      </c>
      <c r="CJ611" t="s">
        <v>42</v>
      </c>
      <c r="CK611" t="s">
        <v>42</v>
      </c>
      <c r="CL611" t="s">
        <v>42</v>
      </c>
      <c r="CM611" t="s">
        <v>42</v>
      </c>
      <c r="CN611" t="s">
        <v>42</v>
      </c>
      <c r="CO611" t="s">
        <v>42</v>
      </c>
      <c r="CP611" t="s">
        <v>42</v>
      </c>
      <c r="CQ611" t="s">
        <v>42</v>
      </c>
      <c r="CR611" t="s">
        <v>42</v>
      </c>
      <c r="CS611" s="4" t="str">
        <f>HYPERLINK("http://exon.niaid.nih.gov/transcriptome/C_felis/S1/links/KOG/cf-contig_515-KOG.txt","Voltage-gated Ca2+ channels, alpha1 subunits")</f>
        <v>Voltage-gated Ca2+ channels, alpha1 subunits</v>
      </c>
      <c r="CT611" t="str">
        <f>HYPERLINK("http://www.ncbi.nlm.nih.gov/COG/grace/shokog.cgi?KOG2301","0.16")</f>
        <v>0.16</v>
      </c>
      <c r="CU611" t="s">
        <v>1702</v>
      </c>
      <c r="CV611" s="4" t="str">
        <f>HYPERLINK("http://exon.niaid.nih.gov/transcriptome/C_felis/S1/links/PFAM/cf-contig_515-PFAM.txt","DUF63")</f>
        <v>DUF63</v>
      </c>
      <c r="CW611" t="str">
        <f>HYPERLINK("http://pfam.sanger.ac.uk/family?acc=PF01889","0.004")</f>
        <v>0.004</v>
      </c>
      <c r="CX611" s="4" t="str">
        <f>HYPERLINK("http://exon.niaid.nih.gov/transcriptome/C_felis/S1/links/SMART/cf-contig_515-SMART.txt","RhoGEF")</f>
        <v>RhoGEF</v>
      </c>
      <c r="CY611" t="str">
        <f>HYPERLINK("http://smart.embl-heidelberg.de/smart/do_annotation.pl?DOMAIN=RhoGEF&amp;BLAST=DUMMY","0.58")</f>
        <v>0.58</v>
      </c>
      <c r="CZ611" s="4" t="s">
        <v>42</v>
      </c>
      <c r="DA611" t="s">
        <v>42</v>
      </c>
      <c r="DB611" t="s">
        <v>42</v>
      </c>
      <c r="DC611" t="s">
        <v>42</v>
      </c>
      <c r="DD611" t="s">
        <v>42</v>
      </c>
      <c r="DE611" t="s">
        <v>42</v>
      </c>
      <c r="DF611" t="s">
        <v>42</v>
      </c>
      <c r="DG611" t="s">
        <v>42</v>
      </c>
      <c r="DH611" s="4" t="s">
        <v>42</v>
      </c>
      <c r="DI611" t="s">
        <v>42</v>
      </c>
      <c r="DJ611" s="4" t="s">
        <v>42</v>
      </c>
      <c r="DK611" t="s">
        <v>42</v>
      </c>
      <c r="DL611" s="4">
        <v>420</v>
      </c>
      <c r="DM611">
        <v>1</v>
      </c>
      <c r="DN611" s="4">
        <v>429</v>
      </c>
      <c r="DO611">
        <v>1</v>
      </c>
      <c r="DP611" s="4">
        <v>434</v>
      </c>
      <c r="DQ611">
        <v>1</v>
      </c>
      <c r="DR611" s="4">
        <v>449</v>
      </c>
      <c r="DS611">
        <v>1</v>
      </c>
      <c r="DT611" s="4">
        <v>460</v>
      </c>
      <c r="DU611">
        <v>1</v>
      </c>
      <c r="DV611" s="4">
        <v>474</v>
      </c>
      <c r="DW611">
        <v>1</v>
      </c>
      <c r="DX611" s="4">
        <v>480</v>
      </c>
      <c r="DY611">
        <v>1</v>
      </c>
      <c r="DZ611" s="4">
        <v>488</v>
      </c>
      <c r="EA611">
        <v>1</v>
      </c>
      <c r="EB611" s="4">
        <v>493</v>
      </c>
      <c r="EC611">
        <v>1</v>
      </c>
      <c r="ED611" s="4">
        <v>497</v>
      </c>
      <c r="EE611">
        <v>1</v>
      </c>
      <c r="EF611" s="4">
        <v>502</v>
      </c>
      <c r="EG611">
        <v>1</v>
      </c>
      <c r="EH611" s="4">
        <v>508</v>
      </c>
      <c r="EI611">
        <v>1</v>
      </c>
      <c r="EJ611" s="4">
        <v>515</v>
      </c>
      <c r="EK611">
        <v>1</v>
      </c>
    </row>
    <row r="612" spans="1:141" x14ac:dyDescent="0.2">
      <c r="A612" t="str">
        <f>HYPERLINK("http://exon.niaid.nih.gov/transcriptome/C_felis/S1/links/cf/cf-contig_790.txt","cf-contig_790")</f>
        <v>cf-contig_790</v>
      </c>
      <c r="B612">
        <v>1</v>
      </c>
      <c r="C612" s="10" t="s">
        <v>4600</v>
      </c>
      <c r="D612">
        <v>1</v>
      </c>
      <c r="E612" t="str">
        <f>HYPERLINK("http://exon.niaid.nih.gov/transcriptome/C_felis/S1/links/cf/cf-5-36-asb-790.txt","Contig-790")</f>
        <v>Contig-790</v>
      </c>
      <c r="F612" t="str">
        <f>HYPERLINK("http://exon.niaid.nih.gov/transcriptome/C_felis/S1/links/cf/cf-5-36-790-CLU.txt","Contig790")</f>
        <v>Contig790</v>
      </c>
      <c r="G612" t="str">
        <f>HYPERLINK("http://exon.niaid.nih.gov/transcriptome/C_felis/S1/links/cf/cf-5-36-790-qual.txt","25.7")</f>
        <v>25.7</v>
      </c>
      <c r="H612" t="s">
        <v>11</v>
      </c>
      <c r="I612">
        <v>70.599999999999994</v>
      </c>
      <c r="J612">
        <v>409</v>
      </c>
      <c r="K612" t="s">
        <v>12</v>
      </c>
      <c r="L612">
        <v>1</v>
      </c>
      <c r="M612" t="s">
        <v>803</v>
      </c>
      <c r="N612">
        <v>409</v>
      </c>
      <c r="O612">
        <v>428</v>
      </c>
      <c r="P612">
        <v>228</v>
      </c>
      <c r="Q612" t="s">
        <v>1609</v>
      </c>
      <c r="R612">
        <v>2</v>
      </c>
      <c r="S612" s="7" t="str">
        <f>HYPERLINK("http://exon.niaid.nih.gov/transcriptome/C_felis/S1/links/Sigp/CF-CONTIG_790-SigP.txt","Cyt")</f>
        <v>Cyt</v>
      </c>
      <c r="U612">
        <v>1</v>
      </c>
      <c r="V612" s="4">
        <v>635</v>
      </c>
      <c r="W612">
        <v>1</v>
      </c>
      <c r="X612" s="4">
        <v>656</v>
      </c>
      <c r="Y612">
        <v>1</v>
      </c>
      <c r="Z612" s="4">
        <v>672</v>
      </c>
      <c r="AA612">
        <v>1</v>
      </c>
      <c r="AB612" s="4" t="str">
        <f>HYPERLINK("http://exon.niaid.nih.gov/transcriptome/C_felis/S1/links/XC-ASB/cf-contig_790-XC-ASB.txt","XC-contig_129")</f>
        <v>XC-contig_129</v>
      </c>
      <c r="AC612">
        <v>0.17</v>
      </c>
      <c r="AD612" s="10" t="s">
        <v>4600</v>
      </c>
      <c r="AE612" t="s">
        <v>4601</v>
      </c>
      <c r="AI612" s="4" t="str">
        <f>HYPERLINK("http://exon.niaid.nih.gov/transcriptome/C_felis/S1/links/NR/cf-contig_790-NR.txt","hypothetical protein DDB_G0280879")</f>
        <v>hypothetical protein DDB_G0280879</v>
      </c>
      <c r="AJ612" t="str">
        <f>HYPERLINK("http://www.ncbi.nlm.nih.gov/sutils/blink.cgi?pid=66813562","0.027")</f>
        <v>0.027</v>
      </c>
      <c r="AK612" t="str">
        <f>HYPERLINK("http://www.ncbi.nlm.nih.gov/protein/66813562","gi|66813562")</f>
        <v>gi|66813562</v>
      </c>
      <c r="AL612">
        <v>42.4</v>
      </c>
      <c r="AM612">
        <v>150</v>
      </c>
      <c r="AN612">
        <v>564</v>
      </c>
      <c r="AO612">
        <v>37</v>
      </c>
      <c r="AP612">
        <v>27</v>
      </c>
      <c r="AQ612">
        <v>35</v>
      </c>
      <c r="AR612">
        <v>0</v>
      </c>
      <c r="AS612">
        <v>332</v>
      </c>
      <c r="AT612">
        <v>107</v>
      </c>
      <c r="AU612">
        <v>2</v>
      </c>
      <c r="AV612">
        <v>2</v>
      </c>
      <c r="AW612" t="s">
        <v>12</v>
      </c>
      <c r="AY612" t="s">
        <v>1676</v>
      </c>
      <c r="AZ612" t="s">
        <v>3078</v>
      </c>
      <c r="BA612" s="4" t="str">
        <f>HYPERLINK("http://exon.niaid.nih.gov/transcriptome/C_felis/S1/links/SWISSP/cf-contig_790-SWISSP.txt","Dual specificity protein kinase pyk1")</f>
        <v>Dual specificity protein kinase pyk1</v>
      </c>
      <c r="BB612" t="str">
        <f>HYPERLINK("http://www.uniprot.org/uniprot/P18160","0.002")</f>
        <v>0.002</v>
      </c>
      <c r="BC612" t="s">
        <v>4530</v>
      </c>
      <c r="BD612">
        <v>41.2</v>
      </c>
      <c r="BE612">
        <v>1352</v>
      </c>
      <c r="BF612">
        <v>2410</v>
      </c>
      <c r="BG612">
        <v>33</v>
      </c>
      <c r="BH612">
        <v>56</v>
      </c>
      <c r="BI612">
        <v>44</v>
      </c>
      <c r="BJ612">
        <v>6</v>
      </c>
      <c r="BK612">
        <v>8</v>
      </c>
      <c r="BL612">
        <v>95</v>
      </c>
      <c r="BM612">
        <v>15</v>
      </c>
      <c r="BN612">
        <v>2</v>
      </c>
      <c r="BO612" t="s">
        <v>12</v>
      </c>
      <c r="BQ612" t="s">
        <v>1676</v>
      </c>
      <c r="BR612" t="s">
        <v>1976</v>
      </c>
      <c r="BS612" s="4" t="str">
        <f>HYPERLINK("http://exon.niaid.nih.gov/transcriptome/C_felis/S1/links/CDD/cf-contig_790-CDD.txt","ND4L")</f>
        <v>ND4L</v>
      </c>
      <c r="BT612" t="str">
        <f>HYPERLINK("http://www.ncbi.nlm.nih.gov/Structure/cdd/cddsrv.cgi?uid=MTH00162&amp;version=v4.0","3E-004")</f>
        <v>3E-004</v>
      </c>
      <c r="BU612" t="s">
        <v>4531</v>
      </c>
      <c r="BV612" s="4" t="s">
        <v>42</v>
      </c>
      <c r="BW612" t="s">
        <v>42</v>
      </c>
      <c r="BX612" t="s">
        <v>42</v>
      </c>
      <c r="BY612" t="s">
        <v>42</v>
      </c>
      <c r="BZ612" t="s">
        <v>42</v>
      </c>
      <c r="CA612" t="s">
        <v>42</v>
      </c>
      <c r="CB612" t="s">
        <v>42</v>
      </c>
      <c r="CC612" t="s">
        <v>42</v>
      </c>
      <c r="CD612" t="s">
        <v>42</v>
      </c>
      <c r="CE612" t="s">
        <v>42</v>
      </c>
      <c r="CF612" t="s">
        <v>42</v>
      </c>
      <c r="CG612" t="s">
        <v>42</v>
      </c>
      <c r="CH612" t="s">
        <v>42</v>
      </c>
      <c r="CI612" t="s">
        <v>42</v>
      </c>
      <c r="CJ612" t="s">
        <v>42</v>
      </c>
      <c r="CK612" t="s">
        <v>42</v>
      </c>
      <c r="CL612" t="s">
        <v>42</v>
      </c>
      <c r="CM612" t="s">
        <v>42</v>
      </c>
      <c r="CN612" t="s">
        <v>42</v>
      </c>
      <c r="CO612" t="s">
        <v>42</v>
      </c>
      <c r="CP612" t="s">
        <v>42</v>
      </c>
      <c r="CQ612" t="s">
        <v>42</v>
      </c>
      <c r="CR612" t="s">
        <v>42</v>
      </c>
      <c r="CS612" s="4" t="str">
        <f>HYPERLINK("http://exon.niaid.nih.gov/transcriptome/C_felis/S1/links/KOG/cf-contig_790-KOG.txt","Voltage-gated Ca2+ channels, alpha1 subunits")</f>
        <v>Voltage-gated Ca2+ channels, alpha1 subunits</v>
      </c>
      <c r="CT612" t="str">
        <f>HYPERLINK("http://www.ncbi.nlm.nih.gov/COG/grace/shokog.cgi?KOG2301","0.011")</f>
        <v>0.011</v>
      </c>
      <c r="CU612" t="s">
        <v>1702</v>
      </c>
      <c r="CV612" s="4" t="str">
        <f>HYPERLINK("http://exon.niaid.nih.gov/transcriptome/C_felis/S1/links/PFAM/cf-contig_790-PFAM.txt","DUF3397")</f>
        <v>DUF3397</v>
      </c>
      <c r="CW612" t="str">
        <f>HYPERLINK("http://pfam.sanger.ac.uk/family?acc=PF11877","6E-004")</f>
        <v>6E-004</v>
      </c>
      <c r="CX612" s="4" t="str">
        <f>HYPERLINK("http://exon.niaid.nih.gov/transcriptome/C_felis/S1/links/SMART/cf-contig_790-SMART.txt","LITAF")</f>
        <v>LITAF</v>
      </c>
      <c r="CY612" t="str">
        <f>HYPERLINK("http://smart.embl-heidelberg.de/smart/do_annotation.pl?DOMAIN=LITAF&amp;BLAST=DUMMY","0.017")</f>
        <v>0.017</v>
      </c>
      <c r="CZ612" s="4" t="s">
        <v>42</v>
      </c>
      <c r="DA612" t="s">
        <v>42</v>
      </c>
      <c r="DB612" t="s">
        <v>42</v>
      </c>
      <c r="DC612" t="s">
        <v>42</v>
      </c>
      <c r="DD612" t="s">
        <v>42</v>
      </c>
      <c r="DE612" t="s">
        <v>42</v>
      </c>
      <c r="DF612" t="s">
        <v>42</v>
      </c>
      <c r="DG612" t="s">
        <v>42</v>
      </c>
      <c r="DH612" s="4" t="s">
        <v>42</v>
      </c>
      <c r="DI612" t="s">
        <v>42</v>
      </c>
      <c r="DJ612" s="4" t="s">
        <v>42</v>
      </c>
      <c r="DK612" t="s">
        <v>42</v>
      </c>
      <c r="DL612" s="4">
        <v>635</v>
      </c>
      <c r="DM612">
        <v>1</v>
      </c>
      <c r="DN612" s="4">
        <v>656</v>
      </c>
      <c r="DO612">
        <v>1</v>
      </c>
      <c r="DP612" s="4">
        <v>672</v>
      </c>
      <c r="DQ612">
        <v>1</v>
      </c>
      <c r="DR612" s="4">
        <v>694</v>
      </c>
      <c r="DS612">
        <v>1</v>
      </c>
      <c r="DT612" s="4">
        <v>710</v>
      </c>
      <c r="DU612">
        <v>1</v>
      </c>
      <c r="DV612" s="4">
        <v>725</v>
      </c>
      <c r="DW612">
        <v>1</v>
      </c>
      <c r="DX612" s="4">
        <v>739</v>
      </c>
      <c r="DY612">
        <v>1</v>
      </c>
      <c r="DZ612" s="4">
        <v>750</v>
      </c>
      <c r="EA612">
        <v>1</v>
      </c>
      <c r="EB612" s="4">
        <v>757</v>
      </c>
      <c r="EC612">
        <v>1</v>
      </c>
      <c r="ED612" s="4">
        <v>762</v>
      </c>
      <c r="EE612">
        <v>1</v>
      </c>
      <c r="EF612" s="4">
        <v>769</v>
      </c>
      <c r="EG612">
        <v>1</v>
      </c>
      <c r="EH612" s="4">
        <v>781</v>
      </c>
      <c r="EI612">
        <v>1</v>
      </c>
      <c r="EJ612" s="4">
        <v>790</v>
      </c>
      <c r="EK612">
        <v>1</v>
      </c>
    </row>
    <row r="613" spans="1:141" x14ac:dyDescent="0.2">
      <c r="A613" t="str">
        <f>HYPERLINK("http://exon.niaid.nih.gov/transcriptome/C_felis/S1/links/cf/cf-contig_398.txt","cf-contig_398")</f>
        <v>cf-contig_398</v>
      </c>
      <c r="B613">
        <v>1</v>
      </c>
      <c r="C613" s="10" t="s">
        <v>4600</v>
      </c>
      <c r="D613">
        <v>1</v>
      </c>
      <c r="E613" t="str">
        <f>HYPERLINK("http://exon.niaid.nih.gov/transcriptome/C_felis/S1/links/cf/cf-5-36-asb-398.txt","Contig-398")</f>
        <v>Contig-398</v>
      </c>
      <c r="F613" t="str">
        <f>HYPERLINK("http://exon.niaid.nih.gov/transcriptome/C_felis/S1/links/cf/cf-5-36-398-CLU.txt","Contig398")</f>
        <v>Contig398</v>
      </c>
      <c r="G613" t="str">
        <f>HYPERLINK("http://exon.niaid.nih.gov/transcriptome/C_felis/S1/links/cf/cf-5-36-398-qual.txt","61.9")</f>
        <v>61.9</v>
      </c>
      <c r="H613" t="s">
        <v>11</v>
      </c>
      <c r="I613">
        <v>67.400000000000006</v>
      </c>
      <c r="J613">
        <v>420</v>
      </c>
      <c r="K613" t="s">
        <v>12</v>
      </c>
      <c r="L613">
        <v>1</v>
      </c>
      <c r="M613" t="s">
        <v>411</v>
      </c>
      <c r="N613">
        <v>420</v>
      </c>
      <c r="O613">
        <v>439</v>
      </c>
      <c r="P613">
        <v>327</v>
      </c>
      <c r="Q613" t="s">
        <v>1218</v>
      </c>
      <c r="R613">
        <v>2</v>
      </c>
      <c r="S613" s="7" t="str">
        <f>HYPERLINK("http://exon.niaid.nih.gov/transcriptome/C_felis/S1/links/Sigp/CF-CONTIG_398-SigP.txt","Cyt")</f>
        <v>Cyt</v>
      </c>
      <c r="U613">
        <v>1</v>
      </c>
      <c r="V613" s="4">
        <f>HYPERLINK("http://exon.niaid.nih.gov/transcriptome/C_felis/S1/links/cluster/cf-5-36-asb30-50-Id-CLU73.txt", 73)</f>
        <v>73</v>
      </c>
      <c r="W613">
        <f>HYPERLINK("http://exon.niaid.nih.gov/transcriptome/C_felis/S1/links/cluster/cf-5-36-asb30-50-Id-CLTL73.txt", 2)</f>
        <v>2</v>
      </c>
      <c r="X613" s="4">
        <f>HYPERLINK("http://exon.niaid.nih.gov/transcriptome/C_felis/S1/links/cluster/cf-5-36-asb35-50-Id-CLU65.txt", 65)</f>
        <v>65</v>
      </c>
      <c r="Y613">
        <f>HYPERLINK("http://exon.niaid.nih.gov/transcriptome/C_felis/S1/links/cluster/cf-5-36-asb35-50-Id-CLTL65.txt", 2)</f>
        <v>2</v>
      </c>
      <c r="Z613" s="4">
        <f>HYPERLINK("http://exon.niaid.nih.gov/transcriptome/C_felis/S1/links/cluster/cf-5-36-asb40-50-Id-CLU60.txt", 60)</f>
        <v>60</v>
      </c>
      <c r="AA613">
        <f>HYPERLINK("http://exon.niaid.nih.gov/transcriptome/C_felis/S1/links/cluster/cf-5-36-asb40-50-Id-CLTL60.txt", 2)</f>
        <v>2</v>
      </c>
      <c r="AB613" s="4" t="str">
        <f>HYPERLINK("http://exon.niaid.nih.gov/transcriptome/C_felis/S1/links/XC-ASB/cf-contig_398-XC-ASB.txt","XC-contig_149")</f>
        <v>XC-contig_149</v>
      </c>
      <c r="AC613">
        <v>9.0000000000000006E-5</v>
      </c>
      <c r="AD613" s="10" t="s">
        <v>4600</v>
      </c>
      <c r="AE613" t="s">
        <v>4601</v>
      </c>
      <c r="AI613" s="4" t="str">
        <f>HYPERLINK("http://exon.niaid.nih.gov/transcriptome/C_felis/S1/links/NR/cf-contig_398-NR.txt","myb domain-containing protein")</f>
        <v>myb domain-containing protein</v>
      </c>
      <c r="AJ613" t="str">
        <f>HYPERLINK("http://www.ncbi.nlm.nih.gov/sutils/blink.cgi?pid=66821335","0.045")</f>
        <v>0.045</v>
      </c>
      <c r="AK613" t="str">
        <f>HYPERLINK("http://www.ncbi.nlm.nih.gov/protein/66821335","gi|66821335")</f>
        <v>gi|66821335</v>
      </c>
      <c r="AL613">
        <v>41.6</v>
      </c>
      <c r="AM613">
        <v>54</v>
      </c>
      <c r="AN613">
        <v>734</v>
      </c>
      <c r="AO613">
        <v>34</v>
      </c>
      <c r="AP613">
        <v>7</v>
      </c>
      <c r="AQ613">
        <v>36</v>
      </c>
      <c r="AR613">
        <v>0</v>
      </c>
      <c r="AS613">
        <v>136</v>
      </c>
      <c r="AT613">
        <v>38</v>
      </c>
      <c r="AU613">
        <v>1</v>
      </c>
      <c r="AV613">
        <v>2</v>
      </c>
      <c r="AW613" t="s">
        <v>12</v>
      </c>
      <c r="AY613" t="s">
        <v>1676</v>
      </c>
      <c r="AZ613" t="s">
        <v>3078</v>
      </c>
      <c r="BA613" s="4" t="str">
        <f>HYPERLINK("http://exon.niaid.nih.gov/transcriptome/C_felis/S1/links/SWISSP/cf-contig_398-SWISSP.txt","Myb-like protein J")</f>
        <v>Myb-like protein J</v>
      </c>
      <c r="BB613" t="str">
        <f>HYPERLINK("http://www.uniprot.org/uniprot/Q869R9","0.002")</f>
        <v>0.002</v>
      </c>
      <c r="BC613" t="s">
        <v>3079</v>
      </c>
      <c r="BD613">
        <v>41.6</v>
      </c>
      <c r="BE613">
        <v>231</v>
      </c>
      <c r="BF613">
        <v>734</v>
      </c>
      <c r="BG613">
        <v>34</v>
      </c>
      <c r="BH613">
        <v>32</v>
      </c>
      <c r="BI613">
        <v>36</v>
      </c>
      <c r="BJ613">
        <v>0</v>
      </c>
      <c r="BK613">
        <v>136</v>
      </c>
      <c r="BL613">
        <v>20</v>
      </c>
      <c r="BM613">
        <v>2</v>
      </c>
      <c r="BN613">
        <v>2</v>
      </c>
      <c r="BO613" t="s">
        <v>12</v>
      </c>
      <c r="BQ613" t="s">
        <v>1676</v>
      </c>
      <c r="BR613" t="s">
        <v>1976</v>
      </c>
      <c r="BS613" s="4" t="str">
        <f>HYPERLINK("http://exon.niaid.nih.gov/transcriptome/C_felis/S1/links/CDD/cf-contig_398-CDD.txt","PRK08581")</f>
        <v>PRK08581</v>
      </c>
      <c r="BT613" t="str">
        <f>HYPERLINK("http://www.ncbi.nlm.nih.gov/Structure/cdd/cddsrv.cgi?uid=PRK08581&amp;version=v4.0","0.14")</f>
        <v>0.14</v>
      </c>
      <c r="BU613" t="s">
        <v>3080</v>
      </c>
      <c r="BV613" s="4" t="s">
        <v>42</v>
      </c>
      <c r="BW613" t="s">
        <v>42</v>
      </c>
      <c r="BX613" t="s">
        <v>42</v>
      </c>
      <c r="BY613" t="s">
        <v>42</v>
      </c>
      <c r="BZ613" t="s">
        <v>42</v>
      </c>
      <c r="CA613" t="s">
        <v>42</v>
      </c>
      <c r="CB613" t="s">
        <v>42</v>
      </c>
      <c r="CC613" t="s">
        <v>42</v>
      </c>
      <c r="CD613" t="s">
        <v>42</v>
      </c>
      <c r="CE613" t="s">
        <v>42</v>
      </c>
      <c r="CF613" t="s">
        <v>42</v>
      </c>
      <c r="CG613" t="s">
        <v>42</v>
      </c>
      <c r="CH613" t="s">
        <v>42</v>
      </c>
      <c r="CI613" t="s">
        <v>42</v>
      </c>
      <c r="CJ613" t="s">
        <v>42</v>
      </c>
      <c r="CK613" t="s">
        <v>42</v>
      </c>
      <c r="CL613" t="s">
        <v>42</v>
      </c>
      <c r="CM613" t="s">
        <v>42</v>
      </c>
      <c r="CN613" t="s">
        <v>42</v>
      </c>
      <c r="CO613" t="s">
        <v>42</v>
      </c>
      <c r="CP613" t="s">
        <v>42</v>
      </c>
      <c r="CQ613" t="s">
        <v>42</v>
      </c>
      <c r="CR613" t="s">
        <v>42</v>
      </c>
      <c r="CS613" s="4" t="str">
        <f>HYPERLINK("http://exon.niaid.nih.gov/transcriptome/C_felis/S1/links/KOG/cf-contig_398-KOG.txt","SWI/SNF-related matrix-associated actin-dependent regulator of chromatin")</f>
        <v>SWI/SNF-related matrix-associated actin-dependent regulator of chromatin</v>
      </c>
      <c r="CT613" t="str">
        <f>HYPERLINK("http://www.ncbi.nlm.nih.gov/COG/grace/shokog.cgi?KOG4715","0.004")</f>
        <v>0.004</v>
      </c>
      <c r="CU613" t="s">
        <v>2096</v>
      </c>
      <c r="CV613" s="4" t="str">
        <f>HYPERLINK("http://exon.niaid.nih.gov/transcriptome/C_felis/S1/links/PFAM/cf-contig_398-PFAM.txt","Dicty_REP")</f>
        <v>Dicty_REP</v>
      </c>
      <c r="CW613" t="str">
        <f>HYPERLINK("http://pfam.sanger.ac.uk/family?acc=PF05086","0.060")</f>
        <v>0.060</v>
      </c>
      <c r="CX613" s="4" t="str">
        <f>HYPERLINK("http://exon.niaid.nih.gov/transcriptome/C_felis/S1/links/SMART/cf-contig_398-SMART.txt","SEC63")</f>
        <v>SEC63</v>
      </c>
      <c r="CY613" t="str">
        <f>HYPERLINK("http://smart.embl-heidelberg.de/smart/do_annotation.pl?DOMAIN=SEC63&amp;BLAST=DUMMY","0.056")</f>
        <v>0.056</v>
      </c>
      <c r="CZ613" s="4" t="s">
        <v>42</v>
      </c>
      <c r="DA613" t="s">
        <v>42</v>
      </c>
      <c r="DB613" t="s">
        <v>42</v>
      </c>
      <c r="DC613" t="s">
        <v>42</v>
      </c>
      <c r="DD613" t="s">
        <v>42</v>
      </c>
      <c r="DE613" t="s">
        <v>42</v>
      </c>
      <c r="DF613" t="s">
        <v>42</v>
      </c>
      <c r="DG613" t="s">
        <v>42</v>
      </c>
      <c r="DH613" s="4" t="s">
        <v>42</v>
      </c>
      <c r="DI613" t="s">
        <v>42</v>
      </c>
      <c r="DJ613" s="4" t="s">
        <v>42</v>
      </c>
      <c r="DK613" t="s">
        <v>42</v>
      </c>
      <c r="DL613" s="4">
        <f>HYPERLINK("http://exon.niaid.nih.gov/transcriptome/C_felis/S1/links/cluster/cf-5-36-asb30-50-Id-CLU73.txt", 73)</f>
        <v>73</v>
      </c>
      <c r="DM613">
        <f>HYPERLINK("http://exon.niaid.nih.gov/transcriptome/C_felis/S1/links/cluster/cf-5-36-asb30-50-Id-CLTL73.txt", 2)</f>
        <v>2</v>
      </c>
      <c r="DN613" s="4">
        <f>HYPERLINK("http://exon.niaid.nih.gov/transcriptome/C_felis/S1/links/cluster/cf-5-36-asb35-50-Id-CLU65.txt", 65)</f>
        <v>65</v>
      </c>
      <c r="DO613">
        <f>HYPERLINK("http://exon.niaid.nih.gov/transcriptome/C_felis/S1/links/cluster/cf-5-36-asb35-50-Id-CLTL65.txt", 2)</f>
        <v>2</v>
      </c>
      <c r="DP613" s="4">
        <f>HYPERLINK("http://exon.niaid.nih.gov/transcriptome/C_felis/S1/links/cluster/cf-5-36-asb40-50-Id-CLU60.txt", 60)</f>
        <v>60</v>
      </c>
      <c r="DQ613">
        <f>HYPERLINK("http://exon.niaid.nih.gov/transcriptome/C_felis/S1/links/cluster/cf-5-36-asb40-50-Id-CLTL60.txt", 2)</f>
        <v>2</v>
      </c>
      <c r="DR613" s="4">
        <f>HYPERLINK("http://exon.niaid.nih.gov/transcriptome/C_felis/S1/links/cluster/cf-5-36-asb45-50-Id-CLU50.txt", 50)</f>
        <v>50</v>
      </c>
      <c r="DS613">
        <f>HYPERLINK("http://exon.niaid.nih.gov/transcriptome/C_felis/S1/links/cluster/cf-5-36-asb45-50-Id-CLTL50.txt", 2)</f>
        <v>2</v>
      </c>
      <c r="DT613" s="4">
        <f>HYPERLINK("http://exon.niaid.nih.gov/transcriptome/C_felis/S1/links/cluster/cf-5-36-asb50-50-Id-CLU43.txt", 43)</f>
        <v>43</v>
      </c>
      <c r="DU613">
        <f>HYPERLINK("http://exon.niaid.nih.gov/transcriptome/C_felis/S1/links/cluster/cf-5-36-asb50-50-Id-CLTL43.txt", 2)</f>
        <v>2</v>
      </c>
      <c r="DV613" s="4">
        <f>HYPERLINK("http://exon.niaid.nih.gov/transcriptome/C_felis/S1/links/cluster/cf-5-36-asb55-50-Id-CLU39.txt", 39)</f>
        <v>39</v>
      </c>
      <c r="DW613">
        <f>HYPERLINK("http://exon.niaid.nih.gov/transcriptome/C_felis/S1/links/cluster/cf-5-36-asb55-50-Id-CLTL39.txt", 2)</f>
        <v>2</v>
      </c>
      <c r="DX613" s="4">
        <f>HYPERLINK("http://exon.niaid.nih.gov/transcriptome/C_felis/S1/links/cluster/cf-5-36-asb60-50-Id-CLU35.txt", 35)</f>
        <v>35</v>
      </c>
      <c r="DY613">
        <f>HYPERLINK("http://exon.niaid.nih.gov/transcriptome/C_felis/S1/links/cluster/cf-5-36-asb60-50-Id-CLTL35.txt", 2)</f>
        <v>2</v>
      </c>
      <c r="DZ613" s="4">
        <f>HYPERLINK("http://exon.niaid.nih.gov/transcriptome/C_felis/S1/links/cluster/cf-5-36-asb65-50-Id-CLU29.txt", 29)</f>
        <v>29</v>
      </c>
      <c r="EA613">
        <f>HYPERLINK("http://exon.niaid.nih.gov/transcriptome/C_felis/S1/links/cluster/cf-5-36-asb65-50-Id-CLTL29.txt", 2)</f>
        <v>2</v>
      </c>
      <c r="EB613" s="4">
        <f>HYPERLINK("http://exon.niaid.nih.gov/transcriptome/C_felis/S1/links/cluster/cf-5-36-asb70-50-Id-CLU24.txt", 24)</f>
        <v>24</v>
      </c>
      <c r="EC613">
        <f>HYPERLINK("http://exon.niaid.nih.gov/transcriptome/C_felis/S1/links/cluster/cf-5-36-asb70-50-Id-CLTL24.txt", 2)</f>
        <v>2</v>
      </c>
      <c r="ED613" s="4">
        <f>HYPERLINK("http://exon.niaid.nih.gov/transcriptome/C_felis/S1/links/cluster/cf-5-36-asb75-50-Id-CLU20.txt", 20)</f>
        <v>20</v>
      </c>
      <c r="EE613">
        <f>HYPERLINK("http://exon.niaid.nih.gov/transcriptome/C_felis/S1/links/cluster/cf-5-36-asb75-50-Id-CLTL20.txt", 2)</f>
        <v>2</v>
      </c>
      <c r="EF613" s="4">
        <f>HYPERLINK("http://exon.niaid.nih.gov/transcriptome/C_felis/S1/links/cluster/cf-5-36-asb80-50-Id-CLU13.txt", 13)</f>
        <v>13</v>
      </c>
      <c r="EG613">
        <f>HYPERLINK("http://exon.niaid.nih.gov/transcriptome/C_felis/S1/links/cluster/cf-5-36-asb80-50-Id-CLTL13.txt", 2)</f>
        <v>2</v>
      </c>
      <c r="EH613" s="4">
        <v>392</v>
      </c>
      <c r="EI613">
        <v>1</v>
      </c>
      <c r="EJ613" s="4">
        <v>398</v>
      </c>
      <c r="EK613">
        <v>1</v>
      </c>
    </row>
    <row r="614" spans="1:141" x14ac:dyDescent="0.2">
      <c r="A614" t="str">
        <f>HYPERLINK("http://exon.niaid.nih.gov/transcriptome/C_felis/S1/links/cf/cf-contig_415.txt","cf-contig_415")</f>
        <v>cf-contig_415</v>
      </c>
      <c r="B614">
        <v>1</v>
      </c>
      <c r="C614" s="10" t="s">
        <v>4600</v>
      </c>
      <c r="D614">
        <v>1</v>
      </c>
      <c r="E614" t="str">
        <f>HYPERLINK("http://exon.niaid.nih.gov/transcriptome/C_felis/S1/links/cf/cf-5-36-asb-415.txt","Contig-415")</f>
        <v>Contig-415</v>
      </c>
      <c r="F614" t="str">
        <f>HYPERLINK("http://exon.niaid.nih.gov/transcriptome/C_felis/S1/links/cf/cf-5-36-415-CLU.txt","Contig415")</f>
        <v>Contig415</v>
      </c>
      <c r="G614" t="str">
        <f>HYPERLINK("http://exon.niaid.nih.gov/transcriptome/C_felis/S1/links/cf/cf-5-36-415-qual.txt","65.1")</f>
        <v>65.1</v>
      </c>
      <c r="H614" t="s">
        <v>11</v>
      </c>
      <c r="I614">
        <v>78.900000000000006</v>
      </c>
      <c r="J614">
        <v>332</v>
      </c>
      <c r="K614" t="s">
        <v>12</v>
      </c>
      <c r="L614">
        <v>1</v>
      </c>
      <c r="M614" t="s">
        <v>428</v>
      </c>
      <c r="N614">
        <v>332</v>
      </c>
      <c r="O614">
        <v>351</v>
      </c>
      <c r="P614">
        <v>156</v>
      </c>
      <c r="Q614" t="s">
        <v>1235</v>
      </c>
      <c r="R614">
        <v>3</v>
      </c>
      <c r="S614" s="7" t="s">
        <v>4585</v>
      </c>
      <c r="U614">
        <v>1</v>
      </c>
      <c r="V614" s="4">
        <v>339</v>
      </c>
      <c r="W614">
        <v>1</v>
      </c>
      <c r="X614" s="4">
        <v>347</v>
      </c>
      <c r="Y614">
        <v>1</v>
      </c>
      <c r="Z614" s="4">
        <v>350</v>
      </c>
      <c r="AA614">
        <v>1</v>
      </c>
      <c r="AB614" s="4" t="str">
        <f>HYPERLINK("http://exon.niaid.nih.gov/transcriptome/C_felis/S1/links/XC-ASB/cf-contig_415-XC-ASB.txt","XC-contig_49")</f>
        <v>XC-contig_49</v>
      </c>
      <c r="AC614">
        <v>3.5000000000000003E-2</v>
      </c>
      <c r="AD614" s="10" t="s">
        <v>4600</v>
      </c>
      <c r="AE614" t="s">
        <v>4601</v>
      </c>
      <c r="AI614" s="4" t="str">
        <f>HYPERLINK("http://exon.niaid.nih.gov/transcriptome/C_felis/S1/links/NR/cf-contig_415-NR.txt","hypothetical protein DFA_07651")</f>
        <v>hypothetical protein DFA_07651</v>
      </c>
      <c r="AJ614" t="str">
        <f>HYPERLINK("http://www.ncbi.nlm.nih.gov/sutils/blink.cgi?pid=328868295","12")</f>
        <v>12</v>
      </c>
      <c r="AK614" t="str">
        <f>HYPERLINK("http://www.ncbi.nlm.nih.gov/protein/328868295","gi|328868295")</f>
        <v>gi|328868295</v>
      </c>
      <c r="AL614">
        <v>33.5</v>
      </c>
      <c r="AM614">
        <v>69</v>
      </c>
      <c r="AN614">
        <v>482</v>
      </c>
      <c r="AO614">
        <v>30</v>
      </c>
      <c r="AP614">
        <v>15</v>
      </c>
      <c r="AQ614">
        <v>49</v>
      </c>
      <c r="AR614">
        <v>0</v>
      </c>
      <c r="AS614">
        <v>124</v>
      </c>
      <c r="AT614">
        <v>102</v>
      </c>
      <c r="AU614">
        <v>1</v>
      </c>
      <c r="AV614">
        <v>-2</v>
      </c>
      <c r="AW614" t="s">
        <v>12</v>
      </c>
      <c r="AX614">
        <v>7.2460000000000004</v>
      </c>
      <c r="AY614" t="s">
        <v>1666</v>
      </c>
      <c r="AZ614" t="s">
        <v>3154</v>
      </c>
      <c r="BA614" s="4" t="str">
        <f>HYPERLINK("http://exon.niaid.nih.gov/transcriptome/C_felis/S1/links/SWISSP/cf-contig_415-SWISSP.txt","Rotatin")</f>
        <v>Rotatin</v>
      </c>
      <c r="BB614" t="str">
        <f>HYPERLINK("http://www.uniprot.org/uniprot/Q8R4Y8","2.1")</f>
        <v>2.1</v>
      </c>
      <c r="BC614" t="s">
        <v>3155</v>
      </c>
      <c r="BD614">
        <v>31.2</v>
      </c>
      <c r="BE614">
        <v>31</v>
      </c>
      <c r="BF614">
        <v>2226</v>
      </c>
      <c r="BG614">
        <v>34</v>
      </c>
      <c r="BH614">
        <v>1</v>
      </c>
      <c r="BI614">
        <v>21</v>
      </c>
      <c r="BJ614">
        <v>0</v>
      </c>
      <c r="BK614">
        <v>2103</v>
      </c>
      <c r="BL614">
        <v>150</v>
      </c>
      <c r="BM614">
        <v>1</v>
      </c>
      <c r="BN614">
        <v>-2</v>
      </c>
      <c r="BO614" t="s">
        <v>12</v>
      </c>
      <c r="BQ614" t="s">
        <v>1666</v>
      </c>
      <c r="BR614" t="s">
        <v>1705</v>
      </c>
      <c r="BS614" s="4" t="str">
        <f>HYPERLINK("http://exon.niaid.nih.gov/transcriptome/C_felis/S1/links/CDD/cf-contig_415-CDD.txt","PHA02972")</f>
        <v>PHA02972</v>
      </c>
      <c r="BT614" t="str">
        <f>HYPERLINK("http://www.ncbi.nlm.nih.gov/Structure/cdd/cddsrv.cgi?uid=PHA02972&amp;version=v4.0","0.33")</f>
        <v>0.33</v>
      </c>
      <c r="BU614" t="s">
        <v>3156</v>
      </c>
      <c r="BV614" s="4" t="s">
        <v>42</v>
      </c>
      <c r="BW614" t="s">
        <v>42</v>
      </c>
      <c r="BX614" t="s">
        <v>42</v>
      </c>
      <c r="BY614" t="s">
        <v>42</v>
      </c>
      <c r="BZ614" t="s">
        <v>42</v>
      </c>
      <c r="CA614" t="s">
        <v>42</v>
      </c>
      <c r="CB614" t="s">
        <v>42</v>
      </c>
      <c r="CC614" t="s">
        <v>42</v>
      </c>
      <c r="CD614" t="s">
        <v>42</v>
      </c>
      <c r="CE614" t="s">
        <v>42</v>
      </c>
      <c r="CF614" t="s">
        <v>42</v>
      </c>
      <c r="CG614" t="s">
        <v>42</v>
      </c>
      <c r="CH614" t="s">
        <v>42</v>
      </c>
      <c r="CI614" t="s">
        <v>42</v>
      </c>
      <c r="CJ614" t="s">
        <v>42</v>
      </c>
      <c r="CK614" t="s">
        <v>42</v>
      </c>
      <c r="CL614" t="s">
        <v>42</v>
      </c>
      <c r="CM614" t="s">
        <v>42</v>
      </c>
      <c r="CN614" t="s">
        <v>42</v>
      </c>
      <c r="CO614" t="s">
        <v>42</v>
      </c>
      <c r="CP614" t="s">
        <v>42</v>
      </c>
      <c r="CQ614" t="s">
        <v>42</v>
      </c>
      <c r="CR614" t="s">
        <v>42</v>
      </c>
      <c r="CS614" s="4" t="str">
        <f>HYPERLINK("http://exon.niaid.nih.gov/transcriptome/C_felis/S1/links/KOG/cf-contig_415-KOG.txt","Geranylgeranyl pyrophosphate synthase/Polyprenyl synthetase")</f>
        <v>Geranylgeranyl pyrophosphate synthase/Polyprenyl synthetase</v>
      </c>
      <c r="CT614" t="str">
        <f>HYPERLINK("http://www.ncbi.nlm.nih.gov/COG/grace/shokog.cgi?KOG0776","0.041")</f>
        <v>0.041</v>
      </c>
      <c r="CU614" t="s">
        <v>2194</v>
      </c>
      <c r="CV614" s="4" t="str">
        <f>HYPERLINK("http://exon.niaid.nih.gov/transcriptome/C_felis/S1/links/PFAM/cf-contig_415-PFAM.txt","DUF3671")</f>
        <v>DUF3671</v>
      </c>
      <c r="CW614" t="str">
        <f>HYPERLINK("http://pfam.sanger.ac.uk/family?acc=PF12420","0.18")</f>
        <v>0.18</v>
      </c>
      <c r="CX614" s="4" t="str">
        <f>HYPERLINK("http://exon.niaid.nih.gov/transcriptome/C_felis/S1/links/SMART/cf-contig_415-SMART.txt","FH")</f>
        <v>FH</v>
      </c>
      <c r="CY614" t="str">
        <f>HYPERLINK("http://smart.embl-heidelberg.de/smart/do_annotation.pl?DOMAIN=FH&amp;BLAST=DUMMY","0.025")</f>
        <v>0.025</v>
      </c>
      <c r="CZ614" s="4" t="s">
        <v>42</v>
      </c>
      <c r="DA614" t="s">
        <v>42</v>
      </c>
      <c r="DB614" t="s">
        <v>42</v>
      </c>
      <c r="DC614" t="s">
        <v>42</v>
      </c>
      <c r="DD614" t="s">
        <v>42</v>
      </c>
      <c r="DE614" t="s">
        <v>42</v>
      </c>
      <c r="DF614" t="s">
        <v>42</v>
      </c>
      <c r="DG614" t="s">
        <v>42</v>
      </c>
      <c r="DH614" s="4" t="s">
        <v>42</v>
      </c>
      <c r="DI614" t="s">
        <v>42</v>
      </c>
      <c r="DJ614" s="4" t="s">
        <v>42</v>
      </c>
      <c r="DK614" t="s">
        <v>42</v>
      </c>
      <c r="DL614" s="4">
        <v>339</v>
      </c>
      <c r="DM614">
        <v>1</v>
      </c>
      <c r="DN614" s="4">
        <v>347</v>
      </c>
      <c r="DO614">
        <v>1</v>
      </c>
      <c r="DP614" s="4">
        <v>350</v>
      </c>
      <c r="DQ614">
        <v>1</v>
      </c>
      <c r="DR614" s="4">
        <v>361</v>
      </c>
      <c r="DS614">
        <v>1</v>
      </c>
      <c r="DT614" s="4">
        <v>371</v>
      </c>
      <c r="DU614">
        <v>1</v>
      </c>
      <c r="DV614" s="4">
        <v>384</v>
      </c>
      <c r="DW614">
        <v>1</v>
      </c>
      <c r="DX614" s="4">
        <v>387</v>
      </c>
      <c r="DY614">
        <v>1</v>
      </c>
      <c r="DZ614" s="4">
        <v>392</v>
      </c>
      <c r="EA614">
        <v>1</v>
      </c>
      <c r="EB614" s="4">
        <v>397</v>
      </c>
      <c r="EC614">
        <v>1</v>
      </c>
      <c r="ED614" s="4">
        <v>401</v>
      </c>
      <c r="EE614">
        <v>1</v>
      </c>
      <c r="EF614" s="4">
        <v>406</v>
      </c>
      <c r="EG614">
        <v>1</v>
      </c>
      <c r="EH614" s="4">
        <v>409</v>
      </c>
      <c r="EI614">
        <v>1</v>
      </c>
      <c r="EJ614" s="4">
        <v>415</v>
      </c>
      <c r="EK614">
        <v>1</v>
      </c>
    </row>
    <row r="615" spans="1:141" x14ac:dyDescent="0.2">
      <c r="A615" t="str">
        <f>HYPERLINK("http://exon.niaid.nih.gov/transcriptome/C_felis/S1/links/cf/cf-contig_126.txt","cf-contig_126")</f>
        <v>cf-contig_126</v>
      </c>
      <c r="B615">
        <v>5</v>
      </c>
      <c r="C615" s="10" t="s">
        <v>4600</v>
      </c>
      <c r="D615">
        <v>5</v>
      </c>
      <c r="E615" t="str">
        <f>HYPERLINK("http://exon.niaid.nih.gov/transcriptome/C_felis/S1/links/cf/cf-5-36-asb-126.txt","Contig-126")</f>
        <v>Contig-126</v>
      </c>
      <c r="F615" t="str">
        <f>HYPERLINK("http://exon.niaid.nih.gov/transcriptome/C_felis/S1/links/cf/cf-5-36-126-CLU.txt","Contig126")</f>
        <v>Contig126</v>
      </c>
      <c r="G615" t="str">
        <f>HYPERLINK("http://exon.niaid.nih.gov/transcriptome/C_felis/S1/links/cf/cf-5-36-126-qual.txt","83.7")</f>
        <v>83.7</v>
      </c>
      <c r="H615" t="s">
        <v>11</v>
      </c>
      <c r="I615">
        <v>70.8</v>
      </c>
      <c r="J615">
        <v>567</v>
      </c>
      <c r="K615" t="s">
        <v>12</v>
      </c>
      <c r="L615">
        <v>5</v>
      </c>
      <c r="M615" t="s">
        <v>139</v>
      </c>
      <c r="N615">
        <v>470</v>
      </c>
      <c r="O615">
        <v>586</v>
      </c>
      <c r="P615">
        <v>327</v>
      </c>
      <c r="Q615" t="s">
        <v>946</v>
      </c>
      <c r="R615">
        <v>3</v>
      </c>
      <c r="S615" s="7" t="s">
        <v>4585</v>
      </c>
      <c r="U615">
        <v>5</v>
      </c>
      <c r="V615" s="4">
        <f>HYPERLINK("http://exon.niaid.nih.gov/transcriptome/C_felis/S1/links/cluster/cf-5-36-asb30-50-Id-CLU42.txt", 42)</f>
        <v>42</v>
      </c>
      <c r="W615">
        <f>HYPERLINK("http://exon.niaid.nih.gov/transcriptome/C_felis/S1/links/cluster/cf-5-36-asb30-50-Id-CLTL42.txt", 2)</f>
        <v>2</v>
      </c>
      <c r="X615" s="4">
        <f>HYPERLINK("http://exon.niaid.nih.gov/transcriptome/C_felis/S1/links/cluster/cf-5-36-asb35-50-Id-CLU34.txt", 34)</f>
        <v>34</v>
      </c>
      <c r="Y615">
        <f>HYPERLINK("http://exon.niaid.nih.gov/transcriptome/C_felis/S1/links/cluster/cf-5-36-asb35-50-Id-CLTL34.txt", 2)</f>
        <v>2</v>
      </c>
      <c r="Z615" s="4">
        <f>HYPERLINK("http://exon.niaid.nih.gov/transcriptome/C_felis/S1/links/cluster/cf-5-36-asb40-50-Id-CLU32.txt", 32)</f>
        <v>32</v>
      </c>
      <c r="AA615">
        <f>HYPERLINK("http://exon.niaid.nih.gov/transcriptome/C_felis/S1/links/cluster/cf-5-36-asb40-50-Id-CLTL32.txt", 2)</f>
        <v>2</v>
      </c>
      <c r="AB615" s="4" t="str">
        <f>HYPERLINK("http://exon.niaid.nih.gov/transcriptome/C_felis/S1/links/XC-ASB/cf-contig_126-XC-ASB.txt","XC-contig_44")</f>
        <v>XC-contig_44</v>
      </c>
      <c r="AC615">
        <v>3.7999999999999999E-2</v>
      </c>
      <c r="AD615" s="10" t="s">
        <v>4600</v>
      </c>
      <c r="AE615" t="s">
        <v>4601</v>
      </c>
      <c r="AI615" s="4" t="str">
        <f>HYPERLINK("http://exon.niaid.nih.gov/transcriptome/C_felis/S1/links/NR/cf-contig_126-NR.txt","hypothetical protein DICPUDRAFT_80227")</f>
        <v>hypothetical protein DICPUDRAFT_80227</v>
      </c>
      <c r="AJ615" t="str">
        <f>HYPERLINK("http://www.ncbi.nlm.nih.gov/sutils/blink.cgi?pid=330802911","0.031")</f>
        <v>0.031</v>
      </c>
      <c r="AK615" t="str">
        <f>HYPERLINK("http://www.ncbi.nlm.nih.gov/protein/330802911","gi|330802911")</f>
        <v>gi|330802911</v>
      </c>
      <c r="AL615">
        <v>42.7</v>
      </c>
      <c r="AM615">
        <v>87</v>
      </c>
      <c r="AN615">
        <v>1317</v>
      </c>
      <c r="AO615">
        <v>31</v>
      </c>
      <c r="AP615">
        <v>7</v>
      </c>
      <c r="AQ615">
        <v>62</v>
      </c>
      <c r="AR615">
        <v>0</v>
      </c>
      <c r="AS615">
        <v>756</v>
      </c>
      <c r="AT615">
        <v>114</v>
      </c>
      <c r="AU615">
        <v>1</v>
      </c>
      <c r="AV615">
        <v>3</v>
      </c>
      <c r="AW615" t="s">
        <v>12</v>
      </c>
      <c r="AX615">
        <v>1.149</v>
      </c>
      <c r="AY615" t="s">
        <v>1676</v>
      </c>
      <c r="AZ615" t="s">
        <v>2146</v>
      </c>
      <c r="BA615" s="4" t="str">
        <f>HYPERLINK("http://exon.niaid.nih.gov/transcriptome/C_felis/S1/links/SWISSP/cf-contig_126-SWISSP.txt","Dual specificity protein kinase pyk2")</f>
        <v>Dual specificity protein kinase pyk2</v>
      </c>
      <c r="BB615" t="str">
        <f>HYPERLINK("http://www.uniprot.org/uniprot/P18161","0.018")</f>
        <v>0.018</v>
      </c>
      <c r="BC615" t="s">
        <v>2147</v>
      </c>
      <c r="BD615">
        <v>39.299999999999997</v>
      </c>
      <c r="BE615">
        <v>81</v>
      </c>
      <c r="BF615">
        <v>1155</v>
      </c>
      <c r="BG615">
        <v>26</v>
      </c>
      <c r="BH615">
        <v>7</v>
      </c>
      <c r="BI615">
        <v>60</v>
      </c>
      <c r="BJ615">
        <v>0</v>
      </c>
      <c r="BK615">
        <v>148</v>
      </c>
      <c r="BL615">
        <v>96</v>
      </c>
      <c r="BM615">
        <v>1</v>
      </c>
      <c r="BN615">
        <v>3</v>
      </c>
      <c r="BO615" t="s">
        <v>12</v>
      </c>
      <c r="BP615">
        <v>1.2350000000000001</v>
      </c>
      <c r="BQ615" t="s">
        <v>1676</v>
      </c>
      <c r="BR615" t="s">
        <v>1976</v>
      </c>
      <c r="BS615" s="4" t="str">
        <f>HYPERLINK("http://exon.niaid.nih.gov/transcriptome/C_felis/S1/links/CDD/cf-contig_126-CDD.txt","ND5")</f>
        <v>ND5</v>
      </c>
      <c r="BT615" t="str">
        <f>HYPERLINK("http://www.ncbi.nlm.nih.gov/Structure/cdd/cddsrv.cgi?uid=MTH00151&amp;version=v4.0","8E-004")</f>
        <v>8E-004</v>
      </c>
      <c r="BU615" t="s">
        <v>2148</v>
      </c>
      <c r="BV615" s="4" t="s">
        <v>42</v>
      </c>
      <c r="BW615" t="s">
        <v>42</v>
      </c>
      <c r="BX615" t="s">
        <v>42</v>
      </c>
      <c r="BY615" t="s">
        <v>42</v>
      </c>
      <c r="BZ615" t="s">
        <v>42</v>
      </c>
      <c r="CA615" t="s">
        <v>42</v>
      </c>
      <c r="CB615" t="s">
        <v>42</v>
      </c>
      <c r="CC615" t="s">
        <v>42</v>
      </c>
      <c r="CD615" t="s">
        <v>42</v>
      </c>
      <c r="CE615" t="s">
        <v>42</v>
      </c>
      <c r="CF615" t="s">
        <v>42</v>
      </c>
      <c r="CG615" t="s">
        <v>42</v>
      </c>
      <c r="CH615" t="s">
        <v>42</v>
      </c>
      <c r="CI615" t="s">
        <v>42</v>
      </c>
      <c r="CJ615" t="s">
        <v>42</v>
      </c>
      <c r="CK615" t="s">
        <v>42</v>
      </c>
      <c r="CL615" t="s">
        <v>42</v>
      </c>
      <c r="CM615" t="s">
        <v>42</v>
      </c>
      <c r="CN615" t="s">
        <v>42</v>
      </c>
      <c r="CO615" t="s">
        <v>42</v>
      </c>
      <c r="CP615" t="s">
        <v>42</v>
      </c>
      <c r="CQ615" t="s">
        <v>42</v>
      </c>
      <c r="CR615" t="s">
        <v>42</v>
      </c>
      <c r="CS615" s="4" t="str">
        <f>HYPERLINK("http://exon.niaid.nih.gov/transcriptome/C_felis/S1/links/KOG/cf-contig_126-KOG.txt","Permease of the major facilitator superfamily")</f>
        <v>Permease of the major facilitator superfamily</v>
      </c>
      <c r="CT615" t="str">
        <f>HYPERLINK("http://www.ncbi.nlm.nih.gov/COG/grace/shokog.cgi?KOG2533","0.038")</f>
        <v>0.038</v>
      </c>
      <c r="CU615" t="s">
        <v>1823</v>
      </c>
      <c r="CV615" s="4" t="str">
        <f>HYPERLINK("http://exon.niaid.nih.gov/transcriptome/C_felis/S1/links/PFAM/cf-contig_126-PFAM.txt","MBOAT")</f>
        <v>MBOAT</v>
      </c>
      <c r="CW615" t="str">
        <f>HYPERLINK("http://pfam.sanger.ac.uk/family?acc=PF03062","0.002")</f>
        <v>0.002</v>
      </c>
      <c r="CX615" s="4" t="str">
        <f>HYPERLINK("http://exon.niaid.nih.gov/transcriptome/C_felis/S1/links/SMART/cf-contig_126-SMART.txt","TLC")</f>
        <v>TLC</v>
      </c>
      <c r="CY615" t="str">
        <f>HYPERLINK("http://smart.embl-heidelberg.de/smart/do_annotation.pl?DOMAIN=TLC&amp;BLAST=DUMMY","0.001")</f>
        <v>0.001</v>
      </c>
      <c r="CZ615" s="4" t="s">
        <v>42</v>
      </c>
      <c r="DA615" t="s">
        <v>42</v>
      </c>
      <c r="DB615" t="s">
        <v>42</v>
      </c>
      <c r="DC615" t="s">
        <v>42</v>
      </c>
      <c r="DD615" t="s">
        <v>42</v>
      </c>
      <c r="DE615" t="s">
        <v>42</v>
      </c>
      <c r="DF615" t="s">
        <v>42</v>
      </c>
      <c r="DG615" t="s">
        <v>42</v>
      </c>
      <c r="DH615" s="4" t="s">
        <v>42</v>
      </c>
      <c r="DI615" t="s">
        <v>42</v>
      </c>
      <c r="DJ615" s="4" t="s">
        <v>42</v>
      </c>
      <c r="DK615" t="s">
        <v>42</v>
      </c>
      <c r="DL615" s="4">
        <f>HYPERLINK("http://exon.niaid.nih.gov/transcriptome/C_felis/S1/links/cluster/cf-5-36-asb30-50-Id-CLU42.txt", 42)</f>
        <v>42</v>
      </c>
      <c r="DM615">
        <f>HYPERLINK("http://exon.niaid.nih.gov/transcriptome/C_felis/S1/links/cluster/cf-5-36-asb30-50-Id-CLTL42.txt", 2)</f>
        <v>2</v>
      </c>
      <c r="DN615" s="4">
        <f>HYPERLINK("http://exon.niaid.nih.gov/transcriptome/C_felis/S1/links/cluster/cf-5-36-asb35-50-Id-CLU34.txt", 34)</f>
        <v>34</v>
      </c>
      <c r="DO615">
        <f>HYPERLINK("http://exon.niaid.nih.gov/transcriptome/C_felis/S1/links/cluster/cf-5-36-asb35-50-Id-CLTL34.txt", 2)</f>
        <v>2</v>
      </c>
      <c r="DP615" s="4">
        <f>HYPERLINK("http://exon.niaid.nih.gov/transcriptome/C_felis/S1/links/cluster/cf-5-36-asb40-50-Id-CLU32.txt", 32)</f>
        <v>32</v>
      </c>
      <c r="DQ615">
        <f>HYPERLINK("http://exon.niaid.nih.gov/transcriptome/C_felis/S1/links/cluster/cf-5-36-asb40-50-Id-CLTL32.txt", 2)</f>
        <v>2</v>
      </c>
      <c r="DR615" s="4">
        <v>118</v>
      </c>
      <c r="DS615">
        <v>1</v>
      </c>
      <c r="DT615" s="4">
        <v>116</v>
      </c>
      <c r="DU615">
        <v>1</v>
      </c>
      <c r="DV615" s="4">
        <v>125</v>
      </c>
      <c r="DW615">
        <v>1</v>
      </c>
      <c r="DX615" s="4">
        <v>127</v>
      </c>
      <c r="DY615">
        <v>1</v>
      </c>
      <c r="DZ615" s="4">
        <v>127</v>
      </c>
      <c r="EA615">
        <v>1</v>
      </c>
      <c r="EB615" s="4">
        <v>130</v>
      </c>
      <c r="EC615">
        <v>1</v>
      </c>
      <c r="ED615" s="4">
        <v>131</v>
      </c>
      <c r="EE615">
        <v>1</v>
      </c>
      <c r="EF615" s="4">
        <v>128</v>
      </c>
      <c r="EG615">
        <v>1</v>
      </c>
      <c r="EH615" s="4">
        <v>125</v>
      </c>
      <c r="EI615">
        <v>1</v>
      </c>
      <c r="EJ615" s="4">
        <v>126</v>
      </c>
      <c r="EK615">
        <v>1</v>
      </c>
    </row>
    <row r="616" spans="1:141" x14ac:dyDescent="0.2">
      <c r="A616" t="str">
        <f>HYPERLINK("http://exon.niaid.nih.gov/transcriptome/C_felis/S1/links/cf/cf-contig_633.txt","cf-contig_633")</f>
        <v>cf-contig_633</v>
      </c>
      <c r="B616">
        <v>1</v>
      </c>
      <c r="C616" s="10" t="s">
        <v>4600</v>
      </c>
      <c r="D616">
        <v>1</v>
      </c>
      <c r="E616" t="str">
        <f>HYPERLINK("http://exon.niaid.nih.gov/transcriptome/C_felis/S1/links/cf/cf-5-36-asb-633.txt","Contig-633")</f>
        <v>Contig-633</v>
      </c>
      <c r="F616" t="str">
        <f>HYPERLINK("http://exon.niaid.nih.gov/transcriptome/C_felis/S1/links/cf/cf-5-36-633-CLU.txt","Contig633")</f>
        <v>Contig633</v>
      </c>
      <c r="G616" t="str">
        <f>HYPERLINK("http://exon.niaid.nih.gov/transcriptome/C_felis/S1/links/cf/cf-5-36-633-qual.txt","65.6")</f>
        <v>65.6</v>
      </c>
      <c r="H616" t="s">
        <v>11</v>
      </c>
      <c r="I616">
        <v>71.400000000000006</v>
      </c>
      <c r="J616">
        <v>443</v>
      </c>
      <c r="K616" t="s">
        <v>12</v>
      </c>
      <c r="L616">
        <v>1</v>
      </c>
      <c r="M616" t="s">
        <v>646</v>
      </c>
      <c r="N616">
        <v>443</v>
      </c>
      <c r="O616">
        <v>462</v>
      </c>
      <c r="P616">
        <v>114</v>
      </c>
      <c r="Q616" t="s">
        <v>1452</v>
      </c>
      <c r="R616">
        <v>1</v>
      </c>
      <c r="S616" s="7" t="s">
        <v>4585</v>
      </c>
      <c r="U616">
        <v>1</v>
      </c>
      <c r="V616" s="4">
        <v>517</v>
      </c>
      <c r="W616">
        <v>1</v>
      </c>
      <c r="X616" s="4">
        <v>529</v>
      </c>
      <c r="Y616">
        <v>1</v>
      </c>
      <c r="Z616" s="4">
        <v>539</v>
      </c>
      <c r="AA616">
        <v>1</v>
      </c>
      <c r="AB616" s="4" t="str">
        <f>HYPERLINK("http://exon.niaid.nih.gov/transcriptome/C_felis/S1/links/XC-ASB/cf-contig_633-XC-ASB.txt","XC-contig_4")</f>
        <v>XC-contig_4</v>
      </c>
      <c r="AC616">
        <v>5.1999999999999998E-2</v>
      </c>
      <c r="AD616" s="10" t="s">
        <v>4600</v>
      </c>
      <c r="AE616" t="s">
        <v>4601</v>
      </c>
      <c r="AI616" s="4" t="str">
        <f>HYPERLINK("http://exon.niaid.nih.gov/transcriptome/C_felis/S1/links/NR/cf-contig_633-NR.txt","cathepsin L-like cysteine proteinase")</f>
        <v>cathepsin L-like cysteine proteinase</v>
      </c>
      <c r="AJ616" t="str">
        <f>HYPERLINK("http://www.ncbi.nlm.nih.gov/sutils/blink.cgi?pid=253796148","1E-005")</f>
        <v>1E-005</v>
      </c>
      <c r="AK616" t="str">
        <f>HYPERLINK("http://www.ncbi.nlm.nih.gov/protein/253796148","gi|253796148")</f>
        <v>gi|253796148</v>
      </c>
      <c r="AL616">
        <v>53.1</v>
      </c>
      <c r="AM616">
        <v>26</v>
      </c>
      <c r="AN616">
        <v>376</v>
      </c>
      <c r="AO616">
        <v>81</v>
      </c>
      <c r="AP616">
        <v>7</v>
      </c>
      <c r="AQ616">
        <v>5</v>
      </c>
      <c r="AR616">
        <v>0</v>
      </c>
      <c r="AS616">
        <v>350</v>
      </c>
      <c r="AT616">
        <v>9</v>
      </c>
      <c r="AU616">
        <v>1</v>
      </c>
      <c r="AV616">
        <v>3</v>
      </c>
      <c r="AW616" t="s">
        <v>12</v>
      </c>
      <c r="AY616" t="s">
        <v>1676</v>
      </c>
      <c r="AZ616" t="s">
        <v>4002</v>
      </c>
      <c r="BA616" s="4" t="str">
        <f>HYPERLINK("http://exon.niaid.nih.gov/transcriptome/C_felis/S1/links/SWISSP/cf-contig_633-SWISSP.txt","Cathepsin S")</f>
        <v>Cathepsin S</v>
      </c>
      <c r="BB616" t="str">
        <f>HYPERLINK("http://www.uniprot.org/uniprot/Q8HY82","2E-004")</f>
        <v>2E-004</v>
      </c>
      <c r="BC616" t="s">
        <v>4003</v>
      </c>
      <c r="BD616">
        <v>44.7</v>
      </c>
      <c r="BE616">
        <v>24</v>
      </c>
      <c r="BF616">
        <v>330</v>
      </c>
      <c r="BG616">
        <v>72</v>
      </c>
      <c r="BH616">
        <v>8</v>
      </c>
      <c r="BI616">
        <v>7</v>
      </c>
      <c r="BJ616">
        <v>0</v>
      </c>
      <c r="BK616">
        <v>304</v>
      </c>
      <c r="BL616">
        <v>9</v>
      </c>
      <c r="BM616">
        <v>1</v>
      </c>
      <c r="BN616">
        <v>3</v>
      </c>
      <c r="BO616" t="s">
        <v>12</v>
      </c>
      <c r="BQ616" t="s">
        <v>1676</v>
      </c>
      <c r="BR616" t="s">
        <v>4004</v>
      </c>
      <c r="BS616" s="4" t="str">
        <f>HYPERLINK("http://exon.niaid.nih.gov/transcriptome/C_felis/S1/links/CDD/cf-contig_633-CDD.txt","Peptidase_C1")</f>
        <v>Peptidase_C1</v>
      </c>
      <c r="BT616" t="str">
        <f>HYPERLINK("http://www.ncbi.nlm.nih.gov/Structure/cdd/cddsrv.cgi?uid=pfam00112&amp;version=v4.0","3E-005")</f>
        <v>3E-005</v>
      </c>
      <c r="BU616" t="s">
        <v>4005</v>
      </c>
      <c r="BV616" s="4" t="s">
        <v>4006</v>
      </c>
      <c r="BW616">
        <f>HYPERLINK("http://exon.niaid.nih.gov/transcriptome/C_felis/S1/links/GO/cf-contig_633-GO.txt",0.00001)</f>
        <v>1.0000000000000001E-5</v>
      </c>
      <c r="BX616" t="str">
        <f>HYPERLINK("http://amigo.geneontology.org/cgi-bin/amigo/term_details?term=GO:0004197","GO:0004197")</f>
        <v>GO:0004197</v>
      </c>
      <c r="BY616" t="s">
        <v>4007</v>
      </c>
      <c r="BZ616" t="s">
        <v>4008</v>
      </c>
      <c r="CA616" t="s">
        <v>4009</v>
      </c>
      <c r="CB616" t="str">
        <f>HYPERLINK("http://www.genome.jp/dbget-bin/www_bfind_sub?mode=bfind&amp;max_hit=1000&amp;dbkey=kegg&amp;keywords=EC:3.4.22","EC:3.4.22")</f>
        <v>EC:3.4.22</v>
      </c>
      <c r="CD616">
        <v>1.0000000000000001E-5</v>
      </c>
      <c r="CE616" t="str">
        <f>HYPERLINK("http://amigo.geneontology.org/cgi-bin/amigo/term_details?term=GO:0031983","GO:0031983")</f>
        <v>GO:0031983</v>
      </c>
      <c r="CF616" t="s">
        <v>4010</v>
      </c>
      <c r="CG616" t="s">
        <v>4011</v>
      </c>
      <c r="CH616" t="s">
        <v>42</v>
      </c>
      <c r="CI616" t="s">
        <v>42</v>
      </c>
      <c r="CK616">
        <v>1.0000000000000001E-5</v>
      </c>
      <c r="CL616" t="str">
        <f>HYPERLINK("http://amigo.geneontology.org/cgi-bin/amigo/term_details?term=GO:0006508","GO:0006508")</f>
        <v>GO:0006508</v>
      </c>
      <c r="CM616" t="s">
        <v>3010</v>
      </c>
      <c r="CN616" t="s">
        <v>3011</v>
      </c>
      <c r="CO616" t="s">
        <v>3012</v>
      </c>
      <c r="CP616" t="s">
        <v>42</v>
      </c>
      <c r="CR616">
        <v>1.0000000000000001E-5</v>
      </c>
      <c r="CS616" s="4" t="str">
        <f>HYPERLINK("http://exon.niaid.nih.gov/transcriptome/C_felis/S1/links/KOG/cf-contig_633-KOG.txt","Cysteine proteinase Cathepsin L")</f>
        <v>Cysteine proteinase Cathepsin L</v>
      </c>
      <c r="CT616" t="str">
        <f>HYPERLINK("http://www.ncbi.nlm.nih.gov/COG/grace/shokog.cgi?KOG1543","0.075")</f>
        <v>0.075</v>
      </c>
      <c r="CU616" t="s">
        <v>2198</v>
      </c>
      <c r="CV616" s="4" t="str">
        <f>HYPERLINK("http://exon.niaid.nih.gov/transcriptome/C_felis/S1/links/PFAM/cf-contig_633-PFAM.txt","Peptidase_C1")</f>
        <v>Peptidase_C1</v>
      </c>
      <c r="CW616" t="str">
        <f>HYPERLINK("http://pfam.sanger.ac.uk/family?acc=PF00112","6E-006")</f>
        <v>6E-006</v>
      </c>
      <c r="CX616" s="4" t="str">
        <f>HYPERLINK("http://exon.niaid.nih.gov/transcriptome/C_felis/S1/links/SMART/cf-contig_633-SMART.txt","Pept_C1")</f>
        <v>Pept_C1</v>
      </c>
      <c r="CY616" t="str">
        <f>HYPERLINK("http://smart.embl-heidelberg.de/smart/do_annotation.pl?DOMAIN=Pept_C1&amp;BLAST=DUMMY","2E-005")</f>
        <v>2E-005</v>
      </c>
      <c r="CZ616" s="4" t="s">
        <v>42</v>
      </c>
      <c r="DA616" t="s">
        <v>42</v>
      </c>
      <c r="DB616" t="s">
        <v>42</v>
      </c>
      <c r="DC616" t="s">
        <v>42</v>
      </c>
      <c r="DD616" t="s">
        <v>42</v>
      </c>
      <c r="DE616" t="s">
        <v>42</v>
      </c>
      <c r="DF616" t="s">
        <v>42</v>
      </c>
      <c r="DG616" t="s">
        <v>42</v>
      </c>
      <c r="DH616" s="4" t="s">
        <v>42</v>
      </c>
      <c r="DI616" t="s">
        <v>42</v>
      </c>
      <c r="DJ616" s="4" t="s">
        <v>42</v>
      </c>
      <c r="DK616" t="s">
        <v>42</v>
      </c>
      <c r="DL616" s="4">
        <v>517</v>
      </c>
      <c r="DM616">
        <v>1</v>
      </c>
      <c r="DN616" s="4">
        <v>529</v>
      </c>
      <c r="DO616">
        <v>1</v>
      </c>
      <c r="DP616" s="4">
        <v>539</v>
      </c>
      <c r="DQ616">
        <v>1</v>
      </c>
      <c r="DR616" s="4">
        <v>559</v>
      </c>
      <c r="DS616">
        <v>1</v>
      </c>
      <c r="DT616" s="4">
        <v>572</v>
      </c>
      <c r="DU616">
        <v>1</v>
      </c>
      <c r="DV616" s="4">
        <v>586</v>
      </c>
      <c r="DW616">
        <v>1</v>
      </c>
      <c r="DX616" s="4">
        <v>595</v>
      </c>
      <c r="DY616">
        <v>1</v>
      </c>
      <c r="DZ616" s="4">
        <v>603</v>
      </c>
      <c r="EA616">
        <v>1</v>
      </c>
      <c r="EB616" s="4">
        <v>608</v>
      </c>
      <c r="EC616">
        <v>1</v>
      </c>
      <c r="ED616" s="4">
        <v>612</v>
      </c>
      <c r="EE616">
        <v>1</v>
      </c>
      <c r="EF616" s="4">
        <v>618</v>
      </c>
      <c r="EG616">
        <v>1</v>
      </c>
      <c r="EH616" s="4">
        <v>626</v>
      </c>
      <c r="EI616">
        <v>1</v>
      </c>
      <c r="EJ616" s="4">
        <v>633</v>
      </c>
      <c r="EK616">
        <v>1</v>
      </c>
    </row>
    <row r="617" spans="1:141" x14ac:dyDescent="0.2">
      <c r="A617" t="str">
        <f>HYPERLINK("http://exon.niaid.nih.gov/transcriptome/C_felis/S1/links/cf/cf-contig_711.txt","cf-contig_711")</f>
        <v>cf-contig_711</v>
      </c>
      <c r="B617">
        <v>1</v>
      </c>
      <c r="C617" s="10" t="s">
        <v>4600</v>
      </c>
      <c r="D617">
        <v>1</v>
      </c>
      <c r="E617" t="str">
        <f>HYPERLINK("http://exon.niaid.nih.gov/transcriptome/C_felis/S1/links/cf/cf-5-36-asb-711.txt","Contig-711")</f>
        <v>Contig-711</v>
      </c>
      <c r="F617" t="str">
        <f>HYPERLINK("http://exon.niaid.nih.gov/transcriptome/C_felis/S1/links/cf/cf-5-36-711-CLU.txt","Contig711")</f>
        <v>Contig711</v>
      </c>
      <c r="G617" t="str">
        <f>HYPERLINK("http://exon.niaid.nih.gov/transcriptome/C_felis/S1/links/cf/cf-5-36-711-qual.txt","64.3")</f>
        <v>64.3</v>
      </c>
      <c r="H617" t="s">
        <v>11</v>
      </c>
      <c r="I617">
        <v>65.5</v>
      </c>
      <c r="J617">
        <v>248</v>
      </c>
      <c r="K617" t="s">
        <v>12</v>
      </c>
      <c r="L617">
        <v>1</v>
      </c>
      <c r="M617" t="s">
        <v>724</v>
      </c>
      <c r="N617">
        <v>248</v>
      </c>
      <c r="O617">
        <v>267</v>
      </c>
      <c r="P617">
        <v>78</v>
      </c>
      <c r="Q617" t="s">
        <v>1530</v>
      </c>
      <c r="R617">
        <v>1</v>
      </c>
      <c r="S617" s="7" t="s">
        <v>4585</v>
      </c>
      <c r="U617">
        <v>1</v>
      </c>
      <c r="V617" s="4">
        <v>578</v>
      </c>
      <c r="W617">
        <v>1</v>
      </c>
      <c r="X617" s="4">
        <v>594</v>
      </c>
      <c r="Y617">
        <v>1</v>
      </c>
      <c r="Z617" s="4">
        <v>607</v>
      </c>
      <c r="AA617">
        <v>1</v>
      </c>
      <c r="AB617" s="4" t="str">
        <f>HYPERLINK("http://exon.niaid.nih.gov/transcriptome/C_felis/S1/links/XC-ASB/cf-contig_711-XC-ASB.txt","XC-contig_229")</f>
        <v>XC-contig_229</v>
      </c>
      <c r="AC617">
        <v>0.32</v>
      </c>
      <c r="AD617" s="10" t="s">
        <v>4600</v>
      </c>
      <c r="AE617" t="s">
        <v>4601</v>
      </c>
      <c r="AI617" s="4" t="str">
        <f>HYPERLINK("http://exon.niaid.nih.gov/transcriptome/C_felis/S1/links/NR/cf-contig_711-NR.txt","hypothetical protein DORFOR_00468")</f>
        <v>hypothetical protein DORFOR_00468</v>
      </c>
      <c r="AJ617" t="str">
        <f>HYPERLINK("http://www.ncbi.nlm.nih.gov/sutils/blink.cgi?pid=166030794","12")</f>
        <v>12</v>
      </c>
      <c r="AK617" t="str">
        <f>HYPERLINK("http://www.ncbi.nlm.nih.gov/protein/166030794","gi|166030794")</f>
        <v>gi|166030794</v>
      </c>
      <c r="AL617">
        <v>33.5</v>
      </c>
      <c r="AM617">
        <v>34</v>
      </c>
      <c r="AN617">
        <v>517</v>
      </c>
      <c r="AO617">
        <v>40</v>
      </c>
      <c r="AP617">
        <v>7</v>
      </c>
      <c r="AQ617">
        <v>22</v>
      </c>
      <c r="AR617">
        <v>0</v>
      </c>
      <c r="AS617">
        <v>1</v>
      </c>
      <c r="AT617">
        <v>70</v>
      </c>
      <c r="AU617">
        <v>1</v>
      </c>
      <c r="AV617">
        <v>1</v>
      </c>
      <c r="AW617" t="s">
        <v>12</v>
      </c>
      <c r="AX617">
        <v>2.9409999999999998</v>
      </c>
      <c r="AY617" t="s">
        <v>1676</v>
      </c>
      <c r="AZ617" t="s">
        <v>4240</v>
      </c>
      <c r="BA617" s="4" t="str">
        <f>HYPERLINK("http://exon.niaid.nih.gov/transcriptome/C_felis/S1/links/SWISSP/cf-contig_711-SWISSP.txt","Uncharacterized transporter ywcJ")</f>
        <v>Uncharacterized transporter ywcJ</v>
      </c>
      <c r="BB617" t="str">
        <f>HYPERLINK("http://www.uniprot.org/uniprot/P39608","2.8")</f>
        <v>2.8</v>
      </c>
      <c r="BC617" t="s">
        <v>4241</v>
      </c>
      <c r="BD617">
        <v>30.8</v>
      </c>
      <c r="BE617">
        <v>49</v>
      </c>
      <c r="BF617">
        <v>256</v>
      </c>
      <c r="BG617">
        <v>34</v>
      </c>
      <c r="BH617">
        <v>20</v>
      </c>
      <c r="BI617">
        <v>33</v>
      </c>
      <c r="BJ617">
        <v>3</v>
      </c>
      <c r="BK617">
        <v>183</v>
      </c>
      <c r="BL617">
        <v>4</v>
      </c>
      <c r="BM617">
        <v>1</v>
      </c>
      <c r="BN617">
        <v>-1</v>
      </c>
      <c r="BO617" t="s">
        <v>12</v>
      </c>
      <c r="BQ617" t="s">
        <v>1666</v>
      </c>
      <c r="BR617" t="s">
        <v>1739</v>
      </c>
      <c r="BS617" s="4" t="str">
        <f>HYPERLINK("http://exon.niaid.nih.gov/transcriptome/C_felis/S1/links/CDD/cf-contig_711-CDD.txt","DUF1776")</f>
        <v>DUF1776</v>
      </c>
      <c r="BT617" t="str">
        <f>HYPERLINK("http://www.ncbi.nlm.nih.gov/Structure/cdd/cddsrv.cgi?uid=pfam08643&amp;version=v4.0","0.13")</f>
        <v>0.13</v>
      </c>
      <c r="BU617" t="s">
        <v>4242</v>
      </c>
      <c r="BV617" s="4" t="s">
        <v>42</v>
      </c>
      <c r="BW617" t="s">
        <v>42</v>
      </c>
      <c r="BX617" t="s">
        <v>42</v>
      </c>
      <c r="BY617" t="s">
        <v>42</v>
      </c>
      <c r="BZ617" t="s">
        <v>42</v>
      </c>
      <c r="CA617" t="s">
        <v>42</v>
      </c>
      <c r="CB617" t="s">
        <v>42</v>
      </c>
      <c r="CC617" t="s">
        <v>42</v>
      </c>
      <c r="CD617" t="s">
        <v>42</v>
      </c>
      <c r="CE617" t="s">
        <v>42</v>
      </c>
      <c r="CF617" t="s">
        <v>42</v>
      </c>
      <c r="CG617" t="s">
        <v>42</v>
      </c>
      <c r="CH617" t="s">
        <v>42</v>
      </c>
      <c r="CI617" t="s">
        <v>42</v>
      </c>
      <c r="CJ617" t="s">
        <v>42</v>
      </c>
      <c r="CK617" t="s">
        <v>42</v>
      </c>
      <c r="CL617" t="s">
        <v>42</v>
      </c>
      <c r="CM617" t="s">
        <v>42</v>
      </c>
      <c r="CN617" t="s">
        <v>42</v>
      </c>
      <c r="CO617" t="s">
        <v>42</v>
      </c>
      <c r="CP617" t="s">
        <v>42</v>
      </c>
      <c r="CQ617" t="s">
        <v>42</v>
      </c>
      <c r="CR617" t="s">
        <v>42</v>
      </c>
      <c r="CS617" s="4" t="str">
        <f>HYPERLINK("http://exon.niaid.nih.gov/transcriptome/C_felis/S1/links/KOG/cf-contig_711-KOG.txt","PH domain-containing protein")</f>
        <v>PH domain-containing protein</v>
      </c>
      <c r="CT617" t="str">
        <f>HYPERLINK("http://www.ncbi.nlm.nih.gov/COG/grace/shokog.cgi?KOG1997","0.43")</f>
        <v>0.43</v>
      </c>
      <c r="CU617" t="s">
        <v>1780</v>
      </c>
      <c r="CV617" s="4" t="str">
        <f>HYPERLINK("http://exon.niaid.nih.gov/transcriptome/C_felis/S1/links/PFAM/cf-contig_711-PFAM.txt","DUF1776")</f>
        <v>DUF1776</v>
      </c>
      <c r="CW617" t="str">
        <f>HYPERLINK("http://pfam.sanger.ac.uk/family?acc=PF08643","0.027")</f>
        <v>0.027</v>
      </c>
      <c r="CX617" s="4" t="str">
        <f>HYPERLINK("http://exon.niaid.nih.gov/transcriptome/C_felis/S1/links/SMART/cf-contig_711-SMART.txt","FH")</f>
        <v>FH</v>
      </c>
      <c r="CY617" t="str">
        <f>HYPERLINK("http://smart.embl-heidelberg.de/smart/do_annotation.pl?DOMAIN=FH&amp;BLAST=DUMMY","0.75")</f>
        <v>0.75</v>
      </c>
      <c r="CZ617" s="4" t="s">
        <v>42</v>
      </c>
      <c r="DA617" t="s">
        <v>42</v>
      </c>
      <c r="DB617" t="s">
        <v>42</v>
      </c>
      <c r="DC617" t="s">
        <v>42</v>
      </c>
      <c r="DD617" t="s">
        <v>42</v>
      </c>
      <c r="DE617" t="s">
        <v>42</v>
      </c>
      <c r="DF617" t="s">
        <v>42</v>
      </c>
      <c r="DG617" t="s">
        <v>42</v>
      </c>
      <c r="DH617" s="4" t="s">
        <v>42</v>
      </c>
      <c r="DI617" t="s">
        <v>42</v>
      </c>
      <c r="DJ617" s="4" t="s">
        <v>42</v>
      </c>
      <c r="DK617" t="s">
        <v>42</v>
      </c>
      <c r="DL617" s="4">
        <v>578</v>
      </c>
      <c r="DM617">
        <v>1</v>
      </c>
      <c r="DN617" s="4">
        <v>594</v>
      </c>
      <c r="DO617">
        <v>1</v>
      </c>
      <c r="DP617" s="4">
        <v>607</v>
      </c>
      <c r="DQ617">
        <v>1</v>
      </c>
      <c r="DR617" s="4">
        <v>628</v>
      </c>
      <c r="DS617">
        <v>1</v>
      </c>
      <c r="DT617" s="4">
        <v>642</v>
      </c>
      <c r="DU617">
        <v>1</v>
      </c>
      <c r="DV617" s="4">
        <v>657</v>
      </c>
      <c r="DW617">
        <v>1</v>
      </c>
      <c r="DX617" s="4">
        <v>668</v>
      </c>
      <c r="DY617">
        <v>1</v>
      </c>
      <c r="DZ617" s="4">
        <v>678</v>
      </c>
      <c r="EA617">
        <v>1</v>
      </c>
      <c r="EB617" s="4">
        <v>683</v>
      </c>
      <c r="EC617">
        <v>1</v>
      </c>
      <c r="ED617" s="4">
        <v>687</v>
      </c>
      <c r="EE617">
        <v>1</v>
      </c>
      <c r="EF617" s="4">
        <v>693</v>
      </c>
      <c r="EG617">
        <v>1</v>
      </c>
      <c r="EH617" s="4">
        <v>702</v>
      </c>
      <c r="EI617">
        <v>1</v>
      </c>
      <c r="EJ617" s="4">
        <v>711</v>
      </c>
      <c r="EK617">
        <v>1</v>
      </c>
    </row>
    <row r="618" spans="1:141" x14ac:dyDescent="0.2">
      <c r="A618" t="str">
        <f>HYPERLINK("http://exon.niaid.nih.gov/transcriptome/C_felis/S1/links/cf/cf-contig_127.txt","cf-contig_127")</f>
        <v>cf-contig_127</v>
      </c>
      <c r="B618">
        <v>1</v>
      </c>
      <c r="C618" s="10" t="s">
        <v>4600</v>
      </c>
      <c r="D618">
        <v>1</v>
      </c>
      <c r="E618" t="str">
        <f>HYPERLINK("http://exon.niaid.nih.gov/transcriptome/C_felis/S1/links/cf/cf-5-36-asb-127.txt","Contig-127")</f>
        <v>Contig-127</v>
      </c>
      <c r="F618" t="str">
        <f>HYPERLINK("http://exon.niaid.nih.gov/transcriptome/C_felis/S1/links/cf/cf-5-36-127-CLU.txt","Contig127")</f>
        <v>Contig127</v>
      </c>
      <c r="G618" t="str">
        <f>HYPERLINK("http://exon.niaid.nih.gov/transcriptome/C_felis/S1/links/cf/cf-5-36-127-qual.txt","64.6")</f>
        <v>64.6</v>
      </c>
      <c r="H618" t="s">
        <v>11</v>
      </c>
      <c r="I618">
        <v>71.3</v>
      </c>
      <c r="J618">
        <v>458</v>
      </c>
      <c r="K618" t="s">
        <v>12</v>
      </c>
      <c r="L618">
        <v>1</v>
      </c>
      <c r="M618" t="s">
        <v>140</v>
      </c>
      <c r="N618">
        <v>458</v>
      </c>
      <c r="O618">
        <v>477</v>
      </c>
      <c r="P618">
        <v>249</v>
      </c>
      <c r="Q618" t="s">
        <v>947</v>
      </c>
      <c r="R618">
        <v>2</v>
      </c>
      <c r="S618" s="7" t="str">
        <f>HYPERLINK("http://exon.niaid.nih.gov/transcriptome/C_felis/S1/links/Sigp/CF-CONTIG_127-SigP.txt","Cyt")</f>
        <v>Cyt</v>
      </c>
      <c r="U618">
        <v>1</v>
      </c>
      <c r="V618" s="4">
        <f>HYPERLINK("http://exon.niaid.nih.gov/transcriptome/C_felis/S1/links/cluster/cf-5-36-asb30-50-Id-CLU42.txt", 42)</f>
        <v>42</v>
      </c>
      <c r="W618">
        <f>HYPERLINK("http://exon.niaid.nih.gov/transcriptome/C_felis/S1/links/cluster/cf-5-36-asb30-50-Id-CLTL42.txt", 2)</f>
        <v>2</v>
      </c>
      <c r="X618" s="4">
        <f>HYPERLINK("http://exon.niaid.nih.gov/transcriptome/C_felis/S1/links/cluster/cf-5-36-asb35-50-Id-CLU34.txt", 34)</f>
        <v>34</v>
      </c>
      <c r="Y618">
        <f>HYPERLINK("http://exon.niaid.nih.gov/transcriptome/C_felis/S1/links/cluster/cf-5-36-asb35-50-Id-CLTL34.txt", 2)</f>
        <v>2</v>
      </c>
      <c r="Z618" s="4">
        <f>HYPERLINK("http://exon.niaid.nih.gov/transcriptome/C_felis/S1/links/cluster/cf-5-36-asb40-50-Id-CLU32.txt", 32)</f>
        <v>32</v>
      </c>
      <c r="AA618">
        <f>HYPERLINK("http://exon.niaid.nih.gov/transcriptome/C_felis/S1/links/cluster/cf-5-36-asb40-50-Id-CLTL32.txt", 2)</f>
        <v>2</v>
      </c>
      <c r="AB618" s="4" t="str">
        <f>HYPERLINK("http://exon.niaid.nih.gov/transcriptome/C_felis/S1/links/XC-ASB/cf-contig_127-XC-ASB.txt","XC-contig_209")</f>
        <v>XC-contig_209</v>
      </c>
      <c r="AC618">
        <v>6.0000000000000001E-3</v>
      </c>
      <c r="AD618" s="10" t="s">
        <v>4600</v>
      </c>
      <c r="AE618" t="s">
        <v>4601</v>
      </c>
      <c r="AI618" s="4" t="str">
        <f>HYPERLINK("http://exon.niaid.nih.gov/transcriptome/C_felis/S1/links/NR/cf-contig_127-NR.txt","GH11011")</f>
        <v>GH11011</v>
      </c>
      <c r="AJ618" t="str">
        <f>HYPERLINK("http://www.ncbi.nlm.nih.gov/sutils/blink.cgi?pid=195030592","0.13")</f>
        <v>0.13</v>
      </c>
      <c r="AK618" t="str">
        <f>HYPERLINK("http://www.ncbi.nlm.nih.gov/protein/195030592","gi|195030592")</f>
        <v>gi|195030592</v>
      </c>
      <c r="AL618">
        <v>40</v>
      </c>
      <c r="AM618">
        <v>59</v>
      </c>
      <c r="AN618">
        <v>719</v>
      </c>
      <c r="AO618">
        <v>33</v>
      </c>
      <c r="AP618">
        <v>8</v>
      </c>
      <c r="AQ618">
        <v>40</v>
      </c>
      <c r="AR618">
        <v>7</v>
      </c>
      <c r="AS618">
        <v>430</v>
      </c>
      <c r="AT618">
        <v>38</v>
      </c>
      <c r="AU618">
        <v>1</v>
      </c>
      <c r="AV618">
        <v>2</v>
      </c>
      <c r="AW618" t="s">
        <v>12</v>
      </c>
      <c r="AY618" t="s">
        <v>1676</v>
      </c>
      <c r="AZ618" t="s">
        <v>1970</v>
      </c>
      <c r="BA618" s="4" t="str">
        <f>HYPERLINK("http://exon.niaid.nih.gov/transcriptome/C_felis/S1/links/SWISSP/cf-contig_127-SWISSP.txt","E3 ubiquitin-protein ligase RBBP6")</f>
        <v>E3 ubiquitin-protein ligase RBBP6</v>
      </c>
      <c r="BB618" t="str">
        <f>HYPERLINK("http://www.uniprot.org/uniprot/P97868","0.21")</f>
        <v>0.21</v>
      </c>
      <c r="BC618" t="s">
        <v>1994</v>
      </c>
      <c r="BD618">
        <v>35</v>
      </c>
      <c r="BE618">
        <v>57</v>
      </c>
      <c r="BF618">
        <v>1790</v>
      </c>
      <c r="BG618">
        <v>31</v>
      </c>
      <c r="BH618">
        <v>3</v>
      </c>
      <c r="BI618">
        <v>40</v>
      </c>
      <c r="BJ618">
        <v>0</v>
      </c>
      <c r="BK618">
        <v>312</v>
      </c>
      <c r="BL618">
        <v>41</v>
      </c>
      <c r="BM618">
        <v>1</v>
      </c>
      <c r="BN618">
        <v>2</v>
      </c>
      <c r="BO618" t="s">
        <v>12</v>
      </c>
      <c r="BQ618" t="s">
        <v>1676</v>
      </c>
      <c r="BR618" t="s">
        <v>1705</v>
      </c>
      <c r="BS618" s="4" t="str">
        <f>HYPERLINK("http://exon.niaid.nih.gov/transcriptome/C_felis/S1/links/CDD/cf-contig_127-CDD.txt","MBOAT")</f>
        <v>MBOAT</v>
      </c>
      <c r="BT618" t="str">
        <f>HYPERLINK("http://www.ncbi.nlm.nih.gov/Structure/cdd/cddsrv.cgi?uid=pfam03062&amp;version=v4.0","0.001")</f>
        <v>0.001</v>
      </c>
      <c r="BU618" t="s">
        <v>2149</v>
      </c>
      <c r="BV618" s="4" t="s">
        <v>42</v>
      </c>
      <c r="BW618" t="s">
        <v>42</v>
      </c>
      <c r="BX618" t="s">
        <v>42</v>
      </c>
      <c r="BY618" t="s">
        <v>42</v>
      </c>
      <c r="BZ618" t="s">
        <v>42</v>
      </c>
      <c r="CA618" t="s">
        <v>42</v>
      </c>
      <c r="CB618" t="s">
        <v>42</v>
      </c>
      <c r="CC618" t="s">
        <v>42</v>
      </c>
      <c r="CD618" t="s">
        <v>42</v>
      </c>
      <c r="CE618" t="s">
        <v>42</v>
      </c>
      <c r="CF618" t="s">
        <v>42</v>
      </c>
      <c r="CG618" t="s">
        <v>42</v>
      </c>
      <c r="CH618" t="s">
        <v>42</v>
      </c>
      <c r="CI618" t="s">
        <v>42</v>
      </c>
      <c r="CJ618" t="s">
        <v>42</v>
      </c>
      <c r="CK618" t="s">
        <v>42</v>
      </c>
      <c r="CL618" t="s">
        <v>42</v>
      </c>
      <c r="CM618" t="s">
        <v>42</v>
      </c>
      <c r="CN618" t="s">
        <v>42</v>
      </c>
      <c r="CO618" t="s">
        <v>42</v>
      </c>
      <c r="CP618" t="s">
        <v>42</v>
      </c>
      <c r="CQ618" t="s">
        <v>42</v>
      </c>
      <c r="CR618" t="s">
        <v>42</v>
      </c>
      <c r="CS618" s="4" t="str">
        <f>HYPERLINK("http://exon.niaid.nih.gov/transcriptome/C_felis/S1/links/KOG/cf-contig_127-KOG.txt","Glycosylphosphatidylinositol anchor synthesis protein")</f>
        <v>Glycosylphosphatidylinositol anchor synthesis protein</v>
      </c>
      <c r="CT618" t="str">
        <f>HYPERLINK("http://www.ncbi.nlm.nih.gov/COG/grace/shokog.cgi?KOG2124","0.053")</f>
        <v>0.053</v>
      </c>
      <c r="CU618" t="s">
        <v>1780</v>
      </c>
      <c r="CV618" s="4" t="str">
        <f>HYPERLINK("http://exon.niaid.nih.gov/transcriptome/C_felis/S1/links/PFAM/cf-contig_127-PFAM.txt","MBOAT")</f>
        <v>MBOAT</v>
      </c>
      <c r="CW618" t="str">
        <f>HYPERLINK("http://pfam.sanger.ac.uk/family?acc=PF03062","3E-004")</f>
        <v>3E-004</v>
      </c>
      <c r="CX618" s="4" t="str">
        <f>HYPERLINK("http://exon.niaid.nih.gov/transcriptome/C_felis/S1/links/SMART/cf-contig_127-SMART.txt","HTTM")</f>
        <v>HTTM</v>
      </c>
      <c r="CY618" t="str">
        <f>HYPERLINK("http://smart.embl-heidelberg.de/smart/do_annotation.pl?DOMAIN=HTTM&amp;BLAST=DUMMY","0.003")</f>
        <v>0.003</v>
      </c>
      <c r="CZ618" s="4" t="s">
        <v>42</v>
      </c>
      <c r="DA618" t="s">
        <v>42</v>
      </c>
      <c r="DB618" t="s">
        <v>42</v>
      </c>
      <c r="DC618" t="s">
        <v>42</v>
      </c>
      <c r="DD618" t="s">
        <v>42</v>
      </c>
      <c r="DE618" t="s">
        <v>42</v>
      </c>
      <c r="DF618" t="s">
        <v>42</v>
      </c>
      <c r="DG618" t="s">
        <v>42</v>
      </c>
      <c r="DH618" s="4" t="s">
        <v>42</v>
      </c>
      <c r="DI618" t="s">
        <v>42</v>
      </c>
      <c r="DJ618" s="4" t="s">
        <v>42</v>
      </c>
      <c r="DK618" t="s">
        <v>42</v>
      </c>
      <c r="DL618" s="4">
        <f>HYPERLINK("http://exon.niaid.nih.gov/transcriptome/C_felis/S1/links/cluster/cf-5-36-asb30-50-Id-CLU42.txt", 42)</f>
        <v>42</v>
      </c>
      <c r="DM618">
        <f>HYPERLINK("http://exon.niaid.nih.gov/transcriptome/C_felis/S1/links/cluster/cf-5-36-asb30-50-Id-CLTL42.txt", 2)</f>
        <v>2</v>
      </c>
      <c r="DN618" s="4">
        <f>HYPERLINK("http://exon.niaid.nih.gov/transcriptome/C_felis/S1/links/cluster/cf-5-36-asb35-50-Id-CLU34.txt", 34)</f>
        <v>34</v>
      </c>
      <c r="DO618">
        <f>HYPERLINK("http://exon.niaid.nih.gov/transcriptome/C_felis/S1/links/cluster/cf-5-36-asb35-50-Id-CLTL34.txt", 2)</f>
        <v>2</v>
      </c>
      <c r="DP618" s="4">
        <f>HYPERLINK("http://exon.niaid.nih.gov/transcriptome/C_felis/S1/links/cluster/cf-5-36-asb40-50-Id-CLU32.txt", 32)</f>
        <v>32</v>
      </c>
      <c r="DQ618">
        <f>HYPERLINK("http://exon.niaid.nih.gov/transcriptome/C_felis/S1/links/cluster/cf-5-36-asb40-50-Id-CLTL32.txt", 2)</f>
        <v>2</v>
      </c>
      <c r="DR618" s="4">
        <v>119</v>
      </c>
      <c r="DS618">
        <v>1</v>
      </c>
      <c r="DT618" s="4">
        <v>117</v>
      </c>
      <c r="DU618">
        <v>1</v>
      </c>
      <c r="DV618" s="4">
        <v>126</v>
      </c>
      <c r="DW618">
        <v>1</v>
      </c>
      <c r="DX618" s="4">
        <v>128</v>
      </c>
      <c r="DY618">
        <v>1</v>
      </c>
      <c r="DZ618" s="4">
        <v>128</v>
      </c>
      <c r="EA618">
        <v>1</v>
      </c>
      <c r="EB618" s="4">
        <v>131</v>
      </c>
      <c r="EC618">
        <v>1</v>
      </c>
      <c r="ED618" s="4">
        <v>132</v>
      </c>
      <c r="EE618">
        <v>1</v>
      </c>
      <c r="EF618" s="4">
        <v>129</v>
      </c>
      <c r="EG618">
        <v>1</v>
      </c>
      <c r="EH618" s="4">
        <v>126</v>
      </c>
      <c r="EI618">
        <v>1</v>
      </c>
      <c r="EJ618" s="4">
        <v>127</v>
      </c>
      <c r="EK618">
        <v>1</v>
      </c>
    </row>
    <row r="619" spans="1:141" x14ac:dyDescent="0.2">
      <c r="A619" t="str">
        <f>HYPERLINK("http://exon.niaid.nih.gov/transcriptome/C_felis/S1/links/cf/cf-contig_461.txt","cf-contig_461")</f>
        <v>cf-contig_461</v>
      </c>
      <c r="B619">
        <v>1</v>
      </c>
      <c r="C619" s="10" t="s">
        <v>4600</v>
      </c>
      <c r="D619">
        <v>1</v>
      </c>
      <c r="E619" t="str">
        <f>HYPERLINK("http://exon.niaid.nih.gov/transcriptome/C_felis/S1/links/cf/cf-5-36-asb-461.txt","Contig-461")</f>
        <v>Contig-461</v>
      </c>
      <c r="F619" t="str">
        <f>HYPERLINK("http://exon.niaid.nih.gov/transcriptome/C_felis/S1/links/cf/cf-5-36-461-CLU.txt","Contig461")</f>
        <v>Contig461</v>
      </c>
      <c r="G619" t="str">
        <f>HYPERLINK("http://exon.niaid.nih.gov/transcriptome/C_felis/S1/links/cf/cf-5-36-461-qual.txt","56.1")</f>
        <v>56.1</v>
      </c>
      <c r="H619" t="s">
        <v>11</v>
      </c>
      <c r="I619">
        <v>69.5</v>
      </c>
      <c r="J619">
        <v>279</v>
      </c>
      <c r="K619" t="s">
        <v>12</v>
      </c>
      <c r="L619">
        <v>1</v>
      </c>
      <c r="M619" t="s">
        <v>474</v>
      </c>
      <c r="N619">
        <v>279</v>
      </c>
      <c r="O619">
        <v>298</v>
      </c>
      <c r="P619">
        <v>129</v>
      </c>
      <c r="Q619" t="s">
        <v>1280</v>
      </c>
      <c r="R619">
        <v>2</v>
      </c>
      <c r="S619" s="7" t="s">
        <v>4585</v>
      </c>
      <c r="U619">
        <v>1</v>
      </c>
      <c r="V619" s="4">
        <v>374</v>
      </c>
      <c r="W619">
        <v>1</v>
      </c>
      <c r="X619" s="4">
        <v>383</v>
      </c>
      <c r="Y619">
        <v>1</v>
      </c>
      <c r="Z619" s="4">
        <v>388</v>
      </c>
      <c r="AA619">
        <v>1</v>
      </c>
      <c r="AB619" s="4" t="str">
        <f>HYPERLINK("http://exon.niaid.nih.gov/transcriptome/C_felis/S1/links/XC-ASB/cf-contig_461-XC-ASB.txt","XC-contig_138")</f>
        <v>XC-contig_138</v>
      </c>
      <c r="AC619">
        <v>1.3</v>
      </c>
      <c r="AD619" s="10" t="s">
        <v>4600</v>
      </c>
      <c r="AE619" t="s">
        <v>4601</v>
      </c>
      <c r="AI619" s="4" t="str">
        <f>HYPERLINK("http://exon.niaid.nih.gov/transcriptome/C_felis/S1/links/NR/cf-contig_461-NR.txt","GH22664")</f>
        <v>GH22664</v>
      </c>
      <c r="AJ619" t="str">
        <f>HYPERLINK("http://www.ncbi.nlm.nih.gov/sutils/blink.cgi?pid=195054854","0.060")</f>
        <v>0.060</v>
      </c>
      <c r="AK619" t="str">
        <f>HYPERLINK("http://www.ncbi.nlm.nih.gov/protein/195054854","gi|195054854")</f>
        <v>gi|195054854</v>
      </c>
      <c r="AL619">
        <v>41.2</v>
      </c>
      <c r="AM619">
        <v>22</v>
      </c>
      <c r="AN619">
        <v>154</v>
      </c>
      <c r="AO619">
        <v>82</v>
      </c>
      <c r="AP619">
        <v>15</v>
      </c>
      <c r="AQ619">
        <v>4</v>
      </c>
      <c r="AR619">
        <v>0</v>
      </c>
      <c r="AS619">
        <v>132</v>
      </c>
      <c r="AT619">
        <v>15</v>
      </c>
      <c r="AU619">
        <v>1</v>
      </c>
      <c r="AV619">
        <v>3</v>
      </c>
      <c r="AW619" t="s">
        <v>12</v>
      </c>
      <c r="AY619" t="s">
        <v>1676</v>
      </c>
      <c r="AZ619" t="s">
        <v>1970</v>
      </c>
      <c r="BA619" s="4" t="str">
        <f>HYPERLINK("http://exon.niaid.nih.gov/transcriptome/C_felis/S1/links/SWISSP/cf-contig_461-SWISSP.txt","Iron-sulfur cluster assembly enzyme ISCU, mitochondrial")</f>
        <v>Iron-sulfur cluster assembly enzyme ISCU, mitochondrial</v>
      </c>
      <c r="BB619" t="str">
        <f>HYPERLINK("http://www.uniprot.org/uniprot/Q9H1K1","0.20")</f>
        <v>0.20</v>
      </c>
      <c r="BC619" t="s">
        <v>3351</v>
      </c>
      <c r="BD619">
        <v>34.700000000000003</v>
      </c>
      <c r="BE619">
        <v>23</v>
      </c>
      <c r="BF619">
        <v>167</v>
      </c>
      <c r="BG619">
        <v>62</v>
      </c>
      <c r="BH619">
        <v>14</v>
      </c>
      <c r="BI619">
        <v>9</v>
      </c>
      <c r="BJ619">
        <v>0</v>
      </c>
      <c r="BK619">
        <v>141</v>
      </c>
      <c r="BL619">
        <v>15</v>
      </c>
      <c r="BM619">
        <v>1</v>
      </c>
      <c r="BN619">
        <v>3</v>
      </c>
      <c r="BO619" t="s">
        <v>12</v>
      </c>
      <c r="BQ619" t="s">
        <v>1676</v>
      </c>
      <c r="BR619" t="s">
        <v>1690</v>
      </c>
      <c r="BS619" s="4" t="str">
        <f>HYPERLINK("http://exon.niaid.nih.gov/transcriptome/C_felis/S1/links/CDD/cf-contig_461-CDD.txt","PRK11325")</f>
        <v>PRK11325</v>
      </c>
      <c r="BT619" t="str">
        <f>HYPERLINK("http://www.ncbi.nlm.nih.gov/Structure/cdd/cddsrv.cgi?uid=PRK11325&amp;version=v4.0","2E-004")</f>
        <v>2E-004</v>
      </c>
      <c r="BU619" t="s">
        <v>3352</v>
      </c>
      <c r="BV619" s="4" t="s">
        <v>42</v>
      </c>
      <c r="BW619" t="s">
        <v>42</v>
      </c>
      <c r="BX619" t="s">
        <v>42</v>
      </c>
      <c r="BY619" t="s">
        <v>42</v>
      </c>
      <c r="BZ619" t="s">
        <v>42</v>
      </c>
      <c r="CA619" t="s">
        <v>42</v>
      </c>
      <c r="CB619" t="s">
        <v>42</v>
      </c>
      <c r="CC619" t="s">
        <v>42</v>
      </c>
      <c r="CD619" t="s">
        <v>42</v>
      </c>
      <c r="CE619" t="s">
        <v>42</v>
      </c>
      <c r="CF619" t="s">
        <v>42</v>
      </c>
      <c r="CG619" t="s">
        <v>42</v>
      </c>
      <c r="CH619" t="s">
        <v>42</v>
      </c>
      <c r="CI619" t="s">
        <v>42</v>
      </c>
      <c r="CJ619" t="s">
        <v>42</v>
      </c>
      <c r="CK619" t="s">
        <v>42</v>
      </c>
      <c r="CL619" t="s">
        <v>42</v>
      </c>
      <c r="CM619" t="s">
        <v>42</v>
      </c>
      <c r="CN619" t="s">
        <v>42</v>
      </c>
      <c r="CO619" t="s">
        <v>42</v>
      </c>
      <c r="CP619" t="s">
        <v>42</v>
      </c>
      <c r="CQ619" t="s">
        <v>42</v>
      </c>
      <c r="CR619" t="s">
        <v>42</v>
      </c>
      <c r="CS619" s="4" t="str">
        <f>HYPERLINK("http://exon.niaid.nih.gov/transcriptome/C_felis/S1/links/KOG/cf-contig_461-KOG.txt","Iron binding protein involved in Fe-S cluster formation")</f>
        <v>Iron binding protein involved in Fe-S cluster formation</v>
      </c>
      <c r="CT619" t="str">
        <f>HYPERLINK("http://www.ncbi.nlm.nih.gov/COG/grace/shokog.cgi?KOG3361","3E-004")</f>
        <v>3E-004</v>
      </c>
      <c r="CU619" t="s">
        <v>1793</v>
      </c>
      <c r="CV619" s="4" t="str">
        <f>HYPERLINK("http://exon.niaid.nih.gov/transcriptome/C_felis/S1/links/PFAM/cf-contig_461-PFAM.txt","NifU_N")</f>
        <v>NifU_N</v>
      </c>
      <c r="CW619" t="str">
        <f>HYPERLINK("http://pfam.sanger.ac.uk/family?acc=PF01592","0.12")</f>
        <v>0.12</v>
      </c>
      <c r="CX619" s="4" t="str">
        <f>HYPERLINK("http://exon.niaid.nih.gov/transcriptome/C_felis/S1/links/SMART/cf-contig_461-SMART.txt","Flavokinase")</f>
        <v>Flavokinase</v>
      </c>
      <c r="CY619" t="str">
        <f>HYPERLINK("http://smart.embl-heidelberg.de/smart/do_annotation.pl?DOMAIN=Flavokinase&amp;BLAST=DUMMY","0.040")</f>
        <v>0.040</v>
      </c>
      <c r="CZ619" s="4" t="s">
        <v>42</v>
      </c>
      <c r="DA619" t="s">
        <v>42</v>
      </c>
      <c r="DB619" t="s">
        <v>42</v>
      </c>
      <c r="DC619" t="s">
        <v>42</v>
      </c>
      <c r="DD619" t="s">
        <v>42</v>
      </c>
      <c r="DE619" t="s">
        <v>42</v>
      </c>
      <c r="DF619" t="s">
        <v>42</v>
      </c>
      <c r="DG619" t="s">
        <v>42</v>
      </c>
      <c r="DH619" s="4" t="s">
        <v>42</v>
      </c>
      <c r="DI619" t="s">
        <v>42</v>
      </c>
      <c r="DJ619" s="4" t="s">
        <v>42</v>
      </c>
      <c r="DK619" t="s">
        <v>42</v>
      </c>
      <c r="DL619" s="4">
        <v>374</v>
      </c>
      <c r="DM619">
        <v>1</v>
      </c>
      <c r="DN619" s="4">
        <v>383</v>
      </c>
      <c r="DO619">
        <v>1</v>
      </c>
      <c r="DP619" s="4">
        <v>388</v>
      </c>
      <c r="DQ619">
        <v>1</v>
      </c>
      <c r="DR619" s="4">
        <v>403</v>
      </c>
      <c r="DS619">
        <v>1</v>
      </c>
      <c r="DT619" s="4">
        <v>413</v>
      </c>
      <c r="DU619">
        <v>1</v>
      </c>
      <c r="DV619" s="4">
        <v>427</v>
      </c>
      <c r="DW619">
        <v>1</v>
      </c>
      <c r="DX619" s="4">
        <v>430</v>
      </c>
      <c r="DY619">
        <v>1</v>
      </c>
      <c r="DZ619" s="4">
        <v>436</v>
      </c>
      <c r="EA619">
        <v>1</v>
      </c>
      <c r="EB619" s="4">
        <v>441</v>
      </c>
      <c r="EC619">
        <v>1</v>
      </c>
      <c r="ED619" s="4">
        <v>445</v>
      </c>
      <c r="EE619">
        <v>1</v>
      </c>
      <c r="EF619" s="4">
        <v>450</v>
      </c>
      <c r="EG619">
        <v>1</v>
      </c>
      <c r="EH619" s="4">
        <v>455</v>
      </c>
      <c r="EI619">
        <v>1</v>
      </c>
      <c r="EJ619" s="4">
        <v>461</v>
      </c>
      <c r="EK619">
        <v>1</v>
      </c>
    </row>
    <row r="620" spans="1:141" x14ac:dyDescent="0.2">
      <c r="A620" t="str">
        <f>HYPERLINK("http://exon.niaid.nih.gov/transcriptome/C_felis/S1/links/cf/cf-contig_159.txt","cf-contig_159")</f>
        <v>cf-contig_159</v>
      </c>
      <c r="B620">
        <v>1</v>
      </c>
      <c r="C620" s="10" t="s">
        <v>4600</v>
      </c>
      <c r="D620">
        <v>1</v>
      </c>
      <c r="E620" t="str">
        <f>HYPERLINK("http://exon.niaid.nih.gov/transcriptome/C_felis/S1/links/cf/cf-5-36-asb-159.txt","Contig-159")</f>
        <v>Contig-159</v>
      </c>
      <c r="F620" t="str">
        <f>HYPERLINK("http://exon.niaid.nih.gov/transcriptome/C_felis/S1/links/cf/cf-5-36-159-CLU.txt","Contig159")</f>
        <v>Contig159</v>
      </c>
      <c r="G620" t="str">
        <f>HYPERLINK("http://exon.niaid.nih.gov/transcriptome/C_felis/S1/links/cf/cf-5-36-159-qual.txt","58.2")</f>
        <v>58.2</v>
      </c>
      <c r="H620" t="s">
        <v>11</v>
      </c>
      <c r="I620">
        <v>70.099999999999994</v>
      </c>
      <c r="J620">
        <v>215</v>
      </c>
      <c r="K620" t="s">
        <v>12</v>
      </c>
      <c r="L620">
        <v>1</v>
      </c>
      <c r="M620" t="s">
        <v>172</v>
      </c>
      <c r="N620">
        <v>215</v>
      </c>
      <c r="O620">
        <v>234</v>
      </c>
      <c r="P620">
        <v>111</v>
      </c>
      <c r="Q620" t="s">
        <v>979</v>
      </c>
      <c r="R620">
        <v>2</v>
      </c>
      <c r="S620" s="7" t="s">
        <v>4585</v>
      </c>
      <c r="U620">
        <v>1</v>
      </c>
      <c r="V620" s="4">
        <f>HYPERLINK("http://exon.niaid.nih.gov/transcriptome/C_felis/S1/links/cluster/cf-5-36-asb30-50-Id-CLU21.txt", 21)</f>
        <v>21</v>
      </c>
      <c r="W620">
        <f>HYPERLINK("http://exon.niaid.nih.gov/transcriptome/C_felis/S1/links/cluster/cf-5-36-asb30-50-Id-CLTL21.txt", 3)</f>
        <v>3</v>
      </c>
      <c r="X620" s="4">
        <v>145</v>
      </c>
      <c r="Y620">
        <v>1</v>
      </c>
      <c r="Z620" s="4">
        <v>142</v>
      </c>
      <c r="AA620">
        <v>1</v>
      </c>
      <c r="AB620" s="4" t="str">
        <f>HYPERLINK("http://exon.niaid.nih.gov/transcriptome/C_felis/S1/links/XC-ASB/cf-contig_159-XC-ASB.txt","XC-contig_57")</f>
        <v>XC-contig_57</v>
      </c>
      <c r="AC620">
        <v>1.4999999999999999E-2</v>
      </c>
      <c r="AD620" s="10" t="s">
        <v>4600</v>
      </c>
      <c r="AE620" t="s">
        <v>4601</v>
      </c>
      <c r="AI620" s="4" t="str">
        <f>HYPERLINK("http://exon.niaid.nih.gov/transcriptome/C_felis/S1/links/NR/cf-contig_159-NR.txt","GH24489")</f>
        <v>GH24489</v>
      </c>
      <c r="AJ620" t="str">
        <f>HYPERLINK("http://www.ncbi.nlm.nih.gov/sutils/blink.cgi?pid=195045272","12")</f>
        <v>12</v>
      </c>
      <c r="AK620" t="str">
        <f>HYPERLINK("http://www.ncbi.nlm.nih.gov/protein/195045272","gi|195045272")</f>
        <v>gi|195045272</v>
      </c>
      <c r="AL620">
        <v>33.5</v>
      </c>
      <c r="AM620">
        <v>38</v>
      </c>
      <c r="AN620">
        <v>3505</v>
      </c>
      <c r="AO620">
        <v>33</v>
      </c>
      <c r="AP620">
        <v>1</v>
      </c>
      <c r="AQ620">
        <v>26</v>
      </c>
      <c r="AR620">
        <v>0</v>
      </c>
      <c r="AS620">
        <v>979</v>
      </c>
      <c r="AT620">
        <v>1</v>
      </c>
      <c r="AU620">
        <v>1</v>
      </c>
      <c r="AV620">
        <v>-1</v>
      </c>
      <c r="AW620" t="s">
        <v>12</v>
      </c>
      <c r="AX620">
        <v>2.6320000000000001</v>
      </c>
      <c r="AY620" t="s">
        <v>1666</v>
      </c>
      <c r="AZ620" t="s">
        <v>1970</v>
      </c>
      <c r="BA620" s="4" t="str">
        <f>HYPERLINK("http://exon.niaid.nih.gov/transcriptome/C_felis/S1/links/SWISSP/cf-contig_159-SWISSP.txt","Undecaprenyl phosphate-alpha-4-amino-4-deoxy-L-arabinose arabinosyl transferase")</f>
        <v>Undecaprenyl phosphate-alpha-4-amino-4-deoxy-L-arabinose arabinosyl transferase</v>
      </c>
      <c r="BB620" t="str">
        <f>HYPERLINK("http://www.uniprot.org/uniprot/Q8D339","2.1")</f>
        <v>2.1</v>
      </c>
      <c r="BC620" t="s">
        <v>2284</v>
      </c>
      <c r="BD620">
        <v>31.2</v>
      </c>
      <c r="BE620">
        <v>32</v>
      </c>
      <c r="BF620">
        <v>562</v>
      </c>
      <c r="BG620">
        <v>45</v>
      </c>
      <c r="BH620">
        <v>6</v>
      </c>
      <c r="BI620">
        <v>18</v>
      </c>
      <c r="BJ620">
        <v>0</v>
      </c>
      <c r="BK620">
        <v>97</v>
      </c>
      <c r="BL620">
        <v>109</v>
      </c>
      <c r="BM620">
        <v>1</v>
      </c>
      <c r="BN620">
        <v>-1</v>
      </c>
      <c r="BO620" t="s">
        <v>12</v>
      </c>
      <c r="BP620">
        <v>3.125</v>
      </c>
      <c r="BQ620" t="s">
        <v>1666</v>
      </c>
      <c r="BR620" t="s">
        <v>1988</v>
      </c>
      <c r="BS620" s="4" t="str">
        <f>HYPERLINK("http://exon.niaid.nih.gov/transcriptome/C_felis/S1/links/CDD/cf-contig_159-CDD.txt","ND6")</f>
        <v>ND6</v>
      </c>
      <c r="BT620" t="str">
        <f>HYPERLINK("http://www.ncbi.nlm.nih.gov/Structure/cdd/cddsrv.cgi?uid=MTH00097&amp;version=v4.0","0.23")</f>
        <v>0.23</v>
      </c>
      <c r="BU620" t="s">
        <v>2286</v>
      </c>
      <c r="BV620" s="4" t="s">
        <v>42</v>
      </c>
      <c r="BW620" t="s">
        <v>42</v>
      </c>
      <c r="BX620" t="s">
        <v>42</v>
      </c>
      <c r="BY620" t="s">
        <v>42</v>
      </c>
      <c r="BZ620" t="s">
        <v>42</v>
      </c>
      <c r="CA620" t="s">
        <v>42</v>
      </c>
      <c r="CB620" t="s">
        <v>42</v>
      </c>
      <c r="CC620" t="s">
        <v>42</v>
      </c>
      <c r="CD620" t="s">
        <v>42</v>
      </c>
      <c r="CE620" t="s">
        <v>42</v>
      </c>
      <c r="CF620" t="s">
        <v>42</v>
      </c>
      <c r="CG620" t="s">
        <v>42</v>
      </c>
      <c r="CH620" t="s">
        <v>42</v>
      </c>
      <c r="CI620" t="s">
        <v>42</v>
      </c>
      <c r="CJ620" t="s">
        <v>42</v>
      </c>
      <c r="CK620" t="s">
        <v>42</v>
      </c>
      <c r="CL620" t="s">
        <v>42</v>
      </c>
      <c r="CM620" t="s">
        <v>42</v>
      </c>
      <c r="CN620" t="s">
        <v>42</v>
      </c>
      <c r="CO620" t="s">
        <v>42</v>
      </c>
      <c r="CP620" t="s">
        <v>42</v>
      </c>
      <c r="CQ620" t="s">
        <v>42</v>
      </c>
      <c r="CR620" t="s">
        <v>42</v>
      </c>
      <c r="CS620" s="4" t="str">
        <f>HYPERLINK("http://exon.niaid.nih.gov/transcriptome/C_felis/S1/links/KOG/cf-contig_159-KOG.txt","Protein kinase ATM/Tel1, involved in telomere length regulation and DNA repair")</f>
        <v>Protein kinase ATM/Tel1, involved in telomere length regulation and DNA repair</v>
      </c>
      <c r="CT620" t="str">
        <f>HYPERLINK("http://www.ncbi.nlm.nih.gov/COG/grace/shokog.cgi?KOG0892","2.5")</f>
        <v>2.5</v>
      </c>
      <c r="CU620" t="s">
        <v>2287</v>
      </c>
      <c r="CV620" s="4" t="str">
        <f>HYPERLINK("http://exon.niaid.nih.gov/transcriptome/C_felis/S1/links/PFAM/cf-contig_159-PFAM.txt","Spore_permease")</f>
        <v>Spore_permease</v>
      </c>
      <c r="CW620" t="str">
        <f>HYPERLINK("http://pfam.sanger.ac.uk/family?acc=PF03845","0.33")</f>
        <v>0.33</v>
      </c>
      <c r="CX620" s="4" t="str">
        <f>HYPERLINK("http://exon.niaid.nih.gov/transcriptome/C_felis/S1/links/SMART/cf-contig_159-SMART.txt","G_alpha")</f>
        <v>G_alpha</v>
      </c>
      <c r="CY620" t="str">
        <f>HYPERLINK("http://smart.embl-heidelberg.de/smart/do_annotation.pl?DOMAIN=G_alpha&amp;BLAST=DUMMY","0.16")</f>
        <v>0.16</v>
      </c>
      <c r="CZ620" s="4" t="s">
        <v>42</v>
      </c>
      <c r="DA620" t="s">
        <v>42</v>
      </c>
      <c r="DB620" t="s">
        <v>42</v>
      </c>
      <c r="DC620" t="s">
        <v>42</v>
      </c>
      <c r="DD620" t="s">
        <v>42</v>
      </c>
      <c r="DE620" t="s">
        <v>42</v>
      </c>
      <c r="DF620" t="s">
        <v>42</v>
      </c>
      <c r="DG620" t="s">
        <v>42</v>
      </c>
      <c r="DH620" s="4" t="s">
        <v>42</v>
      </c>
      <c r="DI620" t="s">
        <v>42</v>
      </c>
      <c r="DJ620" s="4" t="s">
        <v>42</v>
      </c>
      <c r="DK620" t="s">
        <v>42</v>
      </c>
      <c r="DL620" s="4">
        <f>HYPERLINK("http://exon.niaid.nih.gov/transcriptome/C_felis/S1/links/cluster/cf-5-36-asb30-50-Id-CLU21.txt", 21)</f>
        <v>21</v>
      </c>
      <c r="DM620">
        <f>HYPERLINK("http://exon.niaid.nih.gov/transcriptome/C_felis/S1/links/cluster/cf-5-36-asb30-50-Id-CLTL21.txt", 3)</f>
        <v>3</v>
      </c>
      <c r="DN620" s="4">
        <v>145</v>
      </c>
      <c r="DO620">
        <v>1</v>
      </c>
      <c r="DP620" s="4">
        <v>142</v>
      </c>
      <c r="DQ620">
        <v>1</v>
      </c>
      <c r="DR620" s="4">
        <v>139</v>
      </c>
      <c r="DS620">
        <v>1</v>
      </c>
      <c r="DT620" s="4">
        <v>138</v>
      </c>
      <c r="DU620">
        <v>1</v>
      </c>
      <c r="DV620" s="4">
        <v>148</v>
      </c>
      <c r="DW620">
        <v>1</v>
      </c>
      <c r="DX620" s="4">
        <v>150</v>
      </c>
      <c r="DY620">
        <v>1</v>
      </c>
      <c r="DZ620" s="4">
        <v>150</v>
      </c>
      <c r="EA620">
        <v>1</v>
      </c>
      <c r="EB620" s="4">
        <v>155</v>
      </c>
      <c r="EC620">
        <v>1</v>
      </c>
      <c r="ED620" s="4">
        <v>156</v>
      </c>
      <c r="EE620">
        <v>1</v>
      </c>
      <c r="EF620" s="4">
        <v>157</v>
      </c>
      <c r="EG620">
        <v>1</v>
      </c>
      <c r="EH620" s="4">
        <v>156</v>
      </c>
      <c r="EI620">
        <v>1</v>
      </c>
      <c r="EJ620" s="4">
        <v>159</v>
      </c>
      <c r="EK620">
        <v>1</v>
      </c>
    </row>
    <row r="621" spans="1:141" x14ac:dyDescent="0.2">
      <c r="A621" t="str">
        <f>HYPERLINK("http://exon.niaid.nih.gov/transcriptome/C_felis/S1/links/cf/cf-contig_740.txt","cf-contig_740")</f>
        <v>cf-contig_740</v>
      </c>
      <c r="B621">
        <v>1</v>
      </c>
      <c r="C621" s="10" t="s">
        <v>4600</v>
      </c>
      <c r="D621">
        <v>1</v>
      </c>
      <c r="E621" t="str">
        <f>HYPERLINK("http://exon.niaid.nih.gov/transcriptome/C_felis/S1/links/cf/cf-5-36-asb-740.txt","Contig-740")</f>
        <v>Contig-740</v>
      </c>
      <c r="F621" t="str">
        <f>HYPERLINK("http://exon.niaid.nih.gov/transcriptome/C_felis/S1/links/cf/cf-5-36-740-CLU.txt","Contig740")</f>
        <v>Contig740</v>
      </c>
      <c r="G621" t="str">
        <f>HYPERLINK("http://exon.niaid.nih.gov/transcriptome/C_felis/S1/links/cf/cf-5-36-740-qual.txt","20.4")</f>
        <v>20.4</v>
      </c>
      <c r="H621" t="s">
        <v>11</v>
      </c>
      <c r="I621">
        <v>59.3</v>
      </c>
      <c r="J621">
        <v>158</v>
      </c>
      <c r="K621" t="s">
        <v>12</v>
      </c>
      <c r="L621">
        <v>1</v>
      </c>
      <c r="M621" t="s">
        <v>753</v>
      </c>
      <c r="N621">
        <v>158</v>
      </c>
      <c r="O621">
        <v>177</v>
      </c>
      <c r="P621">
        <v>126</v>
      </c>
      <c r="Q621" t="s">
        <v>1559</v>
      </c>
      <c r="R621">
        <v>2</v>
      </c>
      <c r="S621" s="7" t="s">
        <v>4585</v>
      </c>
      <c r="U621">
        <v>1</v>
      </c>
      <c r="V621" s="4">
        <v>599</v>
      </c>
      <c r="W621">
        <v>1</v>
      </c>
      <c r="X621" s="4">
        <v>616</v>
      </c>
      <c r="Y621">
        <v>1</v>
      </c>
      <c r="Z621" s="4">
        <v>630</v>
      </c>
      <c r="AA621">
        <v>1</v>
      </c>
      <c r="AB621" s="4" t="str">
        <f>HYPERLINK("http://exon.niaid.nih.gov/transcriptome/C_felis/S1/links/XC-ASB/cf-contig_740-XC-ASB.txt","XC-contig_82")</f>
        <v>XC-contig_82</v>
      </c>
      <c r="AC621">
        <v>1E-4</v>
      </c>
      <c r="AD621" s="10" t="s">
        <v>4600</v>
      </c>
      <c r="AE621" t="s">
        <v>4601</v>
      </c>
      <c r="AI621" s="4" t="str">
        <f>HYPERLINK("http://exon.niaid.nih.gov/transcriptome/C_felis/S1/links/NR/cf-contig_740-NR.txt","ribosomal protein L27A, isoform B")</f>
        <v>ribosomal protein L27A, isoform B</v>
      </c>
      <c r="AJ621" t="str">
        <f>HYPERLINK("http://www.ncbi.nlm.nih.gov/sutils/blink.cgi?pid=320544519","5.5")</f>
        <v>5.5</v>
      </c>
      <c r="AK621" t="str">
        <f>HYPERLINK("http://www.ncbi.nlm.nih.gov/protein/320544519","gi|320544519")</f>
        <v>gi|320544519</v>
      </c>
      <c r="AL621">
        <v>34.700000000000003</v>
      </c>
      <c r="AM621">
        <v>21</v>
      </c>
      <c r="AN621">
        <v>111</v>
      </c>
      <c r="AO621">
        <v>68</v>
      </c>
      <c r="AP621">
        <v>20</v>
      </c>
      <c r="AQ621">
        <v>7</v>
      </c>
      <c r="AR621">
        <v>0</v>
      </c>
      <c r="AS621">
        <v>83</v>
      </c>
      <c r="AT621">
        <v>23</v>
      </c>
      <c r="AU621">
        <v>1</v>
      </c>
      <c r="AV621">
        <v>2</v>
      </c>
      <c r="AW621" t="s">
        <v>12</v>
      </c>
      <c r="AY621" t="s">
        <v>1676</v>
      </c>
      <c r="AZ621" t="s">
        <v>1804</v>
      </c>
      <c r="BA621" s="4" t="str">
        <f>HYPERLINK("http://exon.niaid.nih.gov/transcriptome/C_felis/S1/links/SWISSP/cf-contig_740-SWISSP.txt","60S ribosomal protein L27a")</f>
        <v>60S ribosomal protein L27a</v>
      </c>
      <c r="BB621" t="str">
        <f>HYPERLINK("http://www.uniprot.org/uniprot/P41092","0.19")</f>
        <v>0.19</v>
      </c>
      <c r="BC621" t="s">
        <v>4352</v>
      </c>
      <c r="BD621">
        <v>34.700000000000003</v>
      </c>
      <c r="BE621">
        <v>21</v>
      </c>
      <c r="BF621">
        <v>149</v>
      </c>
      <c r="BG621">
        <v>68</v>
      </c>
      <c r="BH621">
        <v>15</v>
      </c>
      <c r="BI621">
        <v>7</v>
      </c>
      <c r="BJ621">
        <v>0</v>
      </c>
      <c r="BK621">
        <v>121</v>
      </c>
      <c r="BL621">
        <v>23</v>
      </c>
      <c r="BM621">
        <v>1</v>
      </c>
      <c r="BN621">
        <v>2</v>
      </c>
      <c r="BO621" t="s">
        <v>12</v>
      </c>
      <c r="BQ621" t="s">
        <v>1676</v>
      </c>
      <c r="BR621" t="s">
        <v>1804</v>
      </c>
      <c r="BS621" s="4" t="str">
        <f>HYPERLINK("http://exon.niaid.nih.gov/transcriptome/C_felis/S1/links/CDD/cf-contig_740-CDD.txt","PTZ00160")</f>
        <v>PTZ00160</v>
      </c>
      <c r="BT621" t="str">
        <f>HYPERLINK("http://www.ncbi.nlm.nih.gov/Structure/cdd/cddsrv.cgi?uid=PTZ00160&amp;version=v4.0","0.014")</f>
        <v>0.014</v>
      </c>
      <c r="BU621" t="s">
        <v>4353</v>
      </c>
      <c r="BV621" s="4" t="s">
        <v>42</v>
      </c>
      <c r="BW621" t="s">
        <v>42</v>
      </c>
      <c r="BX621" t="s">
        <v>42</v>
      </c>
      <c r="BY621" t="s">
        <v>42</v>
      </c>
      <c r="BZ621" t="s">
        <v>42</v>
      </c>
      <c r="CA621" t="s">
        <v>42</v>
      </c>
      <c r="CB621" t="s">
        <v>42</v>
      </c>
      <c r="CC621" t="s">
        <v>42</v>
      </c>
      <c r="CD621" t="s">
        <v>42</v>
      </c>
      <c r="CE621" t="s">
        <v>42</v>
      </c>
      <c r="CF621" t="s">
        <v>42</v>
      </c>
      <c r="CG621" t="s">
        <v>42</v>
      </c>
      <c r="CH621" t="s">
        <v>42</v>
      </c>
      <c r="CI621" t="s">
        <v>42</v>
      </c>
      <c r="CJ621" t="s">
        <v>42</v>
      </c>
      <c r="CK621" t="s">
        <v>42</v>
      </c>
      <c r="CL621" t="s">
        <v>42</v>
      </c>
      <c r="CM621" t="s">
        <v>42</v>
      </c>
      <c r="CN621" t="s">
        <v>42</v>
      </c>
      <c r="CO621" t="s">
        <v>42</v>
      </c>
      <c r="CP621" t="s">
        <v>42</v>
      </c>
      <c r="CQ621" t="s">
        <v>42</v>
      </c>
      <c r="CR621" t="s">
        <v>42</v>
      </c>
      <c r="CS621" s="4" t="str">
        <f>HYPERLINK("http://exon.niaid.nih.gov/transcriptome/C_felis/S1/links/KOG/cf-contig_740-KOG.txt","60s ribosomal protein L15/L27")</f>
        <v>60s ribosomal protein L15/L27</v>
      </c>
      <c r="CT621" t="str">
        <f>HYPERLINK("http://www.ncbi.nlm.nih.gov/COG/grace/shokog.cgi?KOG1742","0.019")</f>
        <v>0.019</v>
      </c>
      <c r="CU621" t="s">
        <v>1707</v>
      </c>
      <c r="CV621" s="4" t="str">
        <f>HYPERLINK("http://exon.niaid.nih.gov/transcriptome/C_felis/S1/links/PFAM/cf-contig_740-PFAM.txt","PH_2")</f>
        <v>PH_2</v>
      </c>
      <c r="CW621" t="str">
        <f>HYPERLINK("http://pfam.sanger.ac.uk/family?acc=PF08458","0.027")</f>
        <v>0.027</v>
      </c>
      <c r="CX621" s="4" t="str">
        <f>HYPERLINK("http://exon.niaid.nih.gov/transcriptome/C_felis/S1/links/SMART/cf-contig_740-SMART.txt","ACR")</f>
        <v>ACR</v>
      </c>
      <c r="CY621" t="str">
        <f>HYPERLINK("http://smart.embl-heidelberg.de/smart/do_annotation.pl?DOMAIN=ACR&amp;BLAST=DUMMY","0.48")</f>
        <v>0.48</v>
      </c>
      <c r="CZ621" s="4" t="s">
        <v>42</v>
      </c>
      <c r="DA621" t="s">
        <v>42</v>
      </c>
      <c r="DB621" t="s">
        <v>42</v>
      </c>
      <c r="DC621" t="s">
        <v>42</v>
      </c>
      <c r="DD621" t="s">
        <v>42</v>
      </c>
      <c r="DE621" t="s">
        <v>42</v>
      </c>
      <c r="DF621" t="s">
        <v>42</v>
      </c>
      <c r="DG621" t="s">
        <v>42</v>
      </c>
      <c r="DH621" s="4" t="s">
        <v>42</v>
      </c>
      <c r="DI621" t="s">
        <v>42</v>
      </c>
      <c r="DJ621" s="4" t="s">
        <v>42</v>
      </c>
      <c r="DK621" t="s">
        <v>42</v>
      </c>
      <c r="DL621" s="4">
        <v>599</v>
      </c>
      <c r="DM621">
        <v>1</v>
      </c>
      <c r="DN621" s="4">
        <v>616</v>
      </c>
      <c r="DO621">
        <v>1</v>
      </c>
      <c r="DP621" s="4">
        <v>630</v>
      </c>
      <c r="DQ621">
        <v>1</v>
      </c>
      <c r="DR621" s="4">
        <v>652</v>
      </c>
      <c r="DS621">
        <v>1</v>
      </c>
      <c r="DT621" s="4">
        <v>667</v>
      </c>
      <c r="DU621">
        <v>1</v>
      </c>
      <c r="DV621" s="4">
        <v>682</v>
      </c>
      <c r="DW621">
        <v>1</v>
      </c>
      <c r="DX621" s="4">
        <v>693</v>
      </c>
      <c r="DY621">
        <v>1</v>
      </c>
      <c r="DZ621" s="4">
        <v>703</v>
      </c>
      <c r="EA621">
        <v>1</v>
      </c>
      <c r="EB621" s="4">
        <v>709</v>
      </c>
      <c r="EC621">
        <v>1</v>
      </c>
      <c r="ED621" s="4">
        <v>714</v>
      </c>
      <c r="EE621">
        <v>1</v>
      </c>
      <c r="EF621" s="4">
        <v>720</v>
      </c>
      <c r="EG621">
        <v>1</v>
      </c>
      <c r="EH621" s="4">
        <v>731</v>
      </c>
      <c r="EI621">
        <v>1</v>
      </c>
      <c r="EJ621" s="4">
        <v>740</v>
      </c>
      <c r="EK621">
        <v>1</v>
      </c>
    </row>
    <row r="622" spans="1:141" x14ac:dyDescent="0.2">
      <c r="A622" t="str">
        <f>HYPERLINK("http://exon.niaid.nih.gov/transcriptome/C_felis/S1/links/cf/cf-contig_175.txt","cf-contig_175")</f>
        <v>cf-contig_175</v>
      </c>
      <c r="B622">
        <v>1</v>
      </c>
      <c r="C622" s="10" t="s">
        <v>4600</v>
      </c>
      <c r="D622">
        <v>1</v>
      </c>
      <c r="E622" t="str">
        <f>HYPERLINK("http://exon.niaid.nih.gov/transcriptome/C_felis/S1/links/cf/cf-5-36-asb-175.txt","Contig-175")</f>
        <v>Contig-175</v>
      </c>
      <c r="F622" t="str">
        <f>HYPERLINK("http://exon.niaid.nih.gov/transcriptome/C_felis/S1/links/cf/cf-5-36-175-CLU.txt","Contig175")</f>
        <v>Contig175</v>
      </c>
      <c r="G622" t="str">
        <f>HYPERLINK("http://exon.niaid.nih.gov/transcriptome/C_felis/S1/links/cf/cf-5-36-175-qual.txt","64.4")</f>
        <v>64.4</v>
      </c>
      <c r="H622" t="s">
        <v>11</v>
      </c>
      <c r="I622">
        <v>70.7</v>
      </c>
      <c r="J622">
        <v>357</v>
      </c>
      <c r="K622" t="s">
        <v>12</v>
      </c>
      <c r="L622">
        <v>1</v>
      </c>
      <c r="M622" t="s">
        <v>188</v>
      </c>
      <c r="N622">
        <v>357</v>
      </c>
      <c r="O622">
        <v>376</v>
      </c>
      <c r="P622">
        <v>84</v>
      </c>
      <c r="Q622" t="s">
        <v>995</v>
      </c>
      <c r="R622">
        <v>3</v>
      </c>
      <c r="S622" s="7" t="s">
        <v>4585</v>
      </c>
      <c r="U622">
        <v>1</v>
      </c>
      <c r="V622" s="4">
        <v>154</v>
      </c>
      <c r="W622">
        <v>1</v>
      </c>
      <c r="X622" s="4">
        <v>156</v>
      </c>
      <c r="Y622">
        <v>1</v>
      </c>
      <c r="Z622" s="4">
        <v>154</v>
      </c>
      <c r="AA622">
        <v>1</v>
      </c>
      <c r="AB622" s="4" t="str">
        <f>HYPERLINK("http://exon.niaid.nih.gov/transcriptome/C_felis/S1/links/XC-ASB/cf-contig_175-XC-ASB.txt","XC-contig_203")</f>
        <v>XC-contig_203</v>
      </c>
      <c r="AC622">
        <v>2.9999999999999997E-4</v>
      </c>
      <c r="AD622" s="10" t="s">
        <v>4600</v>
      </c>
      <c r="AE622" t="s">
        <v>4601</v>
      </c>
      <c r="AI622" s="4" t="str">
        <f>HYPERLINK("http://exon.niaid.nih.gov/transcriptome/C_felis/S1/links/NR/cf-contig_175-NR.txt","GI19857")</f>
        <v>GI19857</v>
      </c>
      <c r="AJ622" t="str">
        <f>HYPERLINK("http://www.ncbi.nlm.nih.gov/sutils/blink.cgi?pid=195118995","0.001")</f>
        <v>0.001</v>
      </c>
      <c r="AK622" t="str">
        <f>HYPERLINK("http://www.ncbi.nlm.nih.gov/protein/195118995","gi|195118995")</f>
        <v>gi|195118995</v>
      </c>
      <c r="AL622">
        <v>47</v>
      </c>
      <c r="AM622">
        <v>230</v>
      </c>
      <c r="AN622">
        <v>325</v>
      </c>
      <c r="AO622">
        <v>24</v>
      </c>
      <c r="AP622">
        <v>71</v>
      </c>
      <c r="AQ622">
        <v>64</v>
      </c>
      <c r="AR622">
        <v>0</v>
      </c>
      <c r="AS622">
        <v>0</v>
      </c>
      <c r="AT622">
        <v>0</v>
      </c>
      <c r="AU622">
        <v>54</v>
      </c>
      <c r="AV622">
        <v>-2</v>
      </c>
      <c r="AW622" t="s">
        <v>1689</v>
      </c>
      <c r="AX622">
        <v>0.435</v>
      </c>
      <c r="AY622" t="s">
        <v>1666</v>
      </c>
      <c r="AZ622" t="s">
        <v>2326</v>
      </c>
      <c r="BA622" s="4" t="str">
        <f>HYPERLINK("http://exon.niaid.nih.gov/transcriptome/C_felis/S1/links/SWISSP/cf-contig_175-SWISSP.txt","Uncharacterized transporter BUsg_450")</f>
        <v>Uncharacterized transporter BUsg_450</v>
      </c>
      <c r="BB622" t="str">
        <f>HYPERLINK("http://www.uniprot.org/uniprot/Q8K999","0.003")</f>
        <v>0.003</v>
      </c>
      <c r="BC622" t="s">
        <v>2327</v>
      </c>
      <c r="BD622">
        <v>40.4</v>
      </c>
      <c r="BE622">
        <v>75</v>
      </c>
      <c r="BF622">
        <v>391</v>
      </c>
      <c r="BG622">
        <v>32</v>
      </c>
      <c r="BH622">
        <v>19</v>
      </c>
      <c r="BI622">
        <v>59</v>
      </c>
      <c r="BJ622">
        <v>1</v>
      </c>
      <c r="BK622">
        <v>213</v>
      </c>
      <c r="BL622">
        <v>87</v>
      </c>
      <c r="BM622">
        <v>1</v>
      </c>
      <c r="BN622">
        <v>-3</v>
      </c>
      <c r="BO622" t="s">
        <v>12</v>
      </c>
      <c r="BP622">
        <v>1.333</v>
      </c>
      <c r="BQ622" t="s">
        <v>1666</v>
      </c>
      <c r="BR622" t="s">
        <v>2200</v>
      </c>
      <c r="BS622" s="4" t="str">
        <f>HYPERLINK("http://exon.niaid.nih.gov/transcriptome/C_felis/S1/links/CDD/cf-contig_175-CDD.txt","ND2")</f>
        <v>ND2</v>
      </c>
      <c r="BT622" t="str">
        <f>HYPERLINK("http://www.ncbi.nlm.nih.gov/Structure/cdd/cddsrv.cgi?uid=MTH00091&amp;version=v4.0","8E-006")</f>
        <v>8E-006</v>
      </c>
      <c r="BU622" t="s">
        <v>2328</v>
      </c>
      <c r="BV622" s="4" t="s">
        <v>42</v>
      </c>
      <c r="BW622" t="s">
        <v>42</v>
      </c>
      <c r="BX622" t="s">
        <v>42</v>
      </c>
      <c r="BY622" t="s">
        <v>42</v>
      </c>
      <c r="BZ622" t="s">
        <v>42</v>
      </c>
      <c r="CA622" t="s">
        <v>42</v>
      </c>
      <c r="CB622" t="s">
        <v>42</v>
      </c>
      <c r="CC622" t="s">
        <v>42</v>
      </c>
      <c r="CD622" t="s">
        <v>42</v>
      </c>
      <c r="CE622" t="s">
        <v>42</v>
      </c>
      <c r="CF622" t="s">
        <v>42</v>
      </c>
      <c r="CG622" t="s">
        <v>42</v>
      </c>
      <c r="CH622" t="s">
        <v>42</v>
      </c>
      <c r="CI622" t="s">
        <v>42</v>
      </c>
      <c r="CJ622" t="s">
        <v>42</v>
      </c>
      <c r="CK622" t="s">
        <v>42</v>
      </c>
      <c r="CL622" t="s">
        <v>42</v>
      </c>
      <c r="CM622" t="s">
        <v>42</v>
      </c>
      <c r="CN622" t="s">
        <v>42</v>
      </c>
      <c r="CO622" t="s">
        <v>42</v>
      </c>
      <c r="CP622" t="s">
        <v>42</v>
      </c>
      <c r="CQ622" t="s">
        <v>42</v>
      </c>
      <c r="CR622" t="s">
        <v>42</v>
      </c>
      <c r="CS622" s="4" t="str">
        <f>HYPERLINK("http://exon.niaid.nih.gov/transcriptome/C_felis/S1/links/KOG/cf-contig_175-KOG.txt","Predicted Dolichyl-phosphate-mannose-protein mannosyltransferase")</f>
        <v>Predicted Dolichyl-phosphate-mannose-protein mannosyltransferase</v>
      </c>
      <c r="CT622" t="str">
        <f>HYPERLINK("http://www.ncbi.nlm.nih.gov/COG/grace/shokog.cgi?KOG2647","0.001")</f>
        <v>0.001</v>
      </c>
      <c r="CU622" t="s">
        <v>1721</v>
      </c>
      <c r="CV622" s="4" t="str">
        <f>HYPERLINK("http://exon.niaid.nih.gov/transcriptome/C_felis/S1/links/PFAM/cf-contig_175-PFAM.txt","7TM_GPCR_Sru")</f>
        <v>7TM_GPCR_Sru</v>
      </c>
      <c r="CW622" t="str">
        <f>HYPERLINK("http://pfam.sanger.ac.uk/family?acc=PF10322","2E-005")</f>
        <v>2E-005</v>
      </c>
      <c r="CX622" s="4" t="str">
        <f>HYPERLINK("http://exon.niaid.nih.gov/transcriptome/C_felis/S1/links/SMART/cf-contig_175-SMART.txt","TLC")</f>
        <v>TLC</v>
      </c>
      <c r="CY622" t="str">
        <f>HYPERLINK("http://smart.embl-heidelberg.de/smart/do_annotation.pl?DOMAIN=TLC&amp;BLAST=DUMMY","4E-004")</f>
        <v>4E-004</v>
      </c>
      <c r="CZ622" s="4" t="s">
        <v>42</v>
      </c>
      <c r="DA622" t="s">
        <v>42</v>
      </c>
      <c r="DB622" t="s">
        <v>42</v>
      </c>
      <c r="DC622" t="s">
        <v>42</v>
      </c>
      <c r="DD622" t="s">
        <v>42</v>
      </c>
      <c r="DE622" t="s">
        <v>42</v>
      </c>
      <c r="DF622" t="s">
        <v>42</v>
      </c>
      <c r="DG622" t="s">
        <v>42</v>
      </c>
      <c r="DH622" s="4" t="s">
        <v>42</v>
      </c>
      <c r="DI622" t="s">
        <v>42</v>
      </c>
      <c r="DJ622" s="4" t="s">
        <v>42</v>
      </c>
      <c r="DK622" t="s">
        <v>42</v>
      </c>
      <c r="DL622" s="4">
        <v>154</v>
      </c>
      <c r="DM622">
        <v>1</v>
      </c>
      <c r="DN622" s="4">
        <v>156</v>
      </c>
      <c r="DO622">
        <v>1</v>
      </c>
      <c r="DP622" s="4">
        <v>154</v>
      </c>
      <c r="DQ622">
        <v>1</v>
      </c>
      <c r="DR622" s="4">
        <v>151</v>
      </c>
      <c r="DS622">
        <v>1</v>
      </c>
      <c r="DT622" s="4">
        <v>151</v>
      </c>
      <c r="DU622">
        <v>1</v>
      </c>
      <c r="DV622" s="4">
        <v>161</v>
      </c>
      <c r="DW622">
        <v>1</v>
      </c>
      <c r="DX622" s="4">
        <v>163</v>
      </c>
      <c r="DY622">
        <v>1</v>
      </c>
      <c r="DZ622" s="4">
        <v>163</v>
      </c>
      <c r="EA622">
        <v>1</v>
      </c>
      <c r="EB622" s="4">
        <v>168</v>
      </c>
      <c r="EC622">
        <v>1</v>
      </c>
      <c r="ED622" s="4">
        <v>169</v>
      </c>
      <c r="EE622">
        <v>1</v>
      </c>
      <c r="EF622" s="4">
        <v>170</v>
      </c>
      <c r="EG622">
        <v>1</v>
      </c>
      <c r="EH622" s="4">
        <v>170</v>
      </c>
      <c r="EI622">
        <v>1</v>
      </c>
      <c r="EJ622" s="4">
        <v>175</v>
      </c>
      <c r="EK622">
        <v>1</v>
      </c>
    </row>
    <row r="623" spans="1:141" x14ac:dyDescent="0.2">
      <c r="A623" t="str">
        <f>HYPERLINK("http://exon.niaid.nih.gov/transcriptome/C_felis/S1/links/cf/cf-contig_627.txt","cf-contig_627")</f>
        <v>cf-contig_627</v>
      </c>
      <c r="B623">
        <v>1</v>
      </c>
      <c r="C623" s="10" t="s">
        <v>4600</v>
      </c>
      <c r="D623">
        <v>1</v>
      </c>
      <c r="E623" t="str">
        <f>HYPERLINK("http://exon.niaid.nih.gov/transcriptome/C_felis/S1/links/cf/cf-5-36-asb-627.txt","Contig-627")</f>
        <v>Contig-627</v>
      </c>
      <c r="F623" t="str">
        <f>HYPERLINK("http://exon.niaid.nih.gov/transcriptome/C_felis/S1/links/cf/cf-5-36-627-CLU.txt","Contig627")</f>
        <v>Contig627</v>
      </c>
      <c r="G623" t="str">
        <f>HYPERLINK("http://exon.niaid.nih.gov/transcriptome/C_felis/S1/links/cf/cf-5-36-627-qual.txt","65.1")</f>
        <v>65.1</v>
      </c>
      <c r="H623" t="s">
        <v>11</v>
      </c>
      <c r="I623">
        <v>65.400000000000006</v>
      </c>
      <c r="J623">
        <v>313</v>
      </c>
      <c r="K623" t="s">
        <v>12</v>
      </c>
      <c r="L623">
        <v>1</v>
      </c>
      <c r="M623" t="s">
        <v>640</v>
      </c>
      <c r="N623">
        <v>313</v>
      </c>
      <c r="O623">
        <v>332</v>
      </c>
      <c r="P623">
        <v>309</v>
      </c>
      <c r="Q623" t="s">
        <v>1446</v>
      </c>
      <c r="R623">
        <v>3</v>
      </c>
      <c r="S623" s="7" t="s">
        <v>4585</v>
      </c>
      <c r="U623">
        <v>1</v>
      </c>
      <c r="V623" s="4">
        <v>512</v>
      </c>
      <c r="W623">
        <v>1</v>
      </c>
      <c r="X623" s="4">
        <v>524</v>
      </c>
      <c r="Y623">
        <v>1</v>
      </c>
      <c r="Z623" s="4">
        <v>534</v>
      </c>
      <c r="AA623">
        <v>1</v>
      </c>
      <c r="AB623" s="4" t="str">
        <f>HYPERLINK("http://exon.niaid.nih.gov/transcriptome/C_felis/S1/links/XC-ASB/cf-contig_627-XC-ASB.txt","XC-contig_96")</f>
        <v>XC-contig_96</v>
      </c>
      <c r="AC623">
        <v>0.17</v>
      </c>
      <c r="AD623" s="10" t="s">
        <v>4600</v>
      </c>
      <c r="AE623" t="s">
        <v>4601</v>
      </c>
      <c r="AI623" s="4" t="str">
        <f>HYPERLINK("http://exon.niaid.nih.gov/transcriptome/C_felis/S1/links/NR/cf-contig_627-NR.txt","GA26369")</f>
        <v>GA26369</v>
      </c>
      <c r="AJ623" t="str">
        <f>HYPERLINK("http://www.ncbi.nlm.nih.gov/sutils/blink.cgi?pid=198453789","0.13")</f>
        <v>0.13</v>
      </c>
      <c r="AK623" t="str">
        <f>HYPERLINK("http://www.ncbi.nlm.nih.gov/protein/198453789","gi|198453789")</f>
        <v>gi|198453789</v>
      </c>
      <c r="AL623">
        <v>40</v>
      </c>
      <c r="AM623">
        <v>79</v>
      </c>
      <c r="AN623">
        <v>604</v>
      </c>
      <c r="AO623">
        <v>23</v>
      </c>
      <c r="AP623">
        <v>13</v>
      </c>
      <c r="AQ623">
        <v>61</v>
      </c>
      <c r="AR623">
        <v>0</v>
      </c>
      <c r="AS623">
        <v>7</v>
      </c>
      <c r="AT623">
        <v>18</v>
      </c>
      <c r="AU623">
        <v>1</v>
      </c>
      <c r="AV623">
        <v>3</v>
      </c>
      <c r="AW623" t="s">
        <v>12</v>
      </c>
      <c r="AY623" t="s">
        <v>1676</v>
      </c>
      <c r="AZ623" t="s">
        <v>2809</v>
      </c>
      <c r="BA623" s="4" t="str">
        <f>HYPERLINK("http://exon.niaid.nih.gov/transcriptome/C_felis/S1/links/SWISSP/cf-contig_627-SWISSP.txt","ATP-dependent protease ATPase subunit HslU")</f>
        <v>ATP-dependent protease ATPase subunit HslU</v>
      </c>
      <c r="BB623" t="str">
        <f>HYPERLINK("http://www.uniprot.org/uniprot/Q88W26","0.33")</f>
        <v>0.33</v>
      </c>
      <c r="BC623" t="s">
        <v>3974</v>
      </c>
      <c r="BD623">
        <v>33.9</v>
      </c>
      <c r="BE623">
        <v>41</v>
      </c>
      <c r="BF623">
        <v>472</v>
      </c>
      <c r="BG623">
        <v>37</v>
      </c>
      <c r="BH623">
        <v>9</v>
      </c>
      <c r="BI623">
        <v>27</v>
      </c>
      <c r="BJ623">
        <v>0</v>
      </c>
      <c r="BK623">
        <v>251</v>
      </c>
      <c r="BL623">
        <v>90</v>
      </c>
      <c r="BM623">
        <v>1</v>
      </c>
      <c r="BN623">
        <v>3</v>
      </c>
      <c r="BO623" t="s">
        <v>12</v>
      </c>
      <c r="BQ623" t="s">
        <v>1676</v>
      </c>
      <c r="BR623" t="s">
        <v>3975</v>
      </c>
      <c r="BS623" s="4" t="str">
        <f>HYPERLINK("http://exon.niaid.nih.gov/transcriptome/C_felis/S1/links/CDD/cf-contig_627-CDD.txt","hrcA")</f>
        <v>hrcA</v>
      </c>
      <c r="BT623" t="str">
        <f>HYPERLINK("http://www.ncbi.nlm.nih.gov/Structure/cdd/cddsrv.cgi?uid=TIGR00331&amp;version=v4.0","0.007")</f>
        <v>0.007</v>
      </c>
      <c r="BU623" t="s">
        <v>3976</v>
      </c>
      <c r="BV623" s="4" t="s">
        <v>42</v>
      </c>
      <c r="BW623" t="s">
        <v>42</v>
      </c>
      <c r="BX623" t="s">
        <v>42</v>
      </c>
      <c r="BY623" t="s">
        <v>42</v>
      </c>
      <c r="BZ623" t="s">
        <v>42</v>
      </c>
      <c r="CA623" t="s">
        <v>42</v>
      </c>
      <c r="CB623" t="s">
        <v>42</v>
      </c>
      <c r="CC623" t="s">
        <v>42</v>
      </c>
      <c r="CD623" t="s">
        <v>42</v>
      </c>
      <c r="CE623" t="s">
        <v>42</v>
      </c>
      <c r="CF623" t="s">
        <v>42</v>
      </c>
      <c r="CG623" t="s">
        <v>42</v>
      </c>
      <c r="CH623" t="s">
        <v>42</v>
      </c>
      <c r="CI623" t="s">
        <v>42</v>
      </c>
      <c r="CJ623" t="s">
        <v>42</v>
      </c>
      <c r="CK623" t="s">
        <v>42</v>
      </c>
      <c r="CL623" t="s">
        <v>42</v>
      </c>
      <c r="CM623" t="s">
        <v>42</v>
      </c>
      <c r="CN623" t="s">
        <v>42</v>
      </c>
      <c r="CO623" t="s">
        <v>42</v>
      </c>
      <c r="CP623" t="s">
        <v>42</v>
      </c>
      <c r="CQ623" t="s">
        <v>42</v>
      </c>
      <c r="CR623" t="s">
        <v>42</v>
      </c>
      <c r="CS623" s="4" t="str">
        <f>HYPERLINK("http://exon.niaid.nih.gov/transcriptome/C_felis/S1/links/KOG/cf-contig_627-KOG.txt","Rho/Rac1-interacting serine/threonine kinase Citron")</f>
        <v>Rho/Rac1-interacting serine/threonine kinase Citron</v>
      </c>
      <c r="CT623" t="str">
        <f>HYPERLINK("http://www.ncbi.nlm.nih.gov/COG/grace/shokog.cgi?KOG0976","0.003")</f>
        <v>0.003</v>
      </c>
      <c r="CU623" t="s">
        <v>1780</v>
      </c>
      <c r="CV623" s="4" t="str">
        <f>HYPERLINK("http://exon.niaid.nih.gov/transcriptome/C_felis/S1/links/PFAM/cf-contig_627-PFAM.txt","7TM_GPCR_Srsx")</f>
        <v>7TM_GPCR_Srsx</v>
      </c>
      <c r="CW623" t="str">
        <f>HYPERLINK("http://pfam.sanger.ac.uk/family?acc=PF10320","0.003")</f>
        <v>0.003</v>
      </c>
      <c r="CX623" s="4" t="str">
        <f>HYPERLINK("http://exon.niaid.nih.gov/transcriptome/C_felis/S1/links/SMART/cf-contig_627-SMART.txt","BBC")</f>
        <v>BBC</v>
      </c>
      <c r="CY623" t="str">
        <f>HYPERLINK("http://smart.embl-heidelberg.de/smart/do_annotation.pl?DOMAIN=BBC&amp;BLAST=DUMMY","0.017")</f>
        <v>0.017</v>
      </c>
      <c r="CZ623" s="4" t="s">
        <v>42</v>
      </c>
      <c r="DA623" t="s">
        <v>42</v>
      </c>
      <c r="DB623" t="s">
        <v>42</v>
      </c>
      <c r="DC623" t="s">
        <v>42</v>
      </c>
      <c r="DD623" t="s">
        <v>42</v>
      </c>
      <c r="DE623" t="s">
        <v>42</v>
      </c>
      <c r="DF623" t="s">
        <v>42</v>
      </c>
      <c r="DG623" t="s">
        <v>42</v>
      </c>
      <c r="DH623" s="4" t="s">
        <v>42</v>
      </c>
      <c r="DI623" t="s">
        <v>42</v>
      </c>
      <c r="DJ623" s="4" t="s">
        <v>42</v>
      </c>
      <c r="DK623" t="s">
        <v>42</v>
      </c>
      <c r="DL623" s="4">
        <v>512</v>
      </c>
      <c r="DM623">
        <v>1</v>
      </c>
      <c r="DN623" s="4">
        <v>524</v>
      </c>
      <c r="DO623">
        <v>1</v>
      </c>
      <c r="DP623" s="4">
        <v>534</v>
      </c>
      <c r="DQ623">
        <v>1</v>
      </c>
      <c r="DR623" s="4">
        <v>553</v>
      </c>
      <c r="DS623">
        <v>1</v>
      </c>
      <c r="DT623" s="4">
        <v>566</v>
      </c>
      <c r="DU623">
        <v>1</v>
      </c>
      <c r="DV623" s="4">
        <v>580</v>
      </c>
      <c r="DW623">
        <v>1</v>
      </c>
      <c r="DX623" s="4">
        <v>589</v>
      </c>
      <c r="DY623">
        <v>1</v>
      </c>
      <c r="DZ623" s="4">
        <v>597</v>
      </c>
      <c r="EA623">
        <v>1</v>
      </c>
      <c r="EB623" s="4">
        <v>602</v>
      </c>
      <c r="EC623">
        <v>1</v>
      </c>
      <c r="ED623" s="4">
        <v>606</v>
      </c>
      <c r="EE623">
        <v>1</v>
      </c>
      <c r="EF623" s="4">
        <v>612</v>
      </c>
      <c r="EG623">
        <v>1</v>
      </c>
      <c r="EH623" s="4">
        <v>620</v>
      </c>
      <c r="EI623">
        <v>1</v>
      </c>
      <c r="EJ623" s="4">
        <v>627</v>
      </c>
      <c r="EK623">
        <v>1</v>
      </c>
    </row>
    <row r="624" spans="1:141" x14ac:dyDescent="0.2">
      <c r="A624" t="str">
        <f>HYPERLINK("http://exon.niaid.nih.gov/transcriptome/C_felis/S1/links/cf/cf-contig_317.txt","cf-contig_317")</f>
        <v>cf-contig_317</v>
      </c>
      <c r="B624">
        <v>1</v>
      </c>
      <c r="C624" s="10" t="s">
        <v>4600</v>
      </c>
      <c r="D624">
        <v>1</v>
      </c>
      <c r="E624" t="str">
        <f>HYPERLINK("http://exon.niaid.nih.gov/transcriptome/C_felis/S1/links/cf/cf-5-36-asb-317.txt","Contig-317")</f>
        <v>Contig-317</v>
      </c>
      <c r="F624" t="str">
        <f>HYPERLINK("http://exon.niaid.nih.gov/transcriptome/C_felis/S1/links/cf/cf-5-36-317-CLU.txt","Contig317")</f>
        <v>Contig317</v>
      </c>
      <c r="G624" t="str">
        <f>HYPERLINK("http://exon.niaid.nih.gov/transcriptome/C_felis/S1/links/cf/cf-5-36-317-qual.txt","53.6")</f>
        <v>53.6</v>
      </c>
      <c r="H624" t="s">
        <v>11</v>
      </c>
      <c r="I624">
        <v>42.7</v>
      </c>
      <c r="J624">
        <v>199</v>
      </c>
      <c r="K624" t="s">
        <v>12</v>
      </c>
      <c r="L624">
        <v>1</v>
      </c>
      <c r="M624" t="s">
        <v>330</v>
      </c>
      <c r="N624">
        <v>199</v>
      </c>
      <c r="O624">
        <v>218</v>
      </c>
      <c r="P624">
        <v>159</v>
      </c>
      <c r="Q624" t="s">
        <v>1137</v>
      </c>
      <c r="R624">
        <v>2</v>
      </c>
      <c r="S624" s="7" t="s">
        <v>4585</v>
      </c>
      <c r="U624">
        <v>1</v>
      </c>
      <c r="V624" s="4">
        <f>HYPERLINK("http://exon.niaid.nih.gov/transcriptome/C_felis/S1/links/cluster/cf-5-36-asb30-50-Id-CLU65.txt", 65)</f>
        <v>65</v>
      </c>
      <c r="W624">
        <f>HYPERLINK("http://exon.niaid.nih.gov/transcriptome/C_felis/S1/links/cluster/cf-5-36-asb30-50-Id-CLTL65.txt", 2)</f>
        <v>2</v>
      </c>
      <c r="X624" s="4">
        <v>261</v>
      </c>
      <c r="Y624">
        <v>1</v>
      </c>
      <c r="Z624" s="4">
        <v>260</v>
      </c>
      <c r="AA624">
        <v>1</v>
      </c>
      <c r="AB624" s="4" t="str">
        <f>HYPERLINK("http://exon.niaid.nih.gov/transcriptome/C_felis/S1/links/XC-ASB/cf-contig_317-XC-ASB.txt","XC-contig_77")</f>
        <v>XC-contig_77</v>
      </c>
      <c r="AC624">
        <v>1.6</v>
      </c>
      <c r="AD624" s="10" t="s">
        <v>4600</v>
      </c>
      <c r="AE624" t="s">
        <v>4601</v>
      </c>
      <c r="AI624" s="4" t="str">
        <f>HYPERLINK("http://exon.niaid.nih.gov/transcriptome/C_felis/S1/links/NR/cf-contig_317-NR.txt","GA26398")</f>
        <v>GA26398</v>
      </c>
      <c r="AJ624" t="str">
        <f>HYPERLINK("http://www.ncbi.nlm.nih.gov/sutils/blink.cgi?pid=198453473","2E-008")</f>
        <v>2E-008</v>
      </c>
      <c r="AK624" t="str">
        <f>HYPERLINK("http://www.ncbi.nlm.nih.gov/protein/198453473","gi|198453473")</f>
        <v>gi|198453473</v>
      </c>
      <c r="AL624">
        <v>62.8</v>
      </c>
      <c r="AM624">
        <v>61</v>
      </c>
      <c r="AN624">
        <v>98</v>
      </c>
      <c r="AO624">
        <v>54</v>
      </c>
      <c r="AP624">
        <v>63</v>
      </c>
      <c r="AQ624">
        <v>29</v>
      </c>
      <c r="AR624">
        <v>0</v>
      </c>
      <c r="AS624">
        <v>10</v>
      </c>
      <c r="AT624">
        <v>6</v>
      </c>
      <c r="AU624">
        <v>1</v>
      </c>
      <c r="AV624">
        <v>-1</v>
      </c>
      <c r="AW624" t="s">
        <v>12</v>
      </c>
      <c r="AY624" t="s">
        <v>1666</v>
      </c>
      <c r="AZ624" t="s">
        <v>2809</v>
      </c>
      <c r="BA624" s="4" t="str">
        <f>HYPERLINK("http://exon.niaid.nih.gov/transcriptome/C_felis/S1/links/SWISSP/cf-contig_317-SWISSP.txt","Mitochondrial distribution and morphology protein 10")</f>
        <v>Mitochondrial distribution and morphology protein 10</v>
      </c>
      <c r="BB624" t="str">
        <f>HYPERLINK("http://www.uniprot.org/uniprot/B6HL48","1.2")</f>
        <v>1.2</v>
      </c>
      <c r="BC624" t="s">
        <v>2810</v>
      </c>
      <c r="BD624">
        <v>32</v>
      </c>
      <c r="BE624">
        <v>29</v>
      </c>
      <c r="BF624">
        <v>485</v>
      </c>
      <c r="BG624">
        <v>43</v>
      </c>
      <c r="BH624">
        <v>6</v>
      </c>
      <c r="BI624">
        <v>17</v>
      </c>
      <c r="BJ624">
        <v>0</v>
      </c>
      <c r="BK624">
        <v>384</v>
      </c>
      <c r="BL624">
        <v>43</v>
      </c>
      <c r="BM624">
        <v>1</v>
      </c>
      <c r="BN624">
        <v>-3</v>
      </c>
      <c r="BO624" t="s">
        <v>12</v>
      </c>
      <c r="BQ624" t="s">
        <v>1666</v>
      </c>
      <c r="BR624" t="s">
        <v>2811</v>
      </c>
      <c r="BS624" s="4" t="str">
        <f>HYPERLINK("http://exon.niaid.nih.gov/transcriptome/C_felis/S1/links/CDD/cf-contig_317-CDD.txt","PLN02951")</f>
        <v>PLN02951</v>
      </c>
      <c r="BT624" t="str">
        <f>HYPERLINK("http://www.ncbi.nlm.nih.gov/Structure/cdd/cddsrv.cgi?uid=PLN02951&amp;version=v4.0","0.18")</f>
        <v>0.18</v>
      </c>
      <c r="BU624" t="s">
        <v>2812</v>
      </c>
      <c r="BV624" s="4" t="s">
        <v>42</v>
      </c>
      <c r="BW624" t="s">
        <v>42</v>
      </c>
      <c r="BX624" t="s">
        <v>42</v>
      </c>
      <c r="BY624" t="s">
        <v>42</v>
      </c>
      <c r="BZ624" t="s">
        <v>42</v>
      </c>
      <c r="CA624" t="s">
        <v>42</v>
      </c>
      <c r="CB624" t="s">
        <v>42</v>
      </c>
      <c r="CC624" t="s">
        <v>42</v>
      </c>
      <c r="CD624" t="s">
        <v>42</v>
      </c>
      <c r="CE624" t="s">
        <v>42</v>
      </c>
      <c r="CF624" t="s">
        <v>42</v>
      </c>
      <c r="CG624" t="s">
        <v>42</v>
      </c>
      <c r="CH624" t="s">
        <v>42</v>
      </c>
      <c r="CI624" t="s">
        <v>42</v>
      </c>
      <c r="CJ624" t="s">
        <v>42</v>
      </c>
      <c r="CK624" t="s">
        <v>42</v>
      </c>
      <c r="CL624" t="s">
        <v>42</v>
      </c>
      <c r="CM624" t="s">
        <v>42</v>
      </c>
      <c r="CN624" t="s">
        <v>42</v>
      </c>
      <c r="CO624" t="s">
        <v>42</v>
      </c>
      <c r="CP624" t="s">
        <v>42</v>
      </c>
      <c r="CQ624" t="s">
        <v>42</v>
      </c>
      <c r="CR624" t="s">
        <v>42</v>
      </c>
      <c r="CS624" s="4" t="str">
        <f>HYPERLINK("http://exon.niaid.nih.gov/transcriptome/C_felis/S1/links/KOG/cf-contig_317-KOG.txt","Vesicle coat complex COPII, subunit SEC24/subunit SFB2")</f>
        <v>Vesicle coat complex COPII, subunit SEC24/subunit SFB2</v>
      </c>
      <c r="CT624" t="str">
        <f>HYPERLINK("http://www.ncbi.nlm.nih.gov/COG/grace/shokog.cgi?KOG1985","0.38")</f>
        <v>0.38</v>
      </c>
      <c r="CU624" t="s">
        <v>1686</v>
      </c>
      <c r="CV624" s="4" t="str">
        <f>HYPERLINK("http://exon.niaid.nih.gov/transcriptome/C_felis/S1/links/PFAM/cf-contig_317-PFAM.txt","DUF3285")</f>
        <v>DUF3285</v>
      </c>
      <c r="CW624" t="str">
        <f>HYPERLINK("http://pfam.sanger.ac.uk/family?acc=PF11688","0.071")</f>
        <v>0.071</v>
      </c>
      <c r="CX624" s="4" t="str">
        <f>HYPERLINK("http://exon.niaid.nih.gov/transcriptome/C_felis/S1/links/SMART/cf-contig_317-SMART.txt","Glyco_32")</f>
        <v>Glyco_32</v>
      </c>
      <c r="CY624" t="str">
        <f>HYPERLINK("http://smart.embl-heidelberg.de/smart/do_annotation.pl?DOMAIN=Glyco_32&amp;BLAST=DUMMY","0.18")</f>
        <v>0.18</v>
      </c>
      <c r="CZ624" s="4" t="s">
        <v>42</v>
      </c>
      <c r="DA624" t="s">
        <v>42</v>
      </c>
      <c r="DB624" t="s">
        <v>42</v>
      </c>
      <c r="DC624" t="s">
        <v>42</v>
      </c>
      <c r="DD624" t="s">
        <v>42</v>
      </c>
      <c r="DE624" t="s">
        <v>42</v>
      </c>
      <c r="DF624" t="s">
        <v>42</v>
      </c>
      <c r="DG624" t="s">
        <v>42</v>
      </c>
      <c r="DH624" s="4" t="s">
        <v>42</v>
      </c>
      <c r="DI624" t="s">
        <v>42</v>
      </c>
      <c r="DJ624" s="4" t="s">
        <v>42</v>
      </c>
      <c r="DK624" t="s">
        <v>42</v>
      </c>
      <c r="DL624" s="4">
        <f>HYPERLINK("http://exon.niaid.nih.gov/transcriptome/C_felis/S1/links/cluster/cf-5-36-asb30-50-Id-CLU65.txt", 65)</f>
        <v>65</v>
      </c>
      <c r="DM624">
        <f>HYPERLINK("http://exon.niaid.nih.gov/transcriptome/C_felis/S1/links/cluster/cf-5-36-asb30-50-Id-CLTL65.txt", 2)</f>
        <v>2</v>
      </c>
      <c r="DN624" s="4">
        <v>261</v>
      </c>
      <c r="DO624">
        <v>1</v>
      </c>
      <c r="DP624" s="4">
        <v>260</v>
      </c>
      <c r="DQ624">
        <v>1</v>
      </c>
      <c r="DR624" s="4">
        <v>269</v>
      </c>
      <c r="DS624">
        <v>1</v>
      </c>
      <c r="DT624" s="4">
        <v>279</v>
      </c>
      <c r="DU624">
        <v>1</v>
      </c>
      <c r="DV624" s="4">
        <v>291</v>
      </c>
      <c r="DW624">
        <v>1</v>
      </c>
      <c r="DX624" s="4">
        <v>293</v>
      </c>
      <c r="DY624">
        <v>1</v>
      </c>
      <c r="DZ624" s="4">
        <v>298</v>
      </c>
      <c r="EA624">
        <v>1</v>
      </c>
      <c r="EB624" s="4">
        <v>303</v>
      </c>
      <c r="EC624">
        <v>1</v>
      </c>
      <c r="ED624" s="4">
        <v>306</v>
      </c>
      <c r="EE624">
        <v>1</v>
      </c>
      <c r="EF624" s="4">
        <v>310</v>
      </c>
      <c r="EG624">
        <v>1</v>
      </c>
      <c r="EH624" s="4">
        <v>312</v>
      </c>
      <c r="EI624">
        <v>1</v>
      </c>
      <c r="EJ624" s="4">
        <v>317</v>
      </c>
      <c r="EK624">
        <v>1</v>
      </c>
    </row>
    <row r="625" spans="1:141" x14ac:dyDescent="0.2">
      <c r="A625" t="str">
        <f>HYPERLINK("http://exon.niaid.nih.gov/transcriptome/C_felis/S1/links/cf/cf-contig_382.txt","cf-contig_382")</f>
        <v>cf-contig_382</v>
      </c>
      <c r="B625">
        <v>1</v>
      </c>
      <c r="C625" s="10" t="s">
        <v>4600</v>
      </c>
      <c r="D625">
        <v>1</v>
      </c>
      <c r="E625" t="str">
        <f>HYPERLINK("http://exon.niaid.nih.gov/transcriptome/C_felis/S1/links/cf/cf-5-36-asb-382.txt","Contig-382")</f>
        <v>Contig-382</v>
      </c>
      <c r="F625" t="str">
        <f>HYPERLINK("http://exon.niaid.nih.gov/transcriptome/C_felis/S1/links/cf/cf-5-36-382-CLU.txt","Contig382")</f>
        <v>Contig382</v>
      </c>
      <c r="G625" t="str">
        <f>HYPERLINK("http://exon.niaid.nih.gov/transcriptome/C_felis/S1/links/cf/cf-5-36-382-qual.txt","64.4")</f>
        <v>64.4</v>
      </c>
      <c r="H625" t="s">
        <v>11</v>
      </c>
      <c r="I625">
        <v>41.9</v>
      </c>
      <c r="J625">
        <v>308</v>
      </c>
      <c r="K625" t="s">
        <v>12</v>
      </c>
      <c r="L625">
        <v>1</v>
      </c>
      <c r="M625" t="s">
        <v>395</v>
      </c>
      <c r="N625">
        <v>308</v>
      </c>
      <c r="O625">
        <v>327</v>
      </c>
      <c r="P625">
        <v>204</v>
      </c>
      <c r="Q625" t="s">
        <v>1202</v>
      </c>
      <c r="R625">
        <v>1</v>
      </c>
      <c r="S625" s="7" t="s">
        <v>4585</v>
      </c>
      <c r="U625">
        <v>1</v>
      </c>
      <c r="V625" s="4">
        <f>HYPERLINK("http://exon.niaid.nih.gov/transcriptome/C_felis/S1/links/cluster/cf-5-36-asb30-50-Id-CLU65.txt", 65)</f>
        <v>65</v>
      </c>
      <c r="W625">
        <f>HYPERLINK("http://exon.niaid.nih.gov/transcriptome/C_felis/S1/links/cluster/cf-5-36-asb30-50-Id-CLTL65.txt", 2)</f>
        <v>2</v>
      </c>
      <c r="X625" s="4">
        <v>318</v>
      </c>
      <c r="Y625">
        <v>1</v>
      </c>
      <c r="Z625" s="4">
        <v>319</v>
      </c>
      <c r="AA625">
        <v>1</v>
      </c>
      <c r="AB625" s="4" t="str">
        <f>HYPERLINK("http://exon.niaid.nih.gov/transcriptome/C_felis/S1/links/XC-ASB/cf-contig_382-XC-ASB.txt","XC-contig_68")</f>
        <v>XC-contig_68</v>
      </c>
      <c r="AC625">
        <v>0.12</v>
      </c>
      <c r="AD625" s="10" t="s">
        <v>4600</v>
      </c>
      <c r="AE625" t="s">
        <v>4601</v>
      </c>
      <c r="AI625" s="4" t="str">
        <f>HYPERLINK("http://exon.niaid.nih.gov/transcriptome/C_felis/S1/links/NR/cf-contig_382-NR.txt","GA26398")</f>
        <v>GA26398</v>
      </c>
      <c r="AJ625" t="str">
        <f>HYPERLINK("http://www.ncbi.nlm.nih.gov/sutils/blink.cgi?pid=198453473","3E-009")</f>
        <v>3E-009</v>
      </c>
      <c r="AK625" t="str">
        <f>HYPERLINK("http://www.ncbi.nlm.nih.gov/protein/198453473","gi|198453473")</f>
        <v>gi|198453473</v>
      </c>
      <c r="AL625">
        <v>65.5</v>
      </c>
      <c r="AM625">
        <v>59</v>
      </c>
      <c r="AN625">
        <v>98</v>
      </c>
      <c r="AO625">
        <v>56</v>
      </c>
      <c r="AP625">
        <v>61</v>
      </c>
      <c r="AQ625">
        <v>26</v>
      </c>
      <c r="AR625">
        <v>0</v>
      </c>
      <c r="AS625">
        <v>3</v>
      </c>
      <c r="AT625">
        <v>101</v>
      </c>
      <c r="AU625">
        <v>1</v>
      </c>
      <c r="AV625">
        <v>-3</v>
      </c>
      <c r="AW625" t="s">
        <v>12</v>
      </c>
      <c r="AY625" t="s">
        <v>1666</v>
      </c>
      <c r="AZ625" t="s">
        <v>2809</v>
      </c>
      <c r="BA625" s="4" t="str">
        <f>HYPERLINK("http://exon.niaid.nih.gov/transcriptome/C_felis/S1/links/SWISSP/cf-contig_382-SWISSP.txt","Collagen alpha-2(VI) chain")</f>
        <v>Collagen alpha-2(VI) chain</v>
      </c>
      <c r="BB625" t="str">
        <f>HYPERLINK("http://www.uniprot.org/uniprot/P12110","0.33")</f>
        <v>0.33</v>
      </c>
      <c r="BC625" t="s">
        <v>3021</v>
      </c>
      <c r="BD625">
        <v>33.9</v>
      </c>
      <c r="BE625">
        <v>121</v>
      </c>
      <c r="BF625">
        <v>1019</v>
      </c>
      <c r="BG625">
        <v>48</v>
      </c>
      <c r="BH625">
        <v>12</v>
      </c>
      <c r="BI625">
        <v>16</v>
      </c>
      <c r="BJ625">
        <v>0</v>
      </c>
      <c r="BK625">
        <v>416</v>
      </c>
      <c r="BL625">
        <v>88</v>
      </c>
      <c r="BM625">
        <v>3</v>
      </c>
      <c r="BN625">
        <v>1</v>
      </c>
      <c r="BO625" t="s">
        <v>12</v>
      </c>
      <c r="BQ625" t="s">
        <v>1676</v>
      </c>
      <c r="BR625" t="s">
        <v>1690</v>
      </c>
      <c r="BS625" s="4" t="str">
        <f>HYPERLINK("http://exon.niaid.nih.gov/transcriptome/C_felis/S1/links/CDD/cf-contig_382-CDD.txt","Collagen")</f>
        <v>Collagen</v>
      </c>
      <c r="BT625" t="str">
        <f>HYPERLINK("http://www.ncbi.nlm.nih.gov/Structure/cdd/cddsrv.cgi?uid=pfam01391&amp;version=v4.0","0.045")</f>
        <v>0.045</v>
      </c>
      <c r="BU625" t="s">
        <v>3022</v>
      </c>
      <c r="BV625" s="4" t="s">
        <v>42</v>
      </c>
      <c r="BW625" t="s">
        <v>42</v>
      </c>
      <c r="BX625" t="s">
        <v>42</v>
      </c>
      <c r="BY625" t="s">
        <v>42</v>
      </c>
      <c r="BZ625" t="s">
        <v>42</v>
      </c>
      <c r="CA625" t="s">
        <v>42</v>
      </c>
      <c r="CB625" t="s">
        <v>42</v>
      </c>
      <c r="CC625" t="s">
        <v>42</v>
      </c>
      <c r="CD625" t="s">
        <v>42</v>
      </c>
      <c r="CE625" t="s">
        <v>42</v>
      </c>
      <c r="CF625" t="s">
        <v>42</v>
      </c>
      <c r="CG625" t="s">
        <v>42</v>
      </c>
      <c r="CH625" t="s">
        <v>42</v>
      </c>
      <c r="CI625" t="s">
        <v>42</v>
      </c>
      <c r="CJ625" t="s">
        <v>42</v>
      </c>
      <c r="CK625" t="s">
        <v>42</v>
      </c>
      <c r="CL625" t="s">
        <v>42</v>
      </c>
      <c r="CM625" t="s">
        <v>42</v>
      </c>
      <c r="CN625" t="s">
        <v>42</v>
      </c>
      <c r="CO625" t="s">
        <v>42</v>
      </c>
      <c r="CP625" t="s">
        <v>42</v>
      </c>
      <c r="CQ625" t="s">
        <v>42</v>
      </c>
      <c r="CR625" t="s">
        <v>42</v>
      </c>
      <c r="CS625" s="4" t="str">
        <f>HYPERLINK("http://exon.niaid.nih.gov/transcriptome/C_felis/S1/links/KOG/cf-contig_382-KOG.txt","Collagens (type IV and type XIII), and related proteins")</f>
        <v>Collagens (type IV and type XIII), and related proteins</v>
      </c>
      <c r="CT625" t="str">
        <f>HYPERLINK("http://www.ncbi.nlm.nih.gov/COG/grace/shokog.cgi?KOG3544","0.10")</f>
        <v>0.10</v>
      </c>
      <c r="CU625" t="s">
        <v>2603</v>
      </c>
      <c r="CV625" s="4" t="str">
        <f>HYPERLINK("http://exon.niaid.nih.gov/transcriptome/C_felis/S1/links/PFAM/cf-contig_382-PFAM.txt","Collagen")</f>
        <v>Collagen</v>
      </c>
      <c r="CW625" t="str">
        <f>HYPERLINK("http://pfam.sanger.ac.uk/family?acc=PF01391","0.009")</f>
        <v>0.009</v>
      </c>
      <c r="CX625" s="4" t="str">
        <f>HYPERLINK("http://exon.niaid.nih.gov/transcriptome/C_felis/S1/links/SMART/cf-contig_382-SMART.txt","AHS1")</f>
        <v>AHS1</v>
      </c>
      <c r="CY625" t="str">
        <f>HYPERLINK("http://smart.embl-heidelberg.de/smart/do_annotation.pl?DOMAIN=AHS1&amp;BLAST=DUMMY","0.031")</f>
        <v>0.031</v>
      </c>
      <c r="CZ625" s="4" t="s">
        <v>42</v>
      </c>
      <c r="DA625" t="s">
        <v>42</v>
      </c>
      <c r="DB625" t="s">
        <v>42</v>
      </c>
      <c r="DC625" t="s">
        <v>42</v>
      </c>
      <c r="DD625" t="s">
        <v>42</v>
      </c>
      <c r="DE625" t="s">
        <v>42</v>
      </c>
      <c r="DF625" t="s">
        <v>42</v>
      </c>
      <c r="DG625" t="s">
        <v>42</v>
      </c>
      <c r="DH625" s="4" t="s">
        <v>42</v>
      </c>
      <c r="DI625" t="s">
        <v>42</v>
      </c>
      <c r="DJ625" s="4" t="s">
        <v>42</v>
      </c>
      <c r="DK625" t="s">
        <v>42</v>
      </c>
      <c r="DL625" s="4">
        <f>HYPERLINK("http://exon.niaid.nih.gov/transcriptome/C_felis/S1/links/cluster/cf-5-36-asb30-50-Id-CLU65.txt", 65)</f>
        <v>65</v>
      </c>
      <c r="DM625">
        <f>HYPERLINK("http://exon.niaid.nih.gov/transcriptome/C_felis/S1/links/cluster/cf-5-36-asb30-50-Id-CLTL65.txt", 2)</f>
        <v>2</v>
      </c>
      <c r="DN625" s="4">
        <v>318</v>
      </c>
      <c r="DO625">
        <v>1</v>
      </c>
      <c r="DP625" s="4">
        <v>319</v>
      </c>
      <c r="DQ625">
        <v>1</v>
      </c>
      <c r="DR625" s="4">
        <v>330</v>
      </c>
      <c r="DS625">
        <v>1</v>
      </c>
      <c r="DT625" s="4">
        <v>340</v>
      </c>
      <c r="DU625">
        <v>1</v>
      </c>
      <c r="DV625" s="4">
        <v>353</v>
      </c>
      <c r="DW625">
        <v>1</v>
      </c>
      <c r="DX625" s="4">
        <v>356</v>
      </c>
      <c r="DY625">
        <v>1</v>
      </c>
      <c r="DZ625" s="4">
        <v>361</v>
      </c>
      <c r="EA625">
        <v>1</v>
      </c>
      <c r="EB625" s="4">
        <v>366</v>
      </c>
      <c r="EC625">
        <v>1</v>
      </c>
      <c r="ED625" s="4">
        <v>370</v>
      </c>
      <c r="EE625">
        <v>1</v>
      </c>
      <c r="EF625" s="4">
        <v>375</v>
      </c>
      <c r="EG625">
        <v>1</v>
      </c>
      <c r="EH625" s="4">
        <v>377</v>
      </c>
      <c r="EI625">
        <v>1</v>
      </c>
      <c r="EJ625" s="4">
        <v>382</v>
      </c>
      <c r="EK625">
        <v>1</v>
      </c>
    </row>
    <row r="626" spans="1:141" x14ac:dyDescent="0.2">
      <c r="A626" t="str">
        <f>HYPERLINK("http://exon.niaid.nih.gov/transcriptome/C_felis/S1/links/cf/cf-contig_458.txt","cf-contig_458")</f>
        <v>cf-contig_458</v>
      </c>
      <c r="B626">
        <v>1</v>
      </c>
      <c r="C626" s="10" t="s">
        <v>4600</v>
      </c>
      <c r="D626">
        <v>1</v>
      </c>
      <c r="E626" t="str">
        <f>HYPERLINK("http://exon.niaid.nih.gov/transcriptome/C_felis/S1/links/cf/cf-5-36-asb-458.txt","Contig-458")</f>
        <v>Contig-458</v>
      </c>
      <c r="F626" t="str">
        <f>HYPERLINK("http://exon.niaid.nih.gov/transcriptome/C_felis/S1/links/cf/cf-5-36-458-CLU.txt","Contig458")</f>
        <v>Contig458</v>
      </c>
      <c r="G626" t="str">
        <f>HYPERLINK("http://exon.niaid.nih.gov/transcriptome/C_felis/S1/links/cf/cf-5-36-458-qual.txt","62.7")</f>
        <v>62.7</v>
      </c>
      <c r="H626">
        <v>0.6</v>
      </c>
      <c r="I626">
        <v>74.400000000000006</v>
      </c>
      <c r="J626">
        <v>661</v>
      </c>
      <c r="K626" t="s">
        <v>12</v>
      </c>
      <c r="L626">
        <v>1</v>
      </c>
      <c r="M626" t="s">
        <v>471</v>
      </c>
      <c r="N626">
        <v>661</v>
      </c>
      <c r="O626">
        <v>680</v>
      </c>
      <c r="P626">
        <v>213</v>
      </c>
      <c r="Q626" t="s">
        <v>1277</v>
      </c>
      <c r="R626">
        <v>3</v>
      </c>
      <c r="S626" s="7" t="str">
        <f>HYPERLINK("http://exon.niaid.nih.gov/transcriptome/C_felis/S1/links/Sigp/CF-CONTIG_458-SigP.txt","Cyt")</f>
        <v>Cyt</v>
      </c>
      <c r="U626">
        <v>1</v>
      </c>
      <c r="V626" s="4">
        <v>372</v>
      </c>
      <c r="W626">
        <v>1</v>
      </c>
      <c r="X626" s="4">
        <v>381</v>
      </c>
      <c r="Y626">
        <v>1</v>
      </c>
      <c r="Z626" s="4">
        <v>386</v>
      </c>
      <c r="AA626">
        <v>1</v>
      </c>
      <c r="AB626" s="4" t="str">
        <f>HYPERLINK("http://exon.niaid.nih.gov/transcriptome/C_felis/S1/links/XC-ASB/cf-contig_458-XC-ASB.txt","XC-contig_52")</f>
        <v>XC-contig_52</v>
      </c>
      <c r="AC626">
        <v>2.3E-2</v>
      </c>
      <c r="AD626" s="10" t="s">
        <v>4600</v>
      </c>
      <c r="AE626" t="s">
        <v>4601</v>
      </c>
      <c r="AI626" s="4" t="str">
        <f>HYPERLINK("http://exon.niaid.nih.gov/transcriptome/C_felis/S1/links/NR/cf-contig_458-NR.txt","GJ15854")</f>
        <v>GJ15854</v>
      </c>
      <c r="AJ626" t="str">
        <f>HYPERLINK("http://www.ncbi.nlm.nih.gov/sutils/blink.cgi?pid=195398829","0.10")</f>
        <v>0.10</v>
      </c>
      <c r="AK626" t="str">
        <f>HYPERLINK("http://www.ncbi.nlm.nih.gov/protein/195398829","gi|195398829")</f>
        <v>gi|195398829</v>
      </c>
      <c r="AL626">
        <v>41.6</v>
      </c>
      <c r="AM626">
        <v>62</v>
      </c>
      <c r="AN626">
        <v>295</v>
      </c>
      <c r="AO626">
        <v>33</v>
      </c>
      <c r="AP626">
        <v>21</v>
      </c>
      <c r="AQ626">
        <v>42</v>
      </c>
      <c r="AR626">
        <v>0</v>
      </c>
      <c r="AS626">
        <v>225</v>
      </c>
      <c r="AT626">
        <v>27</v>
      </c>
      <c r="AU626">
        <v>1</v>
      </c>
      <c r="AV626">
        <v>3</v>
      </c>
      <c r="AW626" t="s">
        <v>12</v>
      </c>
      <c r="AY626" t="s">
        <v>1676</v>
      </c>
      <c r="AZ626" t="s">
        <v>2353</v>
      </c>
      <c r="BA626" s="4" t="str">
        <f>HYPERLINK("http://exon.niaid.nih.gov/transcriptome/C_felis/S1/links/SWISSP/cf-contig_458-SWISSP.txt","Protein U52")</f>
        <v>Protein U52</v>
      </c>
      <c r="BB626" t="str">
        <f>HYPERLINK("http://www.uniprot.org/uniprot/P52470","3.0")</f>
        <v>3.0</v>
      </c>
      <c r="BC626" t="s">
        <v>3332</v>
      </c>
      <c r="BD626">
        <v>32.299999999999997</v>
      </c>
      <c r="BE626">
        <v>132</v>
      </c>
      <c r="BF626">
        <v>254</v>
      </c>
      <c r="BG626">
        <v>24</v>
      </c>
      <c r="BH626">
        <v>52</v>
      </c>
      <c r="BI626">
        <v>113</v>
      </c>
      <c r="BJ626">
        <v>11</v>
      </c>
      <c r="BK626">
        <v>117</v>
      </c>
      <c r="BL626">
        <v>125</v>
      </c>
      <c r="BM626">
        <v>1</v>
      </c>
      <c r="BN626">
        <v>-2</v>
      </c>
      <c r="BO626" t="s">
        <v>12</v>
      </c>
      <c r="BP626">
        <v>6.0609999999999999</v>
      </c>
      <c r="BQ626" t="s">
        <v>1666</v>
      </c>
      <c r="BR626" t="s">
        <v>3168</v>
      </c>
      <c r="BS626" s="4" t="str">
        <f>HYPERLINK("http://exon.niaid.nih.gov/transcriptome/C_felis/S1/links/CDD/cf-contig_458-CDD.txt","Nudix_Hydrolase")</f>
        <v>Nudix_Hydrolase</v>
      </c>
      <c r="BT626" t="str">
        <f>HYPERLINK("http://www.ncbi.nlm.nih.gov/Structure/cdd/cddsrv.cgi?uid=cd04670&amp;version=v4.0","0.080")</f>
        <v>0.080</v>
      </c>
      <c r="BU626" t="s">
        <v>3333</v>
      </c>
      <c r="BV626" s="4" t="s">
        <v>42</v>
      </c>
      <c r="BW626" t="s">
        <v>42</v>
      </c>
      <c r="BX626" t="s">
        <v>42</v>
      </c>
      <c r="BY626" t="s">
        <v>42</v>
      </c>
      <c r="BZ626" t="s">
        <v>42</v>
      </c>
      <c r="CA626" t="s">
        <v>42</v>
      </c>
      <c r="CB626" t="s">
        <v>42</v>
      </c>
      <c r="CC626" t="s">
        <v>42</v>
      </c>
      <c r="CD626" t="s">
        <v>42</v>
      </c>
      <c r="CE626" t="s">
        <v>42</v>
      </c>
      <c r="CF626" t="s">
        <v>42</v>
      </c>
      <c r="CG626" t="s">
        <v>42</v>
      </c>
      <c r="CH626" t="s">
        <v>42</v>
      </c>
      <c r="CI626" t="s">
        <v>42</v>
      </c>
      <c r="CJ626" t="s">
        <v>42</v>
      </c>
      <c r="CK626" t="s">
        <v>42</v>
      </c>
      <c r="CL626" t="s">
        <v>42</v>
      </c>
      <c r="CM626" t="s">
        <v>42</v>
      </c>
      <c r="CN626" t="s">
        <v>42</v>
      </c>
      <c r="CO626" t="s">
        <v>42</v>
      </c>
      <c r="CP626" t="s">
        <v>42</v>
      </c>
      <c r="CQ626" t="s">
        <v>42</v>
      </c>
      <c r="CR626" t="s">
        <v>42</v>
      </c>
      <c r="CS626" s="4" t="str">
        <f>HYPERLINK("http://exon.niaid.nih.gov/transcriptome/C_felis/S1/links/KOG/cf-contig_458-KOG.txt","Predicted coiled-coil protein")</f>
        <v>Predicted coiled-coil protein</v>
      </c>
      <c r="CT626" t="str">
        <f>HYPERLINK("http://www.ncbi.nlm.nih.gov/COG/grace/shokog.cgi?KOG3272","0.90")</f>
        <v>0.90</v>
      </c>
      <c r="CU626" t="s">
        <v>1721</v>
      </c>
      <c r="CV626" s="4" t="str">
        <f>HYPERLINK("http://exon.niaid.nih.gov/transcriptome/C_felis/S1/links/PFAM/cf-contig_458-PFAM.txt","CLAG")</f>
        <v>CLAG</v>
      </c>
      <c r="CW626" t="str">
        <f>HYPERLINK("http://pfam.sanger.ac.uk/family?acc=PF03805","0.031")</f>
        <v>0.031</v>
      </c>
      <c r="CX626" s="4" t="str">
        <f>HYPERLINK("http://exon.niaid.nih.gov/transcriptome/C_felis/S1/links/SMART/cf-contig_458-SMART.txt","BHD_3")</f>
        <v>BHD_3</v>
      </c>
      <c r="CY626" t="str">
        <f>HYPERLINK("http://smart.embl-heidelberg.de/smart/do_annotation.pl?DOMAIN=BHD_3&amp;BLAST=DUMMY","0.31")</f>
        <v>0.31</v>
      </c>
      <c r="CZ626" s="4" t="s">
        <v>42</v>
      </c>
      <c r="DA626" t="s">
        <v>42</v>
      </c>
      <c r="DB626" t="s">
        <v>42</v>
      </c>
      <c r="DC626" t="s">
        <v>42</v>
      </c>
      <c r="DD626" t="s">
        <v>42</v>
      </c>
      <c r="DE626" t="s">
        <v>42</v>
      </c>
      <c r="DF626" t="s">
        <v>42</v>
      </c>
      <c r="DG626" t="s">
        <v>42</v>
      </c>
      <c r="DH626" s="4" t="s">
        <v>42</v>
      </c>
      <c r="DI626" t="s">
        <v>42</v>
      </c>
      <c r="DJ626" s="4" t="s">
        <v>42</v>
      </c>
      <c r="DK626" t="s">
        <v>42</v>
      </c>
      <c r="DL626" s="4">
        <v>372</v>
      </c>
      <c r="DM626">
        <v>1</v>
      </c>
      <c r="DN626" s="4">
        <v>381</v>
      </c>
      <c r="DO626">
        <v>1</v>
      </c>
      <c r="DP626" s="4">
        <v>386</v>
      </c>
      <c r="DQ626">
        <v>1</v>
      </c>
      <c r="DR626" s="4">
        <v>401</v>
      </c>
      <c r="DS626">
        <v>1</v>
      </c>
      <c r="DT626" s="4">
        <v>411</v>
      </c>
      <c r="DU626">
        <v>1</v>
      </c>
      <c r="DV626" s="4">
        <v>425</v>
      </c>
      <c r="DW626">
        <v>1</v>
      </c>
      <c r="DX626" s="4">
        <v>428</v>
      </c>
      <c r="DY626">
        <v>1</v>
      </c>
      <c r="DZ626" s="4">
        <v>433</v>
      </c>
      <c r="EA626">
        <v>1</v>
      </c>
      <c r="EB626" s="4">
        <v>438</v>
      </c>
      <c r="EC626">
        <v>1</v>
      </c>
      <c r="ED626" s="4">
        <v>442</v>
      </c>
      <c r="EE626">
        <v>1</v>
      </c>
      <c r="EF626" s="4">
        <v>447</v>
      </c>
      <c r="EG626">
        <v>1</v>
      </c>
      <c r="EH626" s="4">
        <v>452</v>
      </c>
      <c r="EI626">
        <v>1</v>
      </c>
      <c r="EJ626" s="4">
        <v>458</v>
      </c>
      <c r="EK626">
        <v>1</v>
      </c>
    </row>
    <row r="627" spans="1:141" x14ac:dyDescent="0.2">
      <c r="A627" t="str">
        <f>HYPERLINK("http://exon.niaid.nih.gov/transcriptome/C_felis/S1/links/cf/cf-contig_431.txt","cf-contig_431")</f>
        <v>cf-contig_431</v>
      </c>
      <c r="B627">
        <v>1</v>
      </c>
      <c r="C627" s="10" t="s">
        <v>4600</v>
      </c>
      <c r="D627">
        <v>1</v>
      </c>
      <c r="E627" t="str">
        <f>HYPERLINK("http://exon.niaid.nih.gov/transcriptome/C_felis/S1/links/cf/cf-5-36-asb-431.txt","Contig-431")</f>
        <v>Contig-431</v>
      </c>
      <c r="F627" t="str">
        <f>HYPERLINK("http://exon.niaid.nih.gov/transcriptome/C_felis/S1/links/cf/cf-5-36-431-CLU.txt","Contig431")</f>
        <v>Contig431</v>
      </c>
      <c r="G627" t="str">
        <f>HYPERLINK("http://exon.niaid.nih.gov/transcriptome/C_felis/S1/links/cf/cf-5-36-431-qual.txt","42.")</f>
        <v>42.</v>
      </c>
      <c r="H627">
        <v>1.6</v>
      </c>
      <c r="I627">
        <v>64.2</v>
      </c>
      <c r="J627">
        <v>104</v>
      </c>
      <c r="K627" t="s">
        <v>12</v>
      </c>
      <c r="L627">
        <v>1</v>
      </c>
      <c r="M627" t="s">
        <v>444</v>
      </c>
      <c r="N627">
        <v>104</v>
      </c>
      <c r="O627">
        <v>123</v>
      </c>
      <c r="P627">
        <v>60</v>
      </c>
      <c r="Q627" t="s">
        <v>1251</v>
      </c>
      <c r="R627">
        <v>2</v>
      </c>
      <c r="S627" s="7" t="s">
        <v>4585</v>
      </c>
      <c r="U627">
        <v>1</v>
      </c>
      <c r="V627" s="4">
        <v>350</v>
      </c>
      <c r="W627">
        <v>1</v>
      </c>
      <c r="X627" s="4">
        <v>359</v>
      </c>
      <c r="Y627">
        <v>1</v>
      </c>
      <c r="Z627" s="4">
        <v>363</v>
      </c>
      <c r="AA627">
        <v>1</v>
      </c>
      <c r="AB627" s="4" t="str">
        <f>HYPERLINK("http://exon.niaid.nih.gov/transcriptome/C_felis/S1/links/XC-ASB/cf-contig_431-XC-ASB.txt","XC-contig_232")</f>
        <v>XC-contig_232</v>
      </c>
      <c r="AC627">
        <v>1</v>
      </c>
      <c r="AD627" s="10" t="s">
        <v>4600</v>
      </c>
      <c r="AE627" t="s">
        <v>4601</v>
      </c>
      <c r="AI627" s="4" t="str">
        <f>HYPERLINK("http://exon.niaid.nih.gov/transcriptome/C_felis/S1/links/NR/cf-contig_431-NR.txt","GE20402")</f>
        <v>GE20402</v>
      </c>
      <c r="AJ627" t="str">
        <f>HYPERLINK("http://www.ncbi.nlm.nih.gov/sutils/blink.cgi?pid=195492612","80")</f>
        <v>80</v>
      </c>
      <c r="AK627" t="str">
        <f>HYPERLINK("http://www.ncbi.nlm.nih.gov/protein/195492612","gi|195492612")</f>
        <v>gi|195492612</v>
      </c>
      <c r="AL627">
        <v>30.8</v>
      </c>
      <c r="AM627">
        <v>29</v>
      </c>
      <c r="AN627">
        <v>303</v>
      </c>
      <c r="AO627">
        <v>40</v>
      </c>
      <c r="AP627">
        <v>10</v>
      </c>
      <c r="AQ627">
        <v>18</v>
      </c>
      <c r="AR627">
        <v>0</v>
      </c>
      <c r="AS627">
        <v>274</v>
      </c>
      <c r="AT627">
        <v>4</v>
      </c>
      <c r="AU627">
        <v>1</v>
      </c>
      <c r="AV627">
        <v>1</v>
      </c>
      <c r="AW627" t="s">
        <v>12</v>
      </c>
      <c r="AX627">
        <v>3.448</v>
      </c>
      <c r="AY627" t="s">
        <v>1676</v>
      </c>
      <c r="AZ627" t="s">
        <v>1865</v>
      </c>
      <c r="BA627" s="4" t="str">
        <f>HYPERLINK("http://exon.niaid.nih.gov/transcriptome/C_felis/S1/links/SWISSP/cf-contig_431-SWISSP.txt","Plasminogen")</f>
        <v>Plasminogen</v>
      </c>
      <c r="BB627" t="str">
        <f>HYPERLINK("http://www.uniprot.org/uniprot/Q29485","24")</f>
        <v>24</v>
      </c>
      <c r="BC627" t="s">
        <v>3211</v>
      </c>
      <c r="BD627">
        <v>27.7</v>
      </c>
      <c r="BE627">
        <v>28</v>
      </c>
      <c r="BF627">
        <v>810</v>
      </c>
      <c r="BG627">
        <v>37</v>
      </c>
      <c r="BH627">
        <v>4</v>
      </c>
      <c r="BI627">
        <v>18</v>
      </c>
      <c r="BJ627">
        <v>0</v>
      </c>
      <c r="BK627">
        <v>781</v>
      </c>
      <c r="BL627">
        <v>4</v>
      </c>
      <c r="BM627">
        <v>1</v>
      </c>
      <c r="BN627">
        <v>1</v>
      </c>
      <c r="BO627" t="s">
        <v>12</v>
      </c>
      <c r="BP627">
        <v>3.5710000000000002</v>
      </c>
      <c r="BQ627" t="s">
        <v>1676</v>
      </c>
      <c r="BR627" t="s">
        <v>3212</v>
      </c>
      <c r="BS627" s="4" t="str">
        <f>HYPERLINK("http://exon.niaid.nih.gov/transcriptome/C_felis/S1/links/CDD/cf-contig_431-CDD.txt","PHA02798")</f>
        <v>PHA02798</v>
      </c>
      <c r="BT627" t="str">
        <f>HYPERLINK("http://www.ncbi.nlm.nih.gov/Structure/cdd/cddsrv.cgi?uid=PHA02798&amp;version=v4.0","5.6")</f>
        <v>5.6</v>
      </c>
      <c r="BU627" t="s">
        <v>3213</v>
      </c>
      <c r="BV627" s="4" t="s">
        <v>42</v>
      </c>
      <c r="BW627" t="s">
        <v>42</v>
      </c>
      <c r="BX627" t="s">
        <v>42</v>
      </c>
      <c r="BY627" t="s">
        <v>42</v>
      </c>
      <c r="BZ627" t="s">
        <v>42</v>
      </c>
      <c r="CA627" t="s">
        <v>42</v>
      </c>
      <c r="CB627" t="s">
        <v>42</v>
      </c>
      <c r="CC627" t="s">
        <v>42</v>
      </c>
      <c r="CD627" t="s">
        <v>42</v>
      </c>
      <c r="CE627" t="s">
        <v>42</v>
      </c>
      <c r="CF627" t="s">
        <v>42</v>
      </c>
      <c r="CG627" t="s">
        <v>42</v>
      </c>
      <c r="CH627" t="s">
        <v>42</v>
      </c>
      <c r="CI627" t="s">
        <v>42</v>
      </c>
      <c r="CJ627" t="s">
        <v>42</v>
      </c>
      <c r="CK627" t="s">
        <v>42</v>
      </c>
      <c r="CL627" t="s">
        <v>42</v>
      </c>
      <c r="CM627" t="s">
        <v>42</v>
      </c>
      <c r="CN627" t="s">
        <v>42</v>
      </c>
      <c r="CO627" t="s">
        <v>42</v>
      </c>
      <c r="CP627" t="s">
        <v>42</v>
      </c>
      <c r="CQ627" t="s">
        <v>42</v>
      </c>
      <c r="CR627" t="s">
        <v>42</v>
      </c>
      <c r="CS627" s="4" t="str">
        <f>HYPERLINK("http://exon.niaid.nih.gov/transcriptome/C_felis/S1/links/KOG/cf-contig_431-KOG.txt","Neurexin IV")</f>
        <v>Neurexin IV</v>
      </c>
      <c r="CT627" t="str">
        <f>HYPERLINK("http://www.ncbi.nlm.nih.gov/COG/grace/shokog.cgi?KOG3516","4.1")</f>
        <v>4.1</v>
      </c>
      <c r="CU627" t="s">
        <v>1780</v>
      </c>
      <c r="CV627" s="4" t="str">
        <f>HYPERLINK("http://exon.niaid.nih.gov/transcriptome/C_felis/S1/links/PFAM/cf-contig_431-PFAM.txt","Plasmodium_Vir")</f>
        <v>Plasmodium_Vir</v>
      </c>
      <c r="CW627" t="str">
        <f>HYPERLINK("http://pfam.sanger.ac.uk/family?acc=PF05795","2.8")</f>
        <v>2.8</v>
      </c>
      <c r="CX627" s="4" t="str">
        <f>HYPERLINK("http://exon.niaid.nih.gov/transcriptome/C_felis/S1/links/SMART/cf-contig_431-SMART.txt","SEC14")</f>
        <v>SEC14</v>
      </c>
      <c r="CY627" t="str">
        <f>HYPERLINK("http://smart.embl-heidelberg.de/smart/do_annotation.pl?DOMAIN=SEC14&amp;BLAST=DUMMY","0.58")</f>
        <v>0.58</v>
      </c>
      <c r="CZ627" s="4" t="s">
        <v>42</v>
      </c>
      <c r="DA627" t="s">
        <v>42</v>
      </c>
      <c r="DB627" t="s">
        <v>42</v>
      </c>
      <c r="DC627" t="s">
        <v>42</v>
      </c>
      <c r="DD627" t="s">
        <v>42</v>
      </c>
      <c r="DE627" t="s">
        <v>42</v>
      </c>
      <c r="DF627" t="s">
        <v>42</v>
      </c>
      <c r="DG627" t="s">
        <v>42</v>
      </c>
      <c r="DH627" s="4" t="s">
        <v>42</v>
      </c>
      <c r="DI627" t="s">
        <v>42</v>
      </c>
      <c r="DJ627" s="4" t="s">
        <v>42</v>
      </c>
      <c r="DK627" t="s">
        <v>42</v>
      </c>
      <c r="DL627" s="4">
        <v>350</v>
      </c>
      <c r="DM627">
        <v>1</v>
      </c>
      <c r="DN627" s="4">
        <v>359</v>
      </c>
      <c r="DO627">
        <v>1</v>
      </c>
      <c r="DP627" s="4">
        <v>363</v>
      </c>
      <c r="DQ627">
        <v>1</v>
      </c>
      <c r="DR627" s="4">
        <v>375</v>
      </c>
      <c r="DS627">
        <v>1</v>
      </c>
      <c r="DT627" s="4">
        <v>385</v>
      </c>
      <c r="DU627">
        <v>1</v>
      </c>
      <c r="DV627" s="4">
        <v>399</v>
      </c>
      <c r="DW627">
        <v>1</v>
      </c>
      <c r="DX627" s="4">
        <v>402</v>
      </c>
      <c r="DY627">
        <v>1</v>
      </c>
      <c r="DZ627" s="4">
        <v>407</v>
      </c>
      <c r="EA627">
        <v>1</v>
      </c>
      <c r="EB627" s="4">
        <v>412</v>
      </c>
      <c r="EC627">
        <v>1</v>
      </c>
      <c r="ED627" s="4">
        <v>416</v>
      </c>
      <c r="EE627">
        <v>1</v>
      </c>
      <c r="EF627" s="4">
        <v>421</v>
      </c>
      <c r="EG627">
        <v>1</v>
      </c>
      <c r="EH627" s="4">
        <v>425</v>
      </c>
      <c r="EI627">
        <v>1</v>
      </c>
      <c r="EJ627" s="4">
        <v>431</v>
      </c>
      <c r="EK627">
        <v>1</v>
      </c>
    </row>
    <row r="628" spans="1:141" x14ac:dyDescent="0.2">
      <c r="A628" t="str">
        <f>HYPERLINK("http://exon.niaid.nih.gov/transcriptome/C_felis/S1/links/cf/cf-contig_164.txt","cf-contig_164")</f>
        <v>cf-contig_164</v>
      </c>
      <c r="B628">
        <v>3</v>
      </c>
      <c r="C628" s="10" t="s">
        <v>4600</v>
      </c>
      <c r="D628">
        <v>3</v>
      </c>
      <c r="E628" t="str">
        <f>HYPERLINK("http://exon.niaid.nih.gov/transcriptome/C_felis/S1/links/cf/cf-5-36-asb-164.txt","Contig-164")</f>
        <v>Contig-164</v>
      </c>
      <c r="F628" t="str">
        <f>HYPERLINK("http://exon.niaid.nih.gov/transcriptome/C_felis/S1/links/cf/cf-5-36-164-CLU.txt","Contig164")</f>
        <v>Contig164</v>
      </c>
      <c r="G628" t="str">
        <f>HYPERLINK("http://exon.niaid.nih.gov/transcriptome/C_felis/S1/links/cf/cf-5-36-164-qual.txt","86.3")</f>
        <v>86.3</v>
      </c>
      <c r="H628">
        <v>0.2</v>
      </c>
      <c r="I628">
        <v>78.599999999999994</v>
      </c>
      <c r="J628">
        <v>444</v>
      </c>
      <c r="K628" t="s">
        <v>12</v>
      </c>
      <c r="L628">
        <v>3</v>
      </c>
      <c r="M628" t="s">
        <v>177</v>
      </c>
      <c r="N628">
        <v>464</v>
      </c>
      <c r="O628">
        <v>463</v>
      </c>
      <c r="P628">
        <v>219</v>
      </c>
      <c r="Q628" t="s">
        <v>984</v>
      </c>
      <c r="R628">
        <v>2</v>
      </c>
      <c r="S628" s="7" t="s">
        <v>4585</v>
      </c>
      <c r="U628">
        <v>3</v>
      </c>
      <c r="V628" s="4">
        <f>HYPERLINK("http://exon.niaid.nih.gov/transcriptome/C_felis/S1/links/cluster/cf-5-36-asb30-50-Id-CLU45.txt", 45)</f>
        <v>45</v>
      </c>
      <c r="W628">
        <f>HYPERLINK("http://exon.niaid.nih.gov/transcriptome/C_felis/S1/links/cluster/cf-5-36-asb30-50-Id-CLTL45.txt", 2)</f>
        <v>2</v>
      </c>
      <c r="X628" s="4">
        <v>149</v>
      </c>
      <c r="Y628">
        <v>1</v>
      </c>
      <c r="Z628" s="4">
        <v>146</v>
      </c>
      <c r="AA628">
        <v>1</v>
      </c>
      <c r="AB628" s="4" t="str">
        <f>HYPERLINK("http://exon.niaid.nih.gov/transcriptome/C_felis/S1/links/XC-ASB/cf-contig_164-XC-ASB.txt","XC-contig_246")</f>
        <v>XC-contig_246</v>
      </c>
      <c r="AC628">
        <v>2E-3</v>
      </c>
      <c r="AD628" s="10" t="s">
        <v>4600</v>
      </c>
      <c r="AE628" t="s">
        <v>4601</v>
      </c>
      <c r="AI628" s="4" t="str">
        <f>HYPERLINK("http://exon.niaid.nih.gov/transcriptome/C_felis/S1/links/NR/cf-contig_164-NR.txt","hypothetical protein, conserved")</f>
        <v>hypothetical protein, conserved</v>
      </c>
      <c r="AJ628" t="str">
        <f>HYPERLINK("http://www.ncbi.nlm.nih.gov/sutils/blink.cgi?pid=118490648","1E-005")</f>
        <v>1E-005</v>
      </c>
      <c r="AK628" t="str">
        <f>HYPERLINK("http://www.ncbi.nlm.nih.gov/protein/118490648","gi|118490648")</f>
        <v>gi|118490648</v>
      </c>
      <c r="AL628">
        <v>53.5</v>
      </c>
      <c r="AM628">
        <v>184</v>
      </c>
      <c r="AN628">
        <v>1486</v>
      </c>
      <c r="AO628">
        <v>34</v>
      </c>
      <c r="AP628">
        <v>12</v>
      </c>
      <c r="AQ628">
        <v>66</v>
      </c>
      <c r="AR628">
        <v>0</v>
      </c>
      <c r="AS628">
        <v>472</v>
      </c>
      <c r="AT628">
        <v>11</v>
      </c>
      <c r="AU628">
        <v>6</v>
      </c>
      <c r="AV628">
        <v>-1</v>
      </c>
      <c r="AW628" t="s">
        <v>12</v>
      </c>
      <c r="AX628">
        <v>1.63</v>
      </c>
      <c r="AY628" t="s">
        <v>1666</v>
      </c>
      <c r="AZ628" t="s">
        <v>2299</v>
      </c>
      <c r="BA628" s="4" t="str">
        <f>HYPERLINK("http://exon.niaid.nih.gov/transcriptome/C_felis/S1/links/SWISSP/cf-contig_164-SWISSP.txt","Protein PF14_0175")</f>
        <v>Protein PF14_0175</v>
      </c>
      <c r="BB628" t="str">
        <f>HYPERLINK("http://www.uniprot.org/uniprot/Q8ILR9","0.018")</f>
        <v>0.018</v>
      </c>
      <c r="BC628" t="s">
        <v>2300</v>
      </c>
      <c r="BD628">
        <v>38.5</v>
      </c>
      <c r="BE628">
        <v>3216</v>
      </c>
      <c r="BF628">
        <v>4662</v>
      </c>
      <c r="BG628">
        <v>26</v>
      </c>
      <c r="BH628">
        <v>69</v>
      </c>
      <c r="BI628">
        <v>121</v>
      </c>
      <c r="BJ628">
        <v>30</v>
      </c>
      <c r="BK628">
        <v>209</v>
      </c>
      <c r="BL628">
        <v>15</v>
      </c>
      <c r="BM628">
        <v>3</v>
      </c>
      <c r="BN628">
        <v>2</v>
      </c>
      <c r="BO628" t="s">
        <v>1689</v>
      </c>
      <c r="BP628">
        <v>0.124</v>
      </c>
      <c r="BQ628" t="s">
        <v>1676</v>
      </c>
      <c r="BR628" t="s">
        <v>1724</v>
      </c>
      <c r="BS628" s="4" t="str">
        <f>HYPERLINK("http://exon.niaid.nih.gov/transcriptome/C_felis/S1/links/CDD/cf-contig_164-CDD.txt","ND5")</f>
        <v>ND5</v>
      </c>
      <c r="BT628" t="str">
        <f>HYPERLINK("http://www.ncbi.nlm.nih.gov/Structure/cdd/cddsrv.cgi?uid=MTH00095&amp;version=v4.0","2E-009")</f>
        <v>2E-009</v>
      </c>
      <c r="BU628" t="s">
        <v>2301</v>
      </c>
      <c r="BV628" s="4" t="s">
        <v>42</v>
      </c>
      <c r="BW628" t="s">
        <v>42</v>
      </c>
      <c r="BX628" t="s">
        <v>42</v>
      </c>
      <c r="BY628" t="s">
        <v>42</v>
      </c>
      <c r="BZ628" t="s">
        <v>42</v>
      </c>
      <c r="CA628" t="s">
        <v>42</v>
      </c>
      <c r="CB628" t="s">
        <v>42</v>
      </c>
      <c r="CC628" t="s">
        <v>42</v>
      </c>
      <c r="CD628" t="s">
        <v>42</v>
      </c>
      <c r="CE628" t="s">
        <v>42</v>
      </c>
      <c r="CF628" t="s">
        <v>42</v>
      </c>
      <c r="CG628" t="s">
        <v>42</v>
      </c>
      <c r="CH628" t="s">
        <v>42</v>
      </c>
      <c r="CI628" t="s">
        <v>42</v>
      </c>
      <c r="CJ628" t="s">
        <v>42</v>
      </c>
      <c r="CK628" t="s">
        <v>42</v>
      </c>
      <c r="CL628" t="s">
        <v>42</v>
      </c>
      <c r="CM628" t="s">
        <v>42</v>
      </c>
      <c r="CN628" t="s">
        <v>42</v>
      </c>
      <c r="CO628" t="s">
        <v>42</v>
      </c>
      <c r="CP628" t="s">
        <v>42</v>
      </c>
      <c r="CQ628" t="s">
        <v>42</v>
      </c>
      <c r="CR628" t="s">
        <v>42</v>
      </c>
      <c r="CS628" s="4" t="str">
        <f>HYPERLINK("http://exon.niaid.nih.gov/transcriptome/C_felis/S1/links/KOG/cf-contig_164-KOG.txt","Major facilitator superfamily permease - Cdc91p")</f>
        <v>Major facilitator superfamily permease - Cdc91p</v>
      </c>
      <c r="CT628" t="str">
        <f>HYPERLINK("http://www.ncbi.nlm.nih.gov/COG/grace/shokog.cgi?KOG2552","6E-005")</f>
        <v>6E-005</v>
      </c>
      <c r="CU628" t="s">
        <v>1721</v>
      </c>
      <c r="CV628" s="4" t="str">
        <f>HYPERLINK("http://exon.niaid.nih.gov/transcriptome/C_felis/S1/links/PFAM/cf-contig_164-PFAM.txt","7TMR-DISM_7TM")</f>
        <v>7TMR-DISM_7TM</v>
      </c>
      <c r="CW628" t="str">
        <f>HYPERLINK("http://pfam.sanger.ac.uk/family?acc=PF07695","1E-005")</f>
        <v>1E-005</v>
      </c>
      <c r="CX628" s="4" t="str">
        <f>HYPERLINK("http://exon.niaid.nih.gov/transcriptome/C_felis/S1/links/SMART/cf-contig_164-SMART.txt","AgrB")</f>
        <v>AgrB</v>
      </c>
      <c r="CY628" t="str">
        <f>HYPERLINK("http://smart.embl-heidelberg.de/smart/do_annotation.pl?DOMAIN=AgrB&amp;BLAST=DUMMY","7E-004")</f>
        <v>7E-004</v>
      </c>
      <c r="CZ628" s="4" t="s">
        <v>42</v>
      </c>
      <c r="DA628" t="s">
        <v>42</v>
      </c>
      <c r="DB628" t="s">
        <v>42</v>
      </c>
      <c r="DC628" t="s">
        <v>42</v>
      </c>
      <c r="DD628" t="s">
        <v>42</v>
      </c>
      <c r="DE628" t="s">
        <v>42</v>
      </c>
      <c r="DF628" t="s">
        <v>42</v>
      </c>
      <c r="DG628" t="s">
        <v>42</v>
      </c>
      <c r="DH628" s="4" t="s">
        <v>42</v>
      </c>
      <c r="DI628" t="s">
        <v>42</v>
      </c>
      <c r="DJ628" s="4" t="s">
        <v>42</v>
      </c>
      <c r="DK628" t="s">
        <v>42</v>
      </c>
      <c r="DL628" s="4">
        <f>HYPERLINK("http://exon.niaid.nih.gov/transcriptome/C_felis/S1/links/cluster/cf-5-36-asb30-50-Id-CLU45.txt", 45)</f>
        <v>45</v>
      </c>
      <c r="DM628">
        <f>HYPERLINK("http://exon.niaid.nih.gov/transcriptome/C_felis/S1/links/cluster/cf-5-36-asb30-50-Id-CLTL45.txt", 2)</f>
        <v>2</v>
      </c>
      <c r="DN628" s="4">
        <v>149</v>
      </c>
      <c r="DO628">
        <v>1</v>
      </c>
      <c r="DP628" s="4">
        <v>146</v>
      </c>
      <c r="DQ628">
        <v>1</v>
      </c>
      <c r="DR628" s="4">
        <v>143</v>
      </c>
      <c r="DS628">
        <v>1</v>
      </c>
      <c r="DT628" s="4">
        <v>143</v>
      </c>
      <c r="DU628">
        <v>1</v>
      </c>
      <c r="DV628" s="4">
        <v>153</v>
      </c>
      <c r="DW628">
        <v>1</v>
      </c>
      <c r="DX628" s="4">
        <v>155</v>
      </c>
      <c r="DY628">
        <v>1</v>
      </c>
      <c r="DZ628" s="4">
        <v>155</v>
      </c>
      <c r="EA628">
        <v>1</v>
      </c>
      <c r="EB628" s="4">
        <v>160</v>
      </c>
      <c r="EC628">
        <v>1</v>
      </c>
      <c r="ED628" s="4">
        <v>161</v>
      </c>
      <c r="EE628">
        <v>1</v>
      </c>
      <c r="EF628" s="4">
        <v>162</v>
      </c>
      <c r="EG628">
        <v>1</v>
      </c>
      <c r="EH628" s="4">
        <v>161</v>
      </c>
      <c r="EI628">
        <v>1</v>
      </c>
      <c r="EJ628" s="4">
        <v>164</v>
      </c>
      <c r="EK628">
        <v>1</v>
      </c>
    </row>
    <row r="629" spans="1:141" x14ac:dyDescent="0.2">
      <c r="A629" t="str">
        <f>HYPERLINK("http://exon.niaid.nih.gov/transcriptome/C_felis/S1/links/cf/cf-contig_308.txt","cf-contig_308")</f>
        <v>cf-contig_308</v>
      </c>
      <c r="B629">
        <v>1</v>
      </c>
      <c r="C629" s="10" t="s">
        <v>4600</v>
      </c>
      <c r="D629">
        <v>1</v>
      </c>
      <c r="E629" t="str">
        <f>HYPERLINK("http://exon.niaid.nih.gov/transcriptome/C_felis/S1/links/cf/cf-5-36-asb-308.txt","Contig-308")</f>
        <v>Contig-308</v>
      </c>
      <c r="F629" t="str">
        <f>HYPERLINK("http://exon.niaid.nih.gov/transcriptome/C_felis/S1/links/cf/cf-5-36-308-CLU.txt","Contig308")</f>
        <v>Contig308</v>
      </c>
      <c r="G629" t="str">
        <f>HYPERLINK("http://exon.niaid.nih.gov/transcriptome/C_felis/S1/links/cf/cf-5-36-308-qual.txt","48.5")</f>
        <v>48.5</v>
      </c>
      <c r="H629" t="s">
        <v>11</v>
      </c>
      <c r="I629">
        <v>71.400000000000006</v>
      </c>
      <c r="J629">
        <v>866</v>
      </c>
      <c r="K629" t="s">
        <v>12</v>
      </c>
      <c r="L629">
        <v>1</v>
      </c>
      <c r="M629" t="s">
        <v>321</v>
      </c>
      <c r="N629">
        <v>866</v>
      </c>
      <c r="O629">
        <v>885</v>
      </c>
      <c r="P629">
        <v>231</v>
      </c>
      <c r="Q629" t="s">
        <v>1128</v>
      </c>
      <c r="R629">
        <v>1</v>
      </c>
      <c r="S629" s="7" t="str">
        <f>HYPERLINK("http://exon.niaid.nih.gov/transcriptome/C_felis/S1/links/Sigp/CF-CONTIG_308-SigP.txt","Cyt")</f>
        <v>Cyt</v>
      </c>
      <c r="U629">
        <v>1</v>
      </c>
      <c r="V629" s="4">
        <v>249</v>
      </c>
      <c r="W629">
        <v>1</v>
      </c>
      <c r="X629" s="4">
        <v>254</v>
      </c>
      <c r="Y629">
        <v>1</v>
      </c>
      <c r="Z629" s="4">
        <v>253</v>
      </c>
      <c r="AA629">
        <v>1</v>
      </c>
      <c r="AB629" s="4" t="str">
        <f>HYPERLINK("http://exon.niaid.nih.gov/transcriptome/C_felis/S1/links/XC-ASB/cf-contig_308-XC-ASB.txt","XC-contig_27")</f>
        <v>XC-contig_27</v>
      </c>
      <c r="AC629">
        <v>2.0000000000000001E-4</v>
      </c>
      <c r="AD629" s="10" t="s">
        <v>4600</v>
      </c>
      <c r="AE629" t="s">
        <v>4601</v>
      </c>
      <c r="AI629" s="4" t="str">
        <f>HYPERLINK("http://exon.niaid.nih.gov/transcriptome/C_felis/S1/links/NR/cf-contig_308-NR.txt","hypothetical protein, conserved")</f>
        <v>hypothetical protein, conserved</v>
      </c>
      <c r="AJ629" t="str">
        <f>HYPERLINK("http://www.ncbi.nlm.nih.gov/sutils/blink.cgi?pid=118490648","4E-012")</f>
        <v>4E-012</v>
      </c>
      <c r="AK629" t="str">
        <f>HYPERLINK("http://www.ncbi.nlm.nih.gov/protein/118490648","gi|118490648")</f>
        <v>gi|118490648</v>
      </c>
      <c r="AL629">
        <v>77</v>
      </c>
      <c r="AM629">
        <v>209</v>
      </c>
      <c r="AN629">
        <v>1486</v>
      </c>
      <c r="AO629">
        <v>36</v>
      </c>
      <c r="AP629">
        <v>14</v>
      </c>
      <c r="AQ629">
        <v>113</v>
      </c>
      <c r="AR629">
        <v>3</v>
      </c>
      <c r="AS629">
        <v>450</v>
      </c>
      <c r="AT629">
        <v>165</v>
      </c>
      <c r="AU629">
        <v>7</v>
      </c>
      <c r="AV629">
        <v>-2</v>
      </c>
      <c r="AW629" t="s">
        <v>1689</v>
      </c>
      <c r="AX629">
        <v>1.4350000000000001</v>
      </c>
      <c r="AY629" t="s">
        <v>1666</v>
      </c>
      <c r="AZ629" t="s">
        <v>2299</v>
      </c>
      <c r="BA629" s="4" t="str">
        <f>HYPERLINK("http://exon.niaid.nih.gov/transcriptome/C_felis/S1/links/SWISSP/cf-contig_308-SWISSP.txt","DNA ligase 1")</f>
        <v>DNA ligase 1</v>
      </c>
      <c r="BB629" t="str">
        <f>HYPERLINK("http://www.uniprot.org/uniprot/Q869E1","3E-006")</f>
        <v>3E-006</v>
      </c>
      <c r="BC629" t="s">
        <v>2761</v>
      </c>
      <c r="BD629">
        <v>52.8</v>
      </c>
      <c r="BE629">
        <v>456</v>
      </c>
      <c r="BF629">
        <v>1192</v>
      </c>
      <c r="BG629">
        <v>25</v>
      </c>
      <c r="BH629">
        <v>38</v>
      </c>
      <c r="BI629">
        <v>173</v>
      </c>
      <c r="BJ629">
        <v>1</v>
      </c>
      <c r="BK629">
        <v>32</v>
      </c>
      <c r="BL629">
        <v>166</v>
      </c>
      <c r="BM629">
        <v>4</v>
      </c>
      <c r="BN629">
        <v>1</v>
      </c>
      <c r="BO629" t="s">
        <v>12</v>
      </c>
      <c r="BP629">
        <v>2.851</v>
      </c>
      <c r="BQ629" t="s">
        <v>1676</v>
      </c>
      <c r="BR629" t="s">
        <v>1976</v>
      </c>
      <c r="BS629" s="4" t="str">
        <f>HYPERLINK("http://exon.niaid.nih.gov/transcriptome/C_felis/S1/links/CDD/cf-contig_308-CDD.txt","ND2")</f>
        <v>ND2</v>
      </c>
      <c r="BT629" t="str">
        <f>HYPERLINK("http://www.ncbi.nlm.nih.gov/Structure/cdd/cddsrv.cgi?uid=MTH00091&amp;version=v4.0","4E-012")</f>
        <v>4E-012</v>
      </c>
      <c r="BU629" t="s">
        <v>2762</v>
      </c>
      <c r="BV629" s="4" t="s">
        <v>2763</v>
      </c>
      <c r="BW629">
        <f>HYPERLINK("http://exon.niaid.nih.gov/transcriptome/C_felis/S1/links/GO/cf-contig_308-GO.txt",0.00000008)</f>
        <v>8.0000000000000002E-8</v>
      </c>
      <c r="BX629" t="str">
        <f>HYPERLINK("http://amigo.geneontology.org/cgi-bin/amigo/term_details?term=GO:0003674","GO:0003674")</f>
        <v>GO:0003674</v>
      </c>
      <c r="BY629" t="s">
        <v>1851</v>
      </c>
      <c r="BZ629" t="s">
        <v>1852</v>
      </c>
      <c r="CA629" t="s">
        <v>1853</v>
      </c>
      <c r="CB629" t="s">
        <v>42</v>
      </c>
      <c r="CD629">
        <v>4.9999999999999998E-7</v>
      </c>
      <c r="CE629" t="str">
        <f>HYPERLINK("http://amigo.geneontology.org/cgi-bin/amigo/term_details?term=GO:0012505","GO:0012505")</f>
        <v>GO:0012505</v>
      </c>
      <c r="CF629" t="s">
        <v>2219</v>
      </c>
      <c r="CG629" t="s">
        <v>2220</v>
      </c>
      <c r="CH629" t="s">
        <v>42</v>
      </c>
      <c r="CI629" t="s">
        <v>42</v>
      </c>
      <c r="CK629">
        <v>4.9999999999999998E-7</v>
      </c>
      <c r="CL629" t="str">
        <f>HYPERLINK("http://amigo.geneontology.org/cgi-bin/amigo/term_details?term=GO:0008150","GO:0008150")</f>
        <v>GO:0008150</v>
      </c>
      <c r="CM629" t="s">
        <v>1857</v>
      </c>
      <c r="CN629" t="s">
        <v>1858</v>
      </c>
      <c r="CO629" t="s">
        <v>1859</v>
      </c>
      <c r="CP629" t="s">
        <v>42</v>
      </c>
      <c r="CR629">
        <v>4.9999999999999998E-7</v>
      </c>
      <c r="CS629" s="4" t="str">
        <f>HYPERLINK("http://exon.niaid.nih.gov/transcriptome/C_felis/S1/links/KOG/cf-contig_308-KOG.txt","Lipid exporter ABCA1 and related proteins, ABC superfamily")</f>
        <v>Lipid exporter ABCA1 and related proteins, ABC superfamily</v>
      </c>
      <c r="CT629" t="str">
        <f>HYPERLINK("http://www.ncbi.nlm.nih.gov/COG/grace/shokog.cgi?KOG0059","2E-007")</f>
        <v>2E-007</v>
      </c>
      <c r="CU629" t="s">
        <v>1768</v>
      </c>
      <c r="CV629" s="4" t="str">
        <f>HYPERLINK("http://exon.niaid.nih.gov/transcriptome/C_felis/S1/links/PFAM/cf-contig_308-PFAM.txt","7TM_GPCR_Srz")</f>
        <v>7TM_GPCR_Srz</v>
      </c>
      <c r="CW629" t="str">
        <f>HYPERLINK("http://pfam.sanger.ac.uk/family?acc=PF10325","4E-010")</f>
        <v>4E-010</v>
      </c>
      <c r="CX629" s="4" t="str">
        <f>HYPERLINK("http://exon.niaid.nih.gov/transcriptome/C_felis/S1/links/SMART/cf-contig_308-SMART.txt","TLC")</f>
        <v>TLC</v>
      </c>
      <c r="CY629" t="str">
        <f>HYPERLINK("http://smart.embl-heidelberg.de/smart/do_annotation.pl?DOMAIN=TLC&amp;BLAST=DUMMY","1E-007")</f>
        <v>1E-007</v>
      </c>
      <c r="CZ629" s="4" t="s">
        <v>42</v>
      </c>
      <c r="DA629" t="s">
        <v>42</v>
      </c>
      <c r="DB629" t="s">
        <v>42</v>
      </c>
      <c r="DC629" t="s">
        <v>42</v>
      </c>
      <c r="DD629" t="s">
        <v>42</v>
      </c>
      <c r="DE629" t="s">
        <v>42</v>
      </c>
      <c r="DF629" t="s">
        <v>42</v>
      </c>
      <c r="DG629" t="s">
        <v>42</v>
      </c>
      <c r="DH629" s="4" t="s">
        <v>42</v>
      </c>
      <c r="DI629" t="s">
        <v>42</v>
      </c>
      <c r="DJ629" s="4" t="s">
        <v>42</v>
      </c>
      <c r="DK629" t="s">
        <v>42</v>
      </c>
      <c r="DL629" s="4">
        <v>249</v>
      </c>
      <c r="DM629">
        <v>1</v>
      </c>
      <c r="DN629" s="4">
        <v>254</v>
      </c>
      <c r="DO629">
        <v>1</v>
      </c>
      <c r="DP629" s="4">
        <v>253</v>
      </c>
      <c r="DQ629">
        <v>1</v>
      </c>
      <c r="DR629" s="4">
        <v>262</v>
      </c>
      <c r="DS629">
        <v>1</v>
      </c>
      <c r="DT629" s="4">
        <v>270</v>
      </c>
      <c r="DU629">
        <v>1</v>
      </c>
      <c r="DV629" s="4">
        <v>282</v>
      </c>
      <c r="DW629">
        <v>1</v>
      </c>
      <c r="DX629" s="4">
        <v>284</v>
      </c>
      <c r="DY629">
        <v>1</v>
      </c>
      <c r="DZ629" s="4">
        <v>289</v>
      </c>
      <c r="EA629">
        <v>1</v>
      </c>
      <c r="EB629" s="4">
        <v>294</v>
      </c>
      <c r="EC629">
        <v>1</v>
      </c>
      <c r="ED629" s="4">
        <v>297</v>
      </c>
      <c r="EE629">
        <v>1</v>
      </c>
      <c r="EF629" s="4">
        <v>301</v>
      </c>
      <c r="EG629">
        <v>1</v>
      </c>
      <c r="EH629" s="4">
        <v>303</v>
      </c>
      <c r="EI629">
        <v>1</v>
      </c>
      <c r="EJ629" s="4">
        <v>308</v>
      </c>
      <c r="EK629">
        <v>1</v>
      </c>
    </row>
    <row r="630" spans="1:141" x14ac:dyDescent="0.2">
      <c r="A630" t="str">
        <f>HYPERLINK("http://exon.niaid.nih.gov/transcriptome/C_felis/S1/links/cf/cf-contig_491.txt","cf-contig_491")</f>
        <v>cf-contig_491</v>
      </c>
      <c r="B630">
        <v>1</v>
      </c>
      <c r="C630" s="10" t="s">
        <v>4600</v>
      </c>
      <c r="D630">
        <v>1</v>
      </c>
      <c r="E630" t="str">
        <f>HYPERLINK("http://exon.niaid.nih.gov/transcriptome/C_felis/S1/links/cf/cf-5-36-asb-491.txt","Contig-491")</f>
        <v>Contig-491</v>
      </c>
      <c r="F630" t="str">
        <f>HYPERLINK("http://exon.niaid.nih.gov/transcriptome/C_felis/S1/links/cf/cf-5-36-491-CLU.txt","Contig491")</f>
        <v>Contig491</v>
      </c>
      <c r="G630" t="str">
        <f>HYPERLINK("http://exon.niaid.nih.gov/transcriptome/C_felis/S1/links/cf/cf-5-36-491-qual.txt","60.8")</f>
        <v>60.8</v>
      </c>
      <c r="H630">
        <v>0.2</v>
      </c>
      <c r="I630">
        <v>78</v>
      </c>
      <c r="J630">
        <v>394</v>
      </c>
      <c r="K630" t="s">
        <v>12</v>
      </c>
      <c r="L630">
        <v>1</v>
      </c>
      <c r="M630" t="s">
        <v>504</v>
      </c>
      <c r="N630">
        <v>394</v>
      </c>
      <c r="O630">
        <v>413</v>
      </c>
      <c r="P630">
        <v>135</v>
      </c>
      <c r="Q630" t="s">
        <v>1310</v>
      </c>
      <c r="R630">
        <v>1</v>
      </c>
      <c r="S630" s="7" t="s">
        <v>4585</v>
      </c>
      <c r="U630">
        <v>1</v>
      </c>
      <c r="V630" s="4">
        <v>399</v>
      </c>
      <c r="W630">
        <v>1</v>
      </c>
      <c r="X630" s="4">
        <v>408</v>
      </c>
      <c r="Y630">
        <v>1</v>
      </c>
      <c r="Z630" s="4">
        <v>413</v>
      </c>
      <c r="AA630">
        <v>1</v>
      </c>
      <c r="AB630" s="4" t="str">
        <f>HYPERLINK("http://exon.niaid.nih.gov/transcriptome/C_felis/S1/links/XC-ASB/cf-contig_491-XC-ASB.txt","XC-contig_4")</f>
        <v>XC-contig_4</v>
      </c>
      <c r="AC630">
        <v>7.0000000000000001E-3</v>
      </c>
      <c r="AD630" s="10" t="s">
        <v>4600</v>
      </c>
      <c r="AE630" t="s">
        <v>4601</v>
      </c>
      <c r="AI630" s="4" t="str">
        <f>HYPERLINK("http://exon.niaid.nih.gov/transcriptome/C_felis/S1/links/NR/cf-contig_491-NR.txt","RNA polymerase beta chain")</f>
        <v>RNA polymerase beta chain</v>
      </c>
      <c r="AJ630" t="str">
        <f>HYPERLINK("http://www.ncbi.nlm.nih.gov/sutils/blink.cgi?pid=31442390","0.020")</f>
        <v>0.020</v>
      </c>
      <c r="AK630" t="str">
        <f>HYPERLINK("http://www.ncbi.nlm.nih.gov/protein/31442390","gi|31442390")</f>
        <v>gi|31442390</v>
      </c>
      <c r="AL630">
        <v>42.7</v>
      </c>
      <c r="AM630">
        <v>75</v>
      </c>
      <c r="AN630">
        <v>1059</v>
      </c>
      <c r="AO630">
        <v>32</v>
      </c>
      <c r="AP630">
        <v>7</v>
      </c>
      <c r="AQ630">
        <v>51</v>
      </c>
      <c r="AR630">
        <v>1</v>
      </c>
      <c r="AS630">
        <v>198</v>
      </c>
      <c r="AT630">
        <v>146</v>
      </c>
      <c r="AU630">
        <v>1</v>
      </c>
      <c r="AV630">
        <v>-2</v>
      </c>
      <c r="AW630" t="s">
        <v>12</v>
      </c>
      <c r="AX630">
        <v>4</v>
      </c>
      <c r="AY630" t="s">
        <v>1666</v>
      </c>
      <c r="AZ630" t="s">
        <v>2299</v>
      </c>
      <c r="BA630" s="4" t="str">
        <f>HYPERLINK("http://exon.niaid.nih.gov/transcriptome/C_felis/S1/links/SWISSP/cf-contig_491-SWISSP.txt","DNA-directed RNA polymerase subunit beta")</f>
        <v>DNA-directed RNA polymerase subunit beta</v>
      </c>
      <c r="BB630" t="str">
        <f>HYPERLINK("http://www.uniprot.org/uniprot/Q7YN57","7E-004")</f>
        <v>7E-004</v>
      </c>
      <c r="BC630" t="s">
        <v>3466</v>
      </c>
      <c r="BD630">
        <v>42.7</v>
      </c>
      <c r="BE630">
        <v>75</v>
      </c>
      <c r="BF630">
        <v>1059</v>
      </c>
      <c r="BG630">
        <v>32</v>
      </c>
      <c r="BH630">
        <v>7</v>
      </c>
      <c r="BI630">
        <v>51</v>
      </c>
      <c r="BJ630">
        <v>1</v>
      </c>
      <c r="BK630">
        <v>198</v>
      </c>
      <c r="BL630">
        <v>146</v>
      </c>
      <c r="BM630">
        <v>1</v>
      </c>
      <c r="BN630">
        <v>-2</v>
      </c>
      <c r="BO630" t="s">
        <v>12</v>
      </c>
      <c r="BP630">
        <v>4</v>
      </c>
      <c r="BQ630" t="s">
        <v>1666</v>
      </c>
      <c r="BR630" t="s">
        <v>2299</v>
      </c>
      <c r="BS630" s="4" t="str">
        <f>HYPERLINK("http://exon.niaid.nih.gov/transcriptome/C_felis/S1/links/CDD/cf-contig_491-CDD.txt","ND5")</f>
        <v>ND5</v>
      </c>
      <c r="BT630" t="str">
        <f>HYPERLINK("http://www.ncbi.nlm.nih.gov/Structure/cdd/cddsrv.cgi?uid=MTH00095&amp;version=v4.0","0.006")</f>
        <v>0.006</v>
      </c>
      <c r="BU630" t="s">
        <v>3467</v>
      </c>
      <c r="BV630" s="4" t="s">
        <v>42</v>
      </c>
      <c r="BW630" t="s">
        <v>42</v>
      </c>
      <c r="BX630" t="s">
        <v>42</v>
      </c>
      <c r="BY630" t="s">
        <v>42</v>
      </c>
      <c r="BZ630" t="s">
        <v>42</v>
      </c>
      <c r="CA630" t="s">
        <v>42</v>
      </c>
      <c r="CB630" t="s">
        <v>42</v>
      </c>
      <c r="CC630" t="s">
        <v>42</v>
      </c>
      <c r="CD630" t="s">
        <v>42</v>
      </c>
      <c r="CE630" t="s">
        <v>42</v>
      </c>
      <c r="CF630" t="s">
        <v>42</v>
      </c>
      <c r="CG630" t="s">
        <v>42</v>
      </c>
      <c r="CH630" t="s">
        <v>42</v>
      </c>
      <c r="CI630" t="s">
        <v>42</v>
      </c>
      <c r="CJ630" t="s">
        <v>42</v>
      </c>
      <c r="CK630" t="s">
        <v>42</v>
      </c>
      <c r="CL630" t="s">
        <v>42</v>
      </c>
      <c r="CM630" t="s">
        <v>42</v>
      </c>
      <c r="CN630" t="s">
        <v>42</v>
      </c>
      <c r="CO630" t="s">
        <v>42</v>
      </c>
      <c r="CP630" t="s">
        <v>42</v>
      </c>
      <c r="CQ630" t="s">
        <v>42</v>
      </c>
      <c r="CR630" t="s">
        <v>42</v>
      </c>
      <c r="CS630" s="4" t="str">
        <f>HYPERLINK("http://exon.niaid.nih.gov/transcriptome/C_felis/S1/links/KOG/cf-contig_491-KOG.txt","Phosphatidylinositol synthase")</f>
        <v>Phosphatidylinositol synthase</v>
      </c>
      <c r="CT630" t="str">
        <f>HYPERLINK("http://www.ncbi.nlm.nih.gov/COG/grace/shokog.cgi?KOG3240","0.26")</f>
        <v>0.26</v>
      </c>
      <c r="CU630" t="s">
        <v>1761</v>
      </c>
      <c r="CV630" s="4" t="str">
        <f>HYPERLINK("http://exon.niaid.nih.gov/transcriptome/C_felis/S1/links/PFAM/cf-contig_491-PFAM.txt","DUF613")</f>
        <v>DUF613</v>
      </c>
      <c r="CW630" t="str">
        <f>HYPERLINK("http://pfam.sanger.ac.uk/family?acc=PF04764","0.004")</f>
        <v>0.004</v>
      </c>
      <c r="CX630" s="4" t="str">
        <f>HYPERLINK("http://exon.niaid.nih.gov/transcriptome/C_felis/S1/links/SMART/cf-contig_491-SMART.txt","CRM1_C")</f>
        <v>CRM1_C</v>
      </c>
      <c r="CY630" t="str">
        <f>HYPERLINK("http://smart.embl-heidelberg.de/smart/do_annotation.pl?DOMAIN=CRM1_C&amp;BLAST=DUMMY","0.060")</f>
        <v>0.060</v>
      </c>
      <c r="CZ630" s="4" t="s">
        <v>42</v>
      </c>
      <c r="DA630" t="s">
        <v>42</v>
      </c>
      <c r="DB630" t="s">
        <v>42</v>
      </c>
      <c r="DC630" t="s">
        <v>42</v>
      </c>
      <c r="DD630" t="s">
        <v>42</v>
      </c>
      <c r="DE630" t="s">
        <v>42</v>
      </c>
      <c r="DF630" t="s">
        <v>42</v>
      </c>
      <c r="DG630" t="s">
        <v>42</v>
      </c>
      <c r="DH630" s="4" t="s">
        <v>42</v>
      </c>
      <c r="DI630" t="s">
        <v>42</v>
      </c>
      <c r="DJ630" s="4" t="s">
        <v>42</v>
      </c>
      <c r="DK630" t="s">
        <v>42</v>
      </c>
      <c r="DL630" s="4">
        <v>399</v>
      </c>
      <c r="DM630">
        <v>1</v>
      </c>
      <c r="DN630" s="4">
        <v>408</v>
      </c>
      <c r="DO630">
        <v>1</v>
      </c>
      <c r="DP630" s="4">
        <v>413</v>
      </c>
      <c r="DQ630">
        <v>1</v>
      </c>
      <c r="DR630" s="4">
        <v>428</v>
      </c>
      <c r="DS630">
        <v>1</v>
      </c>
      <c r="DT630" s="4">
        <v>438</v>
      </c>
      <c r="DU630">
        <v>1</v>
      </c>
      <c r="DV630" s="4">
        <v>452</v>
      </c>
      <c r="DW630">
        <v>1</v>
      </c>
      <c r="DX630" s="4">
        <v>458</v>
      </c>
      <c r="DY630">
        <v>1</v>
      </c>
      <c r="DZ630" s="4">
        <v>465</v>
      </c>
      <c r="EA630">
        <v>1</v>
      </c>
      <c r="EB630" s="4">
        <v>470</v>
      </c>
      <c r="EC630">
        <v>1</v>
      </c>
      <c r="ED630" s="4">
        <v>474</v>
      </c>
      <c r="EE630">
        <v>1</v>
      </c>
      <c r="EF630" s="4">
        <v>479</v>
      </c>
      <c r="EG630">
        <v>1</v>
      </c>
      <c r="EH630" s="4">
        <v>485</v>
      </c>
      <c r="EI630">
        <v>1</v>
      </c>
      <c r="EJ630" s="4">
        <v>491</v>
      </c>
      <c r="EK630">
        <v>1</v>
      </c>
    </row>
    <row r="631" spans="1:141" x14ac:dyDescent="0.2">
      <c r="A631" t="str">
        <f>HYPERLINK("http://exon.niaid.nih.gov/transcriptome/C_felis/S1/links/cf/cf-contig_575.txt","cf-contig_575")</f>
        <v>cf-contig_575</v>
      </c>
      <c r="B631">
        <v>1</v>
      </c>
      <c r="C631" s="10" t="s">
        <v>4600</v>
      </c>
      <c r="D631">
        <v>1</v>
      </c>
      <c r="E631" t="str">
        <f>HYPERLINK("http://exon.niaid.nih.gov/transcriptome/C_felis/S1/links/cf/cf-5-36-asb-575.txt","Contig-575")</f>
        <v>Contig-575</v>
      </c>
      <c r="F631" t="str">
        <f>HYPERLINK("http://exon.niaid.nih.gov/transcriptome/C_felis/S1/links/cf/cf-5-36-575-CLU.txt","Contig575")</f>
        <v>Contig575</v>
      </c>
      <c r="G631" t="str">
        <f>HYPERLINK("http://exon.niaid.nih.gov/transcriptome/C_felis/S1/links/cf/cf-5-36-575-qual.txt","57.8")</f>
        <v>57.8</v>
      </c>
      <c r="H631" t="s">
        <v>11</v>
      </c>
      <c r="I631">
        <v>78.8</v>
      </c>
      <c r="J631">
        <v>250</v>
      </c>
      <c r="K631" t="s">
        <v>12</v>
      </c>
      <c r="L631">
        <v>1</v>
      </c>
      <c r="M631" t="s">
        <v>588</v>
      </c>
      <c r="N631">
        <v>250</v>
      </c>
      <c r="O631">
        <v>269</v>
      </c>
      <c r="P631">
        <v>54</v>
      </c>
      <c r="Q631" t="s">
        <v>1394</v>
      </c>
      <c r="R631">
        <v>3</v>
      </c>
      <c r="S631" s="7" t="s">
        <v>4585</v>
      </c>
      <c r="U631">
        <v>1</v>
      </c>
      <c r="V631" s="4">
        <v>468</v>
      </c>
      <c r="W631">
        <v>1</v>
      </c>
      <c r="X631" s="4">
        <v>478</v>
      </c>
      <c r="Y631">
        <v>1</v>
      </c>
      <c r="Z631" s="4">
        <v>487</v>
      </c>
      <c r="AA631">
        <v>1</v>
      </c>
      <c r="AB631" s="4" t="str">
        <f>HYPERLINK("http://exon.niaid.nih.gov/transcriptome/C_felis/S1/links/XC-ASB/cf-contig_575-XC-ASB.txt","XC-contig_48")</f>
        <v>XC-contig_48</v>
      </c>
      <c r="AC631">
        <v>1.2E-2</v>
      </c>
      <c r="AD631" s="10" t="s">
        <v>4600</v>
      </c>
      <c r="AE631" t="s">
        <v>4601</v>
      </c>
      <c r="AI631" s="4" t="str">
        <f>HYPERLINK("http://exon.niaid.nih.gov/transcriptome/C_felis/S1/links/NR/cf-contig_575-NR.txt","hypothetical protein")</f>
        <v>hypothetical protein</v>
      </c>
      <c r="AJ631" t="str">
        <f>HYPERLINK("http://www.ncbi.nlm.nih.gov/sutils/blink.cgi?pid=167377133","0.003")</f>
        <v>0.003</v>
      </c>
      <c r="AK631" t="str">
        <f>HYPERLINK("http://www.ncbi.nlm.nih.gov/protein/167377133","gi|167377133")</f>
        <v>gi|167377133</v>
      </c>
      <c r="AL631">
        <v>45.4</v>
      </c>
      <c r="AM631">
        <v>75</v>
      </c>
      <c r="AN631">
        <v>168</v>
      </c>
      <c r="AO631">
        <v>39</v>
      </c>
      <c r="AP631">
        <v>45</v>
      </c>
      <c r="AQ631">
        <v>38</v>
      </c>
      <c r="AR631">
        <v>4</v>
      </c>
      <c r="AS631">
        <v>90</v>
      </c>
      <c r="AT631">
        <v>26</v>
      </c>
      <c r="AU631">
        <v>2</v>
      </c>
      <c r="AV631">
        <v>-2</v>
      </c>
      <c r="AW631" t="s">
        <v>12</v>
      </c>
      <c r="AX631">
        <v>4</v>
      </c>
      <c r="AY631" t="s">
        <v>1666</v>
      </c>
      <c r="AZ631" t="s">
        <v>3757</v>
      </c>
      <c r="BA631" s="4" t="str">
        <f>HYPERLINK("http://exon.niaid.nih.gov/transcriptome/C_felis/S1/links/SWISSP/cf-contig_575-SWISSP.txt","NADH-ubiquinone oxidoreductase chain 5")</f>
        <v>NADH-ubiquinone oxidoreductase chain 5</v>
      </c>
      <c r="BB631" t="str">
        <f>HYPERLINK("http://www.uniprot.org/uniprot/P04540","0.25")</f>
        <v>0.25</v>
      </c>
      <c r="BC631" t="s">
        <v>2998</v>
      </c>
      <c r="BD631">
        <v>34.299999999999997</v>
      </c>
      <c r="BE631">
        <v>52</v>
      </c>
      <c r="BF631">
        <v>590</v>
      </c>
      <c r="BG631">
        <v>35</v>
      </c>
      <c r="BH631">
        <v>9</v>
      </c>
      <c r="BI631">
        <v>37</v>
      </c>
      <c r="BJ631">
        <v>4</v>
      </c>
      <c r="BK631">
        <v>27</v>
      </c>
      <c r="BL631">
        <v>9</v>
      </c>
      <c r="BM631">
        <v>1</v>
      </c>
      <c r="BN631">
        <v>-1</v>
      </c>
      <c r="BO631" t="s">
        <v>12</v>
      </c>
      <c r="BP631">
        <v>5.7690000000000001</v>
      </c>
      <c r="BQ631" t="s">
        <v>1666</v>
      </c>
      <c r="BR631" t="s">
        <v>2999</v>
      </c>
      <c r="BS631" s="4" t="str">
        <f>HYPERLINK("http://exon.niaid.nih.gov/transcriptome/C_felis/S1/links/CDD/cf-contig_575-CDD.txt","MIG-14_Wnt-bd")</f>
        <v>MIG-14_Wnt-bd</v>
      </c>
      <c r="BT631" t="str">
        <f>HYPERLINK("http://www.ncbi.nlm.nih.gov/Structure/cdd/cddsrv.cgi?uid=pfam06664&amp;version=v4.0","0.002")</f>
        <v>0.002</v>
      </c>
      <c r="BU631" t="s">
        <v>3758</v>
      </c>
      <c r="BV631" s="4" t="s">
        <v>42</v>
      </c>
      <c r="BW631" t="s">
        <v>42</v>
      </c>
      <c r="BX631" t="s">
        <v>42</v>
      </c>
      <c r="BY631" t="s">
        <v>42</v>
      </c>
      <c r="BZ631" t="s">
        <v>42</v>
      </c>
      <c r="CA631" t="s">
        <v>42</v>
      </c>
      <c r="CB631" t="s">
        <v>42</v>
      </c>
      <c r="CC631" t="s">
        <v>42</v>
      </c>
      <c r="CD631" t="s">
        <v>42</v>
      </c>
      <c r="CE631" t="s">
        <v>42</v>
      </c>
      <c r="CF631" t="s">
        <v>42</v>
      </c>
      <c r="CG631" t="s">
        <v>42</v>
      </c>
      <c r="CH631" t="s">
        <v>42</v>
      </c>
      <c r="CI631" t="s">
        <v>42</v>
      </c>
      <c r="CJ631" t="s">
        <v>42</v>
      </c>
      <c r="CK631" t="s">
        <v>42</v>
      </c>
      <c r="CL631" t="s">
        <v>42</v>
      </c>
      <c r="CM631" t="s">
        <v>42</v>
      </c>
      <c r="CN631" t="s">
        <v>42</v>
      </c>
      <c r="CO631" t="s">
        <v>42</v>
      </c>
      <c r="CP631" t="s">
        <v>42</v>
      </c>
      <c r="CQ631" t="s">
        <v>42</v>
      </c>
      <c r="CR631" t="s">
        <v>42</v>
      </c>
      <c r="CS631" s="4" t="str">
        <f>HYPERLINK("http://exon.niaid.nih.gov/transcriptome/C_felis/S1/links/KOG/cf-contig_575-KOG.txt","Predicted membrane proteins, contain hemolysin III domain")</f>
        <v>Predicted membrane proteins, contain hemolysin III domain</v>
      </c>
      <c r="CT631" t="str">
        <f>HYPERLINK("http://www.ncbi.nlm.nih.gov/COG/grace/shokog.cgi?KOG0748","0.091")</f>
        <v>0.091</v>
      </c>
      <c r="CU631" t="s">
        <v>3625</v>
      </c>
      <c r="CV631" s="4" t="str">
        <f>HYPERLINK("http://exon.niaid.nih.gov/transcriptome/C_felis/S1/links/PFAM/cf-contig_575-PFAM.txt","MIG-14_Wnt-bd")</f>
        <v>MIG-14_Wnt-bd</v>
      </c>
      <c r="CW631" t="str">
        <f>HYPERLINK("http://pfam.sanger.ac.uk/family?acc=PF06664","5E-004")</f>
        <v>5E-004</v>
      </c>
      <c r="CX631" s="4" t="str">
        <f>HYPERLINK("http://exon.niaid.nih.gov/transcriptome/C_felis/S1/links/SMART/cf-contig_575-SMART.txt","VKc")</f>
        <v>VKc</v>
      </c>
      <c r="CY631" t="str">
        <f>HYPERLINK("http://smart.embl-heidelberg.de/smart/do_annotation.pl?DOMAIN=VKc&amp;BLAST=DUMMY","0.032")</f>
        <v>0.032</v>
      </c>
      <c r="CZ631" s="4" t="s">
        <v>42</v>
      </c>
      <c r="DA631" t="s">
        <v>42</v>
      </c>
      <c r="DB631" t="s">
        <v>42</v>
      </c>
      <c r="DC631" t="s">
        <v>42</v>
      </c>
      <c r="DD631" t="s">
        <v>42</v>
      </c>
      <c r="DE631" t="s">
        <v>42</v>
      </c>
      <c r="DF631" t="s">
        <v>42</v>
      </c>
      <c r="DG631" t="s">
        <v>42</v>
      </c>
      <c r="DH631" s="4" t="s">
        <v>42</v>
      </c>
      <c r="DI631" t="s">
        <v>42</v>
      </c>
      <c r="DJ631" s="4" t="s">
        <v>42</v>
      </c>
      <c r="DK631" t="s">
        <v>42</v>
      </c>
      <c r="DL631" s="4">
        <v>468</v>
      </c>
      <c r="DM631">
        <v>1</v>
      </c>
      <c r="DN631" s="4">
        <v>478</v>
      </c>
      <c r="DO631">
        <v>1</v>
      </c>
      <c r="DP631" s="4">
        <v>487</v>
      </c>
      <c r="DQ631">
        <v>1</v>
      </c>
      <c r="DR631" s="4">
        <v>505</v>
      </c>
      <c r="DS631">
        <v>1</v>
      </c>
      <c r="DT631" s="4">
        <v>517</v>
      </c>
      <c r="DU631">
        <v>1</v>
      </c>
      <c r="DV631" s="4">
        <v>531</v>
      </c>
      <c r="DW631">
        <v>1</v>
      </c>
      <c r="DX631" s="4">
        <v>539</v>
      </c>
      <c r="DY631">
        <v>1</v>
      </c>
      <c r="DZ631" s="4">
        <v>547</v>
      </c>
      <c r="EA631">
        <v>1</v>
      </c>
      <c r="EB631" s="4">
        <v>552</v>
      </c>
      <c r="EC631">
        <v>1</v>
      </c>
      <c r="ED631" s="4">
        <v>556</v>
      </c>
      <c r="EE631">
        <v>1</v>
      </c>
      <c r="EF631" s="4">
        <v>561</v>
      </c>
      <c r="EG631">
        <v>1</v>
      </c>
      <c r="EH631" s="4">
        <v>568</v>
      </c>
      <c r="EI631">
        <v>1</v>
      </c>
      <c r="EJ631" s="4">
        <v>575</v>
      </c>
      <c r="EK631">
        <v>1</v>
      </c>
    </row>
    <row r="632" spans="1:141" x14ac:dyDescent="0.2">
      <c r="A632" t="str">
        <f>HYPERLINK("http://exon.niaid.nih.gov/transcriptome/C_felis/S1/links/cf/cf-contig_763.txt","cf-contig_763")</f>
        <v>cf-contig_763</v>
      </c>
      <c r="B632">
        <v>1</v>
      </c>
      <c r="C632" s="10" t="s">
        <v>4600</v>
      </c>
      <c r="D632">
        <v>1</v>
      </c>
      <c r="E632" t="str">
        <f>HYPERLINK("http://exon.niaid.nih.gov/transcriptome/C_felis/S1/links/cf/cf-5-36-asb-763.txt","Contig-763")</f>
        <v>Contig-763</v>
      </c>
      <c r="F632" t="str">
        <f>HYPERLINK("http://exon.niaid.nih.gov/transcriptome/C_felis/S1/links/cf/cf-5-36-763-CLU.txt","Contig763")</f>
        <v>Contig763</v>
      </c>
      <c r="G632" t="str">
        <f>HYPERLINK("http://exon.niaid.nih.gov/transcriptome/C_felis/S1/links/cf/cf-5-36-763-qual.txt","61.1")</f>
        <v>61.1</v>
      </c>
      <c r="H632" t="s">
        <v>11</v>
      </c>
      <c r="I632">
        <v>81.099999999999994</v>
      </c>
      <c r="J632" t="s">
        <v>42</v>
      </c>
      <c r="K632" t="s">
        <v>12</v>
      </c>
      <c r="L632">
        <v>1</v>
      </c>
      <c r="M632" t="s">
        <v>776</v>
      </c>
      <c r="N632" t="s">
        <v>42</v>
      </c>
      <c r="O632">
        <v>212</v>
      </c>
      <c r="P632">
        <v>69</v>
      </c>
      <c r="Q632" t="s">
        <v>1582</v>
      </c>
      <c r="R632">
        <v>1</v>
      </c>
      <c r="S632" s="7" t="s">
        <v>4585</v>
      </c>
      <c r="U632">
        <v>1</v>
      </c>
      <c r="V632" s="4">
        <f>HYPERLINK("http://exon.niaid.nih.gov/transcriptome/C_felis/S1/links/cluster/cf-5-36-asb30-50-Id-CLU96.txt", 96)</f>
        <v>96</v>
      </c>
      <c r="W632">
        <f>HYPERLINK("http://exon.niaid.nih.gov/transcriptome/C_felis/S1/links/cluster/cf-5-36-asb30-50-Id-CLTL96.txt", 2)</f>
        <v>2</v>
      </c>
      <c r="X632" s="4">
        <v>633</v>
      </c>
      <c r="Y632">
        <v>1</v>
      </c>
      <c r="Z632" s="4">
        <v>648</v>
      </c>
      <c r="AA632">
        <v>1</v>
      </c>
      <c r="AB632" s="4" t="str">
        <f>HYPERLINK("http://exon.niaid.nih.gov/transcriptome/C_felis/S1/links/XC-ASB/cf-contig_763-XC-ASB.txt","XC-contig_203")</f>
        <v>XC-contig_203</v>
      </c>
      <c r="AC632">
        <v>2E-3</v>
      </c>
      <c r="AD632" s="10" t="s">
        <v>4600</v>
      </c>
      <c r="AE632" t="s">
        <v>4601</v>
      </c>
      <c r="AI632" s="4" t="str">
        <f>HYPERLINK("http://exon.niaid.nih.gov/transcriptome/C_felis/S1/links/NR/cf-contig_763-NR.txt","hypothetical protein")</f>
        <v>hypothetical protein</v>
      </c>
      <c r="AJ632" t="str">
        <f>HYPERLINK("http://www.ncbi.nlm.nih.gov/sutils/blink.cgi?pid=167379578","0.045")</f>
        <v>0.045</v>
      </c>
      <c r="AK632" t="str">
        <f>HYPERLINK("http://www.ncbi.nlm.nih.gov/protein/167379578","gi|167379578")</f>
        <v>gi|167379578</v>
      </c>
      <c r="AL632">
        <v>41.6</v>
      </c>
      <c r="AM632">
        <v>51</v>
      </c>
      <c r="AN632">
        <v>123</v>
      </c>
      <c r="AO632">
        <v>38</v>
      </c>
      <c r="AP632">
        <v>42</v>
      </c>
      <c r="AQ632">
        <v>41</v>
      </c>
      <c r="AR632">
        <v>0</v>
      </c>
      <c r="AS632">
        <v>51</v>
      </c>
      <c r="AT632">
        <v>12</v>
      </c>
      <c r="AU632">
        <v>1</v>
      </c>
      <c r="AV632">
        <v>-1</v>
      </c>
      <c r="AW632" t="s">
        <v>12</v>
      </c>
      <c r="AX632">
        <v>3.9220000000000002</v>
      </c>
      <c r="AY632" t="s">
        <v>1666</v>
      </c>
      <c r="AZ632" t="s">
        <v>3757</v>
      </c>
      <c r="BA632" s="4" t="str">
        <f>HYPERLINK("http://exon.niaid.nih.gov/transcriptome/C_felis/S1/links/SWISSP/cf-contig_763-SWISSP.txt","Cytochrome c oxidase subunit 1")</f>
        <v>Cytochrome c oxidase subunit 1</v>
      </c>
      <c r="BB632" t="str">
        <f>HYPERLINK("http://www.uniprot.org/uniprot/P14544","1.6")</f>
        <v>1.6</v>
      </c>
      <c r="BC632" t="s">
        <v>4449</v>
      </c>
      <c r="BD632">
        <v>31.6</v>
      </c>
      <c r="BE632">
        <v>71</v>
      </c>
      <c r="BF632">
        <v>549</v>
      </c>
      <c r="BG632">
        <v>25</v>
      </c>
      <c r="BH632">
        <v>13</v>
      </c>
      <c r="BI632">
        <v>55</v>
      </c>
      <c r="BJ632">
        <v>9</v>
      </c>
      <c r="BK632">
        <v>346</v>
      </c>
      <c r="BL632">
        <v>15</v>
      </c>
      <c r="BM632">
        <v>1</v>
      </c>
      <c r="BN632">
        <v>-1</v>
      </c>
      <c r="BO632" t="s">
        <v>12</v>
      </c>
      <c r="BP632">
        <v>2.8170000000000002</v>
      </c>
      <c r="BQ632" t="s">
        <v>1666</v>
      </c>
      <c r="BR632" t="s">
        <v>2478</v>
      </c>
      <c r="BS632" s="4" t="str">
        <f>HYPERLINK("http://exon.niaid.nih.gov/transcriptome/C_felis/S1/links/CDD/cf-contig_763-CDD.txt","ND4")</f>
        <v>ND4</v>
      </c>
      <c r="BT632" t="str">
        <f>HYPERLINK("http://www.ncbi.nlm.nih.gov/Structure/cdd/cddsrv.cgi?uid=MTH00163&amp;version=v4.0","2E-004")</f>
        <v>2E-004</v>
      </c>
      <c r="BU632" t="s">
        <v>4450</v>
      </c>
      <c r="BV632" s="4" t="s">
        <v>42</v>
      </c>
      <c r="BW632" t="s">
        <v>42</v>
      </c>
      <c r="BX632" t="s">
        <v>42</v>
      </c>
      <c r="BY632" t="s">
        <v>42</v>
      </c>
      <c r="BZ632" t="s">
        <v>42</v>
      </c>
      <c r="CA632" t="s">
        <v>42</v>
      </c>
      <c r="CB632" t="s">
        <v>42</v>
      </c>
      <c r="CC632" t="s">
        <v>42</v>
      </c>
      <c r="CD632" t="s">
        <v>42</v>
      </c>
      <c r="CE632" t="s">
        <v>42</v>
      </c>
      <c r="CF632" t="s">
        <v>42</v>
      </c>
      <c r="CG632" t="s">
        <v>42</v>
      </c>
      <c r="CH632" t="s">
        <v>42</v>
      </c>
      <c r="CI632" t="s">
        <v>42</v>
      </c>
      <c r="CJ632" t="s">
        <v>42</v>
      </c>
      <c r="CK632" t="s">
        <v>42</v>
      </c>
      <c r="CL632" t="s">
        <v>42</v>
      </c>
      <c r="CM632" t="s">
        <v>42</v>
      </c>
      <c r="CN632" t="s">
        <v>42</v>
      </c>
      <c r="CO632" t="s">
        <v>42</v>
      </c>
      <c r="CP632" t="s">
        <v>42</v>
      </c>
      <c r="CQ632" t="s">
        <v>42</v>
      </c>
      <c r="CR632" t="s">
        <v>42</v>
      </c>
      <c r="CS632" s="4" t="str">
        <f>HYPERLINK("http://exon.niaid.nih.gov/transcriptome/C_felis/S1/links/KOG/cf-contig_763-KOG.txt","Predicted G-protein coupled receptor")</f>
        <v>Predicted G-protein coupled receptor</v>
      </c>
      <c r="CT632" t="str">
        <f>HYPERLINK("http://www.ncbi.nlm.nih.gov/COG/grace/shokog.cgi?KOG2417","0.006")</f>
        <v>0.006</v>
      </c>
      <c r="CU632" t="s">
        <v>1780</v>
      </c>
      <c r="CV632" s="4" t="str">
        <f>HYPERLINK("http://exon.niaid.nih.gov/transcriptome/C_felis/S1/links/PFAM/cf-contig_763-PFAM.txt","7TMR-DISM_7TM")</f>
        <v>7TMR-DISM_7TM</v>
      </c>
      <c r="CW632" t="str">
        <f>HYPERLINK("http://pfam.sanger.ac.uk/family?acc=PF07695","0.007")</f>
        <v>0.007</v>
      </c>
      <c r="CX632" s="4" t="str">
        <f>HYPERLINK("http://exon.niaid.nih.gov/transcriptome/C_felis/S1/links/SMART/cf-contig_763-SMART.txt","AgrB")</f>
        <v>AgrB</v>
      </c>
      <c r="CY632" t="str">
        <f>HYPERLINK("http://smart.embl-heidelberg.de/smart/do_annotation.pl?DOMAIN=AgrB&amp;BLAST=DUMMY","0.002")</f>
        <v>0.002</v>
      </c>
      <c r="CZ632" s="4" t="s">
        <v>42</v>
      </c>
      <c r="DA632" t="s">
        <v>42</v>
      </c>
      <c r="DB632" t="s">
        <v>42</v>
      </c>
      <c r="DC632" t="s">
        <v>42</v>
      </c>
      <c r="DD632" t="s">
        <v>42</v>
      </c>
      <c r="DE632" t="s">
        <v>42</v>
      </c>
      <c r="DF632" t="s">
        <v>42</v>
      </c>
      <c r="DG632" t="s">
        <v>42</v>
      </c>
      <c r="DH632" s="4" t="s">
        <v>42</v>
      </c>
      <c r="DI632" t="s">
        <v>42</v>
      </c>
      <c r="DJ632" s="4" t="s">
        <v>42</v>
      </c>
      <c r="DK632" t="s">
        <v>42</v>
      </c>
      <c r="DL632" s="4">
        <f>HYPERLINK("http://exon.niaid.nih.gov/transcriptome/C_felis/S1/links/cluster/cf-5-36-asb30-50-Id-CLU96.txt", 96)</f>
        <v>96</v>
      </c>
      <c r="DM632">
        <f>HYPERLINK("http://exon.niaid.nih.gov/transcriptome/C_felis/S1/links/cluster/cf-5-36-asb30-50-Id-CLTL96.txt", 2)</f>
        <v>2</v>
      </c>
      <c r="DN632" s="4">
        <v>633</v>
      </c>
      <c r="DO632">
        <v>1</v>
      </c>
      <c r="DP632" s="4">
        <v>648</v>
      </c>
      <c r="DQ632">
        <v>1</v>
      </c>
      <c r="DR632" s="4">
        <v>670</v>
      </c>
      <c r="DS632">
        <v>1</v>
      </c>
      <c r="DT632" s="4">
        <v>685</v>
      </c>
      <c r="DU632">
        <v>1</v>
      </c>
      <c r="DV632" s="4">
        <v>700</v>
      </c>
      <c r="DW632">
        <v>1</v>
      </c>
      <c r="DX632" s="4">
        <v>714</v>
      </c>
      <c r="DY632">
        <v>1</v>
      </c>
      <c r="DZ632" s="4">
        <v>725</v>
      </c>
      <c r="EA632">
        <v>1</v>
      </c>
      <c r="EB632" s="4">
        <v>731</v>
      </c>
      <c r="EC632">
        <v>1</v>
      </c>
      <c r="ED632" s="4">
        <v>736</v>
      </c>
      <c r="EE632">
        <v>1</v>
      </c>
      <c r="EF632" s="4">
        <v>742</v>
      </c>
      <c r="EG632">
        <v>1</v>
      </c>
      <c r="EH632" s="4">
        <v>754</v>
      </c>
      <c r="EI632">
        <v>1</v>
      </c>
      <c r="EJ632" s="4">
        <v>763</v>
      </c>
      <c r="EK632">
        <v>1</v>
      </c>
    </row>
    <row r="633" spans="1:141" x14ac:dyDescent="0.2">
      <c r="A633" t="str">
        <f>HYPERLINK("http://exon.niaid.nih.gov/transcriptome/C_felis/S1/links/cf/cf-contig_405.txt","cf-contig_405")</f>
        <v>cf-contig_405</v>
      </c>
      <c r="B633">
        <v>1</v>
      </c>
      <c r="C633" s="10" t="s">
        <v>4600</v>
      </c>
      <c r="D633">
        <v>1</v>
      </c>
      <c r="E633" t="str">
        <f>HYPERLINK("http://exon.niaid.nih.gov/transcriptome/C_felis/S1/links/cf/cf-5-36-asb-405.txt","Contig-405")</f>
        <v>Contig-405</v>
      </c>
      <c r="F633" t="str">
        <f>HYPERLINK("http://exon.niaid.nih.gov/transcriptome/C_felis/S1/links/cf/cf-5-36-405-CLU.txt","Contig405")</f>
        <v>Contig405</v>
      </c>
      <c r="G633" t="str">
        <f>HYPERLINK("http://exon.niaid.nih.gov/transcriptome/C_felis/S1/links/cf/cf-5-36-405-qual.txt","62.")</f>
        <v>62.</v>
      </c>
      <c r="H633" t="s">
        <v>11</v>
      </c>
      <c r="I633">
        <v>76.099999999999994</v>
      </c>
      <c r="J633">
        <v>136</v>
      </c>
      <c r="K633" t="s">
        <v>12</v>
      </c>
      <c r="L633">
        <v>1</v>
      </c>
      <c r="M633" t="s">
        <v>418</v>
      </c>
      <c r="N633">
        <v>136</v>
      </c>
      <c r="O633">
        <v>155</v>
      </c>
      <c r="P633">
        <v>57</v>
      </c>
      <c r="Q633" t="s">
        <v>1225</v>
      </c>
      <c r="R633">
        <v>1</v>
      </c>
      <c r="S633" s="7" t="s">
        <v>4585</v>
      </c>
      <c r="U633">
        <v>1</v>
      </c>
      <c r="V633" s="4">
        <v>331</v>
      </c>
      <c r="W633">
        <v>1</v>
      </c>
      <c r="X633" s="4">
        <v>339</v>
      </c>
      <c r="Y633">
        <v>1</v>
      </c>
      <c r="Z633" s="4">
        <v>340</v>
      </c>
      <c r="AA633">
        <v>1</v>
      </c>
      <c r="AB633" s="4" t="str">
        <f>HYPERLINK("http://exon.niaid.nih.gov/transcriptome/C_felis/S1/links/XC-ASB/cf-contig_405-XC-ASB.txt","XC-contig_112")</f>
        <v>XC-contig_112</v>
      </c>
      <c r="AC633">
        <v>0.19</v>
      </c>
      <c r="AD633" s="10" t="s">
        <v>4600</v>
      </c>
      <c r="AE633" t="s">
        <v>4601</v>
      </c>
      <c r="AI633" s="4" t="str">
        <f>HYPERLINK("http://exon.niaid.nih.gov/transcriptome/C_felis/S1/links/NR/cf-contig_405-NR.txt","hypothetical protein")</f>
        <v>hypothetical protein</v>
      </c>
      <c r="AJ633" t="str">
        <f>HYPERLINK("http://www.ncbi.nlm.nih.gov/sutils/blink.cgi?pid=183235110","47")</f>
        <v>47</v>
      </c>
      <c r="AK633" t="str">
        <f>HYPERLINK("http://www.ncbi.nlm.nih.gov/protein/183235110","gi|183235110")</f>
        <v>gi|183235110</v>
      </c>
      <c r="AL633">
        <v>31.6</v>
      </c>
      <c r="AM633">
        <v>39</v>
      </c>
      <c r="AN633">
        <v>1342</v>
      </c>
      <c r="AO633">
        <v>35</v>
      </c>
      <c r="AP633">
        <v>3</v>
      </c>
      <c r="AQ633">
        <v>26</v>
      </c>
      <c r="AR633">
        <v>0</v>
      </c>
      <c r="AS633">
        <v>975</v>
      </c>
      <c r="AT633">
        <v>5</v>
      </c>
      <c r="AU633">
        <v>1</v>
      </c>
      <c r="AV633">
        <v>-2</v>
      </c>
      <c r="AW633" t="s">
        <v>12</v>
      </c>
      <c r="AX633">
        <v>2.5640000000000001</v>
      </c>
      <c r="AY633" t="s">
        <v>1666</v>
      </c>
      <c r="AZ633" t="s">
        <v>3099</v>
      </c>
      <c r="BA633" s="4" t="s">
        <v>42</v>
      </c>
      <c r="BB633" t="s">
        <v>42</v>
      </c>
      <c r="BC633" t="s">
        <v>42</v>
      </c>
      <c r="BD633" t="s">
        <v>42</v>
      </c>
      <c r="BE633" t="s">
        <v>42</v>
      </c>
      <c r="BF633" t="s">
        <v>42</v>
      </c>
      <c r="BG633" t="s">
        <v>42</v>
      </c>
      <c r="BH633" t="s">
        <v>42</v>
      </c>
      <c r="BI633" t="s">
        <v>42</v>
      </c>
      <c r="BJ633" t="s">
        <v>42</v>
      </c>
      <c r="BK633" t="s">
        <v>42</v>
      </c>
      <c r="BL633" t="s">
        <v>42</v>
      </c>
      <c r="BM633" t="s">
        <v>42</v>
      </c>
      <c r="BN633" t="s">
        <v>42</v>
      </c>
      <c r="BO633" t="s">
        <v>42</v>
      </c>
      <c r="BP633" t="s">
        <v>42</v>
      </c>
      <c r="BQ633" t="s">
        <v>42</v>
      </c>
      <c r="BR633" t="s">
        <v>42</v>
      </c>
      <c r="BS633" s="4" t="str">
        <f>HYPERLINK("http://exon.niaid.nih.gov/transcriptome/C_felis/S1/links/CDD/cf-contig_405-CDD.txt","M3B_PepF_4")</f>
        <v>M3B_PepF_4</v>
      </c>
      <c r="BT633" t="str">
        <f>HYPERLINK("http://www.ncbi.nlm.nih.gov/Structure/cdd/cddsrv.cgi?uid=cd09609&amp;version=v4.0","1.4")</f>
        <v>1.4</v>
      </c>
      <c r="BU633" t="s">
        <v>3100</v>
      </c>
      <c r="BV633" s="4" t="s">
        <v>42</v>
      </c>
      <c r="BW633" t="s">
        <v>42</v>
      </c>
      <c r="BX633" t="s">
        <v>42</v>
      </c>
      <c r="BY633" t="s">
        <v>42</v>
      </c>
      <c r="BZ633" t="s">
        <v>42</v>
      </c>
      <c r="CA633" t="s">
        <v>42</v>
      </c>
      <c r="CB633" t="s">
        <v>42</v>
      </c>
      <c r="CC633" t="s">
        <v>42</v>
      </c>
      <c r="CD633" t="s">
        <v>42</v>
      </c>
      <c r="CE633" t="s">
        <v>42</v>
      </c>
      <c r="CF633" t="s">
        <v>42</v>
      </c>
      <c r="CG633" t="s">
        <v>42</v>
      </c>
      <c r="CH633" t="s">
        <v>42</v>
      </c>
      <c r="CI633" t="s">
        <v>42</v>
      </c>
      <c r="CJ633" t="s">
        <v>42</v>
      </c>
      <c r="CK633" t="s">
        <v>42</v>
      </c>
      <c r="CL633" t="s">
        <v>42</v>
      </c>
      <c r="CM633" t="s">
        <v>42</v>
      </c>
      <c r="CN633" t="s">
        <v>42</v>
      </c>
      <c r="CO633" t="s">
        <v>42</v>
      </c>
      <c r="CP633" t="s">
        <v>42</v>
      </c>
      <c r="CQ633" t="s">
        <v>42</v>
      </c>
      <c r="CR633" t="s">
        <v>42</v>
      </c>
      <c r="CS633" s="4" t="str">
        <f>HYPERLINK("http://exon.niaid.nih.gov/transcriptome/C_felis/S1/links/KOG/cf-contig_405-KOG.txt","Anaphase-promoting complex (APC), subunit 11")</f>
        <v>Anaphase-promoting complex (APC), subunit 11</v>
      </c>
      <c r="CT633" t="str">
        <f>HYPERLINK("http://www.ncbi.nlm.nih.gov/COG/grace/shokog.cgi?KOG1493","4.0")</f>
        <v>4.0</v>
      </c>
      <c r="CU633" t="s">
        <v>2787</v>
      </c>
      <c r="CV633" s="4" t="str">
        <f>HYPERLINK("http://exon.niaid.nih.gov/transcriptome/C_felis/S1/links/PFAM/cf-contig_405-PFAM.txt","Pfg27")</f>
        <v>Pfg27</v>
      </c>
      <c r="CW633" t="str">
        <f>HYPERLINK("http://pfam.sanger.ac.uk/family?acc=PF09216","1.3")</f>
        <v>1.3</v>
      </c>
      <c r="CX633" s="4" t="str">
        <f>HYPERLINK("http://exon.niaid.nih.gov/transcriptome/C_felis/S1/links/SMART/cf-contig_405-SMART.txt","OLF")</f>
        <v>OLF</v>
      </c>
      <c r="CY633" t="str">
        <f>HYPERLINK("http://smart.embl-heidelberg.de/smart/do_annotation.pl?DOMAIN=OLF&amp;BLAST=DUMMY","0.22")</f>
        <v>0.22</v>
      </c>
      <c r="CZ633" s="4" t="s">
        <v>42</v>
      </c>
      <c r="DA633" t="s">
        <v>42</v>
      </c>
      <c r="DB633" t="s">
        <v>42</v>
      </c>
      <c r="DC633" t="s">
        <v>42</v>
      </c>
      <c r="DD633" t="s">
        <v>42</v>
      </c>
      <c r="DE633" t="s">
        <v>42</v>
      </c>
      <c r="DF633" t="s">
        <v>42</v>
      </c>
      <c r="DG633" t="s">
        <v>42</v>
      </c>
      <c r="DH633" s="4" t="s">
        <v>42</v>
      </c>
      <c r="DI633" t="s">
        <v>42</v>
      </c>
      <c r="DJ633" s="4" t="s">
        <v>42</v>
      </c>
      <c r="DK633" t="s">
        <v>42</v>
      </c>
      <c r="DL633" s="4">
        <v>331</v>
      </c>
      <c r="DM633">
        <v>1</v>
      </c>
      <c r="DN633" s="4">
        <v>339</v>
      </c>
      <c r="DO633">
        <v>1</v>
      </c>
      <c r="DP633" s="4">
        <v>340</v>
      </c>
      <c r="DQ633">
        <v>1</v>
      </c>
      <c r="DR633" s="4">
        <v>351</v>
      </c>
      <c r="DS633">
        <v>1</v>
      </c>
      <c r="DT633" s="4">
        <v>361</v>
      </c>
      <c r="DU633">
        <v>1</v>
      </c>
      <c r="DV633" s="4">
        <v>374</v>
      </c>
      <c r="DW633">
        <v>1</v>
      </c>
      <c r="DX633" s="4">
        <v>377</v>
      </c>
      <c r="DY633">
        <v>1</v>
      </c>
      <c r="DZ633" s="4">
        <v>382</v>
      </c>
      <c r="EA633">
        <v>1</v>
      </c>
      <c r="EB633" s="4">
        <v>387</v>
      </c>
      <c r="EC633">
        <v>1</v>
      </c>
      <c r="ED633" s="4">
        <v>391</v>
      </c>
      <c r="EE633">
        <v>1</v>
      </c>
      <c r="EF633" s="4">
        <v>396</v>
      </c>
      <c r="EG633">
        <v>1</v>
      </c>
      <c r="EH633" s="4">
        <v>399</v>
      </c>
      <c r="EI633">
        <v>1</v>
      </c>
      <c r="EJ633" s="4">
        <v>405</v>
      </c>
      <c r="EK633">
        <v>1</v>
      </c>
    </row>
    <row r="634" spans="1:141" x14ac:dyDescent="0.2">
      <c r="A634" t="str">
        <f>HYPERLINK("http://exon.niaid.nih.gov/transcriptome/C_felis/S1/links/cf/cf-contig_433.txt","cf-contig_433")</f>
        <v>cf-contig_433</v>
      </c>
      <c r="B634">
        <v>1</v>
      </c>
      <c r="C634" s="10" t="s">
        <v>4600</v>
      </c>
      <c r="D634">
        <v>1</v>
      </c>
      <c r="E634" t="str">
        <f>HYPERLINK("http://exon.niaid.nih.gov/transcriptome/C_felis/S1/links/cf/cf-5-36-asb-433.txt","Contig-433")</f>
        <v>Contig-433</v>
      </c>
      <c r="F634" t="str">
        <f>HYPERLINK("http://exon.niaid.nih.gov/transcriptome/C_felis/S1/links/cf/cf-5-36-433-CLU.txt","Contig433")</f>
        <v>Contig433</v>
      </c>
      <c r="G634" t="str">
        <f>HYPERLINK("http://exon.niaid.nih.gov/transcriptome/C_felis/S1/links/cf/cf-5-36-433-qual.txt","60.5")</f>
        <v>60.5</v>
      </c>
      <c r="H634">
        <v>0.4</v>
      </c>
      <c r="I634">
        <v>71.3</v>
      </c>
      <c r="J634">
        <v>451</v>
      </c>
      <c r="K634" t="s">
        <v>12</v>
      </c>
      <c r="L634">
        <v>1</v>
      </c>
      <c r="M634" t="s">
        <v>446</v>
      </c>
      <c r="N634">
        <v>451</v>
      </c>
      <c r="O634">
        <v>470</v>
      </c>
      <c r="P634">
        <v>150</v>
      </c>
      <c r="Q634" t="s">
        <v>1253</v>
      </c>
      <c r="R634">
        <v>3</v>
      </c>
      <c r="S634" s="7" t="s">
        <v>4585</v>
      </c>
      <c r="U634">
        <v>1</v>
      </c>
      <c r="V634" s="4">
        <v>351</v>
      </c>
      <c r="W634">
        <v>1</v>
      </c>
      <c r="X634" s="4">
        <v>360</v>
      </c>
      <c r="Y634">
        <v>1</v>
      </c>
      <c r="Z634" s="4">
        <v>364</v>
      </c>
      <c r="AA634">
        <v>1</v>
      </c>
      <c r="AB634" s="4" t="str">
        <f>HYPERLINK("http://exon.niaid.nih.gov/transcriptome/C_felis/S1/links/XC-ASB/cf-contig_433-XC-ASB.txt","XC-contig_212")</f>
        <v>XC-contig_212</v>
      </c>
      <c r="AC634">
        <v>2.5000000000000001E-2</v>
      </c>
      <c r="AD634" s="10" t="s">
        <v>4600</v>
      </c>
      <c r="AE634" t="s">
        <v>4601</v>
      </c>
      <c r="AI634" s="4" t="str">
        <f>HYPERLINK("http://exon.niaid.nih.gov/transcriptome/C_felis/S1/links/NR/cf-contig_433-NR.txt","hypothetical protein")</f>
        <v>hypothetical protein</v>
      </c>
      <c r="AJ634" t="str">
        <f>HYPERLINK("http://www.ncbi.nlm.nih.gov/sutils/blink.cgi?pid=183236227","0.66")</f>
        <v>0.66</v>
      </c>
      <c r="AK634" t="str">
        <f>HYPERLINK("http://www.ncbi.nlm.nih.gov/protein/183236227","gi|183236227")</f>
        <v>gi|183236227</v>
      </c>
      <c r="AL634">
        <v>37.700000000000003</v>
      </c>
      <c r="AM634">
        <v>91</v>
      </c>
      <c r="AN634">
        <v>111</v>
      </c>
      <c r="AO634">
        <v>25</v>
      </c>
      <c r="AP634">
        <v>83</v>
      </c>
      <c r="AQ634">
        <v>79</v>
      </c>
      <c r="AR634">
        <v>0</v>
      </c>
      <c r="AS634">
        <v>5</v>
      </c>
      <c r="AT634">
        <v>119</v>
      </c>
      <c r="AU634">
        <v>1</v>
      </c>
      <c r="AV634">
        <v>-2</v>
      </c>
      <c r="AW634" t="s">
        <v>12</v>
      </c>
      <c r="AX634">
        <v>7.6920000000000002</v>
      </c>
      <c r="AY634" t="s">
        <v>1666</v>
      </c>
      <c r="AZ634" t="s">
        <v>3099</v>
      </c>
      <c r="BA634" s="4" t="str">
        <f>HYPERLINK("http://exon.niaid.nih.gov/transcriptome/C_felis/S1/links/SWISSP/cf-contig_433-SWISSP.txt","Bifunctional purine biosynthesis protein PurH")</f>
        <v>Bifunctional purine biosynthesis protein PurH</v>
      </c>
      <c r="BB634" t="str">
        <f>HYPERLINK("http://www.uniprot.org/uniprot/B0BZH9","5.0")</f>
        <v>5.0</v>
      </c>
      <c r="BC634" t="s">
        <v>3218</v>
      </c>
      <c r="BD634">
        <v>30.4</v>
      </c>
      <c r="BE634">
        <v>50</v>
      </c>
      <c r="BF634">
        <v>524</v>
      </c>
      <c r="BG634">
        <v>39</v>
      </c>
      <c r="BH634">
        <v>10</v>
      </c>
      <c r="BI634">
        <v>31</v>
      </c>
      <c r="BJ634">
        <v>1</v>
      </c>
      <c r="BK634">
        <v>31</v>
      </c>
      <c r="BL634">
        <v>21</v>
      </c>
      <c r="BM634">
        <v>1</v>
      </c>
      <c r="BN634">
        <v>3</v>
      </c>
      <c r="BO634" t="s">
        <v>12</v>
      </c>
      <c r="BP634">
        <v>2</v>
      </c>
      <c r="BQ634" t="s">
        <v>1676</v>
      </c>
      <c r="BR634" t="s">
        <v>3219</v>
      </c>
      <c r="BS634" s="4" t="str">
        <f>HYPERLINK("http://exon.niaid.nih.gov/transcriptome/C_felis/S1/links/CDD/cf-contig_433-CDD.txt","PHA03042")</f>
        <v>PHA03042</v>
      </c>
      <c r="BT634" t="str">
        <f>HYPERLINK("http://www.ncbi.nlm.nih.gov/Structure/cdd/cddsrv.cgi?uid=PHA03042&amp;version=v4.0","0.006")</f>
        <v>0.006</v>
      </c>
      <c r="BU634" t="s">
        <v>3220</v>
      </c>
      <c r="BV634" s="4" t="s">
        <v>42</v>
      </c>
      <c r="BW634" t="s">
        <v>42</v>
      </c>
      <c r="BX634" t="s">
        <v>42</v>
      </c>
      <c r="BY634" t="s">
        <v>42</v>
      </c>
      <c r="BZ634" t="s">
        <v>42</v>
      </c>
      <c r="CA634" t="s">
        <v>42</v>
      </c>
      <c r="CB634" t="s">
        <v>42</v>
      </c>
      <c r="CC634" t="s">
        <v>42</v>
      </c>
      <c r="CD634" t="s">
        <v>42</v>
      </c>
      <c r="CE634" t="s">
        <v>42</v>
      </c>
      <c r="CF634" t="s">
        <v>42</v>
      </c>
      <c r="CG634" t="s">
        <v>42</v>
      </c>
      <c r="CH634" t="s">
        <v>42</v>
      </c>
      <c r="CI634" t="s">
        <v>42</v>
      </c>
      <c r="CJ634" t="s">
        <v>42</v>
      </c>
      <c r="CK634" t="s">
        <v>42</v>
      </c>
      <c r="CL634" t="s">
        <v>42</v>
      </c>
      <c r="CM634" t="s">
        <v>42</v>
      </c>
      <c r="CN634" t="s">
        <v>42</v>
      </c>
      <c r="CO634" t="s">
        <v>42</v>
      </c>
      <c r="CP634" t="s">
        <v>42</v>
      </c>
      <c r="CQ634" t="s">
        <v>42</v>
      </c>
      <c r="CR634" t="s">
        <v>42</v>
      </c>
      <c r="CS634" s="4" t="str">
        <f>HYPERLINK("http://exon.niaid.nih.gov/transcriptome/C_felis/S1/links/KOG/cf-contig_433-KOG.txt","Metalloprotease")</f>
        <v>Metalloprotease</v>
      </c>
      <c r="CT634" t="str">
        <f>HYPERLINK("http://www.ncbi.nlm.nih.gov/COG/grace/shokog.cgi?KOG2719","0.52")</f>
        <v>0.52</v>
      </c>
      <c r="CU634" t="s">
        <v>1721</v>
      </c>
      <c r="CV634" s="4" t="str">
        <f>HYPERLINK("http://exon.niaid.nih.gov/transcriptome/C_felis/S1/links/PFAM/cf-contig_433-PFAM.txt","7TM_GPCR_Srz")</f>
        <v>7TM_GPCR_Srz</v>
      </c>
      <c r="CW634" t="str">
        <f>HYPERLINK("http://pfam.sanger.ac.uk/family?acc=PF10325","0.002")</f>
        <v>0.002</v>
      </c>
      <c r="CX634" s="4" t="str">
        <f>HYPERLINK("http://exon.niaid.nih.gov/transcriptome/C_felis/S1/links/SMART/cf-contig_433-SMART.txt","PSN")</f>
        <v>PSN</v>
      </c>
      <c r="CY634" t="str">
        <f>HYPERLINK("http://smart.embl-heidelberg.de/smart/do_annotation.pl?DOMAIN=PSN&amp;BLAST=DUMMY","5E-004")</f>
        <v>5E-004</v>
      </c>
      <c r="CZ634" s="4" t="s">
        <v>42</v>
      </c>
      <c r="DA634" t="s">
        <v>42</v>
      </c>
      <c r="DB634" t="s">
        <v>42</v>
      </c>
      <c r="DC634" t="s">
        <v>42</v>
      </c>
      <c r="DD634" t="s">
        <v>42</v>
      </c>
      <c r="DE634" t="s">
        <v>42</v>
      </c>
      <c r="DF634" t="s">
        <v>42</v>
      </c>
      <c r="DG634" t="s">
        <v>42</v>
      </c>
      <c r="DH634" s="4" t="s">
        <v>42</v>
      </c>
      <c r="DI634" t="s">
        <v>42</v>
      </c>
      <c r="DJ634" s="4" t="s">
        <v>42</v>
      </c>
      <c r="DK634" t="s">
        <v>42</v>
      </c>
      <c r="DL634" s="4">
        <v>351</v>
      </c>
      <c r="DM634">
        <v>1</v>
      </c>
      <c r="DN634" s="4">
        <v>360</v>
      </c>
      <c r="DO634">
        <v>1</v>
      </c>
      <c r="DP634" s="4">
        <v>364</v>
      </c>
      <c r="DQ634">
        <v>1</v>
      </c>
      <c r="DR634" s="4">
        <v>377</v>
      </c>
      <c r="DS634">
        <v>1</v>
      </c>
      <c r="DT634" s="4">
        <v>387</v>
      </c>
      <c r="DU634">
        <v>1</v>
      </c>
      <c r="DV634" s="4">
        <v>401</v>
      </c>
      <c r="DW634">
        <v>1</v>
      </c>
      <c r="DX634" s="4">
        <v>404</v>
      </c>
      <c r="DY634">
        <v>1</v>
      </c>
      <c r="DZ634" s="4">
        <v>409</v>
      </c>
      <c r="EA634">
        <v>1</v>
      </c>
      <c r="EB634" s="4">
        <v>414</v>
      </c>
      <c r="EC634">
        <v>1</v>
      </c>
      <c r="ED634" s="4">
        <v>418</v>
      </c>
      <c r="EE634">
        <v>1</v>
      </c>
      <c r="EF634" s="4">
        <v>423</v>
      </c>
      <c r="EG634">
        <v>1</v>
      </c>
      <c r="EH634" s="4">
        <v>427</v>
      </c>
      <c r="EI634">
        <v>1</v>
      </c>
      <c r="EJ634" s="4">
        <v>433</v>
      </c>
      <c r="EK634">
        <v>1</v>
      </c>
    </row>
    <row r="635" spans="1:141" x14ac:dyDescent="0.2">
      <c r="A635" t="str">
        <f>HYPERLINK("http://exon.niaid.nih.gov/transcriptome/C_felis/S1/links/cf/cf-contig_427.txt","cf-contig_427")</f>
        <v>cf-contig_427</v>
      </c>
      <c r="B635">
        <v>1</v>
      </c>
      <c r="C635" s="10" t="s">
        <v>4600</v>
      </c>
      <c r="D635">
        <v>1</v>
      </c>
      <c r="E635" t="str">
        <f>HYPERLINK("http://exon.niaid.nih.gov/transcriptome/C_felis/S1/links/cf/cf-5-36-asb-427.txt","Contig-427")</f>
        <v>Contig-427</v>
      </c>
      <c r="F635" t="str">
        <f>HYPERLINK("http://exon.niaid.nih.gov/transcriptome/C_felis/S1/links/cf/cf-5-36-427-CLU.txt","Contig427")</f>
        <v>Contig427</v>
      </c>
      <c r="G635" t="str">
        <f>HYPERLINK("http://exon.niaid.nih.gov/transcriptome/C_felis/S1/links/cf/cf-5-36-427-qual.txt","64.7")</f>
        <v>64.7</v>
      </c>
      <c r="H635" t="s">
        <v>11</v>
      </c>
      <c r="I635">
        <v>73.599999999999994</v>
      </c>
      <c r="J635">
        <v>465</v>
      </c>
      <c r="K635" t="s">
        <v>12</v>
      </c>
      <c r="L635">
        <v>1</v>
      </c>
      <c r="M635" t="s">
        <v>440</v>
      </c>
      <c r="N635">
        <v>465</v>
      </c>
      <c r="O635">
        <v>484</v>
      </c>
      <c r="P635">
        <v>393</v>
      </c>
      <c r="Q635" t="s">
        <v>1247</v>
      </c>
      <c r="R635">
        <v>1</v>
      </c>
      <c r="S635" s="7" t="str">
        <f>HYPERLINK("http://exon.niaid.nih.gov/transcriptome/C_felis/S1/links/Sigp/CF-CONTIG_427-SigP.txt","Cyt")</f>
        <v>Cyt</v>
      </c>
      <c r="U635">
        <v>1</v>
      </c>
      <c r="V635" s="4">
        <f>HYPERLINK("http://exon.niaid.nih.gov/transcriptome/C_felis/S1/links/cluster/cf-5-36-asb30-50-Id-CLU22.txt", 22)</f>
        <v>22</v>
      </c>
      <c r="W635">
        <f>HYPERLINK("http://exon.niaid.nih.gov/transcriptome/C_felis/S1/links/cluster/cf-5-36-asb30-50-Id-CLTL22.txt", 3)</f>
        <v>3</v>
      </c>
      <c r="X635" s="4">
        <f>HYPERLINK("http://exon.niaid.nih.gov/transcriptome/C_felis/S1/links/cluster/cf-5-36-asb35-50-Id-CLU19.txt", 19)</f>
        <v>19</v>
      </c>
      <c r="Y635">
        <f>HYPERLINK("http://exon.niaid.nih.gov/transcriptome/C_felis/S1/links/cluster/cf-5-36-asb35-50-Id-CLTL19.txt", 3)</f>
        <v>3</v>
      </c>
      <c r="Z635" s="4">
        <f>HYPERLINK("http://exon.niaid.nih.gov/transcriptome/C_felis/S1/links/cluster/cf-5-36-asb40-50-Id-CLU18.txt", 18)</f>
        <v>18</v>
      </c>
      <c r="AA635">
        <f>HYPERLINK("http://exon.niaid.nih.gov/transcriptome/C_felis/S1/links/cluster/cf-5-36-asb40-50-Id-CLTL18.txt", 3)</f>
        <v>3</v>
      </c>
      <c r="AB635" s="4" t="str">
        <f>HYPERLINK("http://exon.niaid.nih.gov/transcriptome/C_felis/S1/links/XC-ASB/cf-contig_427-XC-ASB.txt","XC-contig_74")</f>
        <v>XC-contig_74</v>
      </c>
      <c r="AC635">
        <v>0.04</v>
      </c>
      <c r="AD635" s="10" t="s">
        <v>4600</v>
      </c>
      <c r="AE635" t="s">
        <v>4601</v>
      </c>
      <c r="AI635" s="4" t="str">
        <f>HYPERLINK("http://exon.niaid.nih.gov/transcriptome/C_felis/S1/links/NR/cf-contig_427-NR.txt","conserved hypothetical protein")</f>
        <v>conserved hypothetical protein</v>
      </c>
      <c r="AJ635" t="str">
        <f>HYPERLINK("http://www.ncbi.nlm.nih.gov/sutils/blink.cgi?pid=257882746","2E-004")</f>
        <v>2E-004</v>
      </c>
      <c r="AK635" t="str">
        <f>HYPERLINK("http://www.ncbi.nlm.nih.gov/protein/257882746","gi|257882746")</f>
        <v>gi|257882746</v>
      </c>
      <c r="AL635">
        <v>49.7</v>
      </c>
      <c r="AM635">
        <v>93</v>
      </c>
      <c r="AN635">
        <v>200</v>
      </c>
      <c r="AO635">
        <v>30</v>
      </c>
      <c r="AP635">
        <v>47</v>
      </c>
      <c r="AQ635">
        <v>65</v>
      </c>
      <c r="AR635">
        <v>0</v>
      </c>
      <c r="AS635">
        <v>29</v>
      </c>
      <c r="AT635">
        <v>100</v>
      </c>
      <c r="AU635">
        <v>1</v>
      </c>
      <c r="AV635">
        <v>1</v>
      </c>
      <c r="AW635" t="s">
        <v>12</v>
      </c>
      <c r="AY635" t="s">
        <v>1676</v>
      </c>
      <c r="AZ635" t="s">
        <v>3193</v>
      </c>
      <c r="BA635" s="4" t="str">
        <f>HYPERLINK("http://exon.niaid.nih.gov/transcriptome/C_felis/S1/links/SWISSP/cf-contig_427-SWISSP.txt","Uncharacterized protein C50C3.2")</f>
        <v>Uncharacterized protein C50C3.2</v>
      </c>
      <c r="BB635" t="str">
        <f>HYPERLINK("http://www.uniprot.org/uniprot/P34367","0.044")</f>
        <v>0.044</v>
      </c>
      <c r="BC635" t="s">
        <v>2874</v>
      </c>
      <c r="BD635">
        <v>37.4</v>
      </c>
      <c r="BE635">
        <v>89</v>
      </c>
      <c r="BF635">
        <v>2107</v>
      </c>
      <c r="BG635">
        <v>26</v>
      </c>
      <c r="BH635">
        <v>4</v>
      </c>
      <c r="BI635">
        <v>66</v>
      </c>
      <c r="BJ635">
        <v>4</v>
      </c>
      <c r="BK635">
        <v>121</v>
      </c>
      <c r="BL635">
        <v>100</v>
      </c>
      <c r="BM635">
        <v>1</v>
      </c>
      <c r="BN635">
        <v>1</v>
      </c>
      <c r="BO635" t="s">
        <v>12</v>
      </c>
      <c r="BQ635" t="s">
        <v>1676</v>
      </c>
      <c r="BR635" t="s">
        <v>1735</v>
      </c>
      <c r="BS635" s="4" t="str">
        <f>HYPERLINK("http://exon.niaid.nih.gov/transcriptome/C_felis/S1/links/CDD/cf-contig_427-CDD.txt","Apolipoprotein")</f>
        <v>Apolipoprotein</v>
      </c>
      <c r="BT635" t="str">
        <f>HYPERLINK("http://www.ncbi.nlm.nih.gov/Structure/cdd/cddsrv.cgi?uid=pfam01442&amp;version=v4.0","0.009")</f>
        <v>0.009</v>
      </c>
      <c r="BU635" t="s">
        <v>3194</v>
      </c>
      <c r="BV635" s="4" t="s">
        <v>42</v>
      </c>
      <c r="BW635" t="s">
        <v>42</v>
      </c>
      <c r="BX635" t="s">
        <v>42</v>
      </c>
      <c r="BY635" t="s">
        <v>42</v>
      </c>
      <c r="BZ635" t="s">
        <v>42</v>
      </c>
      <c r="CA635" t="s">
        <v>42</v>
      </c>
      <c r="CB635" t="s">
        <v>42</v>
      </c>
      <c r="CC635" t="s">
        <v>42</v>
      </c>
      <c r="CD635" t="s">
        <v>42</v>
      </c>
      <c r="CE635" t="s">
        <v>42</v>
      </c>
      <c r="CF635" t="s">
        <v>42</v>
      </c>
      <c r="CG635" t="s">
        <v>42</v>
      </c>
      <c r="CH635" t="s">
        <v>42</v>
      </c>
      <c r="CI635" t="s">
        <v>42</v>
      </c>
      <c r="CJ635" t="s">
        <v>42</v>
      </c>
      <c r="CK635" t="s">
        <v>42</v>
      </c>
      <c r="CL635" t="s">
        <v>42</v>
      </c>
      <c r="CM635" t="s">
        <v>42</v>
      </c>
      <c r="CN635" t="s">
        <v>42</v>
      </c>
      <c r="CO635" t="s">
        <v>42</v>
      </c>
      <c r="CP635" t="s">
        <v>42</v>
      </c>
      <c r="CQ635" t="s">
        <v>42</v>
      </c>
      <c r="CR635" t="s">
        <v>42</v>
      </c>
      <c r="CS635" s="4" t="str">
        <f>HYPERLINK("http://exon.niaid.nih.gov/transcriptome/C_felis/S1/links/KOG/cf-contig_427-KOG.txt","Uncharacterized conserved protein, contains LRR repeats")</f>
        <v>Uncharacterized conserved protein, contains LRR repeats</v>
      </c>
      <c r="CT635" t="str">
        <f>HYPERLINK("http://www.ncbi.nlm.nih.gov/COG/grace/shokog.cgi?KOG4648","0.001")</f>
        <v>0.001</v>
      </c>
      <c r="CU635" t="s">
        <v>1711</v>
      </c>
      <c r="CV635" s="4" t="str">
        <f>HYPERLINK("http://exon.niaid.nih.gov/transcriptome/C_felis/S1/links/PFAM/cf-contig_427-PFAM.txt","Apolipoprotein")</f>
        <v>Apolipoprotein</v>
      </c>
      <c r="CW635" t="str">
        <f>HYPERLINK("http://pfam.sanger.ac.uk/family?acc=PF01442","0.002")</f>
        <v>0.002</v>
      </c>
      <c r="CX635" s="4" t="str">
        <f>HYPERLINK("http://exon.niaid.nih.gov/transcriptome/C_felis/S1/links/SMART/cf-contig_427-SMART.txt","FH2")</f>
        <v>FH2</v>
      </c>
      <c r="CY635" t="str">
        <f>HYPERLINK("http://smart.embl-heidelberg.de/smart/do_annotation.pl?DOMAIN=FH2&amp;BLAST=DUMMY","3E-004")</f>
        <v>3E-004</v>
      </c>
      <c r="CZ635" s="4" t="s">
        <v>42</v>
      </c>
      <c r="DA635" t="s">
        <v>42</v>
      </c>
      <c r="DB635" t="s">
        <v>42</v>
      </c>
      <c r="DC635" t="s">
        <v>42</v>
      </c>
      <c r="DD635" t="s">
        <v>42</v>
      </c>
      <c r="DE635" t="s">
        <v>42</v>
      </c>
      <c r="DF635" t="s">
        <v>42</v>
      </c>
      <c r="DG635" t="s">
        <v>42</v>
      </c>
      <c r="DH635" s="4" t="s">
        <v>42</v>
      </c>
      <c r="DI635" t="s">
        <v>42</v>
      </c>
      <c r="DJ635" s="4" t="s">
        <v>42</v>
      </c>
      <c r="DK635" t="s">
        <v>42</v>
      </c>
      <c r="DL635" s="4">
        <f>HYPERLINK("http://exon.niaid.nih.gov/transcriptome/C_felis/S1/links/cluster/cf-5-36-asb30-50-Id-CLU22.txt", 22)</f>
        <v>22</v>
      </c>
      <c r="DM635">
        <f>HYPERLINK("http://exon.niaid.nih.gov/transcriptome/C_felis/S1/links/cluster/cf-5-36-asb30-50-Id-CLTL22.txt", 3)</f>
        <v>3</v>
      </c>
      <c r="DN635" s="4">
        <f>HYPERLINK("http://exon.niaid.nih.gov/transcriptome/C_felis/S1/links/cluster/cf-5-36-asb35-50-Id-CLU19.txt", 19)</f>
        <v>19</v>
      </c>
      <c r="DO635">
        <f>HYPERLINK("http://exon.niaid.nih.gov/transcriptome/C_felis/S1/links/cluster/cf-5-36-asb35-50-Id-CLTL19.txt", 3)</f>
        <v>3</v>
      </c>
      <c r="DP635" s="4">
        <f>HYPERLINK("http://exon.niaid.nih.gov/transcriptome/C_felis/S1/links/cluster/cf-5-36-asb40-50-Id-CLU18.txt", 18)</f>
        <v>18</v>
      </c>
      <c r="DQ635">
        <f>HYPERLINK("http://exon.niaid.nih.gov/transcriptome/C_felis/S1/links/cluster/cf-5-36-asb40-50-Id-CLTL18.txt", 3)</f>
        <v>3</v>
      </c>
      <c r="DR635" s="4">
        <f>HYPERLINK("http://exon.niaid.nih.gov/transcriptome/C_felis/S1/links/cluster/cf-5-36-asb45-50-Id-CLU14.txt", 14)</f>
        <v>14</v>
      </c>
      <c r="DS635">
        <f>HYPERLINK("http://exon.niaid.nih.gov/transcriptome/C_felis/S1/links/cluster/cf-5-36-asb45-50-Id-CLTL14.txt", 3)</f>
        <v>3</v>
      </c>
      <c r="DT635" s="4">
        <f>HYPERLINK("http://exon.niaid.nih.gov/transcriptome/C_felis/S1/links/cluster/cf-5-36-asb50-50-Id-CLU41.txt", 41)</f>
        <v>41</v>
      </c>
      <c r="DU635">
        <f>HYPERLINK("http://exon.niaid.nih.gov/transcriptome/C_felis/S1/links/cluster/cf-5-36-asb50-50-Id-CLTL41.txt", 2)</f>
        <v>2</v>
      </c>
      <c r="DV635" s="4">
        <v>395</v>
      </c>
      <c r="DW635">
        <v>1</v>
      </c>
      <c r="DX635" s="4">
        <v>398</v>
      </c>
      <c r="DY635">
        <v>1</v>
      </c>
      <c r="DZ635" s="4">
        <v>403</v>
      </c>
      <c r="EA635">
        <v>1</v>
      </c>
      <c r="EB635" s="4">
        <v>408</v>
      </c>
      <c r="EC635">
        <v>1</v>
      </c>
      <c r="ED635" s="4">
        <v>412</v>
      </c>
      <c r="EE635">
        <v>1</v>
      </c>
      <c r="EF635" s="4">
        <v>417</v>
      </c>
      <c r="EG635">
        <v>1</v>
      </c>
      <c r="EH635" s="4">
        <v>421</v>
      </c>
      <c r="EI635">
        <v>1</v>
      </c>
      <c r="EJ635" s="4">
        <v>427</v>
      </c>
      <c r="EK635">
        <v>1</v>
      </c>
    </row>
    <row r="636" spans="1:141" x14ac:dyDescent="0.2">
      <c r="A636" t="str">
        <f>HYPERLINK("http://exon.niaid.nih.gov/transcriptome/C_felis/S1/links/cf/cf-contig_660.txt","cf-contig_660")</f>
        <v>cf-contig_660</v>
      </c>
      <c r="B636">
        <v>1</v>
      </c>
      <c r="C636" s="10" t="s">
        <v>4600</v>
      </c>
      <c r="D636">
        <v>1</v>
      </c>
      <c r="E636" t="str">
        <f>HYPERLINK("http://exon.niaid.nih.gov/transcriptome/C_felis/S1/links/cf/cf-5-36-asb-660.txt","Contig-660")</f>
        <v>Contig-660</v>
      </c>
      <c r="F636" t="str">
        <f>HYPERLINK("http://exon.niaid.nih.gov/transcriptome/C_felis/S1/links/cf/cf-5-36-660-CLU.txt","Contig660")</f>
        <v>Contig660</v>
      </c>
      <c r="G636" t="str">
        <f>HYPERLINK("http://exon.niaid.nih.gov/transcriptome/C_felis/S1/links/cf/cf-5-36-660-qual.txt","64.1")</f>
        <v>64.1</v>
      </c>
      <c r="H636" t="s">
        <v>11</v>
      </c>
      <c r="I636">
        <v>72.3</v>
      </c>
      <c r="J636">
        <v>357</v>
      </c>
      <c r="K636" t="s">
        <v>12</v>
      </c>
      <c r="L636">
        <v>1</v>
      </c>
      <c r="M636" t="s">
        <v>673</v>
      </c>
      <c r="N636">
        <v>357</v>
      </c>
      <c r="O636">
        <v>376</v>
      </c>
      <c r="P636">
        <v>168</v>
      </c>
      <c r="Q636" t="s">
        <v>1479</v>
      </c>
      <c r="R636">
        <v>3</v>
      </c>
      <c r="S636" s="7" t="s">
        <v>4585</v>
      </c>
      <c r="U636">
        <v>1</v>
      </c>
      <c r="V636" s="4">
        <v>539</v>
      </c>
      <c r="W636">
        <v>1</v>
      </c>
      <c r="X636" s="4">
        <v>551</v>
      </c>
      <c r="Y636">
        <v>1</v>
      </c>
      <c r="Z636" s="4">
        <v>563</v>
      </c>
      <c r="AA636">
        <v>1</v>
      </c>
      <c r="AB636" s="4" t="str">
        <f>HYPERLINK("http://exon.niaid.nih.gov/transcriptome/C_felis/S1/links/XC-ASB/cf-contig_660-XC-ASB.txt","XC-contig_35")</f>
        <v>XC-contig_35</v>
      </c>
      <c r="AC636">
        <v>5.5E-2</v>
      </c>
      <c r="AD636" s="10" t="s">
        <v>4600</v>
      </c>
      <c r="AE636" t="s">
        <v>4601</v>
      </c>
      <c r="AI636" s="4" t="str">
        <f>HYPERLINK("http://exon.niaid.nih.gov/transcriptome/C_felis/S1/links/NR/cf-contig_660-NR.txt","ribosomal protein S4-like protein")</f>
        <v>ribosomal protein S4-like protein</v>
      </c>
      <c r="AJ636" t="str">
        <f>HYPERLINK("http://www.ncbi.nlm.nih.gov/sutils/blink.cgi?pid=169806228","7.3")</f>
        <v>7.3</v>
      </c>
      <c r="AK636" t="str">
        <f>HYPERLINK("http://www.ncbi.nlm.nih.gov/protein/169806228","gi|169806228")</f>
        <v>gi|169806228</v>
      </c>
      <c r="AL636">
        <v>34.299999999999997</v>
      </c>
      <c r="AM636">
        <v>23</v>
      </c>
      <c r="AN636">
        <v>180</v>
      </c>
      <c r="AO636">
        <v>64</v>
      </c>
      <c r="AP636">
        <v>13</v>
      </c>
      <c r="AQ636">
        <v>9</v>
      </c>
      <c r="AR636">
        <v>0</v>
      </c>
      <c r="AS636">
        <v>35</v>
      </c>
      <c r="AT636">
        <v>81</v>
      </c>
      <c r="AU636">
        <v>1</v>
      </c>
      <c r="AV636">
        <v>3</v>
      </c>
      <c r="AW636" t="s">
        <v>12</v>
      </c>
      <c r="AY636" t="s">
        <v>1676</v>
      </c>
      <c r="AZ636" t="s">
        <v>3664</v>
      </c>
      <c r="BA636" s="4" t="str">
        <f>HYPERLINK("http://exon.niaid.nih.gov/transcriptome/C_felis/S1/links/SWISSP/cf-contig_660-SWISSP.txt","Probable phospholipid-transporting ATPase VA")</f>
        <v>Probable phospholipid-transporting ATPase VA</v>
      </c>
      <c r="BB636" t="str">
        <f>HYPERLINK("http://www.uniprot.org/uniprot/O60312","0.55")</f>
        <v>0.55</v>
      </c>
      <c r="BC636" t="s">
        <v>4085</v>
      </c>
      <c r="BD636">
        <v>33.1</v>
      </c>
      <c r="BE636">
        <v>49</v>
      </c>
      <c r="BF636">
        <v>1499</v>
      </c>
      <c r="BG636">
        <v>37</v>
      </c>
      <c r="BH636">
        <v>3</v>
      </c>
      <c r="BI636">
        <v>33</v>
      </c>
      <c r="BJ636">
        <v>2</v>
      </c>
      <c r="BK636">
        <v>1207</v>
      </c>
      <c r="BL636">
        <v>118</v>
      </c>
      <c r="BM636">
        <v>1</v>
      </c>
      <c r="BN636">
        <v>-2</v>
      </c>
      <c r="BO636" t="s">
        <v>12</v>
      </c>
      <c r="BP636">
        <v>2.0409999999999999</v>
      </c>
      <c r="BQ636" t="s">
        <v>1666</v>
      </c>
      <c r="BR636" t="s">
        <v>1690</v>
      </c>
      <c r="BS636" s="4" t="str">
        <f>HYPERLINK("http://exon.niaid.nih.gov/transcriptome/C_felis/S1/links/CDD/cf-contig_660-CDD.txt","DUF420")</f>
        <v>DUF420</v>
      </c>
      <c r="BT636" t="str">
        <f>HYPERLINK("http://www.ncbi.nlm.nih.gov/Structure/cdd/cddsrv.cgi?uid=pfam04238&amp;version=v4.0","0.061")</f>
        <v>0.061</v>
      </c>
      <c r="BU636" t="s">
        <v>4086</v>
      </c>
      <c r="BV636" s="4" t="s">
        <v>42</v>
      </c>
      <c r="BW636" t="s">
        <v>42</v>
      </c>
      <c r="BX636" t="s">
        <v>42</v>
      </c>
      <c r="BY636" t="s">
        <v>42</v>
      </c>
      <c r="BZ636" t="s">
        <v>42</v>
      </c>
      <c r="CA636" t="s">
        <v>42</v>
      </c>
      <c r="CB636" t="s">
        <v>42</v>
      </c>
      <c r="CC636" t="s">
        <v>42</v>
      </c>
      <c r="CD636" t="s">
        <v>42</v>
      </c>
      <c r="CE636" t="s">
        <v>42</v>
      </c>
      <c r="CF636" t="s">
        <v>42</v>
      </c>
      <c r="CG636" t="s">
        <v>42</v>
      </c>
      <c r="CH636" t="s">
        <v>42</v>
      </c>
      <c r="CI636" t="s">
        <v>42</v>
      </c>
      <c r="CJ636" t="s">
        <v>42</v>
      </c>
      <c r="CK636" t="s">
        <v>42</v>
      </c>
      <c r="CL636" t="s">
        <v>42</v>
      </c>
      <c r="CM636" t="s">
        <v>42</v>
      </c>
      <c r="CN636" t="s">
        <v>42</v>
      </c>
      <c r="CO636" t="s">
        <v>42</v>
      </c>
      <c r="CP636" t="s">
        <v>42</v>
      </c>
      <c r="CQ636" t="s">
        <v>42</v>
      </c>
      <c r="CR636" t="s">
        <v>42</v>
      </c>
      <c r="CS636" s="4" t="str">
        <f>HYPERLINK("http://exon.niaid.nih.gov/transcriptome/C_felis/S1/links/KOG/cf-contig_660-KOG.txt","Ras suppressor protein (contains leucine-rich repeats)")</f>
        <v>Ras suppressor protein (contains leucine-rich repeats)</v>
      </c>
      <c r="CT636" t="str">
        <f>HYPERLINK("http://www.ncbi.nlm.nih.gov/COG/grace/shokog.cgi?KOG0617","0.36")</f>
        <v>0.36</v>
      </c>
      <c r="CU636" t="s">
        <v>1780</v>
      </c>
      <c r="CV636" s="4" t="str">
        <f>HYPERLINK("http://exon.niaid.nih.gov/transcriptome/C_felis/S1/links/PFAM/cf-contig_660-PFAM.txt","DUF420")</f>
        <v>DUF420</v>
      </c>
      <c r="CW636" t="str">
        <f>HYPERLINK("http://pfam.sanger.ac.uk/family?acc=PF04238","0.014")</f>
        <v>0.014</v>
      </c>
      <c r="CX636" s="4" t="str">
        <f>HYPERLINK("http://exon.niaid.nih.gov/transcriptome/C_felis/S1/links/SMART/cf-contig_660-SMART.txt","KISc")</f>
        <v>KISc</v>
      </c>
      <c r="CY636" t="str">
        <f>HYPERLINK("http://smart.embl-heidelberg.de/smart/do_annotation.pl?DOMAIN=KISc&amp;BLAST=DUMMY","0.13")</f>
        <v>0.13</v>
      </c>
      <c r="CZ636" s="4" t="s">
        <v>42</v>
      </c>
      <c r="DA636" t="s">
        <v>42</v>
      </c>
      <c r="DB636" t="s">
        <v>42</v>
      </c>
      <c r="DC636" t="s">
        <v>42</v>
      </c>
      <c r="DD636" t="s">
        <v>42</v>
      </c>
      <c r="DE636" t="s">
        <v>42</v>
      </c>
      <c r="DF636" t="s">
        <v>42</v>
      </c>
      <c r="DG636" t="s">
        <v>42</v>
      </c>
      <c r="DH636" s="4" t="s">
        <v>42</v>
      </c>
      <c r="DI636" t="s">
        <v>42</v>
      </c>
      <c r="DJ636" s="4" t="s">
        <v>42</v>
      </c>
      <c r="DK636" t="s">
        <v>42</v>
      </c>
      <c r="DL636" s="4">
        <v>539</v>
      </c>
      <c r="DM636">
        <v>1</v>
      </c>
      <c r="DN636" s="4">
        <v>551</v>
      </c>
      <c r="DO636">
        <v>1</v>
      </c>
      <c r="DP636" s="4">
        <v>563</v>
      </c>
      <c r="DQ636">
        <v>1</v>
      </c>
      <c r="DR636" s="4">
        <v>583</v>
      </c>
      <c r="DS636">
        <v>1</v>
      </c>
      <c r="DT636" s="4">
        <v>596</v>
      </c>
      <c r="DU636">
        <v>1</v>
      </c>
      <c r="DV636" s="4">
        <v>610</v>
      </c>
      <c r="DW636">
        <v>1</v>
      </c>
      <c r="DX636" s="4">
        <v>619</v>
      </c>
      <c r="DY636">
        <v>1</v>
      </c>
      <c r="DZ636" s="4">
        <v>629</v>
      </c>
      <c r="EA636">
        <v>1</v>
      </c>
      <c r="EB636" s="4">
        <v>634</v>
      </c>
      <c r="EC636">
        <v>1</v>
      </c>
      <c r="ED636" s="4">
        <v>638</v>
      </c>
      <c r="EE636">
        <v>1</v>
      </c>
      <c r="EF636" s="4">
        <v>644</v>
      </c>
      <c r="EG636">
        <v>1</v>
      </c>
      <c r="EH636" s="4">
        <v>652</v>
      </c>
      <c r="EI636">
        <v>1</v>
      </c>
      <c r="EJ636" s="4">
        <v>660</v>
      </c>
      <c r="EK636">
        <v>1</v>
      </c>
    </row>
    <row r="637" spans="1:141" x14ac:dyDescent="0.2">
      <c r="A637" t="str">
        <f>HYPERLINK("http://exon.niaid.nih.gov/transcriptome/C_felis/S1/links/cf/cf-contig_544.txt","cf-contig_544")</f>
        <v>cf-contig_544</v>
      </c>
      <c r="B637">
        <v>1</v>
      </c>
      <c r="C637" s="10" t="s">
        <v>4600</v>
      </c>
      <c r="D637">
        <v>1</v>
      </c>
      <c r="E637" t="str">
        <f>HYPERLINK("http://exon.niaid.nih.gov/transcriptome/C_felis/S1/links/cf/cf-5-36-asb-544.txt","Contig-544")</f>
        <v>Contig-544</v>
      </c>
      <c r="F637" t="str">
        <f>HYPERLINK("http://exon.niaid.nih.gov/transcriptome/C_felis/S1/links/cf/cf-5-36-544-CLU.txt","Contig544")</f>
        <v>Contig544</v>
      </c>
      <c r="G637" t="str">
        <f>HYPERLINK("http://exon.niaid.nih.gov/transcriptome/C_felis/S1/links/cf/cf-5-36-544-qual.txt","58.3")</f>
        <v>58.3</v>
      </c>
      <c r="H637" t="s">
        <v>11</v>
      </c>
      <c r="I637">
        <v>73.5</v>
      </c>
      <c r="J637">
        <v>280</v>
      </c>
      <c r="K637" t="s">
        <v>12</v>
      </c>
      <c r="L637">
        <v>1</v>
      </c>
      <c r="M637" t="s">
        <v>557</v>
      </c>
      <c r="N637" t="s">
        <v>42</v>
      </c>
      <c r="O637">
        <v>310</v>
      </c>
      <c r="P637">
        <v>93</v>
      </c>
      <c r="Q637" t="s">
        <v>1363</v>
      </c>
      <c r="R637">
        <v>3</v>
      </c>
      <c r="S637" s="7" t="s">
        <v>4585</v>
      </c>
      <c r="U637">
        <v>1</v>
      </c>
      <c r="V637" s="4">
        <v>446</v>
      </c>
      <c r="W637">
        <v>1</v>
      </c>
      <c r="X637" s="4">
        <v>456</v>
      </c>
      <c r="Y637">
        <v>1</v>
      </c>
      <c r="Z637" s="4">
        <v>462</v>
      </c>
      <c r="AA637">
        <v>1</v>
      </c>
      <c r="AB637" s="4" t="str">
        <f>HYPERLINK("http://exon.niaid.nih.gov/transcriptome/C_felis/S1/links/XC-ASB/cf-contig_544-XC-ASB.txt","XC-contig_167")</f>
        <v>XC-contig_167</v>
      </c>
      <c r="AC637">
        <v>0.28999999999999998</v>
      </c>
      <c r="AD637" s="10" t="s">
        <v>4600</v>
      </c>
      <c r="AE637" t="s">
        <v>4601</v>
      </c>
      <c r="AI637" s="4" t="str">
        <f>HYPERLINK("http://exon.niaid.nih.gov/transcriptome/C_felis/S1/links/NR/cf-contig_544-NR.txt","separase, predicted")</f>
        <v>separase, predicted</v>
      </c>
      <c r="AJ637" t="str">
        <f>HYPERLINK("http://www.ncbi.nlm.nih.gov/sutils/blink.cgi?pid=169806030","36")</f>
        <v>36</v>
      </c>
      <c r="AK637" t="str">
        <f>HYPERLINK("http://www.ncbi.nlm.nih.gov/protein/169806030","gi|169806030")</f>
        <v>gi|169806030</v>
      </c>
      <c r="AL637">
        <v>32</v>
      </c>
      <c r="AM637">
        <v>69</v>
      </c>
      <c r="AN637">
        <v>701</v>
      </c>
      <c r="AO637">
        <v>32</v>
      </c>
      <c r="AP637">
        <v>10</v>
      </c>
      <c r="AQ637">
        <v>47</v>
      </c>
      <c r="AR637">
        <v>9</v>
      </c>
      <c r="AS637">
        <v>169</v>
      </c>
      <c r="AT637">
        <v>27</v>
      </c>
      <c r="AU637">
        <v>1</v>
      </c>
      <c r="AV637">
        <v>-3</v>
      </c>
      <c r="AW637" t="s">
        <v>12</v>
      </c>
      <c r="AX637">
        <v>2.899</v>
      </c>
      <c r="AY637" t="s">
        <v>1666</v>
      </c>
      <c r="AZ637" t="s">
        <v>3664</v>
      </c>
      <c r="BA637" s="4" t="str">
        <f>HYPERLINK("http://exon.niaid.nih.gov/transcriptome/C_felis/S1/links/SWISSP/cf-contig_544-SWISSP.txt","Phosphoglucomutase")</f>
        <v>Phosphoglucomutase</v>
      </c>
      <c r="BB637" t="str">
        <f>HYPERLINK("http://www.uniprot.org/uniprot/O15820","18")</f>
        <v>18</v>
      </c>
      <c r="BC637" t="s">
        <v>3665</v>
      </c>
      <c r="BD637">
        <v>28.1</v>
      </c>
      <c r="BE637">
        <v>25</v>
      </c>
      <c r="BF637">
        <v>553</v>
      </c>
      <c r="BG637">
        <v>46</v>
      </c>
      <c r="BH637">
        <v>5</v>
      </c>
      <c r="BI637">
        <v>14</v>
      </c>
      <c r="BJ637">
        <v>0</v>
      </c>
      <c r="BK637">
        <v>212</v>
      </c>
      <c r="BL637">
        <v>60</v>
      </c>
      <c r="BM637">
        <v>1</v>
      </c>
      <c r="BN637">
        <v>3</v>
      </c>
      <c r="BO637" t="s">
        <v>12</v>
      </c>
      <c r="BP637">
        <v>4</v>
      </c>
      <c r="BQ637" t="s">
        <v>1676</v>
      </c>
      <c r="BR637" t="s">
        <v>3666</v>
      </c>
      <c r="BS637" s="4" t="str">
        <f>HYPERLINK("http://exon.niaid.nih.gov/transcriptome/C_felis/S1/links/CDD/cf-contig_544-CDD.txt","DUF846")</f>
        <v>DUF846</v>
      </c>
      <c r="BT637" t="str">
        <f>HYPERLINK("http://www.ncbi.nlm.nih.gov/Structure/cdd/cddsrv.cgi?uid=pfam05832&amp;version=v4.0","0.91")</f>
        <v>0.91</v>
      </c>
      <c r="BU637" t="s">
        <v>3667</v>
      </c>
      <c r="BV637" s="4" t="s">
        <v>42</v>
      </c>
      <c r="BW637" t="s">
        <v>42</v>
      </c>
      <c r="BX637" t="s">
        <v>42</v>
      </c>
      <c r="BY637" t="s">
        <v>42</v>
      </c>
      <c r="BZ637" t="s">
        <v>42</v>
      </c>
      <c r="CA637" t="s">
        <v>42</v>
      </c>
      <c r="CB637" t="s">
        <v>42</v>
      </c>
      <c r="CC637" t="s">
        <v>42</v>
      </c>
      <c r="CD637" t="s">
        <v>42</v>
      </c>
      <c r="CE637" t="s">
        <v>42</v>
      </c>
      <c r="CF637" t="s">
        <v>42</v>
      </c>
      <c r="CG637" t="s">
        <v>42</v>
      </c>
      <c r="CH637" t="s">
        <v>42</v>
      </c>
      <c r="CI637" t="s">
        <v>42</v>
      </c>
      <c r="CJ637" t="s">
        <v>42</v>
      </c>
      <c r="CK637" t="s">
        <v>42</v>
      </c>
      <c r="CL637" t="s">
        <v>42</v>
      </c>
      <c r="CM637" t="s">
        <v>42</v>
      </c>
      <c r="CN637" t="s">
        <v>42</v>
      </c>
      <c r="CO637" t="s">
        <v>42</v>
      </c>
      <c r="CP637" t="s">
        <v>42</v>
      </c>
      <c r="CQ637" t="s">
        <v>42</v>
      </c>
      <c r="CR637" t="s">
        <v>42</v>
      </c>
      <c r="CS637" s="4" t="str">
        <f>HYPERLINK("http://exon.niaid.nih.gov/transcriptome/C_felis/S1/links/KOG/cf-contig_544-KOG.txt","Uncharacterized conserved protein")</f>
        <v>Uncharacterized conserved protein</v>
      </c>
      <c r="CT637" t="str">
        <f>HYPERLINK("http://www.ncbi.nlm.nih.gov/COG/grace/shokog.cgi?KOG4698","1.5")</f>
        <v>1.5</v>
      </c>
      <c r="CU637" t="s">
        <v>1711</v>
      </c>
      <c r="CV637" s="4" t="str">
        <f>HYPERLINK("http://exon.niaid.nih.gov/transcriptome/C_felis/S1/links/PFAM/cf-contig_544-PFAM.txt","DUF846")</f>
        <v>DUF846</v>
      </c>
      <c r="CW637" t="str">
        <f>HYPERLINK("http://pfam.sanger.ac.uk/family?acc=PF05832","0.19")</f>
        <v>0.19</v>
      </c>
      <c r="CX637" s="4" t="str">
        <f>HYPERLINK("http://exon.niaid.nih.gov/transcriptome/C_felis/S1/links/SMART/cf-contig_544-SMART.txt","G_alpha")</f>
        <v>G_alpha</v>
      </c>
      <c r="CY637" t="str">
        <f>HYPERLINK("http://smart.embl-heidelberg.de/smart/do_annotation.pl?DOMAIN=G_alpha&amp;BLAST=DUMMY","0.35")</f>
        <v>0.35</v>
      </c>
      <c r="CZ637" s="4" t="s">
        <v>42</v>
      </c>
      <c r="DA637" t="s">
        <v>42</v>
      </c>
      <c r="DB637" t="s">
        <v>42</v>
      </c>
      <c r="DC637" t="s">
        <v>42</v>
      </c>
      <c r="DD637" t="s">
        <v>42</v>
      </c>
      <c r="DE637" t="s">
        <v>42</v>
      </c>
      <c r="DF637" t="s">
        <v>42</v>
      </c>
      <c r="DG637" t="s">
        <v>42</v>
      </c>
      <c r="DH637" s="4" t="s">
        <v>42</v>
      </c>
      <c r="DI637" t="s">
        <v>42</v>
      </c>
      <c r="DJ637" s="4" t="s">
        <v>42</v>
      </c>
      <c r="DK637" t="s">
        <v>42</v>
      </c>
      <c r="DL637" s="4">
        <v>446</v>
      </c>
      <c r="DM637">
        <v>1</v>
      </c>
      <c r="DN637" s="4">
        <v>456</v>
      </c>
      <c r="DO637">
        <v>1</v>
      </c>
      <c r="DP637" s="4">
        <v>462</v>
      </c>
      <c r="DQ637">
        <v>1</v>
      </c>
      <c r="DR637" s="4">
        <v>477</v>
      </c>
      <c r="DS637">
        <v>1</v>
      </c>
      <c r="DT637" s="4">
        <v>489</v>
      </c>
      <c r="DU637">
        <v>1</v>
      </c>
      <c r="DV637" s="4">
        <v>503</v>
      </c>
      <c r="DW637">
        <v>1</v>
      </c>
      <c r="DX637" s="4">
        <v>509</v>
      </c>
      <c r="DY637">
        <v>1</v>
      </c>
      <c r="DZ637" s="4">
        <v>517</v>
      </c>
      <c r="EA637">
        <v>1</v>
      </c>
      <c r="EB637" s="4">
        <v>522</v>
      </c>
      <c r="EC637">
        <v>1</v>
      </c>
      <c r="ED637" s="4">
        <v>526</v>
      </c>
      <c r="EE637">
        <v>1</v>
      </c>
      <c r="EF637" s="4">
        <v>531</v>
      </c>
      <c r="EG637">
        <v>1</v>
      </c>
      <c r="EH637" s="4">
        <v>537</v>
      </c>
      <c r="EI637">
        <v>1</v>
      </c>
      <c r="EJ637" s="4">
        <v>544</v>
      </c>
      <c r="EK637">
        <v>1</v>
      </c>
    </row>
    <row r="638" spans="1:141" x14ac:dyDescent="0.2">
      <c r="A638" t="str">
        <f>HYPERLINK("http://exon.niaid.nih.gov/transcriptome/C_felis/S1/links/cf/cf-contig_434.txt","cf-contig_434")</f>
        <v>cf-contig_434</v>
      </c>
      <c r="B638">
        <v>1</v>
      </c>
      <c r="C638" s="10" t="s">
        <v>4600</v>
      </c>
      <c r="D638">
        <v>1</v>
      </c>
      <c r="E638" t="str">
        <f>HYPERLINK("http://exon.niaid.nih.gov/transcriptome/C_felis/S1/links/cf/cf-5-36-asb-434.txt","Contig-434")</f>
        <v>Contig-434</v>
      </c>
      <c r="F638" t="str">
        <f>HYPERLINK("http://exon.niaid.nih.gov/transcriptome/C_felis/S1/links/cf/cf-5-36-434-CLU.txt","Contig434")</f>
        <v>Contig434</v>
      </c>
      <c r="G638" t="str">
        <f>HYPERLINK("http://exon.niaid.nih.gov/transcriptome/C_felis/S1/links/cf/cf-5-36-434-qual.txt","60.2")</f>
        <v>60.2</v>
      </c>
      <c r="H638" t="s">
        <v>11</v>
      </c>
      <c r="I638">
        <v>69.900000000000006</v>
      </c>
      <c r="J638">
        <v>247</v>
      </c>
      <c r="K638" t="s">
        <v>12</v>
      </c>
      <c r="L638">
        <v>1</v>
      </c>
      <c r="M638" t="s">
        <v>447</v>
      </c>
      <c r="N638">
        <v>247</v>
      </c>
      <c r="O638">
        <v>266</v>
      </c>
      <c r="P638">
        <v>66</v>
      </c>
      <c r="Q638" t="s">
        <v>1237</v>
      </c>
      <c r="R638">
        <v>1</v>
      </c>
      <c r="S638" s="7" t="s">
        <v>4585</v>
      </c>
      <c r="U638">
        <v>1</v>
      </c>
      <c r="V638" s="4">
        <f>HYPERLINK("http://exon.niaid.nih.gov/transcriptome/C_felis/S1/links/cluster/cf-5-36-asb30-50-Id-CLU74.txt", 74)</f>
        <v>74</v>
      </c>
      <c r="W638">
        <f>HYPERLINK("http://exon.niaid.nih.gov/transcriptome/C_felis/S1/links/cluster/cf-5-36-asb30-50-Id-CLTL74.txt", 2)</f>
        <v>2</v>
      </c>
      <c r="X638" s="4">
        <f>HYPERLINK("http://exon.niaid.nih.gov/transcriptome/C_felis/S1/links/cluster/cf-5-36-asb35-50-Id-CLU66.txt", 66)</f>
        <v>66</v>
      </c>
      <c r="Y638">
        <f>HYPERLINK("http://exon.niaid.nih.gov/transcriptome/C_felis/S1/links/cluster/cf-5-36-asb35-50-Id-CLTL66.txt", 2)</f>
        <v>2</v>
      </c>
      <c r="Z638" s="4">
        <f>HYPERLINK("http://exon.niaid.nih.gov/transcriptome/C_felis/S1/links/cluster/cf-5-36-asb40-50-Id-CLU61.txt", 61)</f>
        <v>61</v>
      </c>
      <c r="AA638">
        <f>HYPERLINK("http://exon.niaid.nih.gov/transcriptome/C_felis/S1/links/cluster/cf-5-36-asb40-50-Id-CLTL61.txt", 2)</f>
        <v>2</v>
      </c>
      <c r="AB638" s="4" t="str">
        <f>HYPERLINK("http://exon.niaid.nih.gov/transcriptome/C_felis/S1/links/XC-ASB/cf-contig_434-XC-ASB.txt","XC-contig_5")</f>
        <v>XC-contig_5</v>
      </c>
      <c r="AC638">
        <v>0.32</v>
      </c>
      <c r="AD638" s="10" t="s">
        <v>4600</v>
      </c>
      <c r="AE638" t="s">
        <v>4601</v>
      </c>
      <c r="AI638" s="4" t="str">
        <f>HYPERLINK("http://exon.niaid.nih.gov/transcriptome/C_felis/S1/links/NR/cf-contig_434-NR.txt","predicted protein")</f>
        <v>predicted protein</v>
      </c>
      <c r="AJ638" t="str">
        <f>HYPERLINK("http://www.ncbi.nlm.nih.gov/sutils/blink.cgi?pid=195183252","47")</f>
        <v>47</v>
      </c>
      <c r="AK638" t="str">
        <f>HYPERLINK("http://www.ncbi.nlm.nih.gov/protein/195183252","gi|195183252")</f>
        <v>gi|195183252</v>
      </c>
      <c r="AL638">
        <v>31.6</v>
      </c>
      <c r="AM638">
        <v>54</v>
      </c>
      <c r="AN638">
        <v>178</v>
      </c>
      <c r="AO638">
        <v>27</v>
      </c>
      <c r="AP638">
        <v>31</v>
      </c>
      <c r="AQ638">
        <v>40</v>
      </c>
      <c r="AR638">
        <v>2</v>
      </c>
      <c r="AS638">
        <v>60</v>
      </c>
      <c r="AT638">
        <v>68</v>
      </c>
      <c r="AU638">
        <v>1</v>
      </c>
      <c r="AV638">
        <v>-2</v>
      </c>
      <c r="AW638" t="s">
        <v>12</v>
      </c>
      <c r="AX638">
        <v>1.8520000000000001</v>
      </c>
      <c r="AY638" t="s">
        <v>1666</v>
      </c>
      <c r="AZ638" t="s">
        <v>3221</v>
      </c>
      <c r="BA638" s="4" t="str">
        <f>HYPERLINK("http://exon.niaid.nih.gov/transcriptome/C_felis/S1/links/SWISSP/cf-contig_434-SWISSP.txt","Cytochrome b")</f>
        <v>Cytochrome b</v>
      </c>
      <c r="BB638" t="str">
        <f>HYPERLINK("http://www.uniprot.org/uniprot/P15585","2.2")</f>
        <v>2.2</v>
      </c>
      <c r="BC638" t="s">
        <v>3222</v>
      </c>
      <c r="BD638">
        <v>31.2</v>
      </c>
      <c r="BE638">
        <v>45</v>
      </c>
      <c r="BF638">
        <v>391</v>
      </c>
      <c r="BG638">
        <v>39</v>
      </c>
      <c r="BH638">
        <v>12</v>
      </c>
      <c r="BI638">
        <v>28</v>
      </c>
      <c r="BJ638">
        <v>0</v>
      </c>
      <c r="BK638">
        <v>200</v>
      </c>
      <c r="BL638">
        <v>54</v>
      </c>
      <c r="BM638">
        <v>1</v>
      </c>
      <c r="BN638">
        <v>-1</v>
      </c>
      <c r="BO638" t="s">
        <v>12</v>
      </c>
      <c r="BP638">
        <v>4.444</v>
      </c>
      <c r="BQ638" t="s">
        <v>1666</v>
      </c>
      <c r="BR638" t="s">
        <v>1700</v>
      </c>
      <c r="BS638" s="4" t="str">
        <f>HYPERLINK("http://exon.niaid.nih.gov/transcriptome/C_felis/S1/links/CDD/cf-contig_434-CDD.txt","PAE")</f>
        <v>PAE</v>
      </c>
      <c r="BT638" t="str">
        <f>HYPERLINK("http://www.ncbi.nlm.nih.gov/Structure/cdd/cddsrv.cgi?uid=pfam03283&amp;version=v4.0","0.17")</f>
        <v>0.17</v>
      </c>
      <c r="BU638" t="s">
        <v>3223</v>
      </c>
      <c r="BV638" s="4" t="s">
        <v>42</v>
      </c>
      <c r="BW638" t="s">
        <v>42</v>
      </c>
      <c r="BX638" t="s">
        <v>42</v>
      </c>
      <c r="BY638" t="s">
        <v>42</v>
      </c>
      <c r="BZ638" t="s">
        <v>42</v>
      </c>
      <c r="CA638" t="s">
        <v>42</v>
      </c>
      <c r="CB638" t="s">
        <v>42</v>
      </c>
      <c r="CC638" t="s">
        <v>42</v>
      </c>
      <c r="CD638" t="s">
        <v>42</v>
      </c>
      <c r="CE638" t="s">
        <v>42</v>
      </c>
      <c r="CF638" t="s">
        <v>42</v>
      </c>
      <c r="CG638" t="s">
        <v>42</v>
      </c>
      <c r="CH638" t="s">
        <v>42</v>
      </c>
      <c r="CI638" t="s">
        <v>42</v>
      </c>
      <c r="CJ638" t="s">
        <v>42</v>
      </c>
      <c r="CK638" t="s">
        <v>42</v>
      </c>
      <c r="CL638" t="s">
        <v>42</v>
      </c>
      <c r="CM638" t="s">
        <v>42</v>
      </c>
      <c r="CN638" t="s">
        <v>42</v>
      </c>
      <c r="CO638" t="s">
        <v>42</v>
      </c>
      <c r="CP638" t="s">
        <v>42</v>
      </c>
      <c r="CQ638" t="s">
        <v>42</v>
      </c>
      <c r="CR638" t="s">
        <v>42</v>
      </c>
      <c r="CS638" s="4" t="str">
        <f>HYPERLINK("http://exon.niaid.nih.gov/transcriptome/C_felis/S1/links/KOG/cf-contig_434-KOG.txt","Pleiotropic drug resistance proteins (PDR1-15), ABC superfamily")</f>
        <v>Pleiotropic drug resistance proteins (PDR1-15), ABC superfamily</v>
      </c>
      <c r="CT638" t="str">
        <f>HYPERLINK("http://www.ncbi.nlm.nih.gov/COG/grace/shokog.cgi?KOG0065","0.16")</f>
        <v>0.16</v>
      </c>
      <c r="CU638" t="s">
        <v>1730</v>
      </c>
      <c r="CV638" s="4" t="str">
        <f>HYPERLINK("http://exon.niaid.nih.gov/transcriptome/C_felis/S1/links/PFAM/cf-contig_434-PFAM.txt","PAE")</f>
        <v>PAE</v>
      </c>
      <c r="CW638" t="str">
        <f>HYPERLINK("http://pfam.sanger.ac.uk/family?acc=PF03283","0.035")</f>
        <v>0.035</v>
      </c>
      <c r="CX638" s="4" t="str">
        <f>HYPERLINK("http://exon.niaid.nih.gov/transcriptome/C_felis/S1/links/SMART/cf-contig_434-SMART.txt","AgrB")</f>
        <v>AgrB</v>
      </c>
      <c r="CY638" t="str">
        <f>HYPERLINK("http://smart.embl-heidelberg.de/smart/do_annotation.pl?DOMAIN=AgrB&amp;BLAST=DUMMY","0.18")</f>
        <v>0.18</v>
      </c>
      <c r="CZ638" s="4" t="s">
        <v>42</v>
      </c>
      <c r="DA638" t="s">
        <v>42</v>
      </c>
      <c r="DB638" t="s">
        <v>42</v>
      </c>
      <c r="DC638" t="s">
        <v>42</v>
      </c>
      <c r="DD638" t="s">
        <v>42</v>
      </c>
      <c r="DE638" t="s">
        <v>42</v>
      </c>
      <c r="DF638" t="s">
        <v>42</v>
      </c>
      <c r="DG638" t="s">
        <v>42</v>
      </c>
      <c r="DH638" s="4" t="s">
        <v>42</v>
      </c>
      <c r="DI638" t="s">
        <v>42</v>
      </c>
      <c r="DJ638" s="4" t="s">
        <v>42</v>
      </c>
      <c r="DK638" t="s">
        <v>42</v>
      </c>
      <c r="DL638" s="4">
        <f>HYPERLINK("http://exon.niaid.nih.gov/transcriptome/C_felis/S1/links/cluster/cf-5-36-asb30-50-Id-CLU74.txt", 74)</f>
        <v>74</v>
      </c>
      <c r="DM638">
        <f>HYPERLINK("http://exon.niaid.nih.gov/transcriptome/C_felis/S1/links/cluster/cf-5-36-asb30-50-Id-CLTL74.txt", 2)</f>
        <v>2</v>
      </c>
      <c r="DN638" s="4">
        <f>HYPERLINK("http://exon.niaid.nih.gov/transcriptome/C_felis/S1/links/cluster/cf-5-36-asb35-50-Id-CLU66.txt", 66)</f>
        <v>66</v>
      </c>
      <c r="DO638">
        <f>HYPERLINK("http://exon.niaid.nih.gov/transcriptome/C_felis/S1/links/cluster/cf-5-36-asb35-50-Id-CLTL66.txt", 2)</f>
        <v>2</v>
      </c>
      <c r="DP638" s="4">
        <f>HYPERLINK("http://exon.niaid.nih.gov/transcriptome/C_felis/S1/links/cluster/cf-5-36-asb40-50-Id-CLU61.txt", 61)</f>
        <v>61</v>
      </c>
      <c r="DQ638">
        <f>HYPERLINK("http://exon.niaid.nih.gov/transcriptome/C_felis/S1/links/cluster/cf-5-36-asb40-50-Id-CLTL61.txt", 2)</f>
        <v>2</v>
      </c>
      <c r="DR638" s="4">
        <v>378</v>
      </c>
      <c r="DS638">
        <v>1</v>
      </c>
      <c r="DT638" s="4">
        <v>388</v>
      </c>
      <c r="DU638">
        <v>1</v>
      </c>
      <c r="DV638" s="4">
        <v>402</v>
      </c>
      <c r="DW638">
        <v>1</v>
      </c>
      <c r="DX638" s="4">
        <v>405</v>
      </c>
      <c r="DY638">
        <v>1</v>
      </c>
      <c r="DZ638" s="4">
        <v>410</v>
      </c>
      <c r="EA638">
        <v>1</v>
      </c>
      <c r="EB638" s="4">
        <v>415</v>
      </c>
      <c r="EC638">
        <v>1</v>
      </c>
      <c r="ED638" s="4">
        <v>419</v>
      </c>
      <c r="EE638">
        <v>1</v>
      </c>
      <c r="EF638" s="4">
        <v>424</v>
      </c>
      <c r="EG638">
        <v>1</v>
      </c>
      <c r="EH638" s="4">
        <v>428</v>
      </c>
      <c r="EI638">
        <v>1</v>
      </c>
      <c r="EJ638" s="4">
        <v>434</v>
      </c>
      <c r="EK638">
        <v>1</v>
      </c>
    </row>
    <row r="639" spans="1:141" x14ac:dyDescent="0.2">
      <c r="A639" t="str">
        <f>HYPERLINK("http://exon.niaid.nih.gov/transcriptome/C_felis/S1/links/cf/cf-contig_481.txt","cf-contig_481")</f>
        <v>cf-contig_481</v>
      </c>
      <c r="B639">
        <v>1</v>
      </c>
      <c r="C639" s="10" t="s">
        <v>4600</v>
      </c>
      <c r="D639">
        <v>1</v>
      </c>
      <c r="E639" t="str">
        <f>HYPERLINK("http://exon.niaid.nih.gov/transcriptome/C_felis/S1/links/cf/cf-5-36-asb-481.txt","Contig-481")</f>
        <v>Contig-481</v>
      </c>
      <c r="F639" t="str">
        <f>HYPERLINK("http://exon.niaid.nih.gov/transcriptome/C_felis/S1/links/cf/cf-5-36-481-CLU.txt","Contig481")</f>
        <v>Contig481</v>
      </c>
      <c r="G639" t="str">
        <f>HYPERLINK("http://exon.niaid.nih.gov/transcriptome/C_felis/S1/links/cf/cf-5-36-481-qual.txt","56.3")</f>
        <v>56.3</v>
      </c>
      <c r="H639" t="s">
        <v>11</v>
      </c>
      <c r="I639">
        <v>72</v>
      </c>
      <c r="J639">
        <v>138</v>
      </c>
      <c r="K639" t="s">
        <v>12</v>
      </c>
      <c r="L639">
        <v>1</v>
      </c>
      <c r="M639" t="s">
        <v>494</v>
      </c>
      <c r="N639">
        <v>138</v>
      </c>
      <c r="O639">
        <v>157</v>
      </c>
      <c r="P639">
        <v>69</v>
      </c>
      <c r="Q639" t="s">
        <v>1300</v>
      </c>
      <c r="R639">
        <v>1</v>
      </c>
      <c r="S639" s="7" t="s">
        <v>4585</v>
      </c>
      <c r="U639">
        <v>1</v>
      </c>
      <c r="V639" s="4">
        <v>391</v>
      </c>
      <c r="W639">
        <v>1</v>
      </c>
      <c r="X639" s="4">
        <v>400</v>
      </c>
      <c r="Y639">
        <v>1</v>
      </c>
      <c r="Z639" s="4">
        <v>405</v>
      </c>
      <c r="AA639">
        <v>1</v>
      </c>
      <c r="AB639" s="4" t="str">
        <f>HYPERLINK("http://exon.niaid.nih.gov/transcriptome/C_felis/S1/links/XC-ASB/cf-contig_481-XC-ASB.txt","XC-contig_171")</f>
        <v>XC-contig_171</v>
      </c>
      <c r="AC639">
        <v>0.14000000000000001</v>
      </c>
      <c r="AD639" s="10" t="s">
        <v>4600</v>
      </c>
      <c r="AE639" t="s">
        <v>4601</v>
      </c>
      <c r="AI639" s="4" t="str">
        <f>HYPERLINK("http://exon.niaid.nih.gov/transcriptome/C_felis/S1/links/NR/cf-contig_481-NR.txt","putative 26S protease regulatory subunit 70-like protein")</f>
        <v>putative 26S protease regulatory subunit 70-like protein</v>
      </c>
      <c r="AJ639" t="str">
        <f>HYPERLINK("http://www.ncbi.nlm.nih.gov/sutils/blink.cgi?pid=349592805","0.23")</f>
        <v>0.23</v>
      </c>
      <c r="AK639" t="str">
        <f>HYPERLINK("http://www.ncbi.nlm.nih.gov/protein/349592805","gi|349592805")</f>
        <v>gi|349592805</v>
      </c>
      <c r="AL639">
        <v>39.299999999999997</v>
      </c>
      <c r="AM639">
        <v>16</v>
      </c>
      <c r="AN639">
        <v>189</v>
      </c>
      <c r="AO639">
        <v>100</v>
      </c>
      <c r="AP639">
        <v>9</v>
      </c>
      <c r="AQ639">
        <v>0</v>
      </c>
      <c r="AR639">
        <v>0</v>
      </c>
      <c r="AS639">
        <v>173</v>
      </c>
      <c r="AT639">
        <v>19</v>
      </c>
      <c r="AU639">
        <v>1</v>
      </c>
      <c r="AV639">
        <v>1</v>
      </c>
      <c r="AW639" t="s">
        <v>12</v>
      </c>
      <c r="AY639" t="s">
        <v>1676</v>
      </c>
      <c r="AZ639" t="s">
        <v>3419</v>
      </c>
      <c r="BA639" s="4" t="str">
        <f>HYPERLINK("http://exon.niaid.nih.gov/transcriptome/C_felis/S1/links/SWISSP/cf-contig_481-SWISSP.txt","26S protease regulatory subunit 7")</f>
        <v>26S protease regulatory subunit 7</v>
      </c>
      <c r="BB639" t="str">
        <f>HYPERLINK("http://www.uniprot.org/uniprot/P46472","0.008")</f>
        <v>0.008</v>
      </c>
      <c r="BC639" t="s">
        <v>3420</v>
      </c>
      <c r="BD639">
        <v>39.299999999999997</v>
      </c>
      <c r="BE639">
        <v>16</v>
      </c>
      <c r="BF639">
        <v>433</v>
      </c>
      <c r="BG639">
        <v>100</v>
      </c>
      <c r="BH639">
        <v>4</v>
      </c>
      <c r="BI639">
        <v>0</v>
      </c>
      <c r="BJ639">
        <v>0</v>
      </c>
      <c r="BK639">
        <v>417</v>
      </c>
      <c r="BL639">
        <v>19</v>
      </c>
      <c r="BM639">
        <v>1</v>
      </c>
      <c r="BN639">
        <v>1</v>
      </c>
      <c r="BO639" t="s">
        <v>12</v>
      </c>
      <c r="BQ639" t="s">
        <v>1676</v>
      </c>
      <c r="BR639" t="s">
        <v>1832</v>
      </c>
      <c r="BS639" s="4" t="str">
        <f>HYPERLINK("http://exon.niaid.nih.gov/transcriptome/C_felis/S1/links/CDD/cf-contig_481-CDD.txt","PTKc_Srm_Brk")</f>
        <v>PTKc_Srm_Brk</v>
      </c>
      <c r="BT639" t="str">
        <f>HYPERLINK("http://www.ncbi.nlm.nih.gov/Structure/cdd/cddsrv.cgi?uid=cd05148&amp;version=v4.0","3.7")</f>
        <v>3.7</v>
      </c>
      <c r="BU639" t="s">
        <v>3421</v>
      </c>
      <c r="BV639" s="4" t="s">
        <v>42</v>
      </c>
      <c r="BW639" t="s">
        <v>42</v>
      </c>
      <c r="BX639" t="s">
        <v>42</v>
      </c>
      <c r="BY639" t="s">
        <v>42</v>
      </c>
      <c r="BZ639" t="s">
        <v>42</v>
      </c>
      <c r="CA639" t="s">
        <v>42</v>
      </c>
      <c r="CB639" t="s">
        <v>42</v>
      </c>
      <c r="CC639" t="s">
        <v>42</v>
      </c>
      <c r="CD639" t="s">
        <v>42</v>
      </c>
      <c r="CE639" t="s">
        <v>42</v>
      </c>
      <c r="CF639" t="s">
        <v>42</v>
      </c>
      <c r="CG639" t="s">
        <v>42</v>
      </c>
      <c r="CH639" t="s">
        <v>42</v>
      </c>
      <c r="CI639" t="s">
        <v>42</v>
      </c>
      <c r="CJ639" t="s">
        <v>42</v>
      </c>
      <c r="CK639" t="s">
        <v>42</v>
      </c>
      <c r="CL639" t="s">
        <v>42</v>
      </c>
      <c r="CM639" t="s">
        <v>42</v>
      </c>
      <c r="CN639" t="s">
        <v>42</v>
      </c>
      <c r="CO639" t="s">
        <v>42</v>
      </c>
      <c r="CP639" t="s">
        <v>42</v>
      </c>
      <c r="CQ639" t="s">
        <v>42</v>
      </c>
      <c r="CR639" t="s">
        <v>42</v>
      </c>
      <c r="CS639" s="4" t="str">
        <f>HYPERLINK("http://exon.niaid.nih.gov/transcriptome/C_felis/S1/links/KOG/cf-contig_481-KOG.txt","26S proteasome regulatory complex, ATPase RPT1")</f>
        <v>26S proteasome regulatory complex, ATPase RPT1</v>
      </c>
      <c r="CT639" t="str">
        <f>HYPERLINK("http://www.ncbi.nlm.nih.gov/COG/grace/shokog.cgi?KOG0729","8E-005")</f>
        <v>8E-005</v>
      </c>
      <c r="CU639" t="s">
        <v>2198</v>
      </c>
      <c r="CV639" s="4" t="str">
        <f>HYPERLINK("http://exon.niaid.nih.gov/transcriptome/C_felis/S1/links/PFAM/cf-contig_481-PFAM.txt","Phage_GPA")</f>
        <v>Phage_GPA</v>
      </c>
      <c r="CW639" t="str">
        <f>HYPERLINK("http://pfam.sanger.ac.uk/family?acc=PF05840","1.0")</f>
        <v>1.0</v>
      </c>
      <c r="CX639" s="4" t="str">
        <f>HYPERLINK("http://exon.niaid.nih.gov/transcriptome/C_felis/S1/links/SMART/cf-contig_481-SMART.txt","PI3K_C2")</f>
        <v>PI3K_C2</v>
      </c>
      <c r="CY639" t="str">
        <f>HYPERLINK("http://smart.embl-heidelberg.de/smart/do_annotation.pl?DOMAIN=PI3K_C2&amp;BLAST=DUMMY","1.1")</f>
        <v>1.1</v>
      </c>
      <c r="CZ639" s="4" t="s">
        <v>42</v>
      </c>
      <c r="DA639" t="s">
        <v>42</v>
      </c>
      <c r="DB639" t="s">
        <v>42</v>
      </c>
      <c r="DC639" t="s">
        <v>42</v>
      </c>
      <c r="DD639" t="s">
        <v>42</v>
      </c>
      <c r="DE639" t="s">
        <v>42</v>
      </c>
      <c r="DF639" t="s">
        <v>42</v>
      </c>
      <c r="DG639" t="s">
        <v>42</v>
      </c>
      <c r="DH639" s="4" t="s">
        <v>42</v>
      </c>
      <c r="DI639" t="s">
        <v>42</v>
      </c>
      <c r="DJ639" s="4" t="s">
        <v>42</v>
      </c>
      <c r="DK639" t="s">
        <v>42</v>
      </c>
      <c r="DL639" s="4">
        <v>391</v>
      </c>
      <c r="DM639">
        <v>1</v>
      </c>
      <c r="DN639" s="4">
        <v>400</v>
      </c>
      <c r="DO639">
        <v>1</v>
      </c>
      <c r="DP639" s="4">
        <v>405</v>
      </c>
      <c r="DQ639">
        <v>1</v>
      </c>
      <c r="DR639" s="4">
        <v>420</v>
      </c>
      <c r="DS639">
        <v>1</v>
      </c>
      <c r="DT639" s="4">
        <v>430</v>
      </c>
      <c r="DU639">
        <v>1</v>
      </c>
      <c r="DV639" s="4">
        <v>444</v>
      </c>
      <c r="DW639">
        <v>1</v>
      </c>
      <c r="DX639" s="4">
        <v>448</v>
      </c>
      <c r="DY639">
        <v>1</v>
      </c>
      <c r="DZ639" s="4">
        <v>455</v>
      </c>
      <c r="EA639">
        <v>1</v>
      </c>
      <c r="EB639" s="4">
        <v>460</v>
      </c>
      <c r="EC639">
        <v>1</v>
      </c>
      <c r="ED639" s="4">
        <v>464</v>
      </c>
      <c r="EE639">
        <v>1</v>
      </c>
      <c r="EF639" s="4">
        <v>469</v>
      </c>
      <c r="EG639">
        <v>1</v>
      </c>
      <c r="EH639" s="4">
        <v>475</v>
      </c>
      <c r="EI639">
        <v>1</v>
      </c>
      <c r="EJ639" s="4">
        <v>481</v>
      </c>
      <c r="EK639">
        <v>1</v>
      </c>
    </row>
    <row r="640" spans="1:141" x14ac:dyDescent="0.2">
      <c r="A640" t="str">
        <f>HYPERLINK("http://exon.niaid.nih.gov/transcriptome/C_felis/S1/links/cf/cf-contig_419.txt","cf-contig_419")</f>
        <v>cf-contig_419</v>
      </c>
      <c r="B640">
        <v>1</v>
      </c>
      <c r="C640" s="10" t="s">
        <v>4600</v>
      </c>
      <c r="D640">
        <v>1</v>
      </c>
      <c r="E640" t="str">
        <f>HYPERLINK("http://exon.niaid.nih.gov/transcriptome/C_felis/S1/links/cf/cf-5-36-asb-419.txt","Contig-419")</f>
        <v>Contig-419</v>
      </c>
      <c r="F640" t="str">
        <f>HYPERLINK("http://exon.niaid.nih.gov/transcriptome/C_felis/S1/links/cf/cf-5-36-419-CLU.txt","Contig419")</f>
        <v>Contig419</v>
      </c>
      <c r="G640" t="str">
        <f>HYPERLINK("http://exon.niaid.nih.gov/transcriptome/C_felis/S1/links/cf/cf-5-36-419-qual.txt","61.9")</f>
        <v>61.9</v>
      </c>
      <c r="H640" t="s">
        <v>11</v>
      </c>
      <c r="I640">
        <v>75.8</v>
      </c>
      <c r="J640">
        <v>266</v>
      </c>
      <c r="K640" t="s">
        <v>12</v>
      </c>
      <c r="L640">
        <v>1</v>
      </c>
      <c r="M640" t="s">
        <v>432</v>
      </c>
      <c r="N640">
        <v>266</v>
      </c>
      <c r="O640">
        <v>285</v>
      </c>
      <c r="P640">
        <v>87</v>
      </c>
      <c r="Q640" t="s">
        <v>1239</v>
      </c>
      <c r="R640">
        <v>1</v>
      </c>
      <c r="S640" s="7" t="s">
        <v>4585</v>
      </c>
      <c r="U640">
        <v>1</v>
      </c>
      <c r="V640" s="4">
        <v>341</v>
      </c>
      <c r="W640">
        <v>1</v>
      </c>
      <c r="X640" s="4">
        <v>350</v>
      </c>
      <c r="Y640">
        <v>1</v>
      </c>
      <c r="Z640" s="4">
        <v>353</v>
      </c>
      <c r="AA640">
        <v>1</v>
      </c>
      <c r="AB640" s="4" t="str">
        <f>HYPERLINK("http://exon.niaid.nih.gov/transcriptome/C_felis/S1/links/XC-ASB/cf-contig_419-XC-ASB.txt","XC-contig_171")</f>
        <v>XC-contig_171</v>
      </c>
      <c r="AC640">
        <v>1E-3</v>
      </c>
      <c r="AD640" s="10" t="s">
        <v>4600</v>
      </c>
      <c r="AE640" t="s">
        <v>4601</v>
      </c>
      <c r="AI640" s="4" t="str">
        <f>HYPERLINK("http://exon.niaid.nih.gov/transcriptome/C_felis/S1/links/NR/cf-contig_419-NR.txt","membrane bound O-acyl transferase MBOAT family protein")</f>
        <v>membrane bound O-acyl transferase MBOAT family protein</v>
      </c>
      <c r="AJ640" t="str">
        <f>HYPERLINK("http://www.ncbi.nlm.nih.gov/sutils/blink.cgi?pid=229917489","37")</f>
        <v>37</v>
      </c>
      <c r="AK640" t="str">
        <f>HYPERLINK("http://www.ncbi.nlm.nih.gov/protein/229917489","gi|229917489")</f>
        <v>gi|229917489</v>
      </c>
      <c r="AL640">
        <v>32</v>
      </c>
      <c r="AM640">
        <v>44</v>
      </c>
      <c r="AN640">
        <v>483</v>
      </c>
      <c r="AO640">
        <v>32</v>
      </c>
      <c r="AP640">
        <v>9</v>
      </c>
      <c r="AQ640">
        <v>31</v>
      </c>
      <c r="AR640">
        <v>0</v>
      </c>
      <c r="AS640">
        <v>11</v>
      </c>
      <c r="AT640">
        <v>70</v>
      </c>
      <c r="AU640">
        <v>1</v>
      </c>
      <c r="AV640">
        <v>1</v>
      </c>
      <c r="AW640" t="s">
        <v>12</v>
      </c>
      <c r="AX640">
        <v>4.5449999999999999</v>
      </c>
      <c r="AY640" t="s">
        <v>1676</v>
      </c>
      <c r="AZ640" t="s">
        <v>3166</v>
      </c>
      <c r="BA640" s="4" t="str">
        <f>HYPERLINK("http://exon.niaid.nih.gov/transcriptome/C_felis/S1/links/SWISSP/cf-contig_419-SWISSP.txt","DNA helicase/primase complex-associated protein")</f>
        <v>DNA helicase/primase complex-associated protein</v>
      </c>
      <c r="BB640" t="str">
        <f>HYPERLINK("http://www.uniprot.org/uniprot/P52376","52")</f>
        <v>52</v>
      </c>
      <c r="BC640" t="s">
        <v>3167</v>
      </c>
      <c r="BD640">
        <v>26.6</v>
      </c>
      <c r="BE640">
        <v>14</v>
      </c>
      <c r="BF640">
        <v>659</v>
      </c>
      <c r="BG640">
        <v>66</v>
      </c>
      <c r="BH640">
        <v>2</v>
      </c>
      <c r="BI640">
        <v>5</v>
      </c>
      <c r="BJ640">
        <v>0</v>
      </c>
      <c r="BK640">
        <v>33</v>
      </c>
      <c r="BL640">
        <v>215</v>
      </c>
      <c r="BM640">
        <v>1</v>
      </c>
      <c r="BN640">
        <v>-3</v>
      </c>
      <c r="BO640" t="s">
        <v>12</v>
      </c>
      <c r="BQ640" t="s">
        <v>1666</v>
      </c>
      <c r="BR640" t="s">
        <v>3168</v>
      </c>
      <c r="BS640" s="4" t="str">
        <f>HYPERLINK("http://exon.niaid.nih.gov/transcriptome/C_felis/S1/links/CDD/cf-contig_419-CDD.txt","NADH5_C")</f>
        <v>NADH5_C</v>
      </c>
      <c r="BT640" t="str">
        <f>HYPERLINK("http://www.ncbi.nlm.nih.gov/Structure/cdd/cddsrv.cgi?uid=pfam06455&amp;version=v4.0","0.41")</f>
        <v>0.41</v>
      </c>
      <c r="BU640" t="s">
        <v>3169</v>
      </c>
      <c r="BV640" s="4" t="s">
        <v>42</v>
      </c>
      <c r="BW640" t="s">
        <v>42</v>
      </c>
      <c r="BX640" t="s">
        <v>42</v>
      </c>
      <c r="BY640" t="s">
        <v>42</v>
      </c>
      <c r="BZ640" t="s">
        <v>42</v>
      </c>
      <c r="CA640" t="s">
        <v>42</v>
      </c>
      <c r="CB640" t="s">
        <v>42</v>
      </c>
      <c r="CC640" t="s">
        <v>42</v>
      </c>
      <c r="CD640" t="s">
        <v>42</v>
      </c>
      <c r="CE640" t="s">
        <v>42</v>
      </c>
      <c r="CF640" t="s">
        <v>42</v>
      </c>
      <c r="CG640" t="s">
        <v>42</v>
      </c>
      <c r="CH640" t="s">
        <v>42</v>
      </c>
      <c r="CI640" t="s">
        <v>42</v>
      </c>
      <c r="CJ640" t="s">
        <v>42</v>
      </c>
      <c r="CK640" t="s">
        <v>42</v>
      </c>
      <c r="CL640" t="s">
        <v>42</v>
      </c>
      <c r="CM640" t="s">
        <v>42</v>
      </c>
      <c r="CN640" t="s">
        <v>42</v>
      </c>
      <c r="CO640" t="s">
        <v>42</v>
      </c>
      <c r="CP640" t="s">
        <v>42</v>
      </c>
      <c r="CQ640" t="s">
        <v>42</v>
      </c>
      <c r="CR640" t="s">
        <v>42</v>
      </c>
      <c r="CS640" s="4" t="str">
        <f>HYPERLINK("http://exon.niaid.nih.gov/transcriptome/C_felis/S1/links/KOG/cf-contig_419-KOG.txt","Squalene monooxygenase")</f>
        <v>Squalene monooxygenase</v>
      </c>
      <c r="CT640" t="str">
        <f>HYPERLINK("http://www.ncbi.nlm.nih.gov/COG/grace/shokog.cgi?KOG1298","1.4")</f>
        <v>1.4</v>
      </c>
      <c r="CU640" t="s">
        <v>1761</v>
      </c>
      <c r="CV640" s="4" t="str">
        <f>HYPERLINK("http://exon.niaid.nih.gov/transcriptome/C_felis/S1/links/PFAM/cf-contig_419-PFAM.txt","NADH5_C")</f>
        <v>NADH5_C</v>
      </c>
      <c r="CW640" t="str">
        <f>HYPERLINK("http://pfam.sanger.ac.uk/family?acc=PF06455","0.087")</f>
        <v>0.087</v>
      </c>
      <c r="CX640" s="4" t="str">
        <f>HYPERLINK("http://exon.niaid.nih.gov/transcriptome/C_felis/S1/links/SMART/cf-contig_419-SMART.txt","Catalase")</f>
        <v>Catalase</v>
      </c>
      <c r="CY640" t="str">
        <f>HYPERLINK("http://smart.embl-heidelberg.de/smart/do_annotation.pl?DOMAIN=Catalase&amp;BLAST=DUMMY","0.085")</f>
        <v>0.085</v>
      </c>
      <c r="CZ640" s="4" t="s">
        <v>42</v>
      </c>
      <c r="DA640" t="s">
        <v>42</v>
      </c>
      <c r="DB640" t="s">
        <v>42</v>
      </c>
      <c r="DC640" t="s">
        <v>42</v>
      </c>
      <c r="DD640" t="s">
        <v>42</v>
      </c>
      <c r="DE640" t="s">
        <v>42</v>
      </c>
      <c r="DF640" t="s">
        <v>42</v>
      </c>
      <c r="DG640" t="s">
        <v>42</v>
      </c>
      <c r="DH640" s="4" t="s">
        <v>42</v>
      </c>
      <c r="DI640" t="s">
        <v>42</v>
      </c>
      <c r="DJ640" s="4" t="s">
        <v>42</v>
      </c>
      <c r="DK640" t="s">
        <v>42</v>
      </c>
      <c r="DL640" s="4">
        <v>341</v>
      </c>
      <c r="DM640">
        <v>1</v>
      </c>
      <c r="DN640" s="4">
        <v>350</v>
      </c>
      <c r="DO640">
        <v>1</v>
      </c>
      <c r="DP640" s="4">
        <v>353</v>
      </c>
      <c r="DQ640">
        <v>1</v>
      </c>
      <c r="DR640" s="4">
        <v>365</v>
      </c>
      <c r="DS640">
        <v>1</v>
      </c>
      <c r="DT640" s="4">
        <v>375</v>
      </c>
      <c r="DU640">
        <v>1</v>
      </c>
      <c r="DV640" s="4">
        <v>388</v>
      </c>
      <c r="DW640">
        <v>1</v>
      </c>
      <c r="DX640" s="4">
        <v>391</v>
      </c>
      <c r="DY640">
        <v>1</v>
      </c>
      <c r="DZ640" s="4">
        <v>396</v>
      </c>
      <c r="EA640">
        <v>1</v>
      </c>
      <c r="EB640" s="4">
        <v>401</v>
      </c>
      <c r="EC640">
        <v>1</v>
      </c>
      <c r="ED640" s="4">
        <v>405</v>
      </c>
      <c r="EE640">
        <v>1</v>
      </c>
      <c r="EF640" s="4">
        <v>410</v>
      </c>
      <c r="EG640">
        <v>1</v>
      </c>
      <c r="EH640" s="4">
        <v>413</v>
      </c>
      <c r="EI640">
        <v>1</v>
      </c>
      <c r="EJ640" s="4">
        <v>419</v>
      </c>
      <c r="EK640">
        <v>1</v>
      </c>
    </row>
    <row r="641" spans="1:141" x14ac:dyDescent="0.2">
      <c r="A641" t="str">
        <f>HYPERLINK("http://exon.niaid.nih.gov/transcriptome/C_felis/S1/links/cf/cf-contig_483.txt","cf-contig_483")</f>
        <v>cf-contig_483</v>
      </c>
      <c r="B641">
        <v>1</v>
      </c>
      <c r="C641" s="10" t="s">
        <v>4600</v>
      </c>
      <c r="D641">
        <v>1</v>
      </c>
      <c r="E641" t="str">
        <f>HYPERLINK("http://exon.niaid.nih.gov/transcriptome/C_felis/S1/links/cf/cf-5-36-asb-483.txt","Contig-483")</f>
        <v>Contig-483</v>
      </c>
      <c r="F641" t="str">
        <f>HYPERLINK("http://exon.niaid.nih.gov/transcriptome/C_felis/S1/links/cf/cf-5-36-483-CLU.txt","Contig483")</f>
        <v>Contig483</v>
      </c>
      <c r="G641" t="str">
        <f>HYPERLINK("http://exon.niaid.nih.gov/transcriptome/C_felis/S1/links/cf/cf-5-36-483-qual.txt","59.9")</f>
        <v>59.9</v>
      </c>
      <c r="H641" t="s">
        <v>11</v>
      </c>
      <c r="I641">
        <v>82.4</v>
      </c>
      <c r="J641">
        <v>106</v>
      </c>
      <c r="K641" t="s">
        <v>12</v>
      </c>
      <c r="L641">
        <v>1</v>
      </c>
      <c r="M641" t="s">
        <v>496</v>
      </c>
      <c r="N641">
        <v>106</v>
      </c>
      <c r="O641">
        <v>125</v>
      </c>
      <c r="P641">
        <v>72</v>
      </c>
      <c r="Q641" t="s">
        <v>1302</v>
      </c>
      <c r="R641">
        <v>3</v>
      </c>
      <c r="S641" s="7" t="s">
        <v>4585</v>
      </c>
      <c r="U641">
        <v>1</v>
      </c>
      <c r="V641" s="4">
        <v>393</v>
      </c>
      <c r="W641">
        <v>1</v>
      </c>
      <c r="X641" s="4">
        <v>402</v>
      </c>
      <c r="Y641">
        <v>1</v>
      </c>
      <c r="Z641" s="4">
        <v>407</v>
      </c>
      <c r="AA641">
        <v>1</v>
      </c>
      <c r="AB641" s="4" t="str">
        <f>HYPERLINK("http://exon.niaid.nih.gov/transcriptome/C_felis/S1/links/XC-ASB/cf-contig_483-XC-ASB.txt","XC-contig_97")</f>
        <v>XC-contig_97</v>
      </c>
      <c r="AC641">
        <v>0.31</v>
      </c>
      <c r="AD641" s="10" t="s">
        <v>4600</v>
      </c>
      <c r="AE641" t="s">
        <v>4601</v>
      </c>
      <c r="AI641" s="4" t="str">
        <f>HYPERLINK("http://exon.niaid.nih.gov/transcriptome/C_felis/S1/links/NR/cf-contig_483-NR.txt","hypothetical protein Fisuc_0078")</f>
        <v>hypothetical protein Fisuc_0078</v>
      </c>
      <c r="AJ641" t="str">
        <f>HYPERLINK("http://www.ncbi.nlm.nih.gov/sutils/blink.cgi?pid=261414492","80")</f>
        <v>80</v>
      </c>
      <c r="AK641" t="str">
        <f>HYPERLINK("http://www.ncbi.nlm.nih.gov/protein/261414492","gi|261414492")</f>
        <v>gi|261414492</v>
      </c>
      <c r="AL641">
        <v>30.8</v>
      </c>
      <c r="AM641">
        <v>23</v>
      </c>
      <c r="AN641">
        <v>172</v>
      </c>
      <c r="AO641">
        <v>54</v>
      </c>
      <c r="AP641">
        <v>14</v>
      </c>
      <c r="AQ641">
        <v>11</v>
      </c>
      <c r="AR641">
        <v>0</v>
      </c>
      <c r="AS641">
        <v>118</v>
      </c>
      <c r="AT641">
        <v>32</v>
      </c>
      <c r="AU641">
        <v>1</v>
      </c>
      <c r="AV641">
        <v>-2</v>
      </c>
      <c r="AW641" t="s">
        <v>12</v>
      </c>
      <c r="AY641" t="s">
        <v>1666</v>
      </c>
      <c r="AZ641" t="s">
        <v>3426</v>
      </c>
      <c r="BA641" s="4" t="str">
        <f>HYPERLINK("http://exon.niaid.nih.gov/transcriptome/C_felis/S1/links/SWISSP/cf-contig_483-SWISSP.txt","Putative pre-rRNA-processing protein esf2")</f>
        <v>Putative pre-rRNA-processing protein esf2</v>
      </c>
      <c r="BB641" t="str">
        <f>HYPERLINK("http://www.uniprot.org/uniprot/Q54BL2","53")</f>
        <v>53</v>
      </c>
      <c r="BC641" t="s">
        <v>3427</v>
      </c>
      <c r="BD641">
        <v>26.6</v>
      </c>
      <c r="BE641">
        <v>25</v>
      </c>
      <c r="BF641">
        <v>296</v>
      </c>
      <c r="BG641">
        <v>42</v>
      </c>
      <c r="BH641">
        <v>9</v>
      </c>
      <c r="BI641">
        <v>15</v>
      </c>
      <c r="BJ641">
        <v>0</v>
      </c>
      <c r="BK641">
        <v>112</v>
      </c>
      <c r="BL641">
        <v>17</v>
      </c>
      <c r="BM641">
        <v>1</v>
      </c>
      <c r="BN641">
        <v>-2</v>
      </c>
      <c r="BO641" t="s">
        <v>12</v>
      </c>
      <c r="BQ641" t="s">
        <v>1666</v>
      </c>
      <c r="BR641" t="s">
        <v>1976</v>
      </c>
      <c r="BS641" s="4" t="str">
        <f>HYPERLINK("http://exon.niaid.nih.gov/transcriptome/C_felis/S1/links/CDD/cf-contig_483-CDD.txt","RimK")</f>
        <v>RimK</v>
      </c>
      <c r="BT641" t="str">
        <f>HYPERLINK("http://www.ncbi.nlm.nih.gov/Structure/cdd/cddsrv.cgi?uid=COG0189&amp;version=v4.0","5.7")</f>
        <v>5.7</v>
      </c>
      <c r="BU641" t="s">
        <v>3428</v>
      </c>
      <c r="BV641" s="4" t="s">
        <v>42</v>
      </c>
      <c r="BW641" t="s">
        <v>42</v>
      </c>
      <c r="BX641" t="s">
        <v>42</v>
      </c>
      <c r="BY641" t="s">
        <v>42</v>
      </c>
      <c r="BZ641" t="s">
        <v>42</v>
      </c>
      <c r="CA641" t="s">
        <v>42</v>
      </c>
      <c r="CB641" t="s">
        <v>42</v>
      </c>
      <c r="CC641" t="s">
        <v>42</v>
      </c>
      <c r="CD641" t="s">
        <v>42</v>
      </c>
      <c r="CE641" t="s">
        <v>42</v>
      </c>
      <c r="CF641" t="s">
        <v>42</v>
      </c>
      <c r="CG641" t="s">
        <v>42</v>
      </c>
      <c r="CH641" t="s">
        <v>42</v>
      </c>
      <c r="CI641" t="s">
        <v>42</v>
      </c>
      <c r="CJ641" t="s">
        <v>42</v>
      </c>
      <c r="CK641" t="s">
        <v>42</v>
      </c>
      <c r="CL641" t="s">
        <v>42</v>
      </c>
      <c r="CM641" t="s">
        <v>42</v>
      </c>
      <c r="CN641" t="s">
        <v>42</v>
      </c>
      <c r="CO641" t="s">
        <v>42</v>
      </c>
      <c r="CP641" t="s">
        <v>42</v>
      </c>
      <c r="CQ641" t="s">
        <v>42</v>
      </c>
      <c r="CR641" t="s">
        <v>42</v>
      </c>
      <c r="CS641" s="4" t="s">
        <v>42</v>
      </c>
      <c r="CT641" t="s">
        <v>42</v>
      </c>
      <c r="CU641" t="s">
        <v>42</v>
      </c>
      <c r="CV641" s="4" t="str">
        <f>HYPERLINK("http://exon.niaid.nih.gov/transcriptome/C_felis/S1/links/PFAM/cf-contig_483-PFAM.txt","SRI")</f>
        <v>SRI</v>
      </c>
      <c r="CW641" t="str">
        <f>HYPERLINK("http://pfam.sanger.ac.uk/family?acc=PF08236","4.6")</f>
        <v>4.6</v>
      </c>
      <c r="CX641" s="4" t="str">
        <f>HYPERLINK("http://exon.niaid.nih.gov/transcriptome/C_felis/S1/links/SMART/cf-contig_483-SMART.txt","CBM_3")</f>
        <v>CBM_3</v>
      </c>
      <c r="CY641" t="str">
        <f>HYPERLINK("http://smart.embl-heidelberg.de/smart/do_annotation.pl?DOMAIN=CBM_3&amp;BLAST=DUMMY","0.77")</f>
        <v>0.77</v>
      </c>
      <c r="CZ641" s="4" t="s">
        <v>42</v>
      </c>
      <c r="DA641" t="s">
        <v>42</v>
      </c>
      <c r="DB641" t="s">
        <v>42</v>
      </c>
      <c r="DC641" t="s">
        <v>42</v>
      </c>
      <c r="DD641" t="s">
        <v>42</v>
      </c>
      <c r="DE641" t="s">
        <v>42</v>
      </c>
      <c r="DF641" t="s">
        <v>42</v>
      </c>
      <c r="DG641" t="s">
        <v>42</v>
      </c>
      <c r="DH641" s="4" t="s">
        <v>42</v>
      </c>
      <c r="DI641" t="s">
        <v>42</v>
      </c>
      <c r="DJ641" s="4" t="s">
        <v>42</v>
      </c>
      <c r="DK641" t="s">
        <v>42</v>
      </c>
      <c r="DL641" s="4">
        <v>393</v>
      </c>
      <c r="DM641">
        <v>1</v>
      </c>
      <c r="DN641" s="4">
        <v>402</v>
      </c>
      <c r="DO641">
        <v>1</v>
      </c>
      <c r="DP641" s="4">
        <v>407</v>
      </c>
      <c r="DQ641">
        <v>1</v>
      </c>
      <c r="DR641" s="4">
        <v>422</v>
      </c>
      <c r="DS641">
        <v>1</v>
      </c>
      <c r="DT641" s="4">
        <v>432</v>
      </c>
      <c r="DU641">
        <v>1</v>
      </c>
      <c r="DV641" s="4">
        <v>446</v>
      </c>
      <c r="DW641">
        <v>1</v>
      </c>
      <c r="DX641" s="4">
        <v>450</v>
      </c>
      <c r="DY641">
        <v>1</v>
      </c>
      <c r="DZ641" s="4">
        <v>457</v>
      </c>
      <c r="EA641">
        <v>1</v>
      </c>
      <c r="EB641" s="4">
        <v>462</v>
      </c>
      <c r="EC641">
        <v>1</v>
      </c>
      <c r="ED641" s="4">
        <v>466</v>
      </c>
      <c r="EE641">
        <v>1</v>
      </c>
      <c r="EF641" s="4">
        <v>471</v>
      </c>
      <c r="EG641">
        <v>1</v>
      </c>
      <c r="EH641" s="4">
        <v>477</v>
      </c>
      <c r="EI641">
        <v>1</v>
      </c>
      <c r="EJ641" s="4">
        <v>483</v>
      </c>
      <c r="EK641">
        <v>1</v>
      </c>
    </row>
    <row r="642" spans="1:141" x14ac:dyDescent="0.2">
      <c r="A642" t="str">
        <f>HYPERLINK("http://exon.niaid.nih.gov/transcriptome/C_felis/S1/links/cf/cf-contig_381.txt","cf-contig_381")</f>
        <v>cf-contig_381</v>
      </c>
      <c r="B642">
        <v>1</v>
      </c>
      <c r="C642" s="10" t="s">
        <v>4600</v>
      </c>
      <c r="D642">
        <v>1</v>
      </c>
      <c r="E642" t="str">
        <f>HYPERLINK("http://exon.niaid.nih.gov/transcriptome/C_felis/S1/links/cf/cf-5-36-asb-381.txt","Contig-381")</f>
        <v>Contig-381</v>
      </c>
      <c r="F642" t="str">
        <f>HYPERLINK("http://exon.niaid.nih.gov/transcriptome/C_felis/S1/links/cf/cf-5-36-381-CLU.txt","Contig381")</f>
        <v>Contig381</v>
      </c>
      <c r="G642" t="str">
        <f>HYPERLINK("http://exon.niaid.nih.gov/transcriptome/C_felis/S1/links/cf/cf-5-36-381-qual.txt","65.8")</f>
        <v>65.8</v>
      </c>
      <c r="H642" t="s">
        <v>11</v>
      </c>
      <c r="I642">
        <v>75.3</v>
      </c>
      <c r="J642">
        <v>398</v>
      </c>
      <c r="K642" t="s">
        <v>12</v>
      </c>
      <c r="L642">
        <v>1</v>
      </c>
      <c r="M642" t="s">
        <v>394</v>
      </c>
      <c r="N642">
        <v>398</v>
      </c>
      <c r="O642">
        <v>417</v>
      </c>
      <c r="P642">
        <v>150</v>
      </c>
      <c r="Q642" t="s">
        <v>1201</v>
      </c>
      <c r="R642">
        <v>2</v>
      </c>
      <c r="S642" s="7" t="s">
        <v>4585</v>
      </c>
      <c r="U642">
        <v>1</v>
      </c>
      <c r="V642" s="4">
        <v>310</v>
      </c>
      <c r="W642">
        <v>1</v>
      </c>
      <c r="X642" s="4">
        <v>317</v>
      </c>
      <c r="Y642">
        <v>1</v>
      </c>
      <c r="Z642" s="4">
        <v>318</v>
      </c>
      <c r="AA642">
        <v>1</v>
      </c>
      <c r="AB642" s="4" t="str">
        <f>HYPERLINK("http://exon.niaid.nih.gov/transcriptome/C_felis/S1/links/XC-ASB/cf-contig_381-XC-ASB.txt","XC-contig_209")</f>
        <v>XC-contig_209</v>
      </c>
      <c r="AC642">
        <v>9.4E-2</v>
      </c>
      <c r="AD642" s="10" t="s">
        <v>4600</v>
      </c>
      <c r="AE642" t="s">
        <v>4601</v>
      </c>
      <c r="AI642" s="4" t="str">
        <f>HYPERLINK("http://exon.niaid.nih.gov/transcriptome/C_felis/S1/links/NR/cf-contig_381-NR.txt","membrane protein of unknown function")</f>
        <v>membrane protein of unknown function</v>
      </c>
      <c r="AJ642" t="str">
        <f>HYPERLINK("http://www.ncbi.nlm.nih.gov/sutils/blink.cgi?pid=332678555","0.84")</f>
        <v>0.84</v>
      </c>
      <c r="AK642" t="str">
        <f>HYPERLINK("http://www.ncbi.nlm.nih.gov/protein/332678555","gi|332678555")</f>
        <v>gi|332678555</v>
      </c>
      <c r="AL642">
        <v>37.4</v>
      </c>
      <c r="AM642">
        <v>52</v>
      </c>
      <c r="AN642">
        <v>443</v>
      </c>
      <c r="AO642">
        <v>33</v>
      </c>
      <c r="AP642">
        <v>12</v>
      </c>
      <c r="AQ642">
        <v>35</v>
      </c>
      <c r="AR642">
        <v>4</v>
      </c>
      <c r="AS642">
        <v>88</v>
      </c>
      <c r="AT642">
        <v>240</v>
      </c>
      <c r="AU642">
        <v>1</v>
      </c>
      <c r="AV642">
        <v>3</v>
      </c>
      <c r="AW642" t="s">
        <v>12</v>
      </c>
      <c r="AX642">
        <v>5.7690000000000001</v>
      </c>
      <c r="AY642" t="s">
        <v>1676</v>
      </c>
      <c r="AZ642" t="s">
        <v>3018</v>
      </c>
      <c r="BA642" s="4" t="str">
        <f>HYPERLINK("http://exon.niaid.nih.gov/transcriptome/C_felis/S1/links/SWISSP/cf-contig_381-SWISSP.txt","WD repeat-containing protein 48 homolog")</f>
        <v>WD repeat-containing protein 48 homolog</v>
      </c>
      <c r="BB642" t="str">
        <f>HYPERLINK("http://www.uniprot.org/uniprot/Q54ZP5","5.1")</f>
        <v>5.1</v>
      </c>
      <c r="BC642" t="s">
        <v>3019</v>
      </c>
      <c r="BD642">
        <v>25</v>
      </c>
      <c r="BE642">
        <v>43</v>
      </c>
      <c r="BF642">
        <v>1172</v>
      </c>
      <c r="BG642">
        <v>60</v>
      </c>
      <c r="BH642">
        <v>4</v>
      </c>
      <c r="BI642">
        <v>6</v>
      </c>
      <c r="BJ642">
        <v>0</v>
      </c>
      <c r="BK642">
        <v>734</v>
      </c>
      <c r="BL642">
        <v>16</v>
      </c>
      <c r="BM642">
        <v>2</v>
      </c>
      <c r="BN642">
        <v>-1</v>
      </c>
      <c r="BO642" t="s">
        <v>12</v>
      </c>
      <c r="BQ642" t="s">
        <v>1666</v>
      </c>
      <c r="BR642" t="s">
        <v>1976</v>
      </c>
      <c r="BS642" s="4" t="str">
        <f>HYPERLINK("http://exon.niaid.nih.gov/transcriptome/C_felis/S1/links/CDD/cf-contig_381-CDD.txt","ND5")</f>
        <v>ND5</v>
      </c>
      <c r="BT642" t="str">
        <f>HYPERLINK("http://www.ncbi.nlm.nih.gov/Structure/cdd/cddsrv.cgi?uid=MTH00165&amp;version=v4.0","0.11")</f>
        <v>0.11</v>
      </c>
      <c r="BU642" t="s">
        <v>3020</v>
      </c>
      <c r="BV642" s="4" t="s">
        <v>42</v>
      </c>
      <c r="BW642" t="s">
        <v>42</v>
      </c>
      <c r="BX642" t="s">
        <v>42</v>
      </c>
      <c r="BY642" t="s">
        <v>42</v>
      </c>
      <c r="BZ642" t="s">
        <v>42</v>
      </c>
      <c r="CA642" t="s">
        <v>42</v>
      </c>
      <c r="CB642" t="s">
        <v>42</v>
      </c>
      <c r="CC642" t="s">
        <v>42</v>
      </c>
      <c r="CD642" t="s">
        <v>42</v>
      </c>
      <c r="CE642" t="s">
        <v>42</v>
      </c>
      <c r="CF642" t="s">
        <v>42</v>
      </c>
      <c r="CG642" t="s">
        <v>42</v>
      </c>
      <c r="CH642" t="s">
        <v>42</v>
      </c>
      <c r="CI642" t="s">
        <v>42</v>
      </c>
      <c r="CJ642" t="s">
        <v>42</v>
      </c>
      <c r="CK642" t="s">
        <v>42</v>
      </c>
      <c r="CL642" t="s">
        <v>42</v>
      </c>
      <c r="CM642" t="s">
        <v>42</v>
      </c>
      <c r="CN642" t="s">
        <v>42</v>
      </c>
      <c r="CO642" t="s">
        <v>42</v>
      </c>
      <c r="CP642" t="s">
        <v>42</v>
      </c>
      <c r="CQ642" t="s">
        <v>42</v>
      </c>
      <c r="CR642" t="s">
        <v>42</v>
      </c>
      <c r="CS642" s="4" t="str">
        <f>HYPERLINK("http://exon.niaid.nih.gov/transcriptome/C_felis/S1/links/KOG/cf-contig_381-KOG.txt","Predicted membrane protein")</f>
        <v>Predicted membrane protein</v>
      </c>
      <c r="CT642" t="str">
        <f>HYPERLINK("http://www.ncbi.nlm.nih.gov/COG/grace/shokog.cgi?KOG2846","0.35")</f>
        <v>0.35</v>
      </c>
      <c r="CU642" t="s">
        <v>1711</v>
      </c>
      <c r="CV642" s="4" t="str">
        <f>HYPERLINK("http://exon.niaid.nih.gov/transcriptome/C_felis/S1/links/PFAM/cf-contig_381-PFAM.txt","N1221")</f>
        <v>N1221</v>
      </c>
      <c r="CW642" t="str">
        <f>HYPERLINK("http://pfam.sanger.ac.uk/family?acc=PF07923","0.050")</f>
        <v>0.050</v>
      </c>
      <c r="CX642" s="4" t="str">
        <f>HYPERLINK("http://exon.niaid.nih.gov/transcriptome/C_felis/S1/links/SMART/cf-contig_381-SMART.txt","CLH")</f>
        <v>CLH</v>
      </c>
      <c r="CY642" t="str">
        <f>HYPERLINK("http://smart.embl-heidelberg.de/smart/do_annotation.pl?DOMAIN=CLH&amp;BLAST=DUMMY","0.16")</f>
        <v>0.16</v>
      </c>
      <c r="CZ642" s="4" t="s">
        <v>42</v>
      </c>
      <c r="DA642" t="s">
        <v>42</v>
      </c>
      <c r="DB642" t="s">
        <v>42</v>
      </c>
      <c r="DC642" t="s">
        <v>42</v>
      </c>
      <c r="DD642" t="s">
        <v>42</v>
      </c>
      <c r="DE642" t="s">
        <v>42</v>
      </c>
      <c r="DF642" t="s">
        <v>42</v>
      </c>
      <c r="DG642" t="s">
        <v>42</v>
      </c>
      <c r="DH642" s="4" t="s">
        <v>42</v>
      </c>
      <c r="DI642" t="s">
        <v>42</v>
      </c>
      <c r="DJ642" s="4" t="s">
        <v>42</v>
      </c>
      <c r="DK642" t="s">
        <v>42</v>
      </c>
      <c r="DL642" s="4">
        <v>310</v>
      </c>
      <c r="DM642">
        <v>1</v>
      </c>
      <c r="DN642" s="4">
        <v>317</v>
      </c>
      <c r="DO642">
        <v>1</v>
      </c>
      <c r="DP642" s="4">
        <v>318</v>
      </c>
      <c r="DQ642">
        <v>1</v>
      </c>
      <c r="DR642" s="4">
        <v>329</v>
      </c>
      <c r="DS642">
        <v>1</v>
      </c>
      <c r="DT642" s="4">
        <v>339</v>
      </c>
      <c r="DU642">
        <v>1</v>
      </c>
      <c r="DV642" s="4">
        <v>352</v>
      </c>
      <c r="DW642">
        <v>1</v>
      </c>
      <c r="DX642" s="4">
        <v>355</v>
      </c>
      <c r="DY642">
        <v>1</v>
      </c>
      <c r="DZ642" s="4">
        <v>360</v>
      </c>
      <c r="EA642">
        <v>1</v>
      </c>
      <c r="EB642" s="4">
        <v>365</v>
      </c>
      <c r="EC642">
        <v>1</v>
      </c>
      <c r="ED642" s="4">
        <v>369</v>
      </c>
      <c r="EE642">
        <v>1</v>
      </c>
      <c r="EF642" s="4">
        <v>374</v>
      </c>
      <c r="EG642">
        <v>1</v>
      </c>
      <c r="EH642" s="4">
        <v>376</v>
      </c>
      <c r="EI642">
        <v>1</v>
      </c>
      <c r="EJ642" s="4">
        <v>381</v>
      </c>
      <c r="EK642">
        <v>1</v>
      </c>
    </row>
    <row r="643" spans="1:141" x14ac:dyDescent="0.2">
      <c r="A643" t="str">
        <f>HYPERLINK("http://exon.niaid.nih.gov/transcriptome/C_felis/S1/links/cf/cf-contig_383.txt","cf-contig_383")</f>
        <v>cf-contig_383</v>
      </c>
      <c r="B643">
        <v>1</v>
      </c>
      <c r="C643" s="10" t="s">
        <v>4600</v>
      </c>
      <c r="D643">
        <v>1</v>
      </c>
      <c r="E643" t="str">
        <f>HYPERLINK("http://exon.niaid.nih.gov/transcriptome/C_felis/S1/links/cf/cf-5-36-asb-383.txt","Contig-383")</f>
        <v>Contig-383</v>
      </c>
      <c r="F643" t="str">
        <f>HYPERLINK("http://exon.niaid.nih.gov/transcriptome/C_felis/S1/links/cf/cf-5-36-383-CLU.txt","Contig383")</f>
        <v>Contig383</v>
      </c>
      <c r="G643" t="str">
        <f>HYPERLINK("http://exon.niaid.nih.gov/transcriptome/C_felis/S1/links/cf/cf-5-36-383-qual.txt","62.7")</f>
        <v>62.7</v>
      </c>
      <c r="H643" t="s">
        <v>11</v>
      </c>
      <c r="I643">
        <v>72.400000000000006</v>
      </c>
      <c r="J643">
        <v>456</v>
      </c>
      <c r="K643" t="s">
        <v>12</v>
      </c>
      <c r="L643">
        <v>1</v>
      </c>
      <c r="M643" t="s">
        <v>396</v>
      </c>
      <c r="N643">
        <v>456</v>
      </c>
      <c r="O643">
        <v>475</v>
      </c>
      <c r="P643">
        <v>117</v>
      </c>
      <c r="Q643" t="s">
        <v>1203</v>
      </c>
      <c r="R643">
        <v>2</v>
      </c>
      <c r="S643" s="7" t="s">
        <v>4585</v>
      </c>
      <c r="U643">
        <v>1</v>
      </c>
      <c r="V643" s="4">
        <v>311</v>
      </c>
      <c r="W643">
        <v>1</v>
      </c>
      <c r="X643" s="4">
        <v>319</v>
      </c>
      <c r="Y643">
        <v>1</v>
      </c>
      <c r="Z643" s="4">
        <v>320</v>
      </c>
      <c r="AA643">
        <v>1</v>
      </c>
      <c r="AB643" s="4" t="str">
        <f>HYPERLINK("http://exon.niaid.nih.gov/transcriptome/C_felis/S1/links/XC-ASB/cf-contig_383-XC-ASB.txt","XC-contig_44")</f>
        <v>XC-contig_44</v>
      </c>
      <c r="AC643">
        <v>0.13</v>
      </c>
      <c r="AD643" s="10" t="s">
        <v>4600</v>
      </c>
      <c r="AE643" t="s">
        <v>4601</v>
      </c>
      <c r="AI643" s="4" t="str">
        <f>HYPERLINK("http://exon.niaid.nih.gov/transcriptome/C_felis/S1/links/NR/cf-contig_383-NR.txt","hypothetical protein HMPREF0404_00503")</f>
        <v>hypothetical protein HMPREF0404_00503</v>
      </c>
      <c r="AJ643" t="str">
        <f>HYPERLINK("http://www.ncbi.nlm.nih.gov/sutils/blink.cgi?pid=336400433","0.65")</f>
        <v>0.65</v>
      </c>
      <c r="AK643" t="str">
        <f>HYPERLINK("http://www.ncbi.nlm.nih.gov/protein/336400433","gi|336400433")</f>
        <v>gi|336400433</v>
      </c>
      <c r="AL643">
        <v>37.700000000000003</v>
      </c>
      <c r="AM643">
        <v>103</v>
      </c>
      <c r="AN643">
        <v>579</v>
      </c>
      <c r="AO643">
        <v>33</v>
      </c>
      <c r="AP643">
        <v>18</v>
      </c>
      <c r="AQ643">
        <v>74</v>
      </c>
      <c r="AR643">
        <v>15</v>
      </c>
      <c r="AS643">
        <v>315</v>
      </c>
      <c r="AT643">
        <v>167</v>
      </c>
      <c r="AU643">
        <v>1</v>
      </c>
      <c r="AV643">
        <v>-1</v>
      </c>
      <c r="AW643" t="s">
        <v>12</v>
      </c>
      <c r="AX643">
        <v>2.9129999999999998</v>
      </c>
      <c r="AY643" t="s">
        <v>1666</v>
      </c>
      <c r="AZ643" t="s">
        <v>3023</v>
      </c>
      <c r="BA643" s="4" t="str">
        <f>HYPERLINK("http://exon.niaid.nih.gov/transcriptome/C_felis/S1/links/SWISSP/cf-contig_383-SWISSP.txt","RNA-binding protein cabeza")</f>
        <v>RNA-binding protein cabeza</v>
      </c>
      <c r="BB643" t="str">
        <f>HYPERLINK("http://www.uniprot.org/uniprot/Q27294","1.3")</f>
        <v>1.3</v>
      </c>
      <c r="BC643" t="s">
        <v>3024</v>
      </c>
      <c r="BD643">
        <v>32.299999999999997</v>
      </c>
      <c r="BE643">
        <v>61</v>
      </c>
      <c r="BF643">
        <v>399</v>
      </c>
      <c r="BG643">
        <v>55</v>
      </c>
      <c r="BH643">
        <v>16</v>
      </c>
      <c r="BI643">
        <v>13</v>
      </c>
      <c r="BJ643">
        <v>2</v>
      </c>
      <c r="BK643">
        <v>314</v>
      </c>
      <c r="BL643">
        <v>7</v>
      </c>
      <c r="BM643">
        <v>2</v>
      </c>
      <c r="BN643">
        <v>1</v>
      </c>
      <c r="BO643" t="s">
        <v>12</v>
      </c>
      <c r="BQ643" t="s">
        <v>1676</v>
      </c>
      <c r="BR643" t="s">
        <v>1804</v>
      </c>
      <c r="BS643" s="4" t="str">
        <f>HYPERLINK("http://exon.niaid.nih.gov/transcriptome/C_felis/S1/links/CDD/cf-contig_383-CDD.txt","PRK14613")</f>
        <v>PRK14613</v>
      </c>
      <c r="BT643" t="str">
        <f>HYPERLINK("http://www.ncbi.nlm.nih.gov/Structure/cdd/cddsrv.cgi?uid=PRK14613&amp;version=v4.0","0.22")</f>
        <v>0.22</v>
      </c>
      <c r="BU643" t="s">
        <v>3025</v>
      </c>
      <c r="BV643" s="4" t="s">
        <v>42</v>
      </c>
      <c r="BW643" t="s">
        <v>42</v>
      </c>
      <c r="BX643" t="s">
        <v>42</v>
      </c>
      <c r="BY643" t="s">
        <v>42</v>
      </c>
      <c r="BZ643" t="s">
        <v>42</v>
      </c>
      <c r="CA643" t="s">
        <v>42</v>
      </c>
      <c r="CB643" t="s">
        <v>42</v>
      </c>
      <c r="CC643" t="s">
        <v>42</v>
      </c>
      <c r="CD643" t="s">
        <v>42</v>
      </c>
      <c r="CE643" t="s">
        <v>42</v>
      </c>
      <c r="CF643" t="s">
        <v>42</v>
      </c>
      <c r="CG643" t="s">
        <v>42</v>
      </c>
      <c r="CH643" t="s">
        <v>42</v>
      </c>
      <c r="CI643" t="s">
        <v>42</v>
      </c>
      <c r="CJ643" t="s">
        <v>42</v>
      </c>
      <c r="CK643" t="s">
        <v>42</v>
      </c>
      <c r="CL643" t="s">
        <v>42</v>
      </c>
      <c r="CM643" t="s">
        <v>42</v>
      </c>
      <c r="CN643" t="s">
        <v>42</v>
      </c>
      <c r="CO643" t="s">
        <v>42</v>
      </c>
      <c r="CP643" t="s">
        <v>42</v>
      </c>
      <c r="CQ643" t="s">
        <v>42</v>
      </c>
      <c r="CR643" t="s">
        <v>42</v>
      </c>
      <c r="CS643" s="4" t="str">
        <f>HYPERLINK("http://exon.niaid.nih.gov/transcriptome/C_felis/S1/links/KOG/cf-contig_383-KOG.txt","Transcription regulator dachshund, contains SKI/SNO domain")</f>
        <v>Transcription regulator dachshund, contains SKI/SNO domain</v>
      </c>
      <c r="CT643" t="str">
        <f>HYPERLINK("http://www.ncbi.nlm.nih.gov/COG/grace/shokog.cgi?KOG3915","1.1")</f>
        <v>1.1</v>
      </c>
      <c r="CU643" t="s">
        <v>1692</v>
      </c>
      <c r="CV643" s="4" t="str">
        <f>HYPERLINK("http://exon.niaid.nih.gov/transcriptome/C_felis/S1/links/PFAM/cf-contig_383-PFAM.txt","DUF647")</f>
        <v>DUF647</v>
      </c>
      <c r="CW643" t="str">
        <f>HYPERLINK("http://pfam.sanger.ac.uk/family?acc=PF04884","0.27")</f>
        <v>0.27</v>
      </c>
      <c r="CX643" s="4" t="str">
        <f>HYPERLINK("http://exon.niaid.nih.gov/transcriptome/C_felis/S1/links/SMART/cf-contig_383-SMART.txt","FBD")</f>
        <v>FBD</v>
      </c>
      <c r="CY643" t="str">
        <f>HYPERLINK("http://smart.embl-heidelberg.de/smart/do_annotation.pl?DOMAIN=FBD&amp;BLAST=DUMMY","0.11")</f>
        <v>0.11</v>
      </c>
      <c r="CZ643" s="4" t="s">
        <v>42</v>
      </c>
      <c r="DA643" t="s">
        <v>42</v>
      </c>
      <c r="DB643" t="s">
        <v>42</v>
      </c>
      <c r="DC643" t="s">
        <v>42</v>
      </c>
      <c r="DD643" t="s">
        <v>42</v>
      </c>
      <c r="DE643" t="s">
        <v>42</v>
      </c>
      <c r="DF643" t="s">
        <v>42</v>
      </c>
      <c r="DG643" t="s">
        <v>42</v>
      </c>
      <c r="DH643" s="4" t="s">
        <v>42</v>
      </c>
      <c r="DI643" t="s">
        <v>42</v>
      </c>
      <c r="DJ643" s="4" t="s">
        <v>42</v>
      </c>
      <c r="DK643" t="s">
        <v>42</v>
      </c>
      <c r="DL643" s="4">
        <v>311</v>
      </c>
      <c r="DM643">
        <v>1</v>
      </c>
      <c r="DN643" s="4">
        <v>319</v>
      </c>
      <c r="DO643">
        <v>1</v>
      </c>
      <c r="DP643" s="4">
        <v>320</v>
      </c>
      <c r="DQ643">
        <v>1</v>
      </c>
      <c r="DR643" s="4">
        <v>331</v>
      </c>
      <c r="DS643">
        <v>1</v>
      </c>
      <c r="DT643" s="4">
        <v>341</v>
      </c>
      <c r="DU643">
        <v>1</v>
      </c>
      <c r="DV643" s="4">
        <v>354</v>
      </c>
      <c r="DW643">
        <v>1</v>
      </c>
      <c r="DX643" s="4">
        <v>357</v>
      </c>
      <c r="DY643">
        <v>1</v>
      </c>
      <c r="DZ643" s="4">
        <v>362</v>
      </c>
      <c r="EA643">
        <v>1</v>
      </c>
      <c r="EB643" s="4">
        <v>367</v>
      </c>
      <c r="EC643">
        <v>1</v>
      </c>
      <c r="ED643" s="4">
        <v>371</v>
      </c>
      <c r="EE643">
        <v>1</v>
      </c>
      <c r="EF643" s="4">
        <v>376</v>
      </c>
      <c r="EG643">
        <v>1</v>
      </c>
      <c r="EH643" s="4">
        <v>378</v>
      </c>
      <c r="EI643">
        <v>1</v>
      </c>
      <c r="EJ643" s="4">
        <v>383</v>
      </c>
      <c r="EK643">
        <v>1</v>
      </c>
    </row>
    <row r="644" spans="1:141" x14ac:dyDescent="0.2">
      <c r="A644" t="str">
        <f>HYPERLINK("http://exon.niaid.nih.gov/transcriptome/C_felis/S1/links/cf/cf-contig_557.txt","cf-contig_557")</f>
        <v>cf-contig_557</v>
      </c>
      <c r="B644">
        <v>1</v>
      </c>
      <c r="C644" s="10" t="s">
        <v>4600</v>
      </c>
      <c r="D644">
        <v>1</v>
      </c>
      <c r="E644" t="str">
        <f>HYPERLINK("http://exon.niaid.nih.gov/transcriptome/C_felis/S1/links/cf/cf-5-36-asb-557.txt","Contig-557")</f>
        <v>Contig-557</v>
      </c>
      <c r="F644" t="str">
        <f>HYPERLINK("http://exon.niaid.nih.gov/transcriptome/C_felis/S1/links/cf/cf-5-36-557-CLU.txt","Contig557")</f>
        <v>Contig557</v>
      </c>
      <c r="G644" t="str">
        <f>HYPERLINK("http://exon.niaid.nih.gov/transcriptome/C_felis/S1/links/cf/cf-5-36-557-qual.txt","54.9")</f>
        <v>54.9</v>
      </c>
      <c r="H644" t="s">
        <v>11</v>
      </c>
      <c r="I644">
        <v>62</v>
      </c>
      <c r="J644">
        <v>194</v>
      </c>
      <c r="K644" t="s">
        <v>12</v>
      </c>
      <c r="L644">
        <v>1</v>
      </c>
      <c r="M644" t="s">
        <v>570</v>
      </c>
      <c r="N644">
        <v>194</v>
      </c>
      <c r="O644">
        <v>213</v>
      </c>
      <c r="P644">
        <v>123</v>
      </c>
      <c r="Q644" t="s">
        <v>1376</v>
      </c>
      <c r="R644">
        <v>2</v>
      </c>
      <c r="S644" s="7" t="s">
        <v>4585</v>
      </c>
      <c r="U644">
        <v>1</v>
      </c>
      <c r="V644" s="4">
        <v>454</v>
      </c>
      <c r="W644">
        <v>1</v>
      </c>
      <c r="X644" s="4">
        <v>464</v>
      </c>
      <c r="Y644">
        <v>1</v>
      </c>
      <c r="Z644" s="4">
        <v>471</v>
      </c>
      <c r="AA644">
        <v>1</v>
      </c>
      <c r="AB644" s="4" t="str">
        <f>HYPERLINK("http://exon.niaid.nih.gov/transcriptome/C_felis/S1/links/XC-ASB/cf-contig_557-XC-ASB.txt","XC-contig_26")</f>
        <v>XC-contig_26</v>
      </c>
      <c r="AC644">
        <v>1.6</v>
      </c>
      <c r="AD644" s="10" t="s">
        <v>4600</v>
      </c>
      <c r="AE644" t="s">
        <v>4601</v>
      </c>
      <c r="AI644" s="4" t="str">
        <f>HYPERLINK("http://exon.niaid.nih.gov/transcriptome/C_felis/S1/links/NR/cf-contig_557-NR.txt","unknown")</f>
        <v>unknown</v>
      </c>
      <c r="AJ644" t="str">
        <f>HYPERLINK("http://www.ncbi.nlm.nih.gov/sutils/blink.cgi?pid=537504","7.1")</f>
        <v>7.1</v>
      </c>
      <c r="AK644" t="str">
        <f>HYPERLINK("http://www.ncbi.nlm.nih.gov/protein/537504","gi|537504")</f>
        <v>gi|537504</v>
      </c>
      <c r="AL644">
        <v>34.299999999999997</v>
      </c>
      <c r="AM644">
        <v>37</v>
      </c>
      <c r="AN644">
        <v>146</v>
      </c>
      <c r="AO644">
        <v>47</v>
      </c>
      <c r="AP644">
        <v>26</v>
      </c>
      <c r="AQ644">
        <v>20</v>
      </c>
      <c r="AR644">
        <v>0</v>
      </c>
      <c r="AS644">
        <v>91</v>
      </c>
      <c r="AT644">
        <v>46</v>
      </c>
      <c r="AU644">
        <v>1</v>
      </c>
      <c r="AV644">
        <v>1</v>
      </c>
      <c r="AW644" t="s">
        <v>12</v>
      </c>
      <c r="AX644">
        <v>2.7029999999999998</v>
      </c>
      <c r="AY644" t="s">
        <v>1676</v>
      </c>
      <c r="AZ644" t="s">
        <v>1809</v>
      </c>
      <c r="BA644" s="4" t="str">
        <f>HYPERLINK("http://exon.niaid.nih.gov/transcriptome/C_felis/S1/links/SWISSP/cf-contig_557-SWISSP.txt","Replication protein E1")</f>
        <v>Replication protein E1</v>
      </c>
      <c r="BB644" t="str">
        <f>HYPERLINK("http://www.uniprot.org/uniprot/Q80943","2.8")</f>
        <v>2.8</v>
      </c>
      <c r="BC644" t="s">
        <v>3698</v>
      </c>
      <c r="BD644">
        <v>30.8</v>
      </c>
      <c r="BE644">
        <v>23</v>
      </c>
      <c r="BF644">
        <v>610</v>
      </c>
      <c r="BG644">
        <v>50</v>
      </c>
      <c r="BH644">
        <v>4</v>
      </c>
      <c r="BI644">
        <v>12</v>
      </c>
      <c r="BJ644">
        <v>0</v>
      </c>
      <c r="BK644">
        <v>413</v>
      </c>
      <c r="BL644">
        <v>47</v>
      </c>
      <c r="BM644">
        <v>1</v>
      </c>
      <c r="BN644">
        <v>-3</v>
      </c>
      <c r="BO644" t="s">
        <v>12</v>
      </c>
      <c r="BQ644" t="s">
        <v>1666</v>
      </c>
      <c r="BR644" t="s">
        <v>3699</v>
      </c>
      <c r="BS644" s="4" t="str">
        <f>HYPERLINK("http://exon.niaid.nih.gov/transcriptome/C_felis/S1/links/CDD/cf-contig_557-CDD.txt","PPV_E1_C")</f>
        <v>PPV_E1_C</v>
      </c>
      <c r="BT644" t="str">
        <f>HYPERLINK("http://www.ncbi.nlm.nih.gov/Structure/cdd/cddsrv.cgi?uid=pfam00519&amp;version=v4.0","0.50")</f>
        <v>0.50</v>
      </c>
      <c r="BU644" t="s">
        <v>3700</v>
      </c>
      <c r="BV644" s="4" t="s">
        <v>42</v>
      </c>
      <c r="BW644" t="s">
        <v>42</v>
      </c>
      <c r="BX644" t="s">
        <v>42</v>
      </c>
      <c r="BY644" t="s">
        <v>42</v>
      </c>
      <c r="BZ644" t="s">
        <v>42</v>
      </c>
      <c r="CA644" t="s">
        <v>42</v>
      </c>
      <c r="CB644" t="s">
        <v>42</v>
      </c>
      <c r="CC644" t="s">
        <v>42</v>
      </c>
      <c r="CD644" t="s">
        <v>42</v>
      </c>
      <c r="CE644" t="s">
        <v>42</v>
      </c>
      <c r="CF644" t="s">
        <v>42</v>
      </c>
      <c r="CG644" t="s">
        <v>42</v>
      </c>
      <c r="CH644" t="s">
        <v>42</v>
      </c>
      <c r="CI644" t="s">
        <v>42</v>
      </c>
      <c r="CJ644" t="s">
        <v>42</v>
      </c>
      <c r="CK644" t="s">
        <v>42</v>
      </c>
      <c r="CL644" t="s">
        <v>42</v>
      </c>
      <c r="CM644" t="s">
        <v>42</v>
      </c>
      <c r="CN644" t="s">
        <v>42</v>
      </c>
      <c r="CO644" t="s">
        <v>42</v>
      </c>
      <c r="CP644" t="s">
        <v>42</v>
      </c>
      <c r="CQ644" t="s">
        <v>42</v>
      </c>
      <c r="CR644" t="s">
        <v>42</v>
      </c>
      <c r="CS644" s="4" t="str">
        <f>HYPERLINK("http://exon.niaid.nih.gov/transcriptome/C_felis/S1/links/KOG/cf-contig_557-KOG.txt","GDP-L-fucose synthetase")</f>
        <v>GDP-L-fucose synthetase</v>
      </c>
      <c r="CT644" t="str">
        <f>HYPERLINK("http://www.ncbi.nlm.nih.gov/COG/grace/shokog.cgi?KOG1431","0.22")</f>
        <v>0.22</v>
      </c>
      <c r="CU644" t="s">
        <v>3701</v>
      </c>
      <c r="CV644" s="4" t="str">
        <f>HYPERLINK("http://exon.niaid.nih.gov/transcriptome/C_felis/S1/links/PFAM/cf-contig_557-PFAM.txt","PPV_E1_C")</f>
        <v>PPV_E1_C</v>
      </c>
      <c r="CW644" t="str">
        <f>HYPERLINK("http://pfam.sanger.ac.uk/family?acc=PF00519","0.11")</f>
        <v>0.11</v>
      </c>
      <c r="CX644" s="4" t="str">
        <f>HYPERLINK("http://exon.niaid.nih.gov/transcriptome/C_felis/S1/links/SMART/cf-contig_557-SMART.txt","P4Hc")</f>
        <v>P4Hc</v>
      </c>
      <c r="CY644" t="str">
        <f>HYPERLINK("http://smart.embl-heidelberg.de/smart/do_annotation.pl?DOMAIN=P4Hc&amp;BLAST=DUMMY","0.44")</f>
        <v>0.44</v>
      </c>
      <c r="CZ644" s="4" t="s">
        <v>42</v>
      </c>
      <c r="DA644" t="s">
        <v>42</v>
      </c>
      <c r="DB644" t="s">
        <v>42</v>
      </c>
      <c r="DC644" t="s">
        <v>42</v>
      </c>
      <c r="DD644" t="s">
        <v>42</v>
      </c>
      <c r="DE644" t="s">
        <v>42</v>
      </c>
      <c r="DF644" t="s">
        <v>42</v>
      </c>
      <c r="DG644" t="s">
        <v>42</v>
      </c>
      <c r="DH644" s="4" t="s">
        <v>42</v>
      </c>
      <c r="DI644" t="s">
        <v>42</v>
      </c>
      <c r="DJ644" s="4" t="s">
        <v>42</v>
      </c>
      <c r="DK644" t="s">
        <v>42</v>
      </c>
      <c r="DL644" s="4">
        <v>454</v>
      </c>
      <c r="DM644">
        <v>1</v>
      </c>
      <c r="DN644" s="4">
        <v>464</v>
      </c>
      <c r="DO644">
        <v>1</v>
      </c>
      <c r="DP644" s="4">
        <v>471</v>
      </c>
      <c r="DQ644">
        <v>1</v>
      </c>
      <c r="DR644" s="4">
        <v>487</v>
      </c>
      <c r="DS644">
        <v>1</v>
      </c>
      <c r="DT644" s="4">
        <v>499</v>
      </c>
      <c r="DU644">
        <v>1</v>
      </c>
      <c r="DV644" s="4">
        <v>513</v>
      </c>
      <c r="DW644">
        <v>1</v>
      </c>
      <c r="DX644" s="4">
        <v>521</v>
      </c>
      <c r="DY644">
        <v>1</v>
      </c>
      <c r="DZ644" s="4">
        <v>529</v>
      </c>
      <c r="EA644">
        <v>1</v>
      </c>
      <c r="EB644" s="4">
        <v>534</v>
      </c>
      <c r="EC644">
        <v>1</v>
      </c>
      <c r="ED644" s="4">
        <v>538</v>
      </c>
      <c r="EE644">
        <v>1</v>
      </c>
      <c r="EF644" s="4">
        <v>543</v>
      </c>
      <c r="EG644">
        <v>1</v>
      </c>
      <c r="EH644" s="4">
        <v>550</v>
      </c>
      <c r="EI644">
        <v>1</v>
      </c>
      <c r="EJ644" s="4">
        <v>557</v>
      </c>
      <c r="EK644">
        <v>1</v>
      </c>
    </row>
    <row r="645" spans="1:141" x14ac:dyDescent="0.2">
      <c r="A645" t="str">
        <f>HYPERLINK("http://exon.niaid.nih.gov/transcriptome/C_felis/S1/links/cf/cf-contig_795.txt","cf-contig_795")</f>
        <v>cf-contig_795</v>
      </c>
      <c r="B645">
        <v>1</v>
      </c>
      <c r="C645" s="10" t="s">
        <v>4600</v>
      </c>
      <c r="D645">
        <v>1</v>
      </c>
      <c r="E645" t="str">
        <f>HYPERLINK("http://exon.niaid.nih.gov/transcriptome/C_felis/S1/links/cf/cf-5-36-asb-795.txt","Contig-795")</f>
        <v>Contig-795</v>
      </c>
      <c r="F645" t="str">
        <f>HYPERLINK("http://exon.niaid.nih.gov/transcriptome/C_felis/S1/links/cf/cf-5-36-795-CLU.txt","Contig795")</f>
        <v>Contig795</v>
      </c>
      <c r="G645" t="str">
        <f>HYPERLINK("http://exon.niaid.nih.gov/transcriptome/C_felis/S1/links/cf/cf-5-36-795-qual.txt","57.8")</f>
        <v>57.8</v>
      </c>
      <c r="H645">
        <v>0.7</v>
      </c>
      <c r="I645">
        <v>73.8</v>
      </c>
      <c r="J645">
        <v>283</v>
      </c>
      <c r="K645" t="s">
        <v>12</v>
      </c>
      <c r="L645">
        <v>1</v>
      </c>
      <c r="M645" t="s">
        <v>808</v>
      </c>
      <c r="N645">
        <v>283</v>
      </c>
      <c r="O645">
        <v>302</v>
      </c>
      <c r="P645">
        <v>126</v>
      </c>
      <c r="Q645" t="s">
        <v>1614</v>
      </c>
      <c r="R645">
        <v>3</v>
      </c>
      <c r="S645" s="7" t="s">
        <v>4585</v>
      </c>
      <c r="U645">
        <v>1</v>
      </c>
      <c r="V645" s="4">
        <v>639</v>
      </c>
      <c r="W645">
        <v>1</v>
      </c>
      <c r="X645" s="4">
        <v>660</v>
      </c>
      <c r="Y645">
        <v>1</v>
      </c>
      <c r="Z645" s="4">
        <v>676</v>
      </c>
      <c r="AA645">
        <v>1</v>
      </c>
      <c r="AB645" s="4" t="str">
        <f>HYPERLINK("http://exon.niaid.nih.gov/transcriptome/C_felis/S1/links/XC-ASB/cf-contig_795-XC-ASB.txt","XC-contig_47")</f>
        <v>XC-contig_47</v>
      </c>
      <c r="AC645">
        <v>0.38</v>
      </c>
      <c r="AD645" s="10" t="s">
        <v>4600</v>
      </c>
      <c r="AE645" t="s">
        <v>4601</v>
      </c>
      <c r="AI645" s="4" t="str">
        <f>HYPERLINK("http://exon.niaid.nih.gov/transcriptome/C_felis/S1/links/NR/cf-contig_795-NR.txt","CAAX amino terminal protease")</f>
        <v>CAAX amino terminal protease</v>
      </c>
      <c r="AJ645" t="str">
        <f>HYPERLINK("http://www.ncbi.nlm.nih.gov/sutils/blink.cgi?pid=317496470","36")</f>
        <v>36</v>
      </c>
      <c r="AK645" t="str">
        <f>HYPERLINK("http://www.ncbi.nlm.nih.gov/protein/317496470","gi|317496470")</f>
        <v>gi|317496470</v>
      </c>
      <c r="AL645">
        <v>32</v>
      </c>
      <c r="AM645">
        <v>64</v>
      </c>
      <c r="AN645">
        <v>313</v>
      </c>
      <c r="AO645">
        <v>32</v>
      </c>
      <c r="AP645">
        <v>21</v>
      </c>
      <c r="AQ645">
        <v>44</v>
      </c>
      <c r="AR645">
        <v>2</v>
      </c>
      <c r="AS645">
        <v>41</v>
      </c>
      <c r="AT645">
        <v>64</v>
      </c>
      <c r="AU645">
        <v>1</v>
      </c>
      <c r="AV645">
        <v>-3</v>
      </c>
      <c r="AW645" t="s">
        <v>12</v>
      </c>
      <c r="AX645">
        <v>4.6879999999999997</v>
      </c>
      <c r="AY645" t="s">
        <v>1666</v>
      </c>
      <c r="AZ645" t="s">
        <v>4541</v>
      </c>
      <c r="BA645" s="4" t="str">
        <f>HYPERLINK("http://exon.niaid.nih.gov/transcriptome/C_felis/S1/links/SWISSP/cf-contig_795-SWISSP.txt","DNA-directed RNA polymerase subunit beta''")</f>
        <v>DNA-directed RNA polymerase subunit beta''</v>
      </c>
      <c r="BB645" t="str">
        <f>HYPERLINK("http://www.uniprot.org/uniprot/Q25802","2.8")</f>
        <v>2.8</v>
      </c>
      <c r="BC645" t="s">
        <v>1918</v>
      </c>
      <c r="BD645">
        <v>30.8</v>
      </c>
      <c r="BE645">
        <v>32</v>
      </c>
      <c r="BF645">
        <v>960</v>
      </c>
      <c r="BG645">
        <v>45</v>
      </c>
      <c r="BH645">
        <v>3</v>
      </c>
      <c r="BI645">
        <v>23</v>
      </c>
      <c r="BJ645">
        <v>2</v>
      </c>
      <c r="BK645">
        <v>616</v>
      </c>
      <c r="BL645">
        <v>148</v>
      </c>
      <c r="BM645">
        <v>1</v>
      </c>
      <c r="BN645">
        <v>-3</v>
      </c>
      <c r="BO645" t="s">
        <v>12</v>
      </c>
      <c r="BP645">
        <v>3.125</v>
      </c>
      <c r="BQ645" t="s">
        <v>1666</v>
      </c>
      <c r="BR645" t="s">
        <v>1791</v>
      </c>
      <c r="BS645" s="4" t="str">
        <f>HYPERLINK("http://exon.niaid.nih.gov/transcriptome/C_felis/S1/links/CDD/cf-contig_795-CDD.txt","7tm_7")</f>
        <v>7tm_7</v>
      </c>
      <c r="BT645" t="str">
        <f>HYPERLINK("http://www.ncbi.nlm.nih.gov/Structure/cdd/cddsrv.cgi?uid=pfam08395&amp;version=v4.0","0.002")</f>
        <v>0.002</v>
      </c>
      <c r="BU645" t="s">
        <v>4542</v>
      </c>
      <c r="BV645" s="4" t="s">
        <v>42</v>
      </c>
      <c r="BW645" t="s">
        <v>42</v>
      </c>
      <c r="BX645" t="s">
        <v>42</v>
      </c>
      <c r="BY645" t="s">
        <v>42</v>
      </c>
      <c r="BZ645" t="s">
        <v>42</v>
      </c>
      <c r="CA645" t="s">
        <v>42</v>
      </c>
      <c r="CB645" t="s">
        <v>42</v>
      </c>
      <c r="CC645" t="s">
        <v>42</v>
      </c>
      <c r="CD645" t="s">
        <v>42</v>
      </c>
      <c r="CE645" t="s">
        <v>42</v>
      </c>
      <c r="CF645" t="s">
        <v>42</v>
      </c>
      <c r="CG645" t="s">
        <v>42</v>
      </c>
      <c r="CH645" t="s">
        <v>42</v>
      </c>
      <c r="CI645" t="s">
        <v>42</v>
      </c>
      <c r="CJ645" t="s">
        <v>42</v>
      </c>
      <c r="CK645" t="s">
        <v>42</v>
      </c>
      <c r="CL645" t="s">
        <v>42</v>
      </c>
      <c r="CM645" t="s">
        <v>42</v>
      </c>
      <c r="CN645" t="s">
        <v>42</v>
      </c>
      <c r="CO645" t="s">
        <v>42</v>
      </c>
      <c r="CP645" t="s">
        <v>42</v>
      </c>
      <c r="CQ645" t="s">
        <v>42</v>
      </c>
      <c r="CR645" t="s">
        <v>42</v>
      </c>
      <c r="CS645" s="4" t="str">
        <f>HYPERLINK("http://exon.niaid.nih.gov/transcriptome/C_felis/S1/links/KOG/cf-contig_795-KOG.txt","Lysophospholipase")</f>
        <v>Lysophospholipase</v>
      </c>
      <c r="CT645" t="str">
        <f>HYPERLINK("http://www.ncbi.nlm.nih.gov/COG/grace/shokog.cgi?KOG1325","0.30")</f>
        <v>0.30</v>
      </c>
      <c r="CU645" t="s">
        <v>1761</v>
      </c>
      <c r="CV645" s="4" t="str">
        <f>HYPERLINK("http://exon.niaid.nih.gov/transcriptome/C_felis/S1/links/PFAM/cf-contig_795-PFAM.txt","7tm_7")</f>
        <v>7tm_7</v>
      </c>
      <c r="CW645" t="str">
        <f>HYPERLINK("http://pfam.sanger.ac.uk/family?acc=PF08395","4E-004")</f>
        <v>4E-004</v>
      </c>
      <c r="CX645" s="4" t="str">
        <f>HYPERLINK("http://exon.niaid.nih.gov/transcriptome/C_felis/S1/links/SMART/cf-contig_795-SMART.txt","AgrB")</f>
        <v>AgrB</v>
      </c>
      <c r="CY645" t="str">
        <f>HYPERLINK("http://smart.embl-heidelberg.de/smart/do_annotation.pl?DOMAIN=AgrB&amp;BLAST=DUMMY","0.13")</f>
        <v>0.13</v>
      </c>
      <c r="CZ645" s="4" t="s">
        <v>42</v>
      </c>
      <c r="DA645" t="s">
        <v>42</v>
      </c>
      <c r="DB645" t="s">
        <v>42</v>
      </c>
      <c r="DC645" t="s">
        <v>42</v>
      </c>
      <c r="DD645" t="s">
        <v>42</v>
      </c>
      <c r="DE645" t="s">
        <v>42</v>
      </c>
      <c r="DF645" t="s">
        <v>42</v>
      </c>
      <c r="DG645" t="s">
        <v>42</v>
      </c>
      <c r="DH645" s="4" t="s">
        <v>42</v>
      </c>
      <c r="DI645" t="s">
        <v>42</v>
      </c>
      <c r="DJ645" s="4" t="s">
        <v>42</v>
      </c>
      <c r="DK645" t="s">
        <v>42</v>
      </c>
      <c r="DL645" s="4">
        <v>639</v>
      </c>
      <c r="DM645">
        <v>1</v>
      </c>
      <c r="DN645" s="4">
        <v>660</v>
      </c>
      <c r="DO645">
        <v>1</v>
      </c>
      <c r="DP645" s="4">
        <v>676</v>
      </c>
      <c r="DQ645">
        <v>1</v>
      </c>
      <c r="DR645" s="4">
        <v>698</v>
      </c>
      <c r="DS645">
        <v>1</v>
      </c>
      <c r="DT645" s="4">
        <v>714</v>
      </c>
      <c r="DU645">
        <v>1</v>
      </c>
      <c r="DV645" s="4">
        <v>729</v>
      </c>
      <c r="DW645">
        <v>1</v>
      </c>
      <c r="DX645" s="4">
        <v>743</v>
      </c>
      <c r="DY645">
        <v>1</v>
      </c>
      <c r="DZ645" s="4">
        <v>755</v>
      </c>
      <c r="EA645">
        <v>1</v>
      </c>
      <c r="EB645" s="4">
        <v>762</v>
      </c>
      <c r="EC645">
        <v>1</v>
      </c>
      <c r="ED645" s="4">
        <v>767</v>
      </c>
      <c r="EE645">
        <v>1</v>
      </c>
      <c r="EF645" s="4">
        <v>774</v>
      </c>
      <c r="EG645">
        <v>1</v>
      </c>
      <c r="EH645" s="4">
        <v>786</v>
      </c>
      <c r="EI645">
        <v>1</v>
      </c>
      <c r="EJ645" s="4">
        <v>795</v>
      </c>
      <c r="EK645">
        <v>1</v>
      </c>
    </row>
    <row r="646" spans="1:141" x14ac:dyDescent="0.2">
      <c r="A646" t="str">
        <f>HYPERLINK("http://exon.niaid.nih.gov/transcriptome/C_felis/S1/links/cf/cf-contig_442.txt","cf-contig_442")</f>
        <v>cf-contig_442</v>
      </c>
      <c r="B646">
        <v>1</v>
      </c>
      <c r="C646" s="10" t="s">
        <v>4600</v>
      </c>
      <c r="D646">
        <v>1</v>
      </c>
      <c r="E646" t="str">
        <f>HYPERLINK("http://exon.niaid.nih.gov/transcriptome/C_felis/S1/links/cf/cf-5-36-asb-442.txt","Contig-442")</f>
        <v>Contig-442</v>
      </c>
      <c r="F646" t="str">
        <f>HYPERLINK("http://exon.niaid.nih.gov/transcriptome/C_felis/S1/links/cf/cf-5-36-442-CLU.txt","Contig442")</f>
        <v>Contig442</v>
      </c>
      <c r="G646" t="str">
        <f>HYPERLINK("http://exon.niaid.nih.gov/transcriptome/C_felis/S1/links/cf/cf-5-36-442-qual.txt","28.1")</f>
        <v>28.1</v>
      </c>
      <c r="H646" t="s">
        <v>11</v>
      </c>
      <c r="I646">
        <v>77.7</v>
      </c>
      <c r="J646">
        <v>263</v>
      </c>
      <c r="K646" t="s">
        <v>12</v>
      </c>
      <c r="L646">
        <v>1</v>
      </c>
      <c r="M646" t="s">
        <v>455</v>
      </c>
      <c r="N646">
        <v>263</v>
      </c>
      <c r="O646">
        <v>282</v>
      </c>
      <c r="P646">
        <v>144</v>
      </c>
      <c r="Q646" t="s">
        <v>1261</v>
      </c>
      <c r="R646">
        <v>2</v>
      </c>
      <c r="S646" s="7" t="s">
        <v>4585</v>
      </c>
      <c r="U646">
        <v>1</v>
      </c>
      <c r="V646" s="4">
        <v>358</v>
      </c>
      <c r="W646">
        <v>1</v>
      </c>
      <c r="X646" s="4">
        <v>367</v>
      </c>
      <c r="Y646">
        <v>1</v>
      </c>
      <c r="Z646" s="4">
        <v>372</v>
      </c>
      <c r="AA646">
        <v>1</v>
      </c>
      <c r="AB646" s="4" t="str">
        <f>HYPERLINK("http://exon.niaid.nih.gov/transcriptome/C_felis/S1/links/XC-ASB/cf-contig_442-XC-ASB.txt","XC-contig_237")</f>
        <v>XC-contig_237</v>
      </c>
      <c r="AC646">
        <v>9.9999999999999995E-8</v>
      </c>
      <c r="AD646" s="10" t="s">
        <v>4600</v>
      </c>
      <c r="AE646" t="s">
        <v>4601</v>
      </c>
      <c r="AI646" s="4" t="str">
        <f>HYPERLINK("http://exon.niaid.nih.gov/transcriptome/C_felis/S1/links/NR/cf-contig_442-NR.txt","hypothetical protein GobsU_39742")</f>
        <v>hypothetical protein GobsU_39742</v>
      </c>
      <c r="AJ646" t="str">
        <f>HYPERLINK("http://www.ncbi.nlm.nih.gov/sutils/blink.cgi?pid=168705732","2E-005")</f>
        <v>2E-005</v>
      </c>
      <c r="AK646" t="str">
        <f>HYPERLINK("http://www.ncbi.nlm.nih.gov/protein/168705732","gi|168705732")</f>
        <v>gi|168705732</v>
      </c>
      <c r="AL646">
        <v>52.8</v>
      </c>
      <c r="AM646">
        <v>71</v>
      </c>
      <c r="AN646">
        <v>95</v>
      </c>
      <c r="AO646">
        <v>46</v>
      </c>
      <c r="AP646">
        <v>76</v>
      </c>
      <c r="AQ646">
        <v>36</v>
      </c>
      <c r="AR646">
        <v>0</v>
      </c>
      <c r="AS646">
        <v>5</v>
      </c>
      <c r="AT646">
        <v>2</v>
      </c>
      <c r="AU646">
        <v>3</v>
      </c>
      <c r="AV646">
        <v>-1</v>
      </c>
      <c r="AW646" t="s">
        <v>1689</v>
      </c>
      <c r="AX646">
        <v>1.4079999999999999</v>
      </c>
      <c r="AY646" t="s">
        <v>1666</v>
      </c>
      <c r="AZ646" t="s">
        <v>3258</v>
      </c>
      <c r="BA646" s="4" t="str">
        <f>HYPERLINK("http://exon.niaid.nih.gov/transcriptome/C_felis/S1/links/SWISSP/cf-contig_442-SWISSP.txt","Uncharacterized protein DDB_G0288629")</f>
        <v>Uncharacterized protein DDB_G0288629</v>
      </c>
      <c r="BB646" t="str">
        <f>HYPERLINK("http://www.uniprot.org/uniprot/Q54IN6","0.050")</f>
        <v>0.050</v>
      </c>
      <c r="BC646" t="s">
        <v>3259</v>
      </c>
      <c r="BD646">
        <v>36.6</v>
      </c>
      <c r="BE646">
        <v>74</v>
      </c>
      <c r="BF646">
        <v>263</v>
      </c>
      <c r="BG646">
        <v>35</v>
      </c>
      <c r="BH646">
        <v>29</v>
      </c>
      <c r="BI646">
        <v>52</v>
      </c>
      <c r="BJ646">
        <v>0</v>
      </c>
      <c r="BK646">
        <v>82</v>
      </c>
      <c r="BL646">
        <v>14</v>
      </c>
      <c r="BM646">
        <v>1</v>
      </c>
      <c r="BN646">
        <v>2</v>
      </c>
      <c r="BO646" t="s">
        <v>12</v>
      </c>
      <c r="BP646">
        <v>1.351</v>
      </c>
      <c r="BQ646" t="s">
        <v>1676</v>
      </c>
      <c r="BR646" t="s">
        <v>1976</v>
      </c>
      <c r="BS646" s="4" t="str">
        <f>HYPERLINK("http://exon.niaid.nih.gov/transcriptome/C_felis/S1/links/CDD/cf-contig_442-CDD.txt","ND5")</f>
        <v>ND5</v>
      </c>
      <c r="BT646" t="str">
        <f>HYPERLINK("http://www.ncbi.nlm.nih.gov/Structure/cdd/cddsrv.cgi?uid=MTH00095&amp;version=v4.0","4E-005")</f>
        <v>4E-005</v>
      </c>
      <c r="BU646" t="s">
        <v>3260</v>
      </c>
      <c r="BV646" s="4" t="s">
        <v>42</v>
      </c>
      <c r="BW646" t="s">
        <v>42</v>
      </c>
      <c r="BX646" t="s">
        <v>42</v>
      </c>
      <c r="BY646" t="s">
        <v>42</v>
      </c>
      <c r="BZ646" t="s">
        <v>42</v>
      </c>
      <c r="CA646" t="s">
        <v>42</v>
      </c>
      <c r="CB646" t="s">
        <v>42</v>
      </c>
      <c r="CC646" t="s">
        <v>42</v>
      </c>
      <c r="CD646" t="s">
        <v>42</v>
      </c>
      <c r="CE646" t="s">
        <v>42</v>
      </c>
      <c r="CF646" t="s">
        <v>42</v>
      </c>
      <c r="CG646" t="s">
        <v>42</v>
      </c>
      <c r="CH646" t="s">
        <v>42</v>
      </c>
      <c r="CI646" t="s">
        <v>42</v>
      </c>
      <c r="CJ646" t="s">
        <v>42</v>
      </c>
      <c r="CK646" t="s">
        <v>42</v>
      </c>
      <c r="CL646" t="s">
        <v>42</v>
      </c>
      <c r="CM646" t="s">
        <v>42</v>
      </c>
      <c r="CN646" t="s">
        <v>42</v>
      </c>
      <c r="CO646" t="s">
        <v>42</v>
      </c>
      <c r="CP646" t="s">
        <v>42</v>
      </c>
      <c r="CQ646" t="s">
        <v>42</v>
      </c>
      <c r="CR646" t="s">
        <v>42</v>
      </c>
      <c r="CS646" s="4" t="str">
        <f>HYPERLINK("http://exon.niaid.nih.gov/transcriptome/C_felis/S1/links/KOG/cf-contig_442-KOG.txt","Histone H1")</f>
        <v>Histone H1</v>
      </c>
      <c r="CT646" t="str">
        <f>HYPERLINK("http://www.ncbi.nlm.nih.gov/COG/grace/shokog.cgi?KOG4012","0.009")</f>
        <v>0.009</v>
      </c>
      <c r="CU646" t="s">
        <v>2096</v>
      </c>
      <c r="CV646" s="4" t="str">
        <f>HYPERLINK("http://exon.niaid.nih.gov/transcriptome/C_felis/S1/links/PFAM/cf-contig_442-PFAM.txt","Oxidored_q4")</f>
        <v>Oxidored_q4</v>
      </c>
      <c r="CW646" t="str">
        <f>HYPERLINK("http://pfam.sanger.ac.uk/family?acc=PF00507","5E-004")</f>
        <v>5E-004</v>
      </c>
      <c r="CX646" s="4" t="str">
        <f>HYPERLINK("http://exon.niaid.nih.gov/transcriptome/C_felis/S1/links/SMART/cf-contig_442-SMART.txt","TOPEUc")</f>
        <v>TOPEUc</v>
      </c>
      <c r="CY646" t="str">
        <f>HYPERLINK("http://smart.embl-heidelberg.de/smart/do_annotation.pl?DOMAIN=TOPEUc&amp;BLAST=DUMMY","0.002")</f>
        <v>0.002</v>
      </c>
      <c r="CZ646" s="4" t="s">
        <v>42</v>
      </c>
      <c r="DA646" t="s">
        <v>42</v>
      </c>
      <c r="DB646" t="s">
        <v>42</v>
      </c>
      <c r="DC646" t="s">
        <v>42</v>
      </c>
      <c r="DD646" t="s">
        <v>42</v>
      </c>
      <c r="DE646" t="s">
        <v>42</v>
      </c>
      <c r="DF646" t="s">
        <v>42</v>
      </c>
      <c r="DG646" t="s">
        <v>42</v>
      </c>
      <c r="DH646" s="4" t="s">
        <v>42</v>
      </c>
      <c r="DI646" t="s">
        <v>42</v>
      </c>
      <c r="DJ646" s="4" t="s">
        <v>42</v>
      </c>
      <c r="DK646" t="s">
        <v>42</v>
      </c>
      <c r="DL646" s="4">
        <v>358</v>
      </c>
      <c r="DM646">
        <v>1</v>
      </c>
      <c r="DN646" s="4">
        <v>367</v>
      </c>
      <c r="DO646">
        <v>1</v>
      </c>
      <c r="DP646" s="4">
        <v>372</v>
      </c>
      <c r="DQ646">
        <v>1</v>
      </c>
      <c r="DR646" s="4">
        <v>386</v>
      </c>
      <c r="DS646">
        <v>1</v>
      </c>
      <c r="DT646" s="4">
        <v>396</v>
      </c>
      <c r="DU646">
        <v>1</v>
      </c>
      <c r="DV646" s="4">
        <v>410</v>
      </c>
      <c r="DW646">
        <v>1</v>
      </c>
      <c r="DX646" s="4">
        <v>413</v>
      </c>
      <c r="DY646">
        <v>1</v>
      </c>
      <c r="DZ646" s="4">
        <v>418</v>
      </c>
      <c r="EA646">
        <v>1</v>
      </c>
      <c r="EB646" s="4">
        <v>423</v>
      </c>
      <c r="EC646">
        <v>1</v>
      </c>
      <c r="ED646" s="4">
        <v>427</v>
      </c>
      <c r="EE646">
        <v>1</v>
      </c>
      <c r="EF646" s="4">
        <v>432</v>
      </c>
      <c r="EG646">
        <v>1</v>
      </c>
      <c r="EH646" s="4">
        <v>436</v>
      </c>
      <c r="EI646">
        <v>1</v>
      </c>
      <c r="EJ646" s="4">
        <v>442</v>
      </c>
      <c r="EK646">
        <v>1</v>
      </c>
    </row>
    <row r="647" spans="1:141" x14ac:dyDescent="0.2">
      <c r="A647" t="str">
        <f>HYPERLINK("http://exon.niaid.nih.gov/transcriptome/C_felis/S1/links/cf/cf-contig_722.txt","cf-contig_722")</f>
        <v>cf-contig_722</v>
      </c>
      <c r="B647">
        <v>1</v>
      </c>
      <c r="C647" s="10" t="s">
        <v>4600</v>
      </c>
      <c r="D647">
        <v>1</v>
      </c>
      <c r="E647" t="str">
        <f>HYPERLINK("http://exon.niaid.nih.gov/transcriptome/C_felis/S1/links/cf/cf-5-36-asb-722.txt","Contig-722")</f>
        <v>Contig-722</v>
      </c>
      <c r="F647" t="str">
        <f>HYPERLINK("http://exon.niaid.nih.gov/transcriptome/C_felis/S1/links/cf/cf-5-36-722-CLU.txt","Contig722")</f>
        <v>Contig722</v>
      </c>
      <c r="G647" t="str">
        <f>HYPERLINK("http://exon.niaid.nih.gov/transcriptome/C_felis/S1/links/cf/cf-5-36-722-qual.txt","65.1")</f>
        <v>65.1</v>
      </c>
      <c r="H647" t="s">
        <v>11</v>
      </c>
      <c r="I647">
        <v>71.5</v>
      </c>
      <c r="J647">
        <v>475</v>
      </c>
      <c r="K647" t="s">
        <v>12</v>
      </c>
      <c r="L647">
        <v>1</v>
      </c>
      <c r="M647" t="s">
        <v>735</v>
      </c>
      <c r="N647">
        <v>475</v>
      </c>
      <c r="O647">
        <v>494</v>
      </c>
      <c r="P647">
        <v>321</v>
      </c>
      <c r="Q647" t="s">
        <v>1541</v>
      </c>
      <c r="R647">
        <v>1</v>
      </c>
      <c r="S647" s="7" t="s">
        <v>4585</v>
      </c>
      <c r="U647">
        <v>1</v>
      </c>
      <c r="V647" s="4">
        <v>585</v>
      </c>
      <c r="W647">
        <v>1</v>
      </c>
      <c r="X647" s="4">
        <v>601</v>
      </c>
      <c r="Y647">
        <v>1</v>
      </c>
      <c r="Z647" s="4">
        <v>614</v>
      </c>
      <c r="AA647">
        <v>1</v>
      </c>
      <c r="AB647" s="4" t="str">
        <f>HYPERLINK("http://exon.niaid.nih.gov/transcriptome/C_felis/S1/links/XC-ASB/cf-contig_722-XC-ASB.txt","XC-contig_72")</f>
        <v>XC-contig_72</v>
      </c>
      <c r="AC647">
        <v>5.8000000000000003E-2</v>
      </c>
      <c r="AD647" s="10" t="s">
        <v>4600</v>
      </c>
      <c r="AE647" t="s">
        <v>4601</v>
      </c>
      <c r="AI647" s="4" t="str">
        <f>HYPERLINK("http://exon.niaid.nih.gov/transcriptome/C_felis/S1/links/NR/cf-contig_722-NR.txt","lysosomal/prostatic acid phosphatase")</f>
        <v>lysosomal/prostatic acid phosphatase</v>
      </c>
      <c r="AJ647" t="str">
        <f>HYPERLINK("http://www.ncbi.nlm.nih.gov/sutils/blink.cgi?pid=289741357","0.85")</f>
        <v>0.85</v>
      </c>
      <c r="AK647" t="str">
        <f>HYPERLINK("http://www.ncbi.nlm.nih.gov/protein/289741357","gi|289741357")</f>
        <v>gi|289741357</v>
      </c>
      <c r="AL647">
        <v>37.4</v>
      </c>
      <c r="AM647">
        <v>57</v>
      </c>
      <c r="AN647">
        <v>394</v>
      </c>
      <c r="AO647">
        <v>23</v>
      </c>
      <c r="AP647">
        <v>15</v>
      </c>
      <c r="AQ647">
        <v>48</v>
      </c>
      <c r="AR647">
        <v>0</v>
      </c>
      <c r="AS647">
        <v>323</v>
      </c>
      <c r="AT647">
        <v>10</v>
      </c>
      <c r="AU647">
        <v>1</v>
      </c>
      <c r="AV647">
        <v>1</v>
      </c>
      <c r="AW647" t="s">
        <v>12</v>
      </c>
      <c r="AY647" t="s">
        <v>1676</v>
      </c>
      <c r="AZ647" t="s">
        <v>2572</v>
      </c>
      <c r="BA647" s="4" t="str">
        <f>HYPERLINK("http://exon.niaid.nih.gov/transcriptome/C_felis/S1/links/SWISSP/cf-contig_722-SWISSP.txt","Transcription factor BYE1")</f>
        <v>Transcription factor BYE1</v>
      </c>
      <c r="BB647" t="str">
        <f>HYPERLINK("http://www.uniprot.org/uniprot/Q6C0K9","0.40")</f>
        <v>0.40</v>
      </c>
      <c r="BC647" t="s">
        <v>4284</v>
      </c>
      <c r="BD647">
        <v>34.299999999999997</v>
      </c>
      <c r="BE647">
        <v>58</v>
      </c>
      <c r="BF647">
        <v>822</v>
      </c>
      <c r="BG647">
        <v>28</v>
      </c>
      <c r="BH647">
        <v>7</v>
      </c>
      <c r="BI647">
        <v>42</v>
      </c>
      <c r="BJ647">
        <v>0</v>
      </c>
      <c r="BK647">
        <v>250</v>
      </c>
      <c r="BL647">
        <v>100</v>
      </c>
      <c r="BM647">
        <v>1</v>
      </c>
      <c r="BN647">
        <v>1</v>
      </c>
      <c r="BO647" t="s">
        <v>12</v>
      </c>
      <c r="BQ647" t="s">
        <v>1676</v>
      </c>
      <c r="BR647" t="s">
        <v>4129</v>
      </c>
      <c r="BS647" s="4" t="str">
        <f>HYPERLINK("http://exon.niaid.nih.gov/transcriptome/C_felis/S1/links/CDD/cf-contig_722-CDD.txt","ND5")</f>
        <v>ND5</v>
      </c>
      <c r="BT647" t="str">
        <f>HYPERLINK("http://www.ncbi.nlm.nih.gov/Structure/cdd/cddsrv.cgi?uid=MTH00095&amp;version=v4.0","0.002")</f>
        <v>0.002</v>
      </c>
      <c r="BU647" t="s">
        <v>4285</v>
      </c>
      <c r="BV647" s="4" t="s">
        <v>42</v>
      </c>
      <c r="BW647" t="s">
        <v>42</v>
      </c>
      <c r="BX647" t="s">
        <v>42</v>
      </c>
      <c r="BY647" t="s">
        <v>42</v>
      </c>
      <c r="BZ647" t="s">
        <v>42</v>
      </c>
      <c r="CA647" t="s">
        <v>42</v>
      </c>
      <c r="CB647" t="s">
        <v>42</v>
      </c>
      <c r="CC647" t="s">
        <v>42</v>
      </c>
      <c r="CD647" t="s">
        <v>42</v>
      </c>
      <c r="CE647" t="s">
        <v>42</v>
      </c>
      <c r="CF647" t="s">
        <v>42</v>
      </c>
      <c r="CG647" t="s">
        <v>42</v>
      </c>
      <c r="CH647" t="s">
        <v>42</v>
      </c>
      <c r="CI647" t="s">
        <v>42</v>
      </c>
      <c r="CJ647" t="s">
        <v>42</v>
      </c>
      <c r="CK647" t="s">
        <v>42</v>
      </c>
      <c r="CL647" t="s">
        <v>42</v>
      </c>
      <c r="CM647" t="s">
        <v>42</v>
      </c>
      <c r="CN647" t="s">
        <v>42</v>
      </c>
      <c r="CO647" t="s">
        <v>42</v>
      </c>
      <c r="CP647" t="s">
        <v>42</v>
      </c>
      <c r="CQ647" t="s">
        <v>42</v>
      </c>
      <c r="CR647" t="s">
        <v>42</v>
      </c>
      <c r="CS647" s="4" t="str">
        <f>HYPERLINK("http://exon.niaid.nih.gov/transcriptome/C_felis/S1/links/KOG/cf-contig_722-KOG.txt","40S ribosomal protein S6")</f>
        <v>40S ribosomal protein S6</v>
      </c>
      <c r="CT647" t="str">
        <f>HYPERLINK("http://www.ncbi.nlm.nih.gov/COG/grace/shokog.cgi?KOG1646","0.19")</f>
        <v>0.19</v>
      </c>
      <c r="CU647" t="s">
        <v>1707</v>
      </c>
      <c r="CV647" s="4" t="str">
        <f>HYPERLINK("http://exon.niaid.nih.gov/transcriptome/C_felis/S1/links/PFAM/cf-contig_722-PFAM.txt","MIG-14_Wnt-bd")</f>
        <v>MIG-14_Wnt-bd</v>
      </c>
      <c r="CW647" t="str">
        <f>HYPERLINK("http://pfam.sanger.ac.uk/family?acc=PF06664","0.035")</f>
        <v>0.035</v>
      </c>
      <c r="CX647" s="4" t="str">
        <f>HYPERLINK("http://exon.niaid.nih.gov/transcriptome/C_felis/S1/links/SMART/cf-contig_722-SMART.txt","LITAF")</f>
        <v>LITAF</v>
      </c>
      <c r="CY647" t="str">
        <f>HYPERLINK("http://smart.embl-heidelberg.de/smart/do_annotation.pl?DOMAIN=LITAF&amp;BLAST=DUMMY","0.009")</f>
        <v>0.009</v>
      </c>
      <c r="CZ647" s="4" t="s">
        <v>42</v>
      </c>
      <c r="DA647" t="s">
        <v>42</v>
      </c>
      <c r="DB647" t="s">
        <v>42</v>
      </c>
      <c r="DC647" t="s">
        <v>42</v>
      </c>
      <c r="DD647" t="s">
        <v>42</v>
      </c>
      <c r="DE647" t="s">
        <v>42</v>
      </c>
      <c r="DF647" t="s">
        <v>42</v>
      </c>
      <c r="DG647" t="s">
        <v>42</v>
      </c>
      <c r="DH647" s="4" t="s">
        <v>42</v>
      </c>
      <c r="DI647" t="s">
        <v>42</v>
      </c>
      <c r="DJ647" s="4" t="s">
        <v>42</v>
      </c>
      <c r="DK647" t="s">
        <v>42</v>
      </c>
      <c r="DL647" s="4">
        <v>585</v>
      </c>
      <c r="DM647">
        <v>1</v>
      </c>
      <c r="DN647" s="4">
        <v>601</v>
      </c>
      <c r="DO647">
        <v>1</v>
      </c>
      <c r="DP647" s="4">
        <v>614</v>
      </c>
      <c r="DQ647">
        <v>1</v>
      </c>
      <c r="DR647" s="4">
        <v>635</v>
      </c>
      <c r="DS647">
        <v>1</v>
      </c>
      <c r="DT647" s="4">
        <v>650</v>
      </c>
      <c r="DU647">
        <v>1</v>
      </c>
      <c r="DV647" s="4">
        <v>665</v>
      </c>
      <c r="DW647">
        <v>1</v>
      </c>
      <c r="DX647" s="4">
        <v>676</v>
      </c>
      <c r="DY647">
        <v>1</v>
      </c>
      <c r="DZ647" s="4">
        <v>686</v>
      </c>
      <c r="EA647">
        <v>1</v>
      </c>
      <c r="EB647" s="4">
        <v>692</v>
      </c>
      <c r="EC647">
        <v>1</v>
      </c>
      <c r="ED647" s="4">
        <v>697</v>
      </c>
      <c r="EE647">
        <v>1</v>
      </c>
      <c r="EF647" s="4">
        <v>703</v>
      </c>
      <c r="EG647">
        <v>1</v>
      </c>
      <c r="EH647" s="4">
        <v>713</v>
      </c>
      <c r="EI647">
        <v>1</v>
      </c>
      <c r="EJ647" s="4">
        <v>722</v>
      </c>
      <c r="EK647">
        <v>1</v>
      </c>
    </row>
    <row r="648" spans="1:141" x14ac:dyDescent="0.2">
      <c r="A648" t="str">
        <f>HYPERLINK("http://exon.niaid.nih.gov/transcriptome/C_felis/S1/links/cf/cf-contig_680.txt","cf-contig_680")</f>
        <v>cf-contig_680</v>
      </c>
      <c r="B648">
        <v>1</v>
      </c>
      <c r="C648" s="10" t="s">
        <v>4600</v>
      </c>
      <c r="D648">
        <v>1</v>
      </c>
      <c r="E648" t="str">
        <f>HYPERLINK("http://exon.niaid.nih.gov/transcriptome/C_felis/S1/links/cf/cf-5-36-asb-680.txt","Contig-680")</f>
        <v>Contig-680</v>
      </c>
      <c r="F648" t="str">
        <f>HYPERLINK("http://exon.niaid.nih.gov/transcriptome/C_felis/S1/links/cf/cf-5-36-680-CLU.txt","Contig680")</f>
        <v>Contig680</v>
      </c>
      <c r="G648" t="str">
        <f>HYPERLINK("http://exon.niaid.nih.gov/transcriptome/C_felis/S1/links/cf/cf-5-36-680-qual.txt","56.1")</f>
        <v>56.1</v>
      </c>
      <c r="H648" t="s">
        <v>11</v>
      </c>
      <c r="I648">
        <v>71.599999999999994</v>
      </c>
      <c r="J648">
        <v>83</v>
      </c>
      <c r="K648" t="s">
        <v>12</v>
      </c>
      <c r="L648">
        <v>1</v>
      </c>
      <c r="M648" t="s">
        <v>693</v>
      </c>
      <c r="N648">
        <v>83</v>
      </c>
      <c r="O648">
        <v>102</v>
      </c>
      <c r="P648">
        <v>84</v>
      </c>
      <c r="Q648" t="s">
        <v>1499</v>
      </c>
      <c r="R648">
        <v>1</v>
      </c>
      <c r="S648" s="7" t="s">
        <v>4585</v>
      </c>
      <c r="U648">
        <v>1</v>
      </c>
      <c r="V648" s="4">
        <v>554</v>
      </c>
      <c r="W648">
        <v>1</v>
      </c>
      <c r="X648" s="4">
        <v>568</v>
      </c>
      <c r="Y648">
        <v>1</v>
      </c>
      <c r="Z648" s="4">
        <v>580</v>
      </c>
      <c r="AA648">
        <v>1</v>
      </c>
      <c r="AB648" s="4" t="str">
        <f>HYPERLINK("http://exon.niaid.nih.gov/transcriptome/C_felis/S1/links/XC-ASB/cf-contig_680-XC-ASB.txt","XC-contig_203")</f>
        <v>XC-contig_203</v>
      </c>
      <c r="AC648">
        <v>2.9999999999999997E-4</v>
      </c>
      <c r="AD648" s="10" t="s">
        <v>4600</v>
      </c>
      <c r="AE648" t="s">
        <v>4601</v>
      </c>
      <c r="AI648" s="4" t="str">
        <f>HYPERLINK("http://exon.niaid.nih.gov/transcriptome/C_felis/S1/links/NR/cf-contig_680-NR.txt","n-terminal acetyltransferase catalytic subunit")</f>
        <v>n-terminal acetyltransferase catalytic subunit</v>
      </c>
      <c r="AJ648" t="str">
        <f>HYPERLINK("http://www.ncbi.nlm.nih.gov/sutils/blink.cgi?pid=320589698","3.2")</f>
        <v>3.2</v>
      </c>
      <c r="AK648" t="str">
        <f>HYPERLINK("http://www.ncbi.nlm.nih.gov/protein/320589698","gi|320589698")</f>
        <v>gi|320589698</v>
      </c>
      <c r="AL648">
        <v>35.4</v>
      </c>
      <c r="AM648">
        <v>20</v>
      </c>
      <c r="AN648">
        <v>793</v>
      </c>
      <c r="AO648">
        <v>76</v>
      </c>
      <c r="AP648">
        <v>3</v>
      </c>
      <c r="AQ648">
        <v>5</v>
      </c>
      <c r="AR648">
        <v>0</v>
      </c>
      <c r="AS648">
        <v>713</v>
      </c>
      <c r="AT648">
        <v>15</v>
      </c>
      <c r="AU648">
        <v>1</v>
      </c>
      <c r="AV648">
        <v>-2</v>
      </c>
      <c r="AW648" t="s">
        <v>12</v>
      </c>
      <c r="AY648" t="s">
        <v>1666</v>
      </c>
      <c r="AZ648" t="s">
        <v>4137</v>
      </c>
      <c r="BA648" s="4" t="str">
        <f>HYPERLINK("http://exon.niaid.nih.gov/transcriptome/C_felis/S1/links/SWISSP/cf-contig_680-SWISSP.txt","Uncharacterized helicase DDB_G0278827")</f>
        <v>Uncharacterized helicase DDB_G0278827</v>
      </c>
      <c r="BB648" t="str">
        <f>HYPERLINK("http://www.uniprot.org/uniprot/Q54XN7","4.7")</f>
        <v>4.7</v>
      </c>
      <c r="BC648" t="s">
        <v>4138</v>
      </c>
      <c r="BD648">
        <v>30</v>
      </c>
      <c r="BE648">
        <v>23</v>
      </c>
      <c r="BF648">
        <v>1816</v>
      </c>
      <c r="BG648">
        <v>68</v>
      </c>
      <c r="BH648">
        <v>1</v>
      </c>
      <c r="BI648">
        <v>6</v>
      </c>
      <c r="BJ648">
        <v>0</v>
      </c>
      <c r="BK648">
        <v>1403</v>
      </c>
      <c r="BL648">
        <v>12</v>
      </c>
      <c r="BM648">
        <v>2</v>
      </c>
      <c r="BN648">
        <v>3</v>
      </c>
      <c r="BO648" t="s">
        <v>12</v>
      </c>
      <c r="BP648">
        <v>4.3479999999999999</v>
      </c>
      <c r="BQ648" t="s">
        <v>1676</v>
      </c>
      <c r="BR648" t="s">
        <v>1976</v>
      </c>
      <c r="BS648" s="4" t="str">
        <f>HYPERLINK("http://exon.niaid.nih.gov/transcriptome/C_felis/S1/links/CDD/cf-contig_680-CDD.txt","ND5")</f>
        <v>ND5</v>
      </c>
      <c r="BT648" t="str">
        <f>HYPERLINK("http://www.ncbi.nlm.nih.gov/Structure/cdd/cddsrv.cgi?uid=MTH00095&amp;version=v4.0","0.25")</f>
        <v>0.25</v>
      </c>
      <c r="BU648" t="s">
        <v>4139</v>
      </c>
      <c r="BV648" s="4" t="s">
        <v>42</v>
      </c>
      <c r="BW648" t="s">
        <v>42</v>
      </c>
      <c r="BX648" t="s">
        <v>42</v>
      </c>
      <c r="BY648" t="s">
        <v>42</v>
      </c>
      <c r="BZ648" t="s">
        <v>42</v>
      </c>
      <c r="CA648" t="s">
        <v>42</v>
      </c>
      <c r="CB648" t="s">
        <v>42</v>
      </c>
      <c r="CC648" t="s">
        <v>42</v>
      </c>
      <c r="CD648" t="s">
        <v>42</v>
      </c>
      <c r="CE648" t="s">
        <v>42</v>
      </c>
      <c r="CF648" t="s">
        <v>42</v>
      </c>
      <c r="CG648" t="s">
        <v>42</v>
      </c>
      <c r="CH648" t="s">
        <v>42</v>
      </c>
      <c r="CI648" t="s">
        <v>42</v>
      </c>
      <c r="CJ648" t="s">
        <v>42</v>
      </c>
      <c r="CK648" t="s">
        <v>42</v>
      </c>
      <c r="CL648" t="s">
        <v>42</v>
      </c>
      <c r="CM648" t="s">
        <v>42</v>
      </c>
      <c r="CN648" t="s">
        <v>42</v>
      </c>
      <c r="CO648" t="s">
        <v>42</v>
      </c>
      <c r="CP648" t="s">
        <v>42</v>
      </c>
      <c r="CQ648" t="s">
        <v>42</v>
      </c>
      <c r="CR648" t="s">
        <v>42</v>
      </c>
      <c r="CS648" s="4" t="str">
        <f>HYPERLINK("http://exon.niaid.nih.gov/transcriptome/C_felis/S1/links/KOG/cf-contig_680-KOG.txt","Chromatin-associated protein Dek and related proteins, contains SAP DNA binding domain")</f>
        <v>Chromatin-associated protein Dek and related proteins, contains SAP DNA binding domain</v>
      </c>
      <c r="CT648" t="str">
        <f>HYPERLINK("http://www.ncbi.nlm.nih.gov/COG/grace/shokog.cgi?KOG2266","0.26")</f>
        <v>0.26</v>
      </c>
      <c r="CU648" t="s">
        <v>2096</v>
      </c>
      <c r="CV648" s="4" t="str">
        <f>HYPERLINK("http://exon.niaid.nih.gov/transcriptome/C_felis/S1/links/PFAM/cf-contig_680-PFAM.txt","DUF2956")</f>
        <v>DUF2956</v>
      </c>
      <c r="CW648" t="str">
        <f>HYPERLINK("http://pfam.sanger.ac.uk/family?acc=PF11169","0.075")</f>
        <v>0.075</v>
      </c>
      <c r="CX648" s="4" t="str">
        <f>HYPERLINK("http://exon.niaid.nih.gov/transcriptome/C_felis/S1/links/SMART/cf-contig_680-SMART.txt","Cir_N")</f>
        <v>Cir_N</v>
      </c>
      <c r="CY648" t="str">
        <f>HYPERLINK("http://smart.embl-heidelberg.de/smart/do_annotation.pl?DOMAIN=Cir_N&amp;BLAST=DUMMY","0.055")</f>
        <v>0.055</v>
      </c>
      <c r="CZ648" s="4" t="s">
        <v>42</v>
      </c>
      <c r="DA648" t="s">
        <v>42</v>
      </c>
      <c r="DB648" t="s">
        <v>42</v>
      </c>
      <c r="DC648" t="s">
        <v>42</v>
      </c>
      <c r="DD648" t="s">
        <v>42</v>
      </c>
      <c r="DE648" t="s">
        <v>42</v>
      </c>
      <c r="DF648" t="s">
        <v>42</v>
      </c>
      <c r="DG648" t="s">
        <v>42</v>
      </c>
      <c r="DH648" s="4" t="s">
        <v>42</v>
      </c>
      <c r="DI648" t="s">
        <v>42</v>
      </c>
      <c r="DJ648" s="4" t="s">
        <v>42</v>
      </c>
      <c r="DK648" t="s">
        <v>42</v>
      </c>
      <c r="DL648" s="4">
        <v>554</v>
      </c>
      <c r="DM648">
        <v>1</v>
      </c>
      <c r="DN648" s="4">
        <v>568</v>
      </c>
      <c r="DO648">
        <v>1</v>
      </c>
      <c r="DP648" s="4">
        <v>580</v>
      </c>
      <c r="DQ648">
        <v>1</v>
      </c>
      <c r="DR648" s="4">
        <v>601</v>
      </c>
      <c r="DS648">
        <v>1</v>
      </c>
      <c r="DT648" s="4">
        <v>615</v>
      </c>
      <c r="DU648">
        <v>1</v>
      </c>
      <c r="DV648" s="4">
        <v>629</v>
      </c>
      <c r="DW648">
        <v>1</v>
      </c>
      <c r="DX648" s="4">
        <v>638</v>
      </c>
      <c r="DY648">
        <v>1</v>
      </c>
      <c r="DZ648" s="4">
        <v>648</v>
      </c>
      <c r="EA648">
        <v>1</v>
      </c>
      <c r="EB648" s="4">
        <v>653</v>
      </c>
      <c r="EC648">
        <v>1</v>
      </c>
      <c r="ED648" s="4">
        <v>657</v>
      </c>
      <c r="EE648">
        <v>1</v>
      </c>
      <c r="EF648" s="4">
        <v>663</v>
      </c>
      <c r="EG648">
        <v>1</v>
      </c>
      <c r="EH648" s="4">
        <v>671</v>
      </c>
      <c r="EI648">
        <v>1</v>
      </c>
      <c r="EJ648" s="4">
        <v>680</v>
      </c>
      <c r="EK648">
        <v>1</v>
      </c>
    </row>
    <row r="649" spans="1:141" x14ac:dyDescent="0.2">
      <c r="A649" t="str">
        <f>HYPERLINK("http://exon.niaid.nih.gov/transcriptome/C_felis/S1/links/cf/cf-contig_174.txt","cf-contig_174")</f>
        <v>cf-contig_174</v>
      </c>
      <c r="B649">
        <v>1</v>
      </c>
      <c r="C649" s="10" t="s">
        <v>4600</v>
      </c>
      <c r="D649">
        <v>1</v>
      </c>
      <c r="E649" t="str">
        <f>HYPERLINK("http://exon.niaid.nih.gov/transcriptome/C_felis/S1/links/cf/cf-5-36-asb-174.txt","Contig-174")</f>
        <v>Contig-174</v>
      </c>
      <c r="F649" t="str">
        <f>HYPERLINK("http://exon.niaid.nih.gov/transcriptome/C_felis/S1/links/cf/cf-5-36-174-CLU.txt","Contig174")</f>
        <v>Contig174</v>
      </c>
      <c r="G649" t="str">
        <f>HYPERLINK("http://exon.niaid.nih.gov/transcriptome/C_felis/S1/links/cf/cf-5-36-174-qual.txt","58.8")</f>
        <v>58.8</v>
      </c>
      <c r="H649" t="s">
        <v>11</v>
      </c>
      <c r="I649">
        <v>72.7</v>
      </c>
      <c r="J649">
        <v>157</v>
      </c>
      <c r="K649" t="s">
        <v>12</v>
      </c>
      <c r="L649">
        <v>1</v>
      </c>
      <c r="M649" t="s">
        <v>187</v>
      </c>
      <c r="N649">
        <v>157</v>
      </c>
      <c r="O649">
        <v>176</v>
      </c>
      <c r="P649">
        <v>60</v>
      </c>
      <c r="Q649" t="s">
        <v>994</v>
      </c>
      <c r="R649">
        <v>1</v>
      </c>
      <c r="S649" s="7" t="s">
        <v>4585</v>
      </c>
      <c r="U649">
        <v>1</v>
      </c>
      <c r="V649" s="4">
        <v>153</v>
      </c>
      <c r="W649">
        <v>1</v>
      </c>
      <c r="X649" s="4">
        <v>155</v>
      </c>
      <c r="Y649">
        <v>1</v>
      </c>
      <c r="Z649" s="4">
        <v>153</v>
      </c>
      <c r="AA649">
        <v>1</v>
      </c>
      <c r="AB649" s="4" t="str">
        <f>HYPERLINK("http://exon.niaid.nih.gov/transcriptome/C_felis/S1/links/XC-ASB/cf-contig_174-XC-ASB.txt","XC-contig_115")</f>
        <v>XC-contig_115</v>
      </c>
      <c r="AC649">
        <v>4.7E-2</v>
      </c>
      <c r="AD649" s="10" t="s">
        <v>4600</v>
      </c>
      <c r="AE649" t="s">
        <v>4601</v>
      </c>
      <c r="AI649" s="4" t="str">
        <f>HYPERLINK("http://exon.niaid.nih.gov/transcriptome/C_felis/S1/links/NR/cf-contig_174-NR.txt","NADH dehydrogenase subunit 2")</f>
        <v>NADH dehydrogenase subunit 2</v>
      </c>
      <c r="AJ649" t="str">
        <f>HYPERLINK("http://www.ncbi.nlm.nih.gov/sutils/blink.cgi?pid=164614686","1.1")</f>
        <v>1.1</v>
      </c>
      <c r="AK649" t="str">
        <f>HYPERLINK("http://www.ncbi.nlm.nih.gov/protein/164614686","gi|164614686")</f>
        <v>gi|164614686</v>
      </c>
      <c r="AL649">
        <v>37</v>
      </c>
      <c r="AM649">
        <v>39</v>
      </c>
      <c r="AN649">
        <v>327</v>
      </c>
      <c r="AO649">
        <v>43</v>
      </c>
      <c r="AP649">
        <v>12</v>
      </c>
      <c r="AQ649">
        <v>23</v>
      </c>
      <c r="AR649">
        <v>0</v>
      </c>
      <c r="AS649">
        <v>255</v>
      </c>
      <c r="AT649">
        <v>2</v>
      </c>
      <c r="AU649">
        <v>1</v>
      </c>
      <c r="AV649">
        <v>-2</v>
      </c>
      <c r="AW649" t="s">
        <v>12</v>
      </c>
      <c r="AY649" t="s">
        <v>1666</v>
      </c>
      <c r="AZ649" t="s">
        <v>2322</v>
      </c>
      <c r="BA649" s="4" t="str">
        <f>HYPERLINK("http://exon.niaid.nih.gov/transcriptome/C_felis/S1/links/SWISSP/cf-contig_174-SWISSP.txt","NADH-ubiquinone oxidoreductase chain 5")</f>
        <v>NADH-ubiquinone oxidoreductase chain 5</v>
      </c>
      <c r="BB649" t="str">
        <f>HYPERLINK("http://www.uniprot.org/uniprot/P20679","8.0")</f>
        <v>8.0</v>
      </c>
      <c r="BC649" t="s">
        <v>2323</v>
      </c>
      <c r="BD649">
        <v>29.3</v>
      </c>
      <c r="BE649">
        <v>33</v>
      </c>
      <c r="BF649">
        <v>652</v>
      </c>
      <c r="BG649">
        <v>29</v>
      </c>
      <c r="BH649">
        <v>5</v>
      </c>
      <c r="BI649">
        <v>24</v>
      </c>
      <c r="BJ649">
        <v>0</v>
      </c>
      <c r="BK649">
        <v>611</v>
      </c>
      <c r="BL649">
        <v>39</v>
      </c>
      <c r="BM649">
        <v>1</v>
      </c>
      <c r="BN649">
        <v>-1</v>
      </c>
      <c r="BO649" t="s">
        <v>12</v>
      </c>
      <c r="BQ649" t="s">
        <v>1666</v>
      </c>
      <c r="BR649" t="s">
        <v>2324</v>
      </c>
      <c r="BS649" s="4" t="str">
        <f>HYPERLINK("http://exon.niaid.nih.gov/transcriptome/C_felis/S1/links/CDD/cf-contig_174-CDD.txt","7TM_GPCR_Sru")</f>
        <v>7TM_GPCR_Sru</v>
      </c>
      <c r="BT649" t="str">
        <f>HYPERLINK("http://www.ncbi.nlm.nih.gov/Structure/cdd/cddsrv.cgi?uid=pfam10322&amp;version=v4.0","0.007")</f>
        <v>0.007</v>
      </c>
      <c r="BU649" t="s">
        <v>2325</v>
      </c>
      <c r="BV649" s="4" t="s">
        <v>42</v>
      </c>
      <c r="BW649" t="s">
        <v>42</v>
      </c>
      <c r="BX649" t="s">
        <v>42</v>
      </c>
      <c r="BY649" t="s">
        <v>42</v>
      </c>
      <c r="BZ649" t="s">
        <v>42</v>
      </c>
      <c r="CA649" t="s">
        <v>42</v>
      </c>
      <c r="CB649" t="s">
        <v>42</v>
      </c>
      <c r="CC649" t="s">
        <v>42</v>
      </c>
      <c r="CD649" t="s">
        <v>42</v>
      </c>
      <c r="CE649" t="s">
        <v>42</v>
      </c>
      <c r="CF649" t="s">
        <v>42</v>
      </c>
      <c r="CG649" t="s">
        <v>42</v>
      </c>
      <c r="CH649" t="s">
        <v>42</v>
      </c>
      <c r="CI649" t="s">
        <v>42</v>
      </c>
      <c r="CJ649" t="s">
        <v>42</v>
      </c>
      <c r="CK649" t="s">
        <v>42</v>
      </c>
      <c r="CL649" t="s">
        <v>42</v>
      </c>
      <c r="CM649" t="s">
        <v>42</v>
      </c>
      <c r="CN649" t="s">
        <v>42</v>
      </c>
      <c r="CO649" t="s">
        <v>42</v>
      </c>
      <c r="CP649" t="s">
        <v>42</v>
      </c>
      <c r="CQ649" t="s">
        <v>42</v>
      </c>
      <c r="CR649" t="s">
        <v>42</v>
      </c>
      <c r="CS649" s="4" t="str">
        <f>HYPERLINK("http://exon.niaid.nih.gov/transcriptome/C_felis/S1/links/KOG/cf-contig_174-KOG.txt","Na+/K+ ATPase, beta subunit")</f>
        <v>Na+/K+ ATPase, beta subunit</v>
      </c>
      <c r="CT649" t="str">
        <f>HYPERLINK("http://www.ncbi.nlm.nih.gov/COG/grace/shokog.cgi?KOG3927","0.26")</f>
        <v>0.26</v>
      </c>
      <c r="CU649" t="s">
        <v>1681</v>
      </c>
      <c r="CV649" s="4" t="str">
        <f>HYPERLINK("http://exon.niaid.nih.gov/transcriptome/C_felis/S1/links/PFAM/cf-contig_174-PFAM.txt","7TM_GPCR_Sru")</f>
        <v>7TM_GPCR_Sru</v>
      </c>
      <c r="CW649" t="str">
        <f>HYPERLINK("http://pfam.sanger.ac.uk/family?acc=PF10322","0.002")</f>
        <v>0.002</v>
      </c>
      <c r="CX649" s="4" t="str">
        <f>HYPERLINK("http://exon.niaid.nih.gov/transcriptome/C_felis/S1/links/SMART/cf-contig_174-SMART.txt","AgrB")</f>
        <v>AgrB</v>
      </c>
      <c r="CY649" t="str">
        <f>HYPERLINK("http://smart.embl-heidelberg.de/smart/do_annotation.pl?DOMAIN=AgrB&amp;BLAST=DUMMY","0.014")</f>
        <v>0.014</v>
      </c>
      <c r="CZ649" s="4" t="s">
        <v>42</v>
      </c>
      <c r="DA649" t="s">
        <v>42</v>
      </c>
      <c r="DB649" t="s">
        <v>42</v>
      </c>
      <c r="DC649" t="s">
        <v>42</v>
      </c>
      <c r="DD649" t="s">
        <v>42</v>
      </c>
      <c r="DE649" t="s">
        <v>42</v>
      </c>
      <c r="DF649" t="s">
        <v>42</v>
      </c>
      <c r="DG649" t="s">
        <v>42</v>
      </c>
      <c r="DH649" s="4" t="s">
        <v>42</v>
      </c>
      <c r="DI649" t="s">
        <v>42</v>
      </c>
      <c r="DJ649" s="4" t="s">
        <v>42</v>
      </c>
      <c r="DK649" t="s">
        <v>42</v>
      </c>
      <c r="DL649" s="4">
        <v>153</v>
      </c>
      <c r="DM649">
        <v>1</v>
      </c>
      <c r="DN649" s="4">
        <v>155</v>
      </c>
      <c r="DO649">
        <v>1</v>
      </c>
      <c r="DP649" s="4">
        <v>153</v>
      </c>
      <c r="DQ649">
        <v>1</v>
      </c>
      <c r="DR649" s="4">
        <v>150</v>
      </c>
      <c r="DS649">
        <v>1</v>
      </c>
      <c r="DT649" s="4">
        <v>150</v>
      </c>
      <c r="DU649">
        <v>1</v>
      </c>
      <c r="DV649" s="4">
        <v>160</v>
      </c>
      <c r="DW649">
        <v>1</v>
      </c>
      <c r="DX649" s="4">
        <v>162</v>
      </c>
      <c r="DY649">
        <v>1</v>
      </c>
      <c r="DZ649" s="4">
        <v>162</v>
      </c>
      <c r="EA649">
        <v>1</v>
      </c>
      <c r="EB649" s="4">
        <v>167</v>
      </c>
      <c r="EC649">
        <v>1</v>
      </c>
      <c r="ED649" s="4">
        <v>168</v>
      </c>
      <c r="EE649">
        <v>1</v>
      </c>
      <c r="EF649" s="4">
        <v>169</v>
      </c>
      <c r="EG649">
        <v>1</v>
      </c>
      <c r="EH649" s="4">
        <v>169</v>
      </c>
      <c r="EI649">
        <v>1</v>
      </c>
      <c r="EJ649" s="4">
        <v>174</v>
      </c>
      <c r="EK649">
        <v>1</v>
      </c>
    </row>
    <row r="650" spans="1:141" x14ac:dyDescent="0.2">
      <c r="A650" t="str">
        <f>HYPERLINK("http://exon.niaid.nih.gov/transcriptome/C_felis/S1/links/cf/cf-contig_473.txt","cf-contig_473")</f>
        <v>cf-contig_473</v>
      </c>
      <c r="B650">
        <v>1</v>
      </c>
      <c r="C650" s="10" t="s">
        <v>4600</v>
      </c>
      <c r="D650">
        <v>1</v>
      </c>
      <c r="E650" t="str">
        <f>HYPERLINK("http://exon.niaid.nih.gov/transcriptome/C_felis/S1/links/cf/cf-5-36-asb-473.txt","Contig-473")</f>
        <v>Contig-473</v>
      </c>
      <c r="F650" t="str">
        <f>HYPERLINK("http://exon.niaid.nih.gov/transcriptome/C_felis/S1/links/cf/cf-5-36-473-CLU.txt","Contig473")</f>
        <v>Contig473</v>
      </c>
      <c r="G650" t="str">
        <f>HYPERLINK("http://exon.niaid.nih.gov/transcriptome/C_felis/S1/links/cf/cf-5-36-473-qual.txt","46.7")</f>
        <v>46.7</v>
      </c>
      <c r="H650" t="s">
        <v>11</v>
      </c>
      <c r="I650">
        <v>68.2</v>
      </c>
      <c r="J650">
        <v>519</v>
      </c>
      <c r="K650" t="s">
        <v>12</v>
      </c>
      <c r="L650">
        <v>1</v>
      </c>
      <c r="M650" t="s">
        <v>486</v>
      </c>
      <c r="N650">
        <v>519</v>
      </c>
      <c r="O650">
        <v>538</v>
      </c>
      <c r="P650">
        <v>183</v>
      </c>
      <c r="Q650" t="s">
        <v>1292</v>
      </c>
      <c r="R650">
        <v>3</v>
      </c>
      <c r="S650" s="7" t="s">
        <v>4585</v>
      </c>
      <c r="U650">
        <v>1</v>
      </c>
      <c r="V650" s="4">
        <v>384</v>
      </c>
      <c r="W650">
        <v>1</v>
      </c>
      <c r="X650" s="4">
        <v>393</v>
      </c>
      <c r="Y650">
        <v>1</v>
      </c>
      <c r="Z650" s="4">
        <v>398</v>
      </c>
      <c r="AA650">
        <v>1</v>
      </c>
      <c r="AB650" s="4" t="str">
        <f>HYPERLINK("http://exon.niaid.nih.gov/transcriptome/C_felis/S1/links/XC-ASB/cf-contig_473-XC-ASB.txt","XC-contig_206")</f>
        <v>XC-contig_206</v>
      </c>
      <c r="AC650">
        <v>5.9999999999999995E-8</v>
      </c>
      <c r="AD650" s="10" t="s">
        <v>4600</v>
      </c>
      <c r="AE650" t="s">
        <v>4601</v>
      </c>
      <c r="AI650" s="4" t="str">
        <f>HYPERLINK("http://exon.niaid.nih.gov/transcriptome/C_felis/S1/links/NR/cf-contig_473-NR.txt","hypothetical protein EAI_01038")</f>
        <v>hypothetical protein EAI_01038</v>
      </c>
      <c r="AJ650" t="str">
        <f>HYPERLINK("http://www.ncbi.nlm.nih.gov/sutils/blink.cgi?pid=307202798","1E-018")</f>
        <v>1E-018</v>
      </c>
      <c r="AK650" t="str">
        <f>HYPERLINK("http://www.ncbi.nlm.nih.gov/protein/307202798","gi|307202798")</f>
        <v>gi|307202798</v>
      </c>
      <c r="AL650">
        <v>96.7</v>
      </c>
      <c r="AM650">
        <v>188</v>
      </c>
      <c r="AN650">
        <v>288</v>
      </c>
      <c r="AO650">
        <v>32</v>
      </c>
      <c r="AP650">
        <v>66</v>
      </c>
      <c r="AQ650">
        <v>114</v>
      </c>
      <c r="AR650">
        <v>0</v>
      </c>
      <c r="AS650">
        <v>38</v>
      </c>
      <c r="AT650">
        <v>1</v>
      </c>
      <c r="AU650">
        <v>17</v>
      </c>
      <c r="AV650">
        <v>2</v>
      </c>
      <c r="AW650" t="s">
        <v>1689</v>
      </c>
      <c r="AX650">
        <v>4.2549999999999999</v>
      </c>
      <c r="AY650" t="s">
        <v>1676</v>
      </c>
      <c r="AZ650" t="s">
        <v>1712</v>
      </c>
      <c r="BA650" s="4" t="str">
        <f>HYPERLINK("http://exon.niaid.nih.gov/transcriptome/C_felis/S1/links/SWISSP/cf-contig_473-SWISSP.txt","Nucleolar protein 58")</f>
        <v>Nucleolar protein 58</v>
      </c>
      <c r="BB650" t="str">
        <f>HYPERLINK("http://www.uniprot.org/uniprot/Q55FI4","4E-011")</f>
        <v>4E-011</v>
      </c>
      <c r="BC650" t="s">
        <v>3394</v>
      </c>
      <c r="BD650">
        <v>67.8</v>
      </c>
      <c r="BE650">
        <v>198</v>
      </c>
      <c r="BF650">
        <v>638</v>
      </c>
      <c r="BG650">
        <v>31</v>
      </c>
      <c r="BH650">
        <v>31</v>
      </c>
      <c r="BI650">
        <v>95</v>
      </c>
      <c r="BJ650">
        <v>0</v>
      </c>
      <c r="BK650">
        <v>440</v>
      </c>
      <c r="BL650">
        <v>3</v>
      </c>
      <c r="BM650">
        <v>4</v>
      </c>
      <c r="BN650">
        <v>2</v>
      </c>
      <c r="BO650" t="s">
        <v>1689</v>
      </c>
      <c r="BP650">
        <v>2.5249999999999999</v>
      </c>
      <c r="BQ650" t="s">
        <v>1676</v>
      </c>
      <c r="BR650" t="s">
        <v>1976</v>
      </c>
      <c r="BS650" s="4" t="str">
        <f>HYPERLINK("http://exon.niaid.nih.gov/transcriptome/C_felis/S1/links/CDD/cf-contig_473-CDD.txt","PIG-U")</f>
        <v>PIG-U</v>
      </c>
      <c r="BT650" t="str">
        <f>HYPERLINK("http://www.ncbi.nlm.nih.gov/Structure/cdd/cddsrv.cgi?uid=pfam06728&amp;version=v4.0","3E-014")</f>
        <v>3E-014</v>
      </c>
      <c r="BU650" t="s">
        <v>3395</v>
      </c>
      <c r="BV650" s="4" t="s">
        <v>3396</v>
      </c>
      <c r="BW650">
        <f>HYPERLINK("http://exon.niaid.nih.gov/transcriptome/C_felis/S1/links/GO/cf-contig_473-GO.txt",0.0000000000003)</f>
        <v>2.9999999999999998E-13</v>
      </c>
      <c r="BX650" t="str">
        <f>HYPERLINK("http://amigo.geneontology.org/cgi-bin/amigo/term_details?term=GO:0045735","GO:0045735")</f>
        <v>GO:0045735</v>
      </c>
      <c r="BY650" t="s">
        <v>3397</v>
      </c>
      <c r="BZ650" t="s">
        <v>3398</v>
      </c>
      <c r="CA650" t="s">
        <v>3399</v>
      </c>
      <c r="CB650" t="s">
        <v>42</v>
      </c>
      <c r="CD650">
        <v>3E-11</v>
      </c>
      <c r="CE650" t="str">
        <f>HYPERLINK("http://amigo.geneontology.org/cgi-bin/amigo/term_details?term=GO:0012505","GO:0012505")</f>
        <v>GO:0012505</v>
      </c>
      <c r="CF650" t="s">
        <v>2219</v>
      </c>
      <c r="CG650" t="s">
        <v>2220</v>
      </c>
      <c r="CH650" t="s">
        <v>42</v>
      </c>
      <c r="CI650" t="s">
        <v>42</v>
      </c>
      <c r="CK650">
        <v>3E-11</v>
      </c>
      <c r="CL650" t="str">
        <f>HYPERLINK("http://amigo.geneontology.org/cgi-bin/amigo/term_details?term=GO:0008150","GO:0008150")</f>
        <v>GO:0008150</v>
      </c>
      <c r="CM650" t="s">
        <v>1857</v>
      </c>
      <c r="CN650" t="s">
        <v>1858</v>
      </c>
      <c r="CO650" t="s">
        <v>1859</v>
      </c>
      <c r="CP650" t="s">
        <v>42</v>
      </c>
      <c r="CR650">
        <v>3E-11</v>
      </c>
      <c r="CS650" s="4" t="str">
        <f>HYPERLINK("http://exon.niaid.nih.gov/transcriptome/C_felis/S1/links/KOG/cf-contig_473-KOG.txt","Chromatin assembly factor-I")</f>
        <v>Chromatin assembly factor-I</v>
      </c>
      <c r="CT650" t="str">
        <f>HYPERLINK("http://www.ncbi.nlm.nih.gov/COG/grace/shokog.cgi?KOG4364","3E-010")</f>
        <v>3E-010</v>
      </c>
      <c r="CU650" t="s">
        <v>2096</v>
      </c>
      <c r="CV650" s="4" t="str">
        <f>HYPERLINK("http://exon.niaid.nih.gov/transcriptome/C_felis/S1/links/PFAM/cf-contig_473-PFAM.txt","PIG-U")</f>
        <v>PIG-U</v>
      </c>
      <c r="CW650" t="str">
        <f>HYPERLINK("http://pfam.sanger.ac.uk/family?acc=PF06728","6E-015")</f>
        <v>6E-015</v>
      </c>
      <c r="CX650" s="4" t="str">
        <f>HYPERLINK("http://exon.niaid.nih.gov/transcriptome/C_felis/S1/links/SMART/cf-contig_473-SMART.txt","PSN")</f>
        <v>PSN</v>
      </c>
      <c r="CY650" t="str">
        <f>HYPERLINK("http://smart.embl-heidelberg.de/smart/do_annotation.pl?DOMAIN=PSN&amp;BLAST=DUMMY","2E-008")</f>
        <v>2E-008</v>
      </c>
      <c r="CZ650" s="4" t="s">
        <v>42</v>
      </c>
      <c r="DA650" t="s">
        <v>42</v>
      </c>
      <c r="DB650" t="s">
        <v>42</v>
      </c>
      <c r="DC650" t="s">
        <v>42</v>
      </c>
      <c r="DD650" t="s">
        <v>42</v>
      </c>
      <c r="DE650" t="s">
        <v>42</v>
      </c>
      <c r="DF650" t="s">
        <v>42</v>
      </c>
      <c r="DG650" t="s">
        <v>42</v>
      </c>
      <c r="DH650" s="4" t="s">
        <v>42</v>
      </c>
      <c r="DI650" t="s">
        <v>42</v>
      </c>
      <c r="DJ650" s="4" t="s">
        <v>42</v>
      </c>
      <c r="DK650" t="s">
        <v>42</v>
      </c>
      <c r="DL650" s="4">
        <v>384</v>
      </c>
      <c r="DM650">
        <v>1</v>
      </c>
      <c r="DN650" s="4">
        <v>393</v>
      </c>
      <c r="DO650">
        <v>1</v>
      </c>
      <c r="DP650" s="4">
        <v>398</v>
      </c>
      <c r="DQ650">
        <v>1</v>
      </c>
      <c r="DR650" s="4">
        <v>413</v>
      </c>
      <c r="DS650">
        <v>1</v>
      </c>
      <c r="DT650" s="4">
        <v>423</v>
      </c>
      <c r="DU650">
        <v>1</v>
      </c>
      <c r="DV650" s="4">
        <v>437</v>
      </c>
      <c r="DW650">
        <v>1</v>
      </c>
      <c r="DX650" s="4">
        <v>441</v>
      </c>
      <c r="DY650">
        <v>1</v>
      </c>
      <c r="DZ650" s="4">
        <v>447</v>
      </c>
      <c r="EA650">
        <v>1</v>
      </c>
      <c r="EB650" s="4">
        <v>452</v>
      </c>
      <c r="EC650">
        <v>1</v>
      </c>
      <c r="ED650" s="4">
        <v>456</v>
      </c>
      <c r="EE650">
        <v>1</v>
      </c>
      <c r="EF650" s="4">
        <v>461</v>
      </c>
      <c r="EG650">
        <v>1</v>
      </c>
      <c r="EH650" s="4">
        <v>467</v>
      </c>
      <c r="EI650">
        <v>1</v>
      </c>
      <c r="EJ650" s="4">
        <v>473</v>
      </c>
      <c r="EK650">
        <v>1</v>
      </c>
    </row>
    <row r="651" spans="1:141" x14ac:dyDescent="0.2">
      <c r="A651" t="str">
        <f>HYPERLINK("http://exon.niaid.nih.gov/transcriptome/C_felis/S1/links/cf/cf-contig_676.txt","cf-contig_676")</f>
        <v>cf-contig_676</v>
      </c>
      <c r="B651">
        <v>1</v>
      </c>
      <c r="C651" s="10" t="s">
        <v>4600</v>
      </c>
      <c r="D651">
        <v>1</v>
      </c>
      <c r="E651" t="str">
        <f>HYPERLINK("http://exon.niaid.nih.gov/transcriptome/C_felis/S1/links/cf/cf-5-36-asb-676.txt","Contig-676")</f>
        <v>Contig-676</v>
      </c>
      <c r="F651" t="str">
        <f>HYPERLINK("http://exon.niaid.nih.gov/transcriptome/C_felis/S1/links/cf/cf-5-36-676-CLU.txt","Contig676")</f>
        <v>Contig676</v>
      </c>
      <c r="G651" t="str">
        <f>HYPERLINK("http://exon.niaid.nih.gov/transcriptome/C_felis/S1/links/cf/cf-5-36-676-qual.txt","27.6")</f>
        <v>27.6</v>
      </c>
      <c r="H651" t="s">
        <v>11</v>
      </c>
      <c r="I651">
        <v>74.099999999999994</v>
      </c>
      <c r="J651">
        <v>151</v>
      </c>
      <c r="K651" t="s">
        <v>12</v>
      </c>
      <c r="L651">
        <v>1</v>
      </c>
      <c r="M651" t="s">
        <v>689</v>
      </c>
      <c r="N651">
        <v>151</v>
      </c>
      <c r="O651">
        <v>170</v>
      </c>
      <c r="P651">
        <v>165</v>
      </c>
      <c r="Q651" t="s">
        <v>1495</v>
      </c>
      <c r="R651">
        <v>2</v>
      </c>
      <c r="S651" s="7" t="s">
        <v>4585</v>
      </c>
      <c r="U651">
        <v>1</v>
      </c>
      <c r="V651" s="4">
        <v>551</v>
      </c>
      <c r="W651">
        <v>1</v>
      </c>
      <c r="X651" s="4">
        <v>564</v>
      </c>
      <c r="Y651">
        <v>1</v>
      </c>
      <c r="Z651" s="4">
        <v>576</v>
      </c>
      <c r="AA651">
        <v>1</v>
      </c>
      <c r="AB651" s="4" t="str">
        <f>HYPERLINK("http://exon.niaid.nih.gov/transcriptome/C_felis/S1/links/XC-ASB/cf-contig_676-XC-ASB.txt","XC-contig_246")</f>
        <v>XC-contig_246</v>
      </c>
      <c r="AC651">
        <v>8.0000000000000007E-5</v>
      </c>
      <c r="AD651" s="10" t="s">
        <v>4600</v>
      </c>
      <c r="AE651" t="s">
        <v>4601</v>
      </c>
      <c r="AI651" s="4" t="str">
        <f>HYPERLINK("http://exon.niaid.nih.gov/transcriptome/C_felis/S1/links/NR/cf-contig_676-NR.txt","hypothetical protein EAI_08497")</f>
        <v>hypothetical protein EAI_08497</v>
      </c>
      <c r="AJ651" t="str">
        <f>HYPERLINK("http://www.ncbi.nlm.nih.gov/sutils/blink.cgi?pid=307208538","0.020")</f>
        <v>0.020</v>
      </c>
      <c r="AK651" t="str">
        <f>HYPERLINK("http://www.ncbi.nlm.nih.gov/protein/307208538","gi|307208538")</f>
        <v>gi|307208538</v>
      </c>
      <c r="AL651">
        <v>42.7</v>
      </c>
      <c r="AM651">
        <v>67</v>
      </c>
      <c r="AN651">
        <v>99</v>
      </c>
      <c r="AO651">
        <v>48</v>
      </c>
      <c r="AP651">
        <v>69</v>
      </c>
      <c r="AQ651">
        <v>25</v>
      </c>
      <c r="AR651">
        <v>0</v>
      </c>
      <c r="AS651">
        <v>14</v>
      </c>
      <c r="AT651">
        <v>1</v>
      </c>
      <c r="AU651">
        <v>9</v>
      </c>
      <c r="AV651">
        <v>1</v>
      </c>
      <c r="AW651" t="s">
        <v>1689</v>
      </c>
      <c r="AX651">
        <v>1.4930000000000001</v>
      </c>
      <c r="AY651" t="s">
        <v>1676</v>
      </c>
      <c r="AZ651" t="s">
        <v>1712</v>
      </c>
      <c r="BA651" s="4" t="str">
        <f>HYPERLINK("http://exon.niaid.nih.gov/transcriptome/C_felis/S1/links/SWISSP/cf-contig_676-SWISSP.txt","Endopolyphosphatase")</f>
        <v>Endopolyphosphatase</v>
      </c>
      <c r="BB651" t="str">
        <f>HYPERLINK("http://www.uniprot.org/uniprot/Q6CEE7","0.013")</f>
        <v>0.013</v>
      </c>
      <c r="BC651" t="s">
        <v>4128</v>
      </c>
      <c r="BD651">
        <v>38.5</v>
      </c>
      <c r="BE651">
        <v>43</v>
      </c>
      <c r="BF651">
        <v>747</v>
      </c>
      <c r="BG651">
        <v>52</v>
      </c>
      <c r="BH651">
        <v>6</v>
      </c>
      <c r="BI651">
        <v>17</v>
      </c>
      <c r="BJ651">
        <v>0</v>
      </c>
      <c r="BK651">
        <v>589</v>
      </c>
      <c r="BL651">
        <v>2</v>
      </c>
      <c r="BM651">
        <v>9</v>
      </c>
      <c r="BN651">
        <v>2</v>
      </c>
      <c r="BO651" t="s">
        <v>1689</v>
      </c>
      <c r="BQ651" t="s">
        <v>1676</v>
      </c>
      <c r="BR651" t="s">
        <v>4129</v>
      </c>
      <c r="BS651" s="4" t="str">
        <f>HYPERLINK("http://exon.niaid.nih.gov/transcriptome/C_felis/S1/links/CDD/cf-contig_676-CDD.txt","PRK14552")</f>
        <v>PRK14552</v>
      </c>
      <c r="BT651" t="str">
        <f>HYPERLINK("http://www.ncbi.nlm.nih.gov/Structure/cdd/cddsrv.cgi?uid=PRK14552&amp;version=v4.0","9E-004")</f>
        <v>9E-004</v>
      </c>
      <c r="BU651" t="s">
        <v>4130</v>
      </c>
      <c r="BV651" s="4" t="s">
        <v>42</v>
      </c>
      <c r="BW651" t="s">
        <v>42</v>
      </c>
      <c r="BX651" t="s">
        <v>42</v>
      </c>
      <c r="BY651" t="s">
        <v>42</v>
      </c>
      <c r="BZ651" t="s">
        <v>42</v>
      </c>
      <c r="CA651" t="s">
        <v>42</v>
      </c>
      <c r="CB651" t="s">
        <v>42</v>
      </c>
      <c r="CC651" t="s">
        <v>42</v>
      </c>
      <c r="CD651" t="s">
        <v>42</v>
      </c>
      <c r="CE651" t="s">
        <v>42</v>
      </c>
      <c r="CF651" t="s">
        <v>42</v>
      </c>
      <c r="CG651" t="s">
        <v>42</v>
      </c>
      <c r="CH651" t="s">
        <v>42</v>
      </c>
      <c r="CI651" t="s">
        <v>42</v>
      </c>
      <c r="CJ651" t="s">
        <v>42</v>
      </c>
      <c r="CK651" t="s">
        <v>42</v>
      </c>
      <c r="CL651" t="s">
        <v>42</v>
      </c>
      <c r="CM651" t="s">
        <v>42</v>
      </c>
      <c r="CN651" t="s">
        <v>42</v>
      </c>
      <c r="CO651" t="s">
        <v>42</v>
      </c>
      <c r="CP651" t="s">
        <v>42</v>
      </c>
      <c r="CQ651" t="s">
        <v>42</v>
      </c>
      <c r="CR651" t="s">
        <v>42</v>
      </c>
      <c r="CS651" s="4" t="str">
        <f>HYPERLINK("http://exon.niaid.nih.gov/transcriptome/C_felis/S1/links/KOG/cf-contig_676-KOG.txt","CDP-diacylglycerol synthase")</f>
        <v>CDP-diacylglycerol synthase</v>
      </c>
      <c r="CT651" t="str">
        <f>HYPERLINK("http://www.ncbi.nlm.nih.gov/COG/grace/shokog.cgi?KOG1440","0.008")</f>
        <v>0.008</v>
      </c>
      <c r="CU651" t="s">
        <v>1761</v>
      </c>
      <c r="CV651" s="4" t="str">
        <f>HYPERLINK("http://exon.niaid.nih.gov/transcriptome/C_felis/S1/links/PFAM/cf-contig_676-PFAM.txt","CTP_transf_1")</f>
        <v>CTP_transf_1</v>
      </c>
      <c r="CW651" t="str">
        <f>HYPERLINK("http://pfam.sanger.ac.uk/family?acc=PF01148","0.002")</f>
        <v>0.002</v>
      </c>
      <c r="CX651" s="4" t="str">
        <f>HYPERLINK("http://exon.niaid.nih.gov/transcriptome/C_felis/S1/links/SMART/cf-contig_676-SMART.txt","VKc")</f>
        <v>VKc</v>
      </c>
      <c r="CY651" t="str">
        <f>HYPERLINK("http://smart.embl-heidelberg.de/smart/do_annotation.pl?DOMAIN=VKc&amp;BLAST=DUMMY","0.073")</f>
        <v>0.073</v>
      </c>
      <c r="CZ651" s="4" t="s">
        <v>42</v>
      </c>
      <c r="DA651" t="s">
        <v>42</v>
      </c>
      <c r="DB651" t="s">
        <v>42</v>
      </c>
      <c r="DC651" t="s">
        <v>42</v>
      </c>
      <c r="DD651" t="s">
        <v>42</v>
      </c>
      <c r="DE651" t="s">
        <v>42</v>
      </c>
      <c r="DF651" t="s">
        <v>42</v>
      </c>
      <c r="DG651" t="s">
        <v>42</v>
      </c>
      <c r="DH651" s="4" t="s">
        <v>42</v>
      </c>
      <c r="DI651" t="s">
        <v>42</v>
      </c>
      <c r="DJ651" s="4" t="s">
        <v>42</v>
      </c>
      <c r="DK651" t="s">
        <v>42</v>
      </c>
      <c r="DL651" s="4">
        <v>551</v>
      </c>
      <c r="DM651">
        <v>1</v>
      </c>
      <c r="DN651" s="4">
        <v>564</v>
      </c>
      <c r="DO651">
        <v>1</v>
      </c>
      <c r="DP651" s="4">
        <v>576</v>
      </c>
      <c r="DQ651">
        <v>1</v>
      </c>
      <c r="DR651" s="4">
        <v>597</v>
      </c>
      <c r="DS651">
        <v>1</v>
      </c>
      <c r="DT651" s="4">
        <v>611</v>
      </c>
      <c r="DU651">
        <v>1</v>
      </c>
      <c r="DV651" s="4">
        <v>625</v>
      </c>
      <c r="DW651">
        <v>1</v>
      </c>
      <c r="DX651" s="4">
        <v>634</v>
      </c>
      <c r="DY651">
        <v>1</v>
      </c>
      <c r="DZ651" s="4">
        <v>644</v>
      </c>
      <c r="EA651">
        <v>1</v>
      </c>
      <c r="EB651" s="4">
        <v>649</v>
      </c>
      <c r="EC651">
        <v>1</v>
      </c>
      <c r="ED651" s="4">
        <v>653</v>
      </c>
      <c r="EE651">
        <v>1</v>
      </c>
      <c r="EF651" s="4">
        <v>659</v>
      </c>
      <c r="EG651">
        <v>1</v>
      </c>
      <c r="EH651" s="4">
        <v>667</v>
      </c>
      <c r="EI651">
        <v>1</v>
      </c>
      <c r="EJ651" s="4">
        <v>676</v>
      </c>
      <c r="EK651">
        <v>1</v>
      </c>
    </row>
    <row r="652" spans="1:141" x14ac:dyDescent="0.2">
      <c r="A652" t="str">
        <f>HYPERLINK("http://exon.niaid.nih.gov/transcriptome/C_felis/S1/links/cf/cf-contig_173.txt","cf-contig_173")</f>
        <v>cf-contig_173</v>
      </c>
      <c r="B652">
        <v>2</v>
      </c>
      <c r="C652" s="10" t="s">
        <v>4600</v>
      </c>
      <c r="D652">
        <v>2</v>
      </c>
      <c r="E652" t="str">
        <f>HYPERLINK("http://exon.niaid.nih.gov/transcriptome/C_felis/S1/links/cf/cf-5-36-asb-173.txt","Contig-173")</f>
        <v>Contig-173</v>
      </c>
      <c r="F652" t="str">
        <f>HYPERLINK("http://exon.niaid.nih.gov/transcriptome/C_felis/S1/links/cf/cf-5-36-173-CLU.txt","Contig173")</f>
        <v>Contig173</v>
      </c>
      <c r="G652" t="str">
        <f>HYPERLINK("http://exon.niaid.nih.gov/transcriptome/C_felis/S1/links/cf/cf-5-36-173-qual.txt","70.9")</f>
        <v>70.9</v>
      </c>
      <c r="H652" t="s">
        <v>11</v>
      </c>
      <c r="I652">
        <v>70.900000000000006</v>
      </c>
      <c r="J652">
        <v>321</v>
      </c>
      <c r="K652" t="s">
        <v>12</v>
      </c>
      <c r="L652">
        <v>2</v>
      </c>
      <c r="M652" t="s">
        <v>186</v>
      </c>
      <c r="N652">
        <v>331</v>
      </c>
      <c r="O652">
        <v>340</v>
      </c>
      <c r="P652">
        <v>108</v>
      </c>
      <c r="Q652" t="s">
        <v>993</v>
      </c>
      <c r="R652">
        <v>2</v>
      </c>
      <c r="S652" s="7" t="s">
        <v>4585</v>
      </c>
      <c r="U652">
        <v>2</v>
      </c>
      <c r="V652" s="4">
        <v>152</v>
      </c>
      <c r="W652">
        <v>1</v>
      </c>
      <c r="X652" s="4">
        <v>154</v>
      </c>
      <c r="Y652">
        <v>1</v>
      </c>
      <c r="Z652" s="4">
        <v>152</v>
      </c>
      <c r="AA652">
        <v>1</v>
      </c>
      <c r="AB652" s="4" t="str">
        <f>HYPERLINK("http://exon.niaid.nih.gov/transcriptome/C_felis/S1/links/XC-ASB/cf-contig_173-XC-ASB.txt","XC-contig_206")</f>
        <v>XC-contig_206</v>
      </c>
      <c r="AC652">
        <v>5.9999999999999995E-4</v>
      </c>
      <c r="AD652" s="10" t="s">
        <v>4600</v>
      </c>
      <c r="AE652" t="s">
        <v>4601</v>
      </c>
      <c r="AI652" s="4" t="str">
        <f>HYPERLINK("http://exon.niaid.nih.gov/transcriptome/C_felis/S1/links/NR/cf-contig_173-NR.txt","hypothetical protein HPF16_1300")</f>
        <v>hypothetical protein HPF16_1300</v>
      </c>
      <c r="AJ652" t="str">
        <f>HYPERLINK("http://www.ncbi.nlm.nih.gov/sutils/blink.cgi?pid=317178108","0.015")</f>
        <v>0.015</v>
      </c>
      <c r="AK652" t="str">
        <f>HYPERLINK("http://www.ncbi.nlm.nih.gov/protein/317178108","gi|317178108")</f>
        <v>gi|317178108</v>
      </c>
      <c r="AL652">
        <v>43.1</v>
      </c>
      <c r="AM652">
        <v>90</v>
      </c>
      <c r="AN652">
        <v>108</v>
      </c>
      <c r="AO652">
        <v>36</v>
      </c>
      <c r="AP652">
        <v>84</v>
      </c>
      <c r="AQ652">
        <v>43</v>
      </c>
      <c r="AR652">
        <v>3</v>
      </c>
      <c r="AS652">
        <v>14</v>
      </c>
      <c r="AT652">
        <v>79</v>
      </c>
      <c r="AU652">
        <v>5</v>
      </c>
      <c r="AV652">
        <v>-2</v>
      </c>
      <c r="AW652" t="s">
        <v>12</v>
      </c>
      <c r="AX652">
        <v>1.111</v>
      </c>
      <c r="AY652" t="s">
        <v>1666</v>
      </c>
      <c r="AZ652" t="s">
        <v>2320</v>
      </c>
      <c r="BA652" s="4" t="str">
        <f>HYPERLINK("http://exon.niaid.nih.gov/transcriptome/C_felis/S1/links/SWISSP/cf-contig_173-SWISSP.txt","Uncharacterized mitochondrial protein ORF4")</f>
        <v>Uncharacterized mitochondrial protein ORF4</v>
      </c>
      <c r="BB652" t="str">
        <f>HYPERLINK("http://www.uniprot.org/uniprot/P15605","0.15")</f>
        <v>0.15</v>
      </c>
      <c r="BC652" t="s">
        <v>1699</v>
      </c>
      <c r="BD652">
        <v>35</v>
      </c>
      <c r="BE652">
        <v>82</v>
      </c>
      <c r="BF652">
        <v>156</v>
      </c>
      <c r="BG652">
        <v>30</v>
      </c>
      <c r="BH652">
        <v>53</v>
      </c>
      <c r="BI652">
        <v>58</v>
      </c>
      <c r="BJ652">
        <v>17</v>
      </c>
      <c r="BK652">
        <v>39</v>
      </c>
      <c r="BL652">
        <v>82</v>
      </c>
      <c r="BM652">
        <v>1</v>
      </c>
      <c r="BN652">
        <v>-2</v>
      </c>
      <c r="BO652" t="s">
        <v>12</v>
      </c>
      <c r="BP652">
        <v>1.22</v>
      </c>
      <c r="BQ652" t="s">
        <v>1666</v>
      </c>
      <c r="BR652" t="s">
        <v>1700</v>
      </c>
      <c r="BS652" s="4" t="str">
        <f>HYPERLINK("http://exon.niaid.nih.gov/transcriptome/C_felis/S1/links/CDD/cf-contig_173-CDD.txt","ND2")</f>
        <v>ND2</v>
      </c>
      <c r="BT652" t="str">
        <f>HYPERLINK("http://www.ncbi.nlm.nih.gov/Structure/cdd/cddsrv.cgi?uid=MTH00160&amp;version=v4.0","6E-007")</f>
        <v>6E-007</v>
      </c>
      <c r="BU652" t="s">
        <v>2321</v>
      </c>
      <c r="BV652" s="4" t="s">
        <v>42</v>
      </c>
      <c r="BW652" t="s">
        <v>42</v>
      </c>
      <c r="BX652" t="s">
        <v>42</v>
      </c>
      <c r="BY652" t="s">
        <v>42</v>
      </c>
      <c r="BZ652" t="s">
        <v>42</v>
      </c>
      <c r="CA652" t="s">
        <v>42</v>
      </c>
      <c r="CB652" t="s">
        <v>42</v>
      </c>
      <c r="CC652" t="s">
        <v>42</v>
      </c>
      <c r="CD652" t="s">
        <v>42</v>
      </c>
      <c r="CE652" t="s">
        <v>42</v>
      </c>
      <c r="CF652" t="s">
        <v>42</v>
      </c>
      <c r="CG652" t="s">
        <v>42</v>
      </c>
      <c r="CH652" t="s">
        <v>42</v>
      </c>
      <c r="CI652" t="s">
        <v>42</v>
      </c>
      <c r="CJ652" t="s">
        <v>42</v>
      </c>
      <c r="CK652" t="s">
        <v>42</v>
      </c>
      <c r="CL652" t="s">
        <v>42</v>
      </c>
      <c r="CM652" t="s">
        <v>42</v>
      </c>
      <c r="CN652" t="s">
        <v>42</v>
      </c>
      <c r="CO652" t="s">
        <v>42</v>
      </c>
      <c r="CP652" t="s">
        <v>42</v>
      </c>
      <c r="CQ652" t="s">
        <v>42</v>
      </c>
      <c r="CR652" t="s">
        <v>42</v>
      </c>
      <c r="CS652" s="4" t="str">
        <f>HYPERLINK("http://exon.niaid.nih.gov/transcriptome/C_felis/S1/links/KOG/cf-contig_173-KOG.txt","NADH dehydrogenase, subunit 4")</f>
        <v>NADH dehydrogenase, subunit 4</v>
      </c>
      <c r="CT652" t="str">
        <f>HYPERLINK("http://www.ncbi.nlm.nih.gov/COG/grace/shokog.cgi?KOG4845","0.002")</f>
        <v>0.002</v>
      </c>
      <c r="CU652" t="s">
        <v>1793</v>
      </c>
      <c r="CV652" s="4" t="str">
        <f>HYPERLINK("http://exon.niaid.nih.gov/transcriptome/C_felis/S1/links/PFAM/cf-contig_173-PFAM.txt","SecY")</f>
        <v>SecY</v>
      </c>
      <c r="CW652" t="str">
        <f>HYPERLINK("http://pfam.sanger.ac.uk/family?acc=PF00344","6E-006")</f>
        <v>6E-006</v>
      </c>
      <c r="CX652" s="4" t="str">
        <f>HYPERLINK("http://exon.niaid.nih.gov/transcriptome/C_felis/S1/links/SMART/cf-contig_173-SMART.txt","PSN")</f>
        <v>PSN</v>
      </c>
      <c r="CY652" t="str">
        <f>HYPERLINK("http://smart.embl-heidelberg.de/smart/do_annotation.pl?DOMAIN=PSN&amp;BLAST=DUMMY","1E-004")</f>
        <v>1E-004</v>
      </c>
      <c r="CZ652" s="4" t="s">
        <v>42</v>
      </c>
      <c r="DA652" t="s">
        <v>42</v>
      </c>
      <c r="DB652" t="s">
        <v>42</v>
      </c>
      <c r="DC652" t="s">
        <v>42</v>
      </c>
      <c r="DD652" t="s">
        <v>42</v>
      </c>
      <c r="DE652" t="s">
        <v>42</v>
      </c>
      <c r="DF652" t="s">
        <v>42</v>
      </c>
      <c r="DG652" t="s">
        <v>42</v>
      </c>
      <c r="DH652" s="4" t="s">
        <v>42</v>
      </c>
      <c r="DI652" t="s">
        <v>42</v>
      </c>
      <c r="DJ652" s="4" t="s">
        <v>42</v>
      </c>
      <c r="DK652" t="s">
        <v>42</v>
      </c>
      <c r="DL652" s="4">
        <v>152</v>
      </c>
      <c r="DM652">
        <v>1</v>
      </c>
      <c r="DN652" s="4">
        <v>154</v>
      </c>
      <c r="DO652">
        <v>1</v>
      </c>
      <c r="DP652" s="4">
        <v>152</v>
      </c>
      <c r="DQ652">
        <v>1</v>
      </c>
      <c r="DR652" s="4">
        <v>149</v>
      </c>
      <c r="DS652">
        <v>1</v>
      </c>
      <c r="DT652" s="4">
        <v>149</v>
      </c>
      <c r="DU652">
        <v>1</v>
      </c>
      <c r="DV652" s="4">
        <v>159</v>
      </c>
      <c r="DW652">
        <v>1</v>
      </c>
      <c r="DX652" s="4">
        <v>161</v>
      </c>
      <c r="DY652">
        <v>1</v>
      </c>
      <c r="DZ652" s="4">
        <v>161</v>
      </c>
      <c r="EA652">
        <v>1</v>
      </c>
      <c r="EB652" s="4">
        <v>166</v>
      </c>
      <c r="EC652">
        <v>1</v>
      </c>
      <c r="ED652" s="4">
        <v>167</v>
      </c>
      <c r="EE652">
        <v>1</v>
      </c>
      <c r="EF652" s="4">
        <v>168</v>
      </c>
      <c r="EG652">
        <v>1</v>
      </c>
      <c r="EH652" s="4">
        <v>168</v>
      </c>
      <c r="EI652">
        <v>1</v>
      </c>
      <c r="EJ652" s="4">
        <v>173</v>
      </c>
      <c r="EK652">
        <v>1</v>
      </c>
    </row>
    <row r="653" spans="1:141" x14ac:dyDescent="0.2">
      <c r="A653" t="str">
        <f>HYPERLINK("http://exon.niaid.nih.gov/transcriptome/C_felis/S1/links/cf/cf-contig_330.txt","cf-contig_330")</f>
        <v>cf-contig_330</v>
      </c>
      <c r="B653">
        <v>1</v>
      </c>
      <c r="C653" s="10" t="s">
        <v>4600</v>
      </c>
      <c r="D653">
        <v>1</v>
      </c>
      <c r="E653" t="str">
        <f>HYPERLINK("http://exon.niaid.nih.gov/transcriptome/C_felis/S1/links/cf/cf-5-36-asb-330.txt","Contig-330")</f>
        <v>Contig-330</v>
      </c>
      <c r="F653" t="str">
        <f>HYPERLINK("http://exon.niaid.nih.gov/transcriptome/C_felis/S1/links/cf/cf-5-36-330-CLU.txt","Contig330")</f>
        <v>Contig330</v>
      </c>
      <c r="G653" t="str">
        <f>HYPERLINK("http://exon.niaid.nih.gov/transcriptome/C_felis/S1/links/cf/cf-5-36-330-qual.txt","62.9")</f>
        <v>62.9</v>
      </c>
      <c r="H653" t="s">
        <v>11</v>
      </c>
      <c r="I653">
        <v>82.6</v>
      </c>
      <c r="J653">
        <v>199</v>
      </c>
      <c r="K653" t="s">
        <v>12</v>
      </c>
      <c r="L653">
        <v>1</v>
      </c>
      <c r="M653" t="s">
        <v>343</v>
      </c>
      <c r="N653">
        <v>199</v>
      </c>
      <c r="O653">
        <v>218</v>
      </c>
      <c r="P653">
        <v>108</v>
      </c>
      <c r="Q653" t="s">
        <v>1150</v>
      </c>
      <c r="R653">
        <v>1</v>
      </c>
      <c r="S653" s="7" t="s">
        <v>4585</v>
      </c>
      <c r="U653">
        <v>1</v>
      </c>
      <c r="V653" s="4">
        <f>HYPERLINK("http://exon.niaid.nih.gov/transcriptome/C_felis/S1/links/cluster/cf-5-36-asb30-50-Id-CLU67.txt", 67)</f>
        <v>67</v>
      </c>
      <c r="W653">
        <f>HYPERLINK("http://exon.niaid.nih.gov/transcriptome/C_felis/S1/links/cluster/cf-5-36-asb30-50-Id-CLTL67.txt", 2)</f>
        <v>2</v>
      </c>
      <c r="X653" s="4">
        <f>HYPERLINK("http://exon.niaid.nih.gov/transcriptome/C_felis/S1/links/cluster/cf-5-36-asb35-50-Id-CLU59.txt", 59)</f>
        <v>59</v>
      </c>
      <c r="Y653">
        <f>HYPERLINK("http://exon.niaid.nih.gov/transcriptome/C_felis/S1/links/cluster/cf-5-36-asb35-50-Id-CLTL59.txt", 2)</f>
        <v>2</v>
      </c>
      <c r="Z653" s="4">
        <f>HYPERLINK("http://exon.niaid.nih.gov/transcriptome/C_felis/S1/links/cluster/cf-5-36-asb40-50-Id-CLU56.txt", 56)</f>
        <v>56</v>
      </c>
      <c r="AA653">
        <f>HYPERLINK("http://exon.niaid.nih.gov/transcriptome/C_felis/S1/links/cluster/cf-5-36-asb40-50-Id-CLTL56.txt", 2)</f>
        <v>2</v>
      </c>
      <c r="AB653" s="4" t="str">
        <f>HYPERLINK("http://exon.niaid.nih.gov/transcriptome/C_felis/S1/links/XC-ASB/cf-contig_330-XC-ASB.txt","XC-contig_66")</f>
        <v>XC-contig_66</v>
      </c>
      <c r="AC653">
        <v>0.24</v>
      </c>
      <c r="AD653" s="10" t="s">
        <v>4600</v>
      </c>
      <c r="AE653" t="s">
        <v>4601</v>
      </c>
      <c r="AI653" s="4" t="str">
        <f>HYPERLINK("http://exon.niaid.nih.gov/transcriptome/C_felis/S1/links/NR/cf-contig_330-NR.txt","hypothetical protein HAN_1g65")</f>
        <v>hypothetical protein HAN_1g65</v>
      </c>
      <c r="AJ653" t="str">
        <f>HYPERLINK("http://www.ncbi.nlm.nih.gov/sutils/blink.cgi?pid=160331055","35")</f>
        <v>35</v>
      </c>
      <c r="AK653" t="str">
        <f>HYPERLINK("http://www.ncbi.nlm.nih.gov/protein/160331055","gi|160331055")</f>
        <v>gi|160331055</v>
      </c>
      <c r="AL653">
        <v>32</v>
      </c>
      <c r="AM653">
        <v>55</v>
      </c>
      <c r="AN653">
        <v>821</v>
      </c>
      <c r="AO653">
        <v>31</v>
      </c>
      <c r="AP653">
        <v>7</v>
      </c>
      <c r="AQ653">
        <v>39</v>
      </c>
      <c r="AR653">
        <v>0</v>
      </c>
      <c r="AS653">
        <v>99</v>
      </c>
      <c r="AT653">
        <v>24</v>
      </c>
      <c r="AU653">
        <v>1</v>
      </c>
      <c r="AV653">
        <v>-1</v>
      </c>
      <c r="AW653" t="s">
        <v>12</v>
      </c>
      <c r="AX653">
        <v>3.6360000000000001</v>
      </c>
      <c r="AY653" t="s">
        <v>1666</v>
      </c>
      <c r="AZ653" t="s">
        <v>2859</v>
      </c>
      <c r="BA653" s="4" t="str">
        <f>HYPERLINK("http://exon.niaid.nih.gov/transcriptome/C_felis/S1/links/SWISSP/cf-contig_330-SWISSP.txt","Uncharacterized 6.4 kDa protein in atpA-psbA intergenic region")</f>
        <v>Uncharacterized 6.4 kDa protein in atpA-psbA intergenic region</v>
      </c>
      <c r="BB653" t="str">
        <f>HYPERLINK("http://www.uniprot.org/uniprot/Q32618","8.0")</f>
        <v>8.0</v>
      </c>
      <c r="BC653" t="s">
        <v>2860</v>
      </c>
      <c r="BD653">
        <v>29.3</v>
      </c>
      <c r="BE653">
        <v>37</v>
      </c>
      <c r="BF653">
        <v>50</v>
      </c>
      <c r="BG653">
        <v>37</v>
      </c>
      <c r="BH653">
        <v>76</v>
      </c>
      <c r="BI653">
        <v>25</v>
      </c>
      <c r="BJ653">
        <v>1</v>
      </c>
      <c r="BK653">
        <v>10</v>
      </c>
      <c r="BL653">
        <v>27</v>
      </c>
      <c r="BM653">
        <v>1</v>
      </c>
      <c r="BN653">
        <v>-1</v>
      </c>
      <c r="BO653" t="s">
        <v>12</v>
      </c>
      <c r="BP653">
        <v>2.7029999999999998</v>
      </c>
      <c r="BQ653" t="s">
        <v>1666</v>
      </c>
      <c r="BR653" t="s">
        <v>2732</v>
      </c>
      <c r="BS653" s="4" t="str">
        <f>HYPERLINK("http://exon.niaid.nih.gov/transcriptome/C_felis/S1/links/CDD/cf-contig_330-CDD.txt","DUF1600")</f>
        <v>DUF1600</v>
      </c>
      <c r="BT653" t="str">
        <f>HYPERLINK("http://www.ncbi.nlm.nih.gov/Structure/cdd/cddsrv.cgi?uid=pfam07667&amp;version=v4.0","0.30")</f>
        <v>0.30</v>
      </c>
      <c r="BU653" t="s">
        <v>2861</v>
      </c>
      <c r="BV653" s="4" t="s">
        <v>42</v>
      </c>
      <c r="BW653" t="s">
        <v>42</v>
      </c>
      <c r="BX653" t="s">
        <v>42</v>
      </c>
      <c r="BY653" t="s">
        <v>42</v>
      </c>
      <c r="BZ653" t="s">
        <v>42</v>
      </c>
      <c r="CA653" t="s">
        <v>42</v>
      </c>
      <c r="CB653" t="s">
        <v>42</v>
      </c>
      <c r="CC653" t="s">
        <v>42</v>
      </c>
      <c r="CD653" t="s">
        <v>42</v>
      </c>
      <c r="CE653" t="s">
        <v>42</v>
      </c>
      <c r="CF653" t="s">
        <v>42</v>
      </c>
      <c r="CG653" t="s">
        <v>42</v>
      </c>
      <c r="CH653" t="s">
        <v>42</v>
      </c>
      <c r="CI653" t="s">
        <v>42</v>
      </c>
      <c r="CJ653" t="s">
        <v>42</v>
      </c>
      <c r="CK653" t="s">
        <v>42</v>
      </c>
      <c r="CL653" t="s">
        <v>42</v>
      </c>
      <c r="CM653" t="s">
        <v>42</v>
      </c>
      <c r="CN653" t="s">
        <v>42</v>
      </c>
      <c r="CO653" t="s">
        <v>42</v>
      </c>
      <c r="CP653" t="s">
        <v>42</v>
      </c>
      <c r="CQ653" t="s">
        <v>42</v>
      </c>
      <c r="CR653" t="s">
        <v>42</v>
      </c>
      <c r="CS653" s="4" t="str">
        <f>HYPERLINK("http://exon.niaid.nih.gov/transcriptome/C_felis/S1/links/KOG/cf-contig_330-KOG.txt","Fibroblast growth factor")</f>
        <v>Fibroblast growth factor</v>
      </c>
      <c r="CT653" t="str">
        <f>HYPERLINK("http://www.ncbi.nlm.nih.gov/COG/grace/shokog.cgi?KOG3885","0.72")</f>
        <v>0.72</v>
      </c>
      <c r="CU653" t="s">
        <v>1780</v>
      </c>
      <c r="CV653" s="4" t="str">
        <f>HYPERLINK("http://exon.niaid.nih.gov/transcriptome/C_felis/S1/links/PFAM/cf-contig_330-PFAM.txt","DUF1600")</f>
        <v>DUF1600</v>
      </c>
      <c r="CW653" t="str">
        <f>HYPERLINK("http://pfam.sanger.ac.uk/family?acc=PF07667","0.062")</f>
        <v>0.062</v>
      </c>
      <c r="CX653" s="4" t="str">
        <f>HYPERLINK("http://exon.niaid.nih.gov/transcriptome/C_felis/S1/links/SMART/cf-contig_330-SMART.txt","POLBc")</f>
        <v>POLBc</v>
      </c>
      <c r="CY653" t="str">
        <f>HYPERLINK("http://smart.embl-heidelberg.de/smart/do_annotation.pl?DOMAIN=POLBc&amp;BLAST=DUMMY","0.021")</f>
        <v>0.021</v>
      </c>
      <c r="CZ653" s="4" t="s">
        <v>42</v>
      </c>
      <c r="DA653" t="s">
        <v>42</v>
      </c>
      <c r="DB653" t="s">
        <v>42</v>
      </c>
      <c r="DC653" t="s">
        <v>42</v>
      </c>
      <c r="DD653" t="s">
        <v>42</v>
      </c>
      <c r="DE653" t="s">
        <v>42</v>
      </c>
      <c r="DF653" t="s">
        <v>42</v>
      </c>
      <c r="DG653" t="s">
        <v>42</v>
      </c>
      <c r="DH653" s="4" t="s">
        <v>42</v>
      </c>
      <c r="DI653" t="s">
        <v>42</v>
      </c>
      <c r="DJ653" s="4" t="s">
        <v>42</v>
      </c>
      <c r="DK653" t="s">
        <v>42</v>
      </c>
      <c r="DL653" s="4">
        <f>HYPERLINK("http://exon.niaid.nih.gov/transcriptome/C_felis/S1/links/cluster/cf-5-36-asb30-50-Id-CLU67.txt", 67)</f>
        <v>67</v>
      </c>
      <c r="DM653">
        <f>HYPERLINK("http://exon.niaid.nih.gov/transcriptome/C_felis/S1/links/cluster/cf-5-36-asb30-50-Id-CLTL67.txt", 2)</f>
        <v>2</v>
      </c>
      <c r="DN653" s="4">
        <f>HYPERLINK("http://exon.niaid.nih.gov/transcriptome/C_felis/S1/links/cluster/cf-5-36-asb35-50-Id-CLU59.txt", 59)</f>
        <v>59</v>
      </c>
      <c r="DO653">
        <f>HYPERLINK("http://exon.niaid.nih.gov/transcriptome/C_felis/S1/links/cluster/cf-5-36-asb35-50-Id-CLTL59.txt", 2)</f>
        <v>2</v>
      </c>
      <c r="DP653" s="4">
        <f>HYPERLINK("http://exon.niaid.nih.gov/transcriptome/C_felis/S1/links/cluster/cf-5-36-asb40-50-Id-CLU56.txt", 56)</f>
        <v>56</v>
      </c>
      <c r="DQ653">
        <f>HYPERLINK("http://exon.niaid.nih.gov/transcriptome/C_felis/S1/links/cluster/cf-5-36-asb40-50-Id-CLTL56.txt", 2)</f>
        <v>2</v>
      </c>
      <c r="DR653" s="4">
        <f>HYPERLINK("http://exon.niaid.nih.gov/transcriptome/C_felis/S1/links/cluster/cf-5-36-asb45-50-Id-CLU47.txt", 47)</f>
        <v>47</v>
      </c>
      <c r="DS653">
        <f>HYPERLINK("http://exon.niaid.nih.gov/transcriptome/C_felis/S1/links/cluster/cf-5-36-asb45-50-Id-CLTL47.txt", 2)</f>
        <v>2</v>
      </c>
      <c r="DT653" s="4">
        <f>HYPERLINK("http://exon.niaid.nih.gov/transcriptome/C_felis/S1/links/cluster/cf-5-36-asb50-50-Id-CLU39.txt", 39)</f>
        <v>39</v>
      </c>
      <c r="DU653">
        <f>HYPERLINK("http://exon.niaid.nih.gov/transcriptome/C_felis/S1/links/cluster/cf-5-36-asb50-50-Id-CLTL39.txt", 2)</f>
        <v>2</v>
      </c>
      <c r="DV653" s="4">
        <f>HYPERLINK("http://exon.niaid.nih.gov/transcriptome/C_felis/S1/links/cluster/cf-5-36-asb55-50-Id-CLU36.txt", 36)</f>
        <v>36</v>
      </c>
      <c r="DW653">
        <f>HYPERLINK("http://exon.niaid.nih.gov/transcriptome/C_felis/S1/links/cluster/cf-5-36-asb55-50-Id-CLTL36.txt", 2)</f>
        <v>2</v>
      </c>
      <c r="DX653" s="4">
        <f>HYPERLINK("http://exon.niaid.nih.gov/transcriptome/C_felis/S1/links/cluster/cf-5-36-asb60-50-Id-CLU33.txt", 33)</f>
        <v>33</v>
      </c>
      <c r="DY653">
        <f>HYPERLINK("http://exon.niaid.nih.gov/transcriptome/C_felis/S1/links/cluster/cf-5-36-asb60-50-Id-CLTL33.txt", 2)</f>
        <v>2</v>
      </c>
      <c r="DZ653" s="4">
        <f>HYPERLINK("http://exon.niaid.nih.gov/transcriptome/C_felis/S1/links/cluster/cf-5-36-asb65-50-Id-CLU27.txt", 27)</f>
        <v>27</v>
      </c>
      <c r="EA653">
        <f>HYPERLINK("http://exon.niaid.nih.gov/transcriptome/C_felis/S1/links/cluster/cf-5-36-asb65-50-Id-CLTL27.txt", 2)</f>
        <v>2</v>
      </c>
      <c r="EB653" s="4">
        <f>HYPERLINK("http://exon.niaid.nih.gov/transcriptome/C_felis/S1/links/cluster/cf-5-36-asb70-50-Id-CLU22.txt", 22)</f>
        <v>22</v>
      </c>
      <c r="EC653">
        <f>HYPERLINK("http://exon.niaid.nih.gov/transcriptome/C_felis/S1/links/cluster/cf-5-36-asb70-50-Id-CLTL22.txt", 2)</f>
        <v>2</v>
      </c>
      <c r="ED653" s="4">
        <f>HYPERLINK("http://exon.niaid.nih.gov/transcriptome/C_felis/S1/links/cluster/cf-5-36-asb75-50-Id-CLU18.txt", 18)</f>
        <v>18</v>
      </c>
      <c r="EE653">
        <f>HYPERLINK("http://exon.niaid.nih.gov/transcriptome/C_felis/S1/links/cluster/cf-5-36-asb75-50-Id-CLTL18.txt", 2)</f>
        <v>2</v>
      </c>
      <c r="EF653" s="4">
        <f>HYPERLINK("http://exon.niaid.nih.gov/transcriptome/C_felis/S1/links/cluster/cf-5-36-asb80-50-Id-CLU323.txt", 323)</f>
        <v>323</v>
      </c>
      <c r="EG653">
        <f>HYPERLINK("http://exon.niaid.nih.gov/transcriptome/C_felis/S1/links/cluster/cf-5-36-asb80-50-Id-CLTL323.txt", 1)</f>
        <v>1</v>
      </c>
      <c r="EH653" s="4">
        <v>325</v>
      </c>
      <c r="EI653">
        <v>1</v>
      </c>
      <c r="EJ653" s="4">
        <v>330</v>
      </c>
      <c r="EK653">
        <v>1</v>
      </c>
    </row>
    <row r="654" spans="1:141" x14ac:dyDescent="0.2">
      <c r="A654" t="str">
        <f>HYPERLINK("http://exon.niaid.nih.gov/transcriptome/C_felis/S1/links/cf/cf-contig_789.txt","cf-contig_789")</f>
        <v>cf-contig_789</v>
      </c>
      <c r="B654">
        <v>1</v>
      </c>
      <c r="C654" s="10" t="s">
        <v>4600</v>
      </c>
      <c r="D654">
        <v>1</v>
      </c>
      <c r="E654" t="str">
        <f>HYPERLINK("http://exon.niaid.nih.gov/transcriptome/C_felis/S1/links/cf/cf-5-36-asb-789.txt","Contig-789")</f>
        <v>Contig-789</v>
      </c>
      <c r="F654" t="str">
        <f>HYPERLINK("http://exon.niaid.nih.gov/transcriptome/C_felis/S1/links/cf/cf-5-36-789-CLU.txt","Contig789")</f>
        <v>Contig789</v>
      </c>
      <c r="G654" t="str">
        <f>HYPERLINK("http://exon.niaid.nih.gov/transcriptome/C_felis/S1/links/cf/cf-5-36-789-qual.txt","49.8")</f>
        <v>49.8</v>
      </c>
      <c r="H654" t="s">
        <v>11</v>
      </c>
      <c r="I654">
        <v>75.8</v>
      </c>
      <c r="J654">
        <v>76</v>
      </c>
      <c r="K654" t="s">
        <v>12</v>
      </c>
      <c r="L654">
        <v>1</v>
      </c>
      <c r="M654" t="s">
        <v>802</v>
      </c>
      <c r="N654">
        <v>76</v>
      </c>
      <c r="O654">
        <v>95</v>
      </c>
      <c r="P654">
        <v>93</v>
      </c>
      <c r="Q654" t="s">
        <v>1608</v>
      </c>
      <c r="R654">
        <v>1</v>
      </c>
      <c r="S654" s="7" t="s">
        <v>4585</v>
      </c>
      <c r="U654">
        <v>1</v>
      </c>
      <c r="V654" s="4">
        <v>634</v>
      </c>
      <c r="W654">
        <v>1</v>
      </c>
      <c r="X654" s="4">
        <v>655</v>
      </c>
      <c r="Y654">
        <v>1</v>
      </c>
      <c r="Z654" s="4">
        <v>671</v>
      </c>
      <c r="AA654">
        <v>1</v>
      </c>
      <c r="AB654" s="4" t="str">
        <f>HYPERLINK("http://exon.niaid.nih.gov/transcriptome/C_felis/S1/links/XC-ASB/cf-contig_789-XC-ASB.txt","XC-contig_129")</f>
        <v>XC-contig_129</v>
      </c>
      <c r="AC654">
        <v>3.6999999999999998E-2</v>
      </c>
      <c r="AD654" s="10" t="s">
        <v>4600</v>
      </c>
      <c r="AE654" t="s">
        <v>4601</v>
      </c>
      <c r="AI654" s="4" t="str">
        <f>HYPERLINK("http://exon.niaid.nih.gov/transcriptome/C_felis/S1/links/NR/cf-contig_789-NR.txt","G-protein coupled receptor 87")</f>
        <v>G-protein coupled receptor 87</v>
      </c>
      <c r="AJ654" t="str">
        <f>HYPERLINK("http://www.ncbi.nlm.nih.gov/sutils/blink.cgi?pid=351712292","61")</f>
        <v>61</v>
      </c>
      <c r="AK654" t="str">
        <f>HYPERLINK("http://www.ncbi.nlm.nih.gov/protein/351712292","gi|351712292")</f>
        <v>gi|351712292</v>
      </c>
      <c r="AL654">
        <v>31.2</v>
      </c>
      <c r="AM654">
        <v>21</v>
      </c>
      <c r="AN654">
        <v>383</v>
      </c>
      <c r="AO654">
        <v>54</v>
      </c>
      <c r="AP654">
        <v>6</v>
      </c>
      <c r="AQ654">
        <v>10</v>
      </c>
      <c r="AR654">
        <v>0</v>
      </c>
      <c r="AS654">
        <v>312</v>
      </c>
      <c r="AT654">
        <v>4</v>
      </c>
      <c r="AU654">
        <v>1</v>
      </c>
      <c r="AV654">
        <v>1</v>
      </c>
      <c r="AW654" t="s">
        <v>12</v>
      </c>
      <c r="AY654" t="s">
        <v>1676</v>
      </c>
      <c r="AZ654" t="s">
        <v>4526</v>
      </c>
      <c r="BA654" s="4" t="str">
        <f>HYPERLINK("http://exon.niaid.nih.gov/transcriptome/C_felis/S1/links/SWISSP/cf-contig_789-SWISSP.txt","Lipoteichoic acid synthase")</f>
        <v>Lipoteichoic acid synthase</v>
      </c>
      <c r="BB654" t="str">
        <f>HYPERLINK("http://www.uniprot.org/uniprot/Q8CQ10","18")</f>
        <v>18</v>
      </c>
      <c r="BC654" t="s">
        <v>4527</v>
      </c>
      <c r="BD654">
        <v>28.1</v>
      </c>
      <c r="BE654">
        <v>23</v>
      </c>
      <c r="BF654">
        <v>646</v>
      </c>
      <c r="BG654">
        <v>33</v>
      </c>
      <c r="BH654">
        <v>4</v>
      </c>
      <c r="BI654">
        <v>16</v>
      </c>
      <c r="BJ654">
        <v>0</v>
      </c>
      <c r="BK654">
        <v>118</v>
      </c>
      <c r="BL654">
        <v>1</v>
      </c>
      <c r="BM654">
        <v>1</v>
      </c>
      <c r="BN654">
        <v>1</v>
      </c>
      <c r="BO654" t="s">
        <v>12</v>
      </c>
      <c r="BQ654" t="s">
        <v>1676</v>
      </c>
      <c r="BR654" t="s">
        <v>4528</v>
      </c>
      <c r="BS654" s="4" t="str">
        <f>HYPERLINK("http://exon.niaid.nih.gov/transcriptome/C_felis/S1/links/CDD/cf-contig_789-CDD.txt","3a01205")</f>
        <v>3a01205</v>
      </c>
      <c r="BT654" t="str">
        <f>HYPERLINK("http://www.ncbi.nlm.nih.gov/Structure/cdd/cddsrv.cgi?uid=TIGR00956&amp;version=v4.0","8.9")</f>
        <v>8.9</v>
      </c>
      <c r="BU654" t="s">
        <v>4529</v>
      </c>
      <c r="BV654" s="4" t="s">
        <v>42</v>
      </c>
      <c r="BW654" t="s">
        <v>42</v>
      </c>
      <c r="BX654" t="s">
        <v>42</v>
      </c>
      <c r="BY654" t="s">
        <v>42</v>
      </c>
      <c r="BZ654" t="s">
        <v>42</v>
      </c>
      <c r="CA654" t="s">
        <v>42</v>
      </c>
      <c r="CB654" t="s">
        <v>42</v>
      </c>
      <c r="CC654" t="s">
        <v>42</v>
      </c>
      <c r="CD654" t="s">
        <v>42</v>
      </c>
      <c r="CE654" t="s">
        <v>42</v>
      </c>
      <c r="CF654" t="s">
        <v>42</v>
      </c>
      <c r="CG654" t="s">
        <v>42</v>
      </c>
      <c r="CH654" t="s">
        <v>42</v>
      </c>
      <c r="CI654" t="s">
        <v>42</v>
      </c>
      <c r="CJ654" t="s">
        <v>42</v>
      </c>
      <c r="CK654" t="s">
        <v>42</v>
      </c>
      <c r="CL654" t="s">
        <v>42</v>
      </c>
      <c r="CM654" t="s">
        <v>42</v>
      </c>
      <c r="CN654" t="s">
        <v>42</v>
      </c>
      <c r="CO654" t="s">
        <v>42</v>
      </c>
      <c r="CP654" t="s">
        <v>42</v>
      </c>
      <c r="CQ654" t="s">
        <v>42</v>
      </c>
      <c r="CR654" t="s">
        <v>42</v>
      </c>
      <c r="CS654" s="4" t="s">
        <v>42</v>
      </c>
      <c r="CT654" t="s">
        <v>42</v>
      </c>
      <c r="CU654" t="s">
        <v>42</v>
      </c>
      <c r="CV654" s="4" t="str">
        <f>HYPERLINK("http://exon.niaid.nih.gov/transcriptome/C_felis/S1/links/PFAM/cf-contig_789-PFAM.txt","Arv1")</f>
        <v>Arv1</v>
      </c>
      <c r="CW654" t="str">
        <f>HYPERLINK("http://pfam.sanger.ac.uk/family?acc=PF04161","3.3")</f>
        <v>3.3</v>
      </c>
      <c r="CX654" s="4" t="str">
        <f>HYPERLINK("http://exon.niaid.nih.gov/transcriptome/C_felis/S1/links/SMART/cf-contig_789-SMART.txt","AP2Ec")</f>
        <v>AP2Ec</v>
      </c>
      <c r="CY654" t="str">
        <f>HYPERLINK("http://smart.embl-heidelberg.de/smart/do_annotation.pl?DOMAIN=AP2Ec&amp;BLAST=DUMMY","2.4")</f>
        <v>2.4</v>
      </c>
      <c r="CZ654" s="4" t="s">
        <v>42</v>
      </c>
      <c r="DA654" t="s">
        <v>42</v>
      </c>
      <c r="DB654" t="s">
        <v>42</v>
      </c>
      <c r="DC654" t="s">
        <v>42</v>
      </c>
      <c r="DD654" t="s">
        <v>42</v>
      </c>
      <c r="DE654" t="s">
        <v>42</v>
      </c>
      <c r="DF654" t="s">
        <v>42</v>
      </c>
      <c r="DG654" t="s">
        <v>42</v>
      </c>
      <c r="DH654" s="4" t="s">
        <v>42</v>
      </c>
      <c r="DI654" t="s">
        <v>42</v>
      </c>
      <c r="DJ654" s="4" t="s">
        <v>42</v>
      </c>
      <c r="DK654" t="s">
        <v>42</v>
      </c>
      <c r="DL654" s="4">
        <v>634</v>
      </c>
      <c r="DM654">
        <v>1</v>
      </c>
      <c r="DN654" s="4">
        <v>655</v>
      </c>
      <c r="DO654">
        <v>1</v>
      </c>
      <c r="DP654" s="4">
        <v>671</v>
      </c>
      <c r="DQ654">
        <v>1</v>
      </c>
      <c r="DR654" s="4">
        <v>693</v>
      </c>
      <c r="DS654">
        <v>1</v>
      </c>
      <c r="DT654" s="4">
        <v>709</v>
      </c>
      <c r="DU654">
        <v>1</v>
      </c>
      <c r="DV654" s="4">
        <v>724</v>
      </c>
      <c r="DW654">
        <v>1</v>
      </c>
      <c r="DX654" s="4">
        <v>738</v>
      </c>
      <c r="DY654">
        <v>1</v>
      </c>
      <c r="DZ654" s="4">
        <v>749</v>
      </c>
      <c r="EA654">
        <v>1</v>
      </c>
      <c r="EB654" s="4">
        <v>756</v>
      </c>
      <c r="EC654">
        <v>1</v>
      </c>
      <c r="ED654" s="4">
        <v>761</v>
      </c>
      <c r="EE654">
        <v>1</v>
      </c>
      <c r="EF654" s="4">
        <v>768</v>
      </c>
      <c r="EG654">
        <v>1</v>
      </c>
      <c r="EH654" s="4">
        <v>780</v>
      </c>
      <c r="EI654">
        <v>1</v>
      </c>
      <c r="EJ654" s="4">
        <v>789</v>
      </c>
      <c r="EK654">
        <v>1</v>
      </c>
    </row>
    <row r="655" spans="1:141" x14ac:dyDescent="0.2">
      <c r="A655" t="str">
        <f>HYPERLINK("http://exon.niaid.nih.gov/transcriptome/C_felis/S1/links/cf/cf-contig_549.txt","cf-contig_549")</f>
        <v>cf-contig_549</v>
      </c>
      <c r="B655">
        <v>1</v>
      </c>
      <c r="C655" s="10" t="s">
        <v>4600</v>
      </c>
      <c r="D655">
        <v>1</v>
      </c>
      <c r="E655" t="str">
        <f>HYPERLINK("http://exon.niaid.nih.gov/transcriptome/C_felis/S1/links/cf/cf-5-36-asb-549.txt","Contig-549")</f>
        <v>Contig-549</v>
      </c>
      <c r="F655" t="str">
        <f>HYPERLINK("http://exon.niaid.nih.gov/transcriptome/C_felis/S1/links/cf/cf-5-36-549-CLU.txt","Contig549")</f>
        <v>Contig549</v>
      </c>
      <c r="G655" t="str">
        <f>HYPERLINK("http://exon.niaid.nih.gov/transcriptome/C_felis/S1/links/cf/cf-5-36-549-qual.txt","65.4")</f>
        <v>65.4</v>
      </c>
      <c r="H655" t="s">
        <v>11</v>
      </c>
      <c r="I655">
        <v>71.2</v>
      </c>
      <c r="J655">
        <v>436</v>
      </c>
      <c r="K655" t="s">
        <v>12</v>
      </c>
      <c r="L655">
        <v>1</v>
      </c>
      <c r="M655" t="s">
        <v>562</v>
      </c>
      <c r="N655">
        <v>436</v>
      </c>
      <c r="O655">
        <v>455</v>
      </c>
      <c r="P655">
        <v>177</v>
      </c>
      <c r="Q655" t="s">
        <v>1368</v>
      </c>
      <c r="R655">
        <v>1</v>
      </c>
      <c r="S655" s="7" t="s">
        <v>4585</v>
      </c>
      <c r="U655">
        <v>1</v>
      </c>
      <c r="V655" s="4">
        <f>HYPERLINK("http://exon.niaid.nih.gov/transcriptome/C_felis/S1/links/cluster/cf-5-36-asb30-50-Id-CLU84.txt", 84)</f>
        <v>84</v>
      </c>
      <c r="W655">
        <f>HYPERLINK("http://exon.niaid.nih.gov/transcriptome/C_felis/S1/links/cluster/cf-5-36-asb30-50-Id-CLTL84.txt", 2)</f>
        <v>2</v>
      </c>
      <c r="X655" s="4">
        <f>HYPERLINK("http://exon.niaid.nih.gov/transcriptome/C_felis/S1/links/cluster/cf-5-36-asb35-50-Id-CLU76.txt", 76)</f>
        <v>76</v>
      </c>
      <c r="Y655">
        <f>HYPERLINK("http://exon.niaid.nih.gov/transcriptome/C_felis/S1/links/cluster/cf-5-36-asb35-50-Id-CLTL76.txt", 2)</f>
        <v>2</v>
      </c>
      <c r="Z655" s="4">
        <f>HYPERLINK("http://exon.niaid.nih.gov/transcriptome/C_felis/S1/links/cluster/cf-5-36-asb40-50-Id-CLU69.txt", 69)</f>
        <v>69</v>
      </c>
      <c r="AA655">
        <f>HYPERLINK("http://exon.niaid.nih.gov/transcriptome/C_felis/S1/links/cluster/cf-5-36-asb40-50-Id-CLTL69.txt", 2)</f>
        <v>2</v>
      </c>
      <c r="AB655" s="4" t="str">
        <f>HYPERLINK("http://exon.niaid.nih.gov/transcriptome/C_felis/S1/links/XC-ASB/cf-contig_549-XC-ASB.txt","XC-contig_206")</f>
        <v>XC-contig_206</v>
      </c>
      <c r="AC655">
        <v>1E-4</v>
      </c>
      <c r="AD655" s="10" t="s">
        <v>4600</v>
      </c>
      <c r="AE655" t="s">
        <v>4601</v>
      </c>
      <c r="AI655" s="4" t="str">
        <f>HYPERLINK("http://exon.niaid.nih.gov/transcriptome/C_felis/S1/links/NR/cf-contig_549-NR.txt","NADH dehydrogenase subunit 1")</f>
        <v>NADH dehydrogenase subunit 1</v>
      </c>
      <c r="AJ655" t="str">
        <f>HYPERLINK("http://www.ncbi.nlm.nih.gov/sutils/blink.cgi?pid=302151393","0.045")</f>
        <v>0.045</v>
      </c>
      <c r="AK655" t="str">
        <f>HYPERLINK("http://www.ncbi.nlm.nih.gov/protein/302151393","gi|302151393")</f>
        <v>gi|302151393</v>
      </c>
      <c r="AL655">
        <v>41.6</v>
      </c>
      <c r="AM655">
        <v>218</v>
      </c>
      <c r="AN655">
        <v>277</v>
      </c>
      <c r="AO655">
        <v>54</v>
      </c>
      <c r="AP655">
        <v>79</v>
      </c>
      <c r="AQ655">
        <v>17</v>
      </c>
      <c r="AR655">
        <v>0</v>
      </c>
      <c r="AS655">
        <v>57</v>
      </c>
      <c r="AT655">
        <v>22</v>
      </c>
      <c r="AU655">
        <v>2</v>
      </c>
      <c r="AV655">
        <v>-3</v>
      </c>
      <c r="AW655" t="s">
        <v>1689</v>
      </c>
      <c r="AY655" t="s">
        <v>1666</v>
      </c>
      <c r="AZ655" t="s">
        <v>3677</v>
      </c>
      <c r="BA655" s="4" t="str">
        <f>HYPERLINK("http://exon.niaid.nih.gov/transcriptome/C_felis/S1/links/SWISSP/cf-contig_549-SWISSP.txt","Nucleolar protein 9")</f>
        <v>Nucleolar protein 9</v>
      </c>
      <c r="BB655" t="str">
        <f>HYPERLINK("http://www.uniprot.org/uniprot/C7YQ16","0.017")</f>
        <v>0.017</v>
      </c>
      <c r="BC655" t="s">
        <v>3678</v>
      </c>
      <c r="BD655">
        <v>38.5</v>
      </c>
      <c r="BE655">
        <v>32</v>
      </c>
      <c r="BF655">
        <v>743</v>
      </c>
      <c r="BG655">
        <v>51</v>
      </c>
      <c r="BH655">
        <v>4</v>
      </c>
      <c r="BI655">
        <v>16</v>
      </c>
      <c r="BJ655">
        <v>0</v>
      </c>
      <c r="BK655">
        <v>679</v>
      </c>
      <c r="BL655">
        <v>22</v>
      </c>
      <c r="BM655">
        <v>1</v>
      </c>
      <c r="BN655">
        <v>1</v>
      </c>
      <c r="BO655" t="s">
        <v>12</v>
      </c>
      <c r="BQ655" t="s">
        <v>1676</v>
      </c>
      <c r="BR655" t="s">
        <v>3679</v>
      </c>
      <c r="BS655" s="4" t="str">
        <f>HYPERLINK("http://exon.niaid.nih.gov/transcriptome/C_felis/S1/links/CDD/cf-contig_549-CDD.txt","ND2")</f>
        <v>ND2</v>
      </c>
      <c r="BT655" t="str">
        <f>HYPERLINK("http://www.ncbi.nlm.nih.gov/Structure/cdd/cddsrv.cgi?uid=MTH00059&amp;version=v4.0","0.001")</f>
        <v>0.001</v>
      </c>
      <c r="BU655" t="s">
        <v>3680</v>
      </c>
      <c r="BV655" s="4" t="s">
        <v>42</v>
      </c>
      <c r="BW655" t="s">
        <v>42</v>
      </c>
      <c r="BX655" t="s">
        <v>42</v>
      </c>
      <c r="BY655" t="s">
        <v>42</v>
      </c>
      <c r="BZ655" t="s">
        <v>42</v>
      </c>
      <c r="CA655" t="s">
        <v>42</v>
      </c>
      <c r="CB655" t="s">
        <v>42</v>
      </c>
      <c r="CC655" t="s">
        <v>42</v>
      </c>
      <c r="CD655" t="s">
        <v>42</v>
      </c>
      <c r="CE655" t="s">
        <v>42</v>
      </c>
      <c r="CF655" t="s">
        <v>42</v>
      </c>
      <c r="CG655" t="s">
        <v>42</v>
      </c>
      <c r="CH655" t="s">
        <v>42</v>
      </c>
      <c r="CI655" t="s">
        <v>42</v>
      </c>
      <c r="CJ655" t="s">
        <v>42</v>
      </c>
      <c r="CK655" t="s">
        <v>42</v>
      </c>
      <c r="CL655" t="s">
        <v>42</v>
      </c>
      <c r="CM655" t="s">
        <v>42</v>
      </c>
      <c r="CN655" t="s">
        <v>42</v>
      </c>
      <c r="CO655" t="s">
        <v>42</v>
      </c>
      <c r="CP655" t="s">
        <v>42</v>
      </c>
      <c r="CQ655" t="s">
        <v>42</v>
      </c>
      <c r="CR655" t="s">
        <v>42</v>
      </c>
      <c r="CS655" s="4" t="str">
        <f>HYPERLINK("http://exon.niaid.nih.gov/transcriptome/C_felis/S1/links/KOG/cf-contig_549-KOG.txt","Translation initiation factor 5B (eIF-5B)")</f>
        <v>Translation initiation factor 5B (eIF-5B)</v>
      </c>
      <c r="CT655" t="str">
        <f>HYPERLINK("http://www.ncbi.nlm.nih.gov/COG/grace/shokog.cgi?KOG1144","0.001")</f>
        <v>0.001</v>
      </c>
      <c r="CU655" t="s">
        <v>1707</v>
      </c>
      <c r="CV655" s="4" t="str">
        <f>HYPERLINK("http://exon.niaid.nih.gov/transcriptome/C_felis/S1/links/PFAM/cf-contig_549-PFAM.txt","RNA_polI_A34")</f>
        <v>RNA_polI_A34</v>
      </c>
      <c r="CW655" t="str">
        <f>HYPERLINK("http://pfam.sanger.ac.uk/family?acc=PF08208","0.001")</f>
        <v>0.001</v>
      </c>
      <c r="CX655" s="4" t="str">
        <f>HYPERLINK("http://exon.niaid.nih.gov/transcriptome/C_felis/S1/links/SMART/cf-contig_549-SMART.txt","PSN")</f>
        <v>PSN</v>
      </c>
      <c r="CY655" t="str">
        <f>HYPERLINK("http://smart.embl-heidelberg.de/smart/do_annotation.pl?DOMAIN=PSN&amp;BLAST=DUMMY","0.004")</f>
        <v>0.004</v>
      </c>
      <c r="CZ655" s="4" t="s">
        <v>42</v>
      </c>
      <c r="DA655" t="s">
        <v>42</v>
      </c>
      <c r="DB655" t="s">
        <v>42</v>
      </c>
      <c r="DC655" t="s">
        <v>42</v>
      </c>
      <c r="DD655" t="s">
        <v>42</v>
      </c>
      <c r="DE655" t="s">
        <v>42</v>
      </c>
      <c r="DF655" t="s">
        <v>42</v>
      </c>
      <c r="DG655" t="s">
        <v>42</v>
      </c>
      <c r="DH655" s="4" t="s">
        <v>42</v>
      </c>
      <c r="DI655" t="s">
        <v>42</v>
      </c>
      <c r="DJ655" s="4" t="s">
        <v>42</v>
      </c>
      <c r="DK655" t="s">
        <v>42</v>
      </c>
      <c r="DL655" s="4">
        <f>HYPERLINK("http://exon.niaid.nih.gov/transcriptome/C_felis/S1/links/cluster/cf-5-36-asb30-50-Id-CLU84.txt", 84)</f>
        <v>84</v>
      </c>
      <c r="DM655">
        <f>HYPERLINK("http://exon.niaid.nih.gov/transcriptome/C_felis/S1/links/cluster/cf-5-36-asb30-50-Id-CLTL84.txt", 2)</f>
        <v>2</v>
      </c>
      <c r="DN655" s="4">
        <f>HYPERLINK("http://exon.niaid.nih.gov/transcriptome/C_felis/S1/links/cluster/cf-5-36-asb35-50-Id-CLU76.txt", 76)</f>
        <v>76</v>
      </c>
      <c r="DO655">
        <f>HYPERLINK("http://exon.niaid.nih.gov/transcriptome/C_felis/S1/links/cluster/cf-5-36-asb35-50-Id-CLTL76.txt", 2)</f>
        <v>2</v>
      </c>
      <c r="DP655" s="4">
        <f>HYPERLINK("http://exon.niaid.nih.gov/transcriptome/C_felis/S1/links/cluster/cf-5-36-asb40-50-Id-CLU69.txt", 69)</f>
        <v>69</v>
      </c>
      <c r="DQ655">
        <f>HYPERLINK("http://exon.niaid.nih.gov/transcriptome/C_felis/S1/links/cluster/cf-5-36-asb40-50-Id-CLTL69.txt", 2)</f>
        <v>2</v>
      </c>
      <c r="DR655" s="4">
        <f>HYPERLINK("http://exon.niaid.nih.gov/transcriptome/C_felis/S1/links/cluster/cf-5-36-asb45-50-Id-CLU56.txt", 56)</f>
        <v>56</v>
      </c>
      <c r="DS655">
        <f>HYPERLINK("http://exon.niaid.nih.gov/transcriptome/C_felis/S1/links/cluster/cf-5-36-asb45-50-Id-CLTL56.txt", 2)</f>
        <v>2</v>
      </c>
      <c r="DT655" s="4">
        <f>HYPERLINK("http://exon.niaid.nih.gov/transcriptome/C_felis/S1/links/cluster/cf-5-36-asb50-50-Id-CLU48.txt", 48)</f>
        <v>48</v>
      </c>
      <c r="DU655">
        <f>HYPERLINK("http://exon.niaid.nih.gov/transcriptome/C_felis/S1/links/cluster/cf-5-36-asb50-50-Id-CLTL48.txt", 2)</f>
        <v>2</v>
      </c>
      <c r="DV655" s="4">
        <f>HYPERLINK("http://exon.niaid.nih.gov/transcriptome/C_felis/S1/links/cluster/cf-5-36-asb55-50-Id-CLU44.txt", 44)</f>
        <v>44</v>
      </c>
      <c r="DW655">
        <f>HYPERLINK("http://exon.niaid.nih.gov/transcriptome/C_felis/S1/links/cluster/cf-5-36-asb55-50-Id-CLTL44.txt", 2)</f>
        <v>2</v>
      </c>
      <c r="DX655" s="4">
        <v>513</v>
      </c>
      <c r="DY655">
        <v>1</v>
      </c>
      <c r="DZ655" s="4">
        <v>521</v>
      </c>
      <c r="EA655">
        <v>1</v>
      </c>
      <c r="EB655" s="4">
        <v>526</v>
      </c>
      <c r="EC655">
        <v>1</v>
      </c>
      <c r="ED655" s="4">
        <v>530</v>
      </c>
      <c r="EE655">
        <v>1</v>
      </c>
      <c r="EF655" s="4">
        <v>535</v>
      </c>
      <c r="EG655">
        <v>1</v>
      </c>
      <c r="EH655" s="4">
        <v>542</v>
      </c>
      <c r="EI655">
        <v>1</v>
      </c>
      <c r="EJ655" s="4">
        <v>549</v>
      </c>
      <c r="EK655">
        <v>1</v>
      </c>
    </row>
    <row r="656" spans="1:141" x14ac:dyDescent="0.2">
      <c r="A656" t="str">
        <f>HYPERLINK("http://exon.niaid.nih.gov/transcriptome/C_felis/S1/links/cf/cf-contig_161.txt","cf-contig_161")</f>
        <v>cf-contig_161</v>
      </c>
      <c r="B656">
        <v>1</v>
      </c>
      <c r="C656" s="10" t="s">
        <v>4600</v>
      </c>
      <c r="D656">
        <v>1</v>
      </c>
      <c r="E656" t="str">
        <f>HYPERLINK("http://exon.niaid.nih.gov/transcriptome/C_felis/S1/links/cf/cf-5-36-asb-161.txt","Contig-161")</f>
        <v>Contig-161</v>
      </c>
      <c r="F656" t="str">
        <f>HYPERLINK("http://exon.niaid.nih.gov/transcriptome/C_felis/S1/links/cf/cf-5-36-161-CLU.txt","Contig161")</f>
        <v>Contig161</v>
      </c>
      <c r="G656" t="str">
        <f>HYPERLINK("http://exon.niaid.nih.gov/transcriptome/C_felis/S1/links/cf/cf-5-36-161-qual.txt","20.8")</f>
        <v>20.8</v>
      </c>
      <c r="H656" t="s">
        <v>11</v>
      </c>
      <c r="I656">
        <v>65.3</v>
      </c>
      <c r="J656">
        <v>278</v>
      </c>
      <c r="K656" t="s">
        <v>12</v>
      </c>
      <c r="L656">
        <v>1</v>
      </c>
      <c r="M656" t="s">
        <v>174</v>
      </c>
      <c r="N656">
        <v>278</v>
      </c>
      <c r="O656">
        <v>297</v>
      </c>
      <c r="P656">
        <v>153</v>
      </c>
      <c r="Q656" t="s">
        <v>981</v>
      </c>
      <c r="R656">
        <v>3</v>
      </c>
      <c r="S656" s="7" t="str">
        <f>HYPERLINK("http://exon.niaid.nih.gov/transcriptome/C_felis/S1/links/Sigp/CF-CONTIG_161-SigP.txt","Cyt")</f>
        <v>Cyt</v>
      </c>
      <c r="U656">
        <v>1</v>
      </c>
      <c r="V656" s="4">
        <v>146</v>
      </c>
      <c r="W656">
        <v>1</v>
      </c>
      <c r="X656" s="4">
        <v>146</v>
      </c>
      <c r="Y656">
        <v>1</v>
      </c>
      <c r="Z656" s="4">
        <v>143</v>
      </c>
      <c r="AA656">
        <v>1</v>
      </c>
      <c r="AB656" s="4" t="str">
        <f>HYPERLINK("http://exon.niaid.nih.gov/transcriptome/C_felis/S1/links/XC-ASB/cf-contig_161-XC-ASB.txt","XC-contig_127")</f>
        <v>XC-contig_127</v>
      </c>
      <c r="AC656">
        <v>0.1</v>
      </c>
      <c r="AD656" s="10" t="s">
        <v>4600</v>
      </c>
      <c r="AE656" t="s">
        <v>4601</v>
      </c>
      <c r="AI656" s="4" t="str">
        <f>HYPERLINK("http://exon.niaid.nih.gov/transcriptome/C_felis/S1/links/NR/cf-contig_161-NR.txt","hCG16363")</f>
        <v>hCG16363</v>
      </c>
      <c r="AJ656" t="str">
        <f>HYPERLINK("http://www.ncbi.nlm.nih.gov/sutils/blink.cgi?pid=119626104","28")</f>
        <v>28</v>
      </c>
      <c r="AK656" t="str">
        <f>HYPERLINK("http://www.ncbi.nlm.nih.gov/protein/119626104","gi|119626104")</f>
        <v>gi|119626104</v>
      </c>
      <c r="AL656">
        <v>32.299999999999997</v>
      </c>
      <c r="AM656">
        <v>64</v>
      </c>
      <c r="AN656">
        <v>114</v>
      </c>
      <c r="AO656">
        <v>37</v>
      </c>
      <c r="AP656">
        <v>57</v>
      </c>
      <c r="AQ656">
        <v>43</v>
      </c>
      <c r="AR656">
        <v>0</v>
      </c>
      <c r="AS656">
        <v>7</v>
      </c>
      <c r="AT656">
        <v>10</v>
      </c>
      <c r="AU656">
        <v>1</v>
      </c>
      <c r="AV656">
        <v>-1</v>
      </c>
      <c r="AW656" t="s">
        <v>12</v>
      </c>
      <c r="AX656">
        <v>1.5629999999999999</v>
      </c>
      <c r="AY656" t="s">
        <v>1666</v>
      </c>
      <c r="AZ656" t="s">
        <v>1690</v>
      </c>
      <c r="BA656" s="4" t="str">
        <f>HYPERLINK("http://exon.niaid.nih.gov/transcriptome/C_felis/S1/links/SWISSP/cf-contig_161-SWISSP.txt","Killer cell lectin-like receptor subfamily B member 1")</f>
        <v>Killer cell lectin-like receptor subfamily B member 1</v>
      </c>
      <c r="BB656" t="str">
        <f>HYPERLINK("http://www.uniprot.org/uniprot/Q12918","0.97")</f>
        <v>0.97</v>
      </c>
      <c r="BC656" t="s">
        <v>2290</v>
      </c>
      <c r="BD656">
        <v>32.299999999999997</v>
      </c>
      <c r="BE656">
        <v>52</v>
      </c>
      <c r="BF656">
        <v>225</v>
      </c>
      <c r="BG656">
        <v>32</v>
      </c>
      <c r="BH656">
        <v>24</v>
      </c>
      <c r="BI656">
        <v>36</v>
      </c>
      <c r="BJ656">
        <v>0</v>
      </c>
      <c r="BK656">
        <v>37</v>
      </c>
      <c r="BL656">
        <v>61</v>
      </c>
      <c r="BM656">
        <v>1</v>
      </c>
      <c r="BN656">
        <v>-1</v>
      </c>
      <c r="BO656" t="s">
        <v>12</v>
      </c>
      <c r="BP656">
        <v>1.923</v>
      </c>
      <c r="BQ656" t="s">
        <v>1666</v>
      </c>
      <c r="BR656" t="s">
        <v>1690</v>
      </c>
      <c r="BS656" s="4" t="str">
        <f>HYPERLINK("http://exon.niaid.nih.gov/transcriptome/C_felis/S1/links/CDD/cf-contig_161-CDD.txt","KTR1")</f>
        <v>KTR1</v>
      </c>
      <c r="BT656" t="str">
        <f>HYPERLINK("http://www.ncbi.nlm.nih.gov/Structure/cdd/cddsrv.cgi?uid=COG5020&amp;version=v4.0","1.6")</f>
        <v>1.6</v>
      </c>
      <c r="BU656" t="s">
        <v>2291</v>
      </c>
      <c r="BV656" s="4" t="s">
        <v>42</v>
      </c>
      <c r="BW656" t="s">
        <v>42</v>
      </c>
      <c r="BX656" t="s">
        <v>42</v>
      </c>
      <c r="BY656" t="s">
        <v>42</v>
      </c>
      <c r="BZ656" t="s">
        <v>42</v>
      </c>
      <c r="CA656" t="s">
        <v>42</v>
      </c>
      <c r="CB656" t="s">
        <v>42</v>
      </c>
      <c r="CC656" t="s">
        <v>42</v>
      </c>
      <c r="CD656" t="s">
        <v>42</v>
      </c>
      <c r="CE656" t="s">
        <v>42</v>
      </c>
      <c r="CF656" t="s">
        <v>42</v>
      </c>
      <c r="CG656" t="s">
        <v>42</v>
      </c>
      <c r="CH656" t="s">
        <v>42</v>
      </c>
      <c r="CI656" t="s">
        <v>42</v>
      </c>
      <c r="CJ656" t="s">
        <v>42</v>
      </c>
      <c r="CK656" t="s">
        <v>42</v>
      </c>
      <c r="CL656" t="s">
        <v>42</v>
      </c>
      <c r="CM656" t="s">
        <v>42</v>
      </c>
      <c r="CN656" t="s">
        <v>42</v>
      </c>
      <c r="CO656" t="s">
        <v>42</v>
      </c>
      <c r="CP656" t="s">
        <v>42</v>
      </c>
      <c r="CQ656" t="s">
        <v>42</v>
      </c>
      <c r="CR656" t="s">
        <v>42</v>
      </c>
      <c r="CS656" s="4" t="str">
        <f>HYPERLINK("http://exon.niaid.nih.gov/transcriptome/C_felis/S1/links/KOG/cf-contig_161-KOG.txt","Glycolipid 2-alpha-mannosyltransferase (alpha-1,2-mannosyltransferase)")</f>
        <v>Glycolipid 2-alpha-mannosyltransferase (alpha-1,2-mannosyltransferase)</v>
      </c>
      <c r="CT656" t="str">
        <f>HYPERLINK("http://www.ncbi.nlm.nih.gov/COG/grace/shokog.cgi?KOG4472","0.36")</f>
        <v>0.36</v>
      </c>
      <c r="CU656" t="s">
        <v>1823</v>
      </c>
      <c r="CV656" s="4" t="str">
        <f>HYPERLINK("http://exon.niaid.nih.gov/transcriptome/C_felis/S1/links/PFAM/cf-contig_161-PFAM.txt","Sedlin_N")</f>
        <v>Sedlin_N</v>
      </c>
      <c r="CW656" t="str">
        <f>HYPERLINK("http://pfam.sanger.ac.uk/family?acc=PF04628","0.61")</f>
        <v>0.61</v>
      </c>
      <c r="CX656" s="4" t="str">
        <f>HYPERLINK("http://exon.niaid.nih.gov/transcriptome/C_felis/S1/links/SMART/cf-contig_161-SMART.txt","G_alpha")</f>
        <v>G_alpha</v>
      </c>
      <c r="CY656" t="str">
        <f>HYPERLINK("http://smart.embl-heidelberg.de/smart/do_annotation.pl?DOMAIN=G_alpha&amp;BLAST=DUMMY","0.066")</f>
        <v>0.066</v>
      </c>
      <c r="CZ656" s="4" t="s">
        <v>42</v>
      </c>
      <c r="DA656" t="s">
        <v>42</v>
      </c>
      <c r="DB656" t="s">
        <v>42</v>
      </c>
      <c r="DC656" t="s">
        <v>42</v>
      </c>
      <c r="DD656" t="s">
        <v>42</v>
      </c>
      <c r="DE656" t="s">
        <v>42</v>
      </c>
      <c r="DF656" t="s">
        <v>42</v>
      </c>
      <c r="DG656" t="s">
        <v>42</v>
      </c>
      <c r="DH656" s="4" t="s">
        <v>42</v>
      </c>
      <c r="DI656" t="s">
        <v>42</v>
      </c>
      <c r="DJ656" s="4" t="s">
        <v>42</v>
      </c>
      <c r="DK656" t="s">
        <v>42</v>
      </c>
      <c r="DL656" s="4">
        <v>146</v>
      </c>
      <c r="DM656">
        <v>1</v>
      </c>
      <c r="DN656" s="4">
        <v>146</v>
      </c>
      <c r="DO656">
        <v>1</v>
      </c>
      <c r="DP656" s="4">
        <v>143</v>
      </c>
      <c r="DQ656">
        <v>1</v>
      </c>
      <c r="DR656" s="4">
        <v>140</v>
      </c>
      <c r="DS656">
        <v>1</v>
      </c>
      <c r="DT656" s="4">
        <v>140</v>
      </c>
      <c r="DU656">
        <v>1</v>
      </c>
      <c r="DV656" s="4">
        <v>150</v>
      </c>
      <c r="DW656">
        <v>1</v>
      </c>
      <c r="DX656" s="4">
        <v>152</v>
      </c>
      <c r="DY656">
        <v>1</v>
      </c>
      <c r="DZ656" s="4">
        <v>152</v>
      </c>
      <c r="EA656">
        <v>1</v>
      </c>
      <c r="EB656" s="4">
        <v>157</v>
      </c>
      <c r="EC656">
        <v>1</v>
      </c>
      <c r="ED656" s="4">
        <v>158</v>
      </c>
      <c r="EE656">
        <v>1</v>
      </c>
      <c r="EF656" s="4">
        <v>159</v>
      </c>
      <c r="EG656">
        <v>1</v>
      </c>
      <c r="EH656" s="4">
        <v>158</v>
      </c>
      <c r="EI656">
        <v>1</v>
      </c>
      <c r="EJ656" s="4">
        <v>161</v>
      </c>
      <c r="EK656">
        <v>1</v>
      </c>
    </row>
    <row r="657" spans="1:141" x14ac:dyDescent="0.2">
      <c r="A657" t="str">
        <f>HYPERLINK("http://exon.niaid.nih.gov/transcriptome/C_felis/S1/links/cf/cf-contig_254.txt","cf-contig_254")</f>
        <v>cf-contig_254</v>
      </c>
      <c r="B657">
        <v>1</v>
      </c>
      <c r="C657" s="10" t="s">
        <v>4600</v>
      </c>
      <c r="D657">
        <v>1</v>
      </c>
      <c r="E657" t="str">
        <f>HYPERLINK("http://exon.niaid.nih.gov/transcriptome/C_felis/S1/links/cf/cf-5-36-asb-254.txt","Contig-254")</f>
        <v>Contig-254</v>
      </c>
      <c r="F657" t="str">
        <f>HYPERLINK("http://exon.niaid.nih.gov/transcriptome/C_felis/S1/links/cf/cf-5-36-254-CLU.txt","Contig254")</f>
        <v>Contig254</v>
      </c>
      <c r="G657" t="str">
        <f>HYPERLINK("http://exon.niaid.nih.gov/transcriptome/C_felis/S1/links/cf/cf-5-36-254-qual.txt","47.3")</f>
        <v>47.3</v>
      </c>
      <c r="H657" t="s">
        <v>11</v>
      </c>
      <c r="I657">
        <v>73.5</v>
      </c>
      <c r="J657">
        <v>83</v>
      </c>
      <c r="K657" t="s">
        <v>12</v>
      </c>
      <c r="L657">
        <v>1</v>
      </c>
      <c r="M657" t="s">
        <v>267</v>
      </c>
      <c r="N657">
        <v>83</v>
      </c>
      <c r="O657">
        <v>102</v>
      </c>
      <c r="P657">
        <v>99</v>
      </c>
      <c r="Q657" t="s">
        <v>1074</v>
      </c>
      <c r="R657">
        <v>2</v>
      </c>
      <c r="S657" s="7" t="s">
        <v>4585</v>
      </c>
      <c r="U657">
        <v>1</v>
      </c>
      <c r="V657" s="4">
        <v>202</v>
      </c>
      <c r="W657">
        <v>1</v>
      </c>
      <c r="X657" s="4">
        <v>205</v>
      </c>
      <c r="Y657">
        <v>1</v>
      </c>
      <c r="Z657" s="4">
        <v>203</v>
      </c>
      <c r="AA657">
        <v>1</v>
      </c>
      <c r="AB657" s="4" t="str">
        <f>HYPERLINK("http://exon.niaid.nih.gov/transcriptome/C_felis/S1/links/XC-ASB/cf-contig_254-XC-ASB.txt","XC-contig_116")</f>
        <v>XC-contig_116</v>
      </c>
      <c r="AC657">
        <v>0.18</v>
      </c>
      <c r="AD657" s="10" t="s">
        <v>4600</v>
      </c>
      <c r="AE657" t="s">
        <v>4601</v>
      </c>
      <c r="AI657" s="4" t="str">
        <f>HYPERLINK("http://exon.niaid.nih.gov/transcriptome/C_felis/S1/links/NR/cf-contig_254-NR.txt","hypothetical protein")</f>
        <v>hypothetical protein</v>
      </c>
      <c r="AJ657" t="str">
        <f>HYPERLINK("http://www.ncbi.nlm.nih.gov/sutils/blink.cgi?pid=51476527","21")</f>
        <v>21</v>
      </c>
      <c r="AK657" t="str">
        <f>HYPERLINK("http://www.ncbi.nlm.nih.gov/protein/51476527","gi|51476527")</f>
        <v>gi|51476527</v>
      </c>
      <c r="AL657">
        <v>32.700000000000003</v>
      </c>
      <c r="AM657">
        <v>19</v>
      </c>
      <c r="AN657">
        <v>313</v>
      </c>
      <c r="AO657">
        <v>70</v>
      </c>
      <c r="AP657">
        <v>6</v>
      </c>
      <c r="AQ657">
        <v>6</v>
      </c>
      <c r="AR657">
        <v>0</v>
      </c>
      <c r="AS657">
        <v>195</v>
      </c>
      <c r="AT657">
        <v>20</v>
      </c>
      <c r="AU657">
        <v>1</v>
      </c>
      <c r="AV657">
        <v>2</v>
      </c>
      <c r="AW657" t="s">
        <v>12</v>
      </c>
      <c r="AY657" t="s">
        <v>1676</v>
      </c>
      <c r="AZ657" t="s">
        <v>1690</v>
      </c>
      <c r="BA657" s="4" t="str">
        <f>HYPERLINK("http://exon.niaid.nih.gov/transcriptome/C_felis/S1/links/SWISSP/cf-contig_254-SWISSP.txt","Tumor necrosis factor receptor superfamily member 27")</f>
        <v>Tumor necrosis factor receptor superfamily member 27</v>
      </c>
      <c r="BB657" t="str">
        <f>HYPERLINK("http://www.uniprot.org/uniprot/Q8BX35","52")</f>
        <v>52</v>
      </c>
      <c r="BC657" t="s">
        <v>2624</v>
      </c>
      <c r="BD657">
        <v>26.6</v>
      </c>
      <c r="BE657">
        <v>23</v>
      </c>
      <c r="BF657">
        <v>297</v>
      </c>
      <c r="BG657">
        <v>41</v>
      </c>
      <c r="BH657">
        <v>8</v>
      </c>
      <c r="BI657">
        <v>14</v>
      </c>
      <c r="BJ657">
        <v>0</v>
      </c>
      <c r="BK657">
        <v>148</v>
      </c>
      <c r="BL657">
        <v>9</v>
      </c>
      <c r="BM657">
        <v>1</v>
      </c>
      <c r="BN657">
        <v>-2</v>
      </c>
      <c r="BO657" t="s">
        <v>12</v>
      </c>
      <c r="BP657">
        <v>4.3479999999999999</v>
      </c>
      <c r="BQ657" t="s">
        <v>1666</v>
      </c>
      <c r="BR657" t="s">
        <v>1705</v>
      </c>
      <c r="BS657" s="4" t="str">
        <f>HYPERLINK("http://exon.niaid.nih.gov/transcriptome/C_felis/S1/links/CDD/cf-contig_254-CDD.txt","Herpes_ori_bp")</f>
        <v>Herpes_ori_bp</v>
      </c>
      <c r="BT657" t="str">
        <f>HYPERLINK("http://www.ncbi.nlm.nih.gov/Structure/cdd/cddsrv.cgi?uid=pfam02399&amp;version=v4.0","4.9")</f>
        <v>4.9</v>
      </c>
      <c r="BU657" t="s">
        <v>2625</v>
      </c>
      <c r="BV657" s="4" t="s">
        <v>42</v>
      </c>
      <c r="BW657" t="s">
        <v>42</v>
      </c>
      <c r="BX657" t="s">
        <v>42</v>
      </c>
      <c r="BY657" t="s">
        <v>42</v>
      </c>
      <c r="BZ657" t="s">
        <v>42</v>
      </c>
      <c r="CA657" t="s">
        <v>42</v>
      </c>
      <c r="CB657" t="s">
        <v>42</v>
      </c>
      <c r="CC657" t="s">
        <v>42</v>
      </c>
      <c r="CD657" t="s">
        <v>42</v>
      </c>
      <c r="CE657" t="s">
        <v>42</v>
      </c>
      <c r="CF657" t="s">
        <v>42</v>
      </c>
      <c r="CG657" t="s">
        <v>42</v>
      </c>
      <c r="CH657" t="s">
        <v>42</v>
      </c>
      <c r="CI657" t="s">
        <v>42</v>
      </c>
      <c r="CJ657" t="s">
        <v>42</v>
      </c>
      <c r="CK657" t="s">
        <v>42</v>
      </c>
      <c r="CL657" t="s">
        <v>42</v>
      </c>
      <c r="CM657" t="s">
        <v>42</v>
      </c>
      <c r="CN657" t="s">
        <v>42</v>
      </c>
      <c r="CO657" t="s">
        <v>42</v>
      </c>
      <c r="CP657" t="s">
        <v>42</v>
      </c>
      <c r="CQ657" t="s">
        <v>42</v>
      </c>
      <c r="CR657" t="s">
        <v>42</v>
      </c>
      <c r="CS657" s="4" t="str">
        <f>HYPERLINK("http://exon.niaid.nih.gov/transcriptome/C_felis/S1/links/KOG/cf-contig_254-KOG.txt","E3 ubiquitin ligase, Cullin 1 component")</f>
        <v>E3 ubiquitin ligase, Cullin 1 component</v>
      </c>
      <c r="CT657" t="str">
        <f>HYPERLINK("http://www.ncbi.nlm.nih.gov/COG/grace/shokog.cgi?KOG2285","1.9")</f>
        <v>1.9</v>
      </c>
      <c r="CU657" t="s">
        <v>2198</v>
      </c>
      <c r="CV657" s="4" t="str">
        <f>HYPERLINK("http://exon.niaid.nih.gov/transcriptome/C_felis/S1/links/PFAM/cf-contig_254-PFAM.txt","Herpes_ori_bp")</f>
        <v>Herpes_ori_bp</v>
      </c>
      <c r="CW657" t="str">
        <f>HYPERLINK("http://pfam.sanger.ac.uk/family?acc=PF02399","1.0")</f>
        <v>1.0</v>
      </c>
      <c r="CX657" s="4" t="str">
        <f>HYPERLINK("http://exon.niaid.nih.gov/transcriptome/C_felis/S1/links/SMART/cf-contig_254-SMART.txt","CULLIN")</f>
        <v>CULLIN</v>
      </c>
      <c r="CY657" t="str">
        <f>HYPERLINK("http://smart.embl-heidelberg.de/smart/do_annotation.pl?DOMAIN=CULLIN&amp;BLAST=DUMMY","0.098")</f>
        <v>0.098</v>
      </c>
      <c r="CZ657" s="4" t="s">
        <v>42</v>
      </c>
      <c r="DA657" t="s">
        <v>42</v>
      </c>
      <c r="DB657" t="s">
        <v>42</v>
      </c>
      <c r="DC657" t="s">
        <v>42</v>
      </c>
      <c r="DD657" t="s">
        <v>42</v>
      </c>
      <c r="DE657" t="s">
        <v>42</v>
      </c>
      <c r="DF657" t="s">
        <v>42</v>
      </c>
      <c r="DG657" t="s">
        <v>42</v>
      </c>
      <c r="DH657" s="4" t="s">
        <v>42</v>
      </c>
      <c r="DI657" t="s">
        <v>42</v>
      </c>
      <c r="DJ657" s="4" t="s">
        <v>42</v>
      </c>
      <c r="DK657" t="s">
        <v>42</v>
      </c>
      <c r="DL657" s="4">
        <v>202</v>
      </c>
      <c r="DM657">
        <v>1</v>
      </c>
      <c r="DN657" s="4">
        <v>205</v>
      </c>
      <c r="DO657">
        <v>1</v>
      </c>
      <c r="DP657" s="4">
        <v>203</v>
      </c>
      <c r="DQ657">
        <v>1</v>
      </c>
      <c r="DR657" s="4">
        <v>212</v>
      </c>
      <c r="DS657">
        <v>1</v>
      </c>
      <c r="DT657" s="4">
        <v>218</v>
      </c>
      <c r="DU657">
        <v>1</v>
      </c>
      <c r="DV657" s="4">
        <v>230</v>
      </c>
      <c r="DW657">
        <v>1</v>
      </c>
      <c r="DX657" s="4">
        <v>232</v>
      </c>
      <c r="DY657">
        <v>1</v>
      </c>
      <c r="DZ657" s="4">
        <v>236</v>
      </c>
      <c r="EA657">
        <v>1</v>
      </c>
      <c r="EB657" s="4">
        <v>241</v>
      </c>
      <c r="EC657">
        <v>1</v>
      </c>
      <c r="ED657" s="4">
        <v>244</v>
      </c>
      <c r="EE657">
        <v>1</v>
      </c>
      <c r="EF657" s="4">
        <v>247</v>
      </c>
      <c r="EG657">
        <v>1</v>
      </c>
      <c r="EH657" s="4">
        <v>249</v>
      </c>
      <c r="EI657">
        <v>1</v>
      </c>
      <c r="EJ657" s="4">
        <v>254</v>
      </c>
      <c r="EK657">
        <v>1</v>
      </c>
    </row>
    <row r="658" spans="1:141" x14ac:dyDescent="0.2">
      <c r="A658" t="str">
        <f>HYPERLINK("http://exon.niaid.nih.gov/transcriptome/C_felis/S1/links/cf/cf-contig_759.txt","cf-contig_759")</f>
        <v>cf-contig_759</v>
      </c>
      <c r="B658">
        <v>1</v>
      </c>
      <c r="C658" s="10" t="s">
        <v>4600</v>
      </c>
      <c r="D658">
        <v>1</v>
      </c>
      <c r="E658" t="str">
        <f>HYPERLINK("http://exon.niaid.nih.gov/transcriptome/C_felis/S1/links/cf/cf-5-36-asb-759.txt","Contig-759")</f>
        <v>Contig-759</v>
      </c>
      <c r="F658" t="str">
        <f>HYPERLINK("http://exon.niaid.nih.gov/transcriptome/C_felis/S1/links/cf/cf-5-36-759-CLU.txt","Contig759")</f>
        <v>Contig759</v>
      </c>
      <c r="G658" t="str">
        <f>HYPERLINK("http://exon.niaid.nih.gov/transcriptome/C_felis/S1/links/cf/cf-5-36-759-qual.txt","60.1")</f>
        <v>60.1</v>
      </c>
      <c r="H658" t="s">
        <v>11</v>
      </c>
      <c r="I658">
        <v>48.9</v>
      </c>
      <c r="J658">
        <v>122</v>
      </c>
      <c r="K658" t="s">
        <v>12</v>
      </c>
      <c r="L658">
        <v>1</v>
      </c>
      <c r="M658" t="s">
        <v>772</v>
      </c>
      <c r="N658">
        <v>122</v>
      </c>
      <c r="O658">
        <v>141</v>
      </c>
      <c r="P658">
        <v>105</v>
      </c>
      <c r="Q658" t="s">
        <v>1578</v>
      </c>
      <c r="R658">
        <v>3</v>
      </c>
      <c r="S658" s="7" t="s">
        <v>4585</v>
      </c>
      <c r="U658">
        <v>1</v>
      </c>
      <c r="V658" s="4">
        <f>HYPERLINK("http://exon.niaid.nih.gov/transcriptome/C_felis/S1/links/cluster/cf-5-36-asb30-50-Id-CLU25.txt", 25)</f>
        <v>25</v>
      </c>
      <c r="W658">
        <f>HYPERLINK("http://exon.niaid.nih.gov/transcriptome/C_felis/S1/links/cluster/cf-5-36-asb30-50-Id-CLTL25.txt", 3)</f>
        <v>3</v>
      </c>
      <c r="X658" s="4">
        <f>HYPERLINK("http://exon.niaid.nih.gov/transcriptome/C_felis/S1/links/cluster/cf-5-36-asb35-50-Id-CLU21.txt", 21)</f>
        <v>21</v>
      </c>
      <c r="Y658">
        <f>HYPERLINK("http://exon.niaid.nih.gov/transcriptome/C_felis/S1/links/cluster/cf-5-36-asb35-50-Id-CLTL21.txt", 3)</f>
        <v>3</v>
      </c>
      <c r="Z658" s="4">
        <v>645</v>
      </c>
      <c r="AA658">
        <v>1</v>
      </c>
      <c r="AB658" s="4" t="str">
        <f>HYPERLINK("http://exon.niaid.nih.gov/transcriptome/C_felis/S1/links/XC-ASB/cf-contig_759-XC-ASB.txt","XC-contig_22")</f>
        <v>XC-contig_22</v>
      </c>
      <c r="AC658">
        <v>0.12</v>
      </c>
      <c r="AD658" s="10" t="s">
        <v>4600</v>
      </c>
      <c r="AE658" t="s">
        <v>4601</v>
      </c>
      <c r="AI658" s="4" t="str">
        <f>HYPERLINK("http://exon.niaid.nih.gov/transcriptome/C_felis/S1/links/NR/cf-contig_759-NR.txt","OK/SW-CL.41")</f>
        <v>OK/SW-CL.41</v>
      </c>
      <c r="AJ658" t="str">
        <f>HYPERLINK("http://www.ncbi.nlm.nih.gov/sutils/blink.cgi?pid=21104464","1E-005")</f>
        <v>1E-005</v>
      </c>
      <c r="AK658" t="str">
        <f>HYPERLINK("http://www.ncbi.nlm.nih.gov/protein/21104464","gi|21104464")</f>
        <v>gi|21104464</v>
      </c>
      <c r="AL658">
        <v>53.5</v>
      </c>
      <c r="AM658">
        <v>35</v>
      </c>
      <c r="AN658">
        <v>109</v>
      </c>
      <c r="AO658">
        <v>75</v>
      </c>
      <c r="AP658">
        <v>33</v>
      </c>
      <c r="AQ658">
        <v>9</v>
      </c>
      <c r="AR658">
        <v>0</v>
      </c>
      <c r="AS658">
        <v>2</v>
      </c>
      <c r="AT658">
        <v>8</v>
      </c>
      <c r="AU658">
        <v>1</v>
      </c>
      <c r="AV658">
        <v>-3</v>
      </c>
      <c r="AW658" t="s">
        <v>12</v>
      </c>
      <c r="AX658">
        <v>2.8570000000000002</v>
      </c>
      <c r="AY658" t="s">
        <v>1666</v>
      </c>
      <c r="AZ658" t="s">
        <v>1690</v>
      </c>
      <c r="BA658" s="4" t="str">
        <f>HYPERLINK("http://exon.niaid.nih.gov/transcriptome/C_felis/S1/links/SWISSP/cf-contig_759-SWISSP.txt","Serine/threonine-protein kinase Nek4")</f>
        <v>Serine/threonine-protein kinase Nek4</v>
      </c>
      <c r="BB658" t="str">
        <f>HYPERLINK("http://www.uniprot.org/uniprot/P51957","0.002")</f>
        <v>0.002</v>
      </c>
      <c r="BC658" t="s">
        <v>4427</v>
      </c>
      <c r="BD658">
        <v>33.9</v>
      </c>
      <c r="BE658">
        <v>36</v>
      </c>
      <c r="BF658">
        <v>841</v>
      </c>
      <c r="BG658">
        <v>76</v>
      </c>
      <c r="BH658">
        <v>4</v>
      </c>
      <c r="BI658">
        <v>5</v>
      </c>
      <c r="BJ658">
        <v>0</v>
      </c>
      <c r="BK658">
        <v>456</v>
      </c>
      <c r="BL658">
        <v>8</v>
      </c>
      <c r="BM658">
        <v>2</v>
      </c>
      <c r="BN658">
        <v>-1</v>
      </c>
      <c r="BO658" t="s">
        <v>1689</v>
      </c>
      <c r="BQ658" t="s">
        <v>1666</v>
      </c>
      <c r="BR658" t="s">
        <v>1690</v>
      </c>
      <c r="BS658" s="4" t="str">
        <f>HYPERLINK("http://exon.niaid.nih.gov/transcriptome/C_felis/S1/links/CDD/cf-contig_759-CDD.txt","PLN02316")</f>
        <v>PLN02316</v>
      </c>
      <c r="BT658" t="str">
        <f>HYPERLINK("http://www.ncbi.nlm.nih.gov/Structure/cdd/cddsrv.cgi?uid=PLN02316&amp;version=v4.0","0.95")</f>
        <v>0.95</v>
      </c>
      <c r="BU658" t="s">
        <v>4428</v>
      </c>
      <c r="BV658" s="4" t="s">
        <v>4429</v>
      </c>
      <c r="BW658">
        <f>HYPERLINK("http://exon.niaid.nih.gov/transcriptome/C_felis/S1/links/GO/cf-contig_759-GO.txt",0.00006)</f>
        <v>6.0000000000000002E-5</v>
      </c>
      <c r="BX658" t="str">
        <f>HYPERLINK("http://amigo.geneontology.org/cgi-bin/amigo/term_details?term=GO:0043565","GO:0043565")</f>
        <v>GO:0043565</v>
      </c>
      <c r="BY658" t="s">
        <v>4430</v>
      </c>
      <c r="BZ658" t="s">
        <v>4431</v>
      </c>
      <c r="CA658" t="s">
        <v>4432</v>
      </c>
      <c r="CB658" t="s">
        <v>42</v>
      </c>
      <c r="CD658">
        <v>6.0000000000000002E-5</v>
      </c>
      <c r="CE658" t="str">
        <f>HYPERLINK("http://amigo.geneontology.org/cgi-bin/amigo/term_details?term=GO:0005634","GO:0005634")</f>
        <v>GO:0005634</v>
      </c>
      <c r="CF658" t="s">
        <v>2064</v>
      </c>
      <c r="CG658" t="s">
        <v>2065</v>
      </c>
      <c r="CH658" t="s">
        <v>2066</v>
      </c>
      <c r="CI658" t="s">
        <v>42</v>
      </c>
      <c r="CK658">
        <v>6.0000000000000002E-5</v>
      </c>
      <c r="CL658" t="str">
        <f>HYPERLINK("http://amigo.geneontology.org/cgi-bin/amigo/term_details?term=GO:0006355","GO:0006355")</f>
        <v>GO:0006355</v>
      </c>
      <c r="CM658" t="s">
        <v>2784</v>
      </c>
      <c r="CN658" t="s">
        <v>2785</v>
      </c>
      <c r="CO658" t="s">
        <v>2786</v>
      </c>
      <c r="CP658" t="s">
        <v>42</v>
      </c>
      <c r="CR658">
        <v>6.0000000000000002E-5</v>
      </c>
      <c r="CS658" s="4" t="str">
        <f>HYPERLINK("http://exon.niaid.nih.gov/transcriptome/C_felis/S1/links/KOG/cf-contig_759-KOG.txt","Uncharacterized conserved protein")</f>
        <v>Uncharacterized conserved protein</v>
      </c>
      <c r="CT658" t="str">
        <f>HYPERLINK("http://www.ncbi.nlm.nih.gov/COG/grace/shokog.cgi?KOG3817","4.5")</f>
        <v>4.5</v>
      </c>
      <c r="CU658" t="s">
        <v>1711</v>
      </c>
      <c r="CV658" s="4" t="str">
        <f>HYPERLINK("http://exon.niaid.nih.gov/transcriptome/C_felis/S1/links/PFAM/cf-contig_759-PFAM.txt","DUF2215")</f>
        <v>DUF2215</v>
      </c>
      <c r="CW658" t="str">
        <f>HYPERLINK("http://pfam.sanger.ac.uk/family?acc=PF10225","3.2")</f>
        <v>3.2</v>
      </c>
      <c r="CX658" s="4" t="str">
        <f>HYPERLINK("http://exon.niaid.nih.gov/transcriptome/C_felis/S1/links/SMART/cf-contig_759-SMART.txt","DNaseIc")</f>
        <v>DNaseIc</v>
      </c>
      <c r="CY658" t="str">
        <f>HYPERLINK("http://smart.embl-heidelberg.de/smart/do_annotation.pl?DOMAIN=DNaseIc&amp;BLAST=DUMMY","0.59")</f>
        <v>0.59</v>
      </c>
      <c r="CZ658" s="4" t="s">
        <v>42</v>
      </c>
      <c r="DA658" t="s">
        <v>42</v>
      </c>
      <c r="DB658" t="s">
        <v>42</v>
      </c>
      <c r="DC658" t="s">
        <v>42</v>
      </c>
      <c r="DD658" t="s">
        <v>42</v>
      </c>
      <c r="DE658" t="s">
        <v>42</v>
      </c>
      <c r="DF658" t="s">
        <v>42</v>
      </c>
      <c r="DG658" t="s">
        <v>42</v>
      </c>
      <c r="DH658" s="4" t="s">
        <v>42</v>
      </c>
      <c r="DI658" t="s">
        <v>42</v>
      </c>
      <c r="DJ658" s="4" t="s">
        <v>42</v>
      </c>
      <c r="DK658" t="s">
        <v>42</v>
      </c>
      <c r="DL658" s="4">
        <f>HYPERLINK("http://exon.niaid.nih.gov/transcriptome/C_felis/S1/links/cluster/cf-5-36-asb30-50-Id-CLU25.txt", 25)</f>
        <v>25</v>
      </c>
      <c r="DM658">
        <f>HYPERLINK("http://exon.niaid.nih.gov/transcriptome/C_felis/S1/links/cluster/cf-5-36-asb30-50-Id-CLTL25.txt", 3)</f>
        <v>3</v>
      </c>
      <c r="DN658" s="4">
        <f>HYPERLINK("http://exon.niaid.nih.gov/transcriptome/C_felis/S1/links/cluster/cf-5-36-asb35-50-Id-CLU21.txt", 21)</f>
        <v>21</v>
      </c>
      <c r="DO658">
        <f>HYPERLINK("http://exon.niaid.nih.gov/transcriptome/C_felis/S1/links/cluster/cf-5-36-asb35-50-Id-CLTL21.txt", 3)</f>
        <v>3</v>
      </c>
      <c r="DP658" s="4">
        <v>645</v>
      </c>
      <c r="DQ658">
        <v>1</v>
      </c>
      <c r="DR658" s="4">
        <v>667</v>
      </c>
      <c r="DS658">
        <v>1</v>
      </c>
      <c r="DT658" s="4">
        <v>682</v>
      </c>
      <c r="DU658">
        <v>1</v>
      </c>
      <c r="DV658" s="4">
        <v>697</v>
      </c>
      <c r="DW658">
        <v>1</v>
      </c>
      <c r="DX658" s="4">
        <v>710</v>
      </c>
      <c r="DY658">
        <v>1</v>
      </c>
      <c r="DZ658" s="4">
        <v>721</v>
      </c>
      <c r="EA658">
        <v>1</v>
      </c>
      <c r="EB658" s="4">
        <v>727</v>
      </c>
      <c r="EC658">
        <v>1</v>
      </c>
      <c r="ED658" s="4">
        <v>732</v>
      </c>
      <c r="EE658">
        <v>1</v>
      </c>
      <c r="EF658" s="4">
        <v>738</v>
      </c>
      <c r="EG658">
        <v>1</v>
      </c>
      <c r="EH658" s="4">
        <v>750</v>
      </c>
      <c r="EI658">
        <v>1</v>
      </c>
      <c r="EJ658" s="4">
        <v>759</v>
      </c>
      <c r="EK658">
        <v>1</v>
      </c>
    </row>
    <row r="659" spans="1:141" x14ac:dyDescent="0.2">
      <c r="A659" t="str">
        <f>HYPERLINK("http://exon.niaid.nih.gov/transcriptome/C_felis/S1/links/cf/cf-contig_742.txt","cf-contig_742")</f>
        <v>cf-contig_742</v>
      </c>
      <c r="B659">
        <v>1</v>
      </c>
      <c r="C659" s="10" t="s">
        <v>4600</v>
      </c>
      <c r="D659">
        <v>1</v>
      </c>
      <c r="E659" t="str">
        <f>HYPERLINK("http://exon.niaid.nih.gov/transcriptome/C_felis/S1/links/cf/cf-5-36-asb-742.txt","Contig-742")</f>
        <v>Contig-742</v>
      </c>
      <c r="F659" t="str">
        <f>HYPERLINK("http://exon.niaid.nih.gov/transcriptome/C_felis/S1/links/cf/cf-5-36-742-CLU.txt","Contig742")</f>
        <v>Contig742</v>
      </c>
      <c r="G659" t="str">
        <f>HYPERLINK("http://exon.niaid.nih.gov/transcriptome/C_felis/S1/links/cf/cf-5-36-742-qual.txt","37.2")</f>
        <v>37.2</v>
      </c>
      <c r="H659">
        <v>0.8</v>
      </c>
      <c r="I659">
        <v>66.7</v>
      </c>
      <c r="J659">
        <v>107</v>
      </c>
      <c r="K659" t="s">
        <v>12</v>
      </c>
      <c r="L659">
        <v>1</v>
      </c>
      <c r="M659" t="s">
        <v>755</v>
      </c>
      <c r="N659">
        <v>107</v>
      </c>
      <c r="O659">
        <v>126</v>
      </c>
      <c r="P659">
        <v>69</v>
      </c>
      <c r="Q659" t="s">
        <v>1561</v>
      </c>
      <c r="R659">
        <v>1</v>
      </c>
      <c r="S659" s="7" t="s">
        <v>4585</v>
      </c>
      <c r="U659">
        <v>1</v>
      </c>
      <c r="V659" s="4">
        <f>HYPERLINK("http://exon.niaid.nih.gov/transcriptome/C_felis/S1/links/cluster/cf-5-36-asb30-50-Id-CLU85.txt", 85)</f>
        <v>85</v>
      </c>
      <c r="W659">
        <f>HYPERLINK("http://exon.niaid.nih.gov/transcriptome/C_felis/S1/links/cluster/cf-5-36-asb30-50-Id-CLTL85.txt", 2)</f>
        <v>2</v>
      </c>
      <c r="X659" s="4">
        <f>HYPERLINK("http://exon.niaid.nih.gov/transcriptome/C_felis/S1/links/cluster/cf-5-36-asb35-50-Id-CLU77.txt", 77)</f>
        <v>77</v>
      </c>
      <c r="Y659">
        <f>HYPERLINK("http://exon.niaid.nih.gov/transcriptome/C_felis/S1/links/cluster/cf-5-36-asb35-50-Id-CLTL77.txt", 2)</f>
        <v>2</v>
      </c>
      <c r="Z659" s="4">
        <f>HYPERLINK("http://exon.niaid.nih.gov/transcriptome/C_felis/S1/links/cluster/cf-5-36-asb40-50-Id-CLU70.txt", 70)</f>
        <v>70</v>
      </c>
      <c r="AA659">
        <f>HYPERLINK("http://exon.niaid.nih.gov/transcriptome/C_felis/S1/links/cluster/cf-5-36-asb40-50-Id-CLTL70.txt", 2)</f>
        <v>2</v>
      </c>
      <c r="AB659" s="4" t="str">
        <f>HYPERLINK("http://exon.niaid.nih.gov/transcriptome/C_felis/S1/links/XC-ASB/cf-contig_742-XC-ASB.txt","XC-contig_184")</f>
        <v>XC-contig_184</v>
      </c>
      <c r="AC659">
        <v>3.4000000000000002E-2</v>
      </c>
      <c r="AD659" s="10" t="s">
        <v>4600</v>
      </c>
      <c r="AE659" t="s">
        <v>4601</v>
      </c>
      <c r="AI659" s="4" t="str">
        <f>HYPERLINK("http://exon.niaid.nih.gov/transcriptome/C_felis/S1/links/NR/cf-contig_742-NR.txt","SH3-domain interacting protein")</f>
        <v>SH3-domain interacting protein</v>
      </c>
      <c r="AJ659" t="str">
        <f>HYPERLINK("http://www.ncbi.nlm.nih.gov/sutils/blink.cgi?pid=2760483","57")</f>
        <v>57</v>
      </c>
      <c r="AK659" t="str">
        <f>HYPERLINK("http://www.ncbi.nlm.nih.gov/protein/2760483","gi|2760483")</f>
        <v>gi|2760483</v>
      </c>
      <c r="AL659">
        <v>25.4</v>
      </c>
      <c r="AM659">
        <v>34</v>
      </c>
      <c r="AN659">
        <v>494</v>
      </c>
      <c r="AO659">
        <v>72</v>
      </c>
      <c r="AP659">
        <v>7</v>
      </c>
      <c r="AQ659">
        <v>3</v>
      </c>
      <c r="AR659">
        <v>0</v>
      </c>
      <c r="AS659">
        <v>350</v>
      </c>
      <c r="AT659">
        <v>1</v>
      </c>
      <c r="AU659">
        <v>2</v>
      </c>
      <c r="AV659">
        <v>-1</v>
      </c>
      <c r="AW659" t="s">
        <v>12</v>
      </c>
      <c r="AY659" t="s">
        <v>1666</v>
      </c>
      <c r="AZ659" t="s">
        <v>1690</v>
      </c>
      <c r="BA659" s="4" t="str">
        <f>HYPERLINK("http://exon.niaid.nih.gov/transcriptome/C_felis/S1/links/SWISSP/cf-contig_742-SWISSP.txt","WAS/WASL-interacting protein family member 1")</f>
        <v>WAS/WASL-interacting protein family member 1</v>
      </c>
      <c r="BB659" t="str">
        <f>HYPERLINK("http://www.uniprot.org/uniprot/Q6IN36","40")</f>
        <v>40</v>
      </c>
      <c r="BC659" t="s">
        <v>3835</v>
      </c>
      <c r="BD659">
        <v>26.9</v>
      </c>
      <c r="BE659">
        <v>11</v>
      </c>
      <c r="BF659">
        <v>487</v>
      </c>
      <c r="BG659">
        <v>75</v>
      </c>
      <c r="BH659">
        <v>2</v>
      </c>
      <c r="BI659">
        <v>3</v>
      </c>
      <c r="BJ659">
        <v>0</v>
      </c>
      <c r="BK659">
        <v>334</v>
      </c>
      <c r="BL659">
        <v>1</v>
      </c>
      <c r="BM659">
        <v>1</v>
      </c>
      <c r="BN659">
        <v>-1</v>
      </c>
      <c r="BO659" t="s">
        <v>12</v>
      </c>
      <c r="BQ659" t="s">
        <v>1666</v>
      </c>
      <c r="BR659" t="s">
        <v>1684</v>
      </c>
      <c r="BS659" s="4" t="str">
        <f>HYPERLINK("http://exon.niaid.nih.gov/transcriptome/C_felis/S1/links/CDD/cf-contig_742-CDD.txt","PLN02302")</f>
        <v>PLN02302</v>
      </c>
      <c r="BT659" t="str">
        <f>HYPERLINK("http://www.ncbi.nlm.nih.gov/Structure/cdd/cddsrv.cgi?uid=PLN02302&amp;version=v4.0","4.7")</f>
        <v>4.7</v>
      </c>
      <c r="BU659" t="s">
        <v>4354</v>
      </c>
      <c r="BV659" s="4" t="s">
        <v>42</v>
      </c>
      <c r="BW659" t="s">
        <v>42</v>
      </c>
      <c r="BX659" t="s">
        <v>42</v>
      </c>
      <c r="BY659" t="s">
        <v>42</v>
      </c>
      <c r="BZ659" t="s">
        <v>42</v>
      </c>
      <c r="CA659" t="s">
        <v>42</v>
      </c>
      <c r="CB659" t="s">
        <v>42</v>
      </c>
      <c r="CC659" t="s">
        <v>42</v>
      </c>
      <c r="CD659" t="s">
        <v>42</v>
      </c>
      <c r="CE659" t="s">
        <v>42</v>
      </c>
      <c r="CF659" t="s">
        <v>42</v>
      </c>
      <c r="CG659" t="s">
        <v>42</v>
      </c>
      <c r="CH659" t="s">
        <v>42</v>
      </c>
      <c r="CI659" t="s">
        <v>42</v>
      </c>
      <c r="CJ659" t="s">
        <v>42</v>
      </c>
      <c r="CK659" t="s">
        <v>42</v>
      </c>
      <c r="CL659" t="s">
        <v>42</v>
      </c>
      <c r="CM659" t="s">
        <v>42</v>
      </c>
      <c r="CN659" t="s">
        <v>42</v>
      </c>
      <c r="CO659" t="s">
        <v>42</v>
      </c>
      <c r="CP659" t="s">
        <v>42</v>
      </c>
      <c r="CQ659" t="s">
        <v>42</v>
      </c>
      <c r="CR659" t="s">
        <v>42</v>
      </c>
      <c r="CS659" s="4" t="s">
        <v>42</v>
      </c>
      <c r="CT659" t="s">
        <v>42</v>
      </c>
      <c r="CU659" t="s">
        <v>42</v>
      </c>
      <c r="CV659" s="4" t="str">
        <f>HYPERLINK("http://exon.niaid.nih.gov/transcriptome/C_felis/S1/links/PFAM/cf-contig_742-PFAM.txt","Ectoine_synth")</f>
        <v>Ectoine_synth</v>
      </c>
      <c r="CW659" t="str">
        <f>HYPERLINK("http://pfam.sanger.ac.uk/family?acc=PF06339","2.1")</f>
        <v>2.1</v>
      </c>
      <c r="CX659" s="4" t="str">
        <f>HYPERLINK("http://exon.niaid.nih.gov/transcriptome/C_felis/S1/links/SMART/cf-contig_742-SMART.txt","PepX_N")</f>
        <v>PepX_N</v>
      </c>
      <c r="CY659" t="str">
        <f>HYPERLINK("http://smart.embl-heidelberg.de/smart/do_annotation.pl?DOMAIN=PepX_N&amp;BLAST=DUMMY","0.52")</f>
        <v>0.52</v>
      </c>
      <c r="CZ659" s="4" t="s">
        <v>42</v>
      </c>
      <c r="DA659" t="s">
        <v>42</v>
      </c>
      <c r="DB659" t="s">
        <v>42</v>
      </c>
      <c r="DC659" t="s">
        <v>42</v>
      </c>
      <c r="DD659" t="s">
        <v>42</v>
      </c>
      <c r="DE659" t="s">
        <v>42</v>
      </c>
      <c r="DF659" t="s">
        <v>42</v>
      </c>
      <c r="DG659" t="s">
        <v>42</v>
      </c>
      <c r="DH659" s="4" t="s">
        <v>42</v>
      </c>
      <c r="DI659" t="s">
        <v>42</v>
      </c>
      <c r="DJ659" s="4" t="s">
        <v>42</v>
      </c>
      <c r="DK659" t="s">
        <v>42</v>
      </c>
      <c r="DL659" s="4">
        <f>HYPERLINK("http://exon.niaid.nih.gov/transcriptome/C_felis/S1/links/cluster/cf-5-36-asb30-50-Id-CLU85.txt", 85)</f>
        <v>85</v>
      </c>
      <c r="DM659">
        <f>HYPERLINK("http://exon.niaid.nih.gov/transcriptome/C_felis/S1/links/cluster/cf-5-36-asb30-50-Id-CLTL85.txt", 2)</f>
        <v>2</v>
      </c>
      <c r="DN659" s="4">
        <f>HYPERLINK("http://exon.niaid.nih.gov/transcriptome/C_felis/S1/links/cluster/cf-5-36-asb35-50-Id-CLU77.txt", 77)</f>
        <v>77</v>
      </c>
      <c r="DO659">
        <f>HYPERLINK("http://exon.niaid.nih.gov/transcriptome/C_felis/S1/links/cluster/cf-5-36-asb35-50-Id-CLTL77.txt", 2)</f>
        <v>2</v>
      </c>
      <c r="DP659" s="4">
        <f>HYPERLINK("http://exon.niaid.nih.gov/transcriptome/C_felis/S1/links/cluster/cf-5-36-asb40-50-Id-CLU70.txt", 70)</f>
        <v>70</v>
      </c>
      <c r="DQ659">
        <f>HYPERLINK("http://exon.niaid.nih.gov/transcriptome/C_felis/S1/links/cluster/cf-5-36-asb40-50-Id-CLTL70.txt", 2)</f>
        <v>2</v>
      </c>
      <c r="DR659" s="4">
        <f>HYPERLINK("http://exon.niaid.nih.gov/transcriptome/C_felis/S1/links/cluster/cf-5-36-asb45-50-Id-CLU57.txt", 57)</f>
        <v>57</v>
      </c>
      <c r="DS659">
        <f>HYPERLINK("http://exon.niaid.nih.gov/transcriptome/C_felis/S1/links/cluster/cf-5-36-asb45-50-Id-CLTL57.txt", 2)</f>
        <v>2</v>
      </c>
      <c r="DT659" s="4">
        <f>HYPERLINK("http://exon.niaid.nih.gov/transcriptome/C_felis/S1/links/cluster/cf-5-36-asb50-50-Id-CLU49.txt", 49)</f>
        <v>49</v>
      </c>
      <c r="DU659">
        <f>HYPERLINK("http://exon.niaid.nih.gov/transcriptome/C_felis/S1/links/cluster/cf-5-36-asb50-50-Id-CLTL49.txt", 2)</f>
        <v>2</v>
      </c>
      <c r="DV659" s="4">
        <f>HYPERLINK("http://exon.niaid.nih.gov/transcriptome/C_felis/S1/links/cluster/cf-5-36-asb55-50-Id-CLU45.txt", 45)</f>
        <v>45</v>
      </c>
      <c r="DW659">
        <f>HYPERLINK("http://exon.niaid.nih.gov/transcriptome/C_felis/S1/links/cluster/cf-5-36-asb55-50-Id-CLTL45.txt", 2)</f>
        <v>2</v>
      </c>
      <c r="DX659" s="4">
        <v>695</v>
      </c>
      <c r="DY659">
        <v>1</v>
      </c>
      <c r="DZ659" s="4">
        <v>705</v>
      </c>
      <c r="EA659">
        <v>1</v>
      </c>
      <c r="EB659" s="4">
        <v>711</v>
      </c>
      <c r="EC659">
        <v>1</v>
      </c>
      <c r="ED659" s="4">
        <v>716</v>
      </c>
      <c r="EE659">
        <v>1</v>
      </c>
      <c r="EF659" s="4">
        <v>722</v>
      </c>
      <c r="EG659">
        <v>1</v>
      </c>
      <c r="EH659" s="4">
        <v>733</v>
      </c>
      <c r="EI659">
        <v>1</v>
      </c>
      <c r="EJ659" s="4">
        <v>742</v>
      </c>
      <c r="EK659">
        <v>1</v>
      </c>
    </row>
    <row r="660" spans="1:141" x14ac:dyDescent="0.2">
      <c r="A660" t="str">
        <f>HYPERLINK("http://exon.niaid.nih.gov/transcriptome/C_felis/S1/links/cf/cf-contig_252.txt","cf-contig_252")</f>
        <v>cf-contig_252</v>
      </c>
      <c r="B660">
        <v>1</v>
      </c>
      <c r="C660" s="10" t="s">
        <v>4600</v>
      </c>
      <c r="D660">
        <v>1</v>
      </c>
      <c r="E660" t="str">
        <f>HYPERLINK("http://exon.niaid.nih.gov/transcriptome/C_felis/S1/links/cf/cf-5-36-asb-252.txt","Contig-252")</f>
        <v>Contig-252</v>
      </c>
      <c r="F660" t="str">
        <f>HYPERLINK("http://exon.niaid.nih.gov/transcriptome/C_felis/S1/links/cf/cf-5-36-252-CLU.txt","Contig252")</f>
        <v>Contig252</v>
      </c>
      <c r="G660" t="str">
        <f>HYPERLINK("http://exon.niaid.nih.gov/transcriptome/C_felis/S1/links/cf/cf-5-36-252-qual.txt","61.7")</f>
        <v>61.7</v>
      </c>
      <c r="H660" t="s">
        <v>11</v>
      </c>
      <c r="I660">
        <v>76.400000000000006</v>
      </c>
      <c r="J660">
        <v>439</v>
      </c>
      <c r="K660" t="s">
        <v>12</v>
      </c>
      <c r="L660">
        <v>1</v>
      </c>
      <c r="M660" t="s">
        <v>265</v>
      </c>
      <c r="N660">
        <v>439</v>
      </c>
      <c r="O660">
        <v>458</v>
      </c>
      <c r="P660">
        <v>120</v>
      </c>
      <c r="Q660" t="s">
        <v>1072</v>
      </c>
      <c r="R660">
        <v>2</v>
      </c>
      <c r="S660" s="7" t="s">
        <v>4585</v>
      </c>
      <c r="U660">
        <v>1</v>
      </c>
      <c r="V660" s="4">
        <v>200</v>
      </c>
      <c r="W660">
        <v>1</v>
      </c>
      <c r="X660" s="4">
        <v>203</v>
      </c>
      <c r="Y660">
        <v>1</v>
      </c>
      <c r="Z660" s="4">
        <v>201</v>
      </c>
      <c r="AA660">
        <v>1</v>
      </c>
      <c r="AB660" s="4" t="str">
        <f>HYPERLINK("http://exon.niaid.nih.gov/transcriptome/C_felis/S1/links/XC-ASB/cf-contig_252-XC-ASB.txt","XC-contig_115")</f>
        <v>XC-contig_115</v>
      </c>
      <c r="AC660">
        <v>0.25</v>
      </c>
      <c r="AD660" s="10" t="s">
        <v>4600</v>
      </c>
      <c r="AE660" t="s">
        <v>4601</v>
      </c>
      <c r="AI660" s="4" t="str">
        <f>HYPERLINK("http://exon.niaid.nih.gov/transcriptome/C_felis/S1/links/NR/cf-contig_252-NR.txt","hypothetical protein IMG5_053120")</f>
        <v>hypothetical protein IMG5_053120</v>
      </c>
      <c r="AJ660" t="str">
        <f>HYPERLINK("http://www.ncbi.nlm.nih.gov/sutils/blink.cgi?pid=340507477","1.1")</f>
        <v>1.1</v>
      </c>
      <c r="AK660" t="str">
        <f>HYPERLINK("http://www.ncbi.nlm.nih.gov/protein/340507477","gi|340507477")</f>
        <v>gi|340507477</v>
      </c>
      <c r="AL660">
        <v>37</v>
      </c>
      <c r="AM660">
        <v>133</v>
      </c>
      <c r="AN660">
        <v>426</v>
      </c>
      <c r="AO660">
        <v>29</v>
      </c>
      <c r="AP660">
        <v>31</v>
      </c>
      <c r="AQ660">
        <v>97</v>
      </c>
      <c r="AR660">
        <v>15</v>
      </c>
      <c r="AS660">
        <v>257</v>
      </c>
      <c r="AT660">
        <v>65</v>
      </c>
      <c r="AU660">
        <v>1</v>
      </c>
      <c r="AV660">
        <v>-2</v>
      </c>
      <c r="AW660" t="s">
        <v>12</v>
      </c>
      <c r="AX660">
        <v>5.2629999999999999</v>
      </c>
      <c r="AY660" t="s">
        <v>1666</v>
      </c>
      <c r="AZ660" t="s">
        <v>2355</v>
      </c>
      <c r="BA660" s="4" t="str">
        <f>HYPERLINK("http://exon.niaid.nih.gov/transcriptome/C_felis/S1/links/SWISSP/cf-contig_252-SWISSP.txt","Protein dopey homolog PFC0245c")</f>
        <v>Protein dopey homolog PFC0245c</v>
      </c>
      <c r="BB660" t="str">
        <f>HYPERLINK("http://www.uniprot.org/uniprot/O97239","2.7")</f>
        <v>2.7</v>
      </c>
      <c r="BC660" t="s">
        <v>1915</v>
      </c>
      <c r="BD660">
        <v>31.2</v>
      </c>
      <c r="BE660">
        <v>37</v>
      </c>
      <c r="BF660">
        <v>3933</v>
      </c>
      <c r="BG660">
        <v>36</v>
      </c>
      <c r="BH660">
        <v>1</v>
      </c>
      <c r="BI660">
        <v>24</v>
      </c>
      <c r="BJ660">
        <v>0</v>
      </c>
      <c r="BK660">
        <v>895</v>
      </c>
      <c r="BL660">
        <v>270</v>
      </c>
      <c r="BM660">
        <v>1</v>
      </c>
      <c r="BN660">
        <v>3</v>
      </c>
      <c r="BO660" t="s">
        <v>12</v>
      </c>
      <c r="BP660">
        <v>2.7029999999999998</v>
      </c>
      <c r="BQ660" t="s">
        <v>1676</v>
      </c>
      <c r="BR660" t="s">
        <v>1724</v>
      </c>
      <c r="BS660" s="4" t="str">
        <f>HYPERLINK("http://exon.niaid.nih.gov/transcriptome/C_felis/S1/links/CDD/cf-contig_252-CDD.txt","EXS")</f>
        <v>EXS</v>
      </c>
      <c r="BT660" t="str">
        <f>HYPERLINK("http://www.ncbi.nlm.nih.gov/Structure/cdd/cddsrv.cgi?uid=pfam03124&amp;version=v4.0","0.12")</f>
        <v>0.12</v>
      </c>
      <c r="BU660" t="s">
        <v>2622</v>
      </c>
      <c r="BV660" s="4" t="s">
        <v>42</v>
      </c>
      <c r="BW660" t="s">
        <v>42</v>
      </c>
      <c r="BX660" t="s">
        <v>42</v>
      </c>
      <c r="BY660" t="s">
        <v>42</v>
      </c>
      <c r="BZ660" t="s">
        <v>42</v>
      </c>
      <c r="CA660" t="s">
        <v>42</v>
      </c>
      <c r="CB660" t="s">
        <v>42</v>
      </c>
      <c r="CC660" t="s">
        <v>42</v>
      </c>
      <c r="CD660" t="s">
        <v>42</v>
      </c>
      <c r="CE660" t="s">
        <v>42</v>
      </c>
      <c r="CF660" t="s">
        <v>42</v>
      </c>
      <c r="CG660" t="s">
        <v>42</v>
      </c>
      <c r="CH660" t="s">
        <v>42</v>
      </c>
      <c r="CI660" t="s">
        <v>42</v>
      </c>
      <c r="CJ660" t="s">
        <v>42</v>
      </c>
      <c r="CK660" t="s">
        <v>42</v>
      </c>
      <c r="CL660" t="s">
        <v>42</v>
      </c>
      <c r="CM660" t="s">
        <v>42</v>
      </c>
      <c r="CN660" t="s">
        <v>42</v>
      </c>
      <c r="CO660" t="s">
        <v>42</v>
      </c>
      <c r="CP660" t="s">
        <v>42</v>
      </c>
      <c r="CQ660" t="s">
        <v>42</v>
      </c>
      <c r="CR660" t="s">
        <v>42</v>
      </c>
      <c r="CS660" s="4" t="str">
        <f>HYPERLINK("http://exon.niaid.nih.gov/transcriptome/C_felis/S1/links/KOG/cf-contig_252-KOG.txt","Uncharacterized conserved protein")</f>
        <v>Uncharacterized conserved protein</v>
      </c>
      <c r="CT660" t="str">
        <f>HYPERLINK("http://www.ncbi.nlm.nih.gov/COG/grace/shokog.cgi?KOG2514","0.23")</f>
        <v>0.23</v>
      </c>
      <c r="CU660" t="s">
        <v>1711</v>
      </c>
      <c r="CV660" s="4" t="str">
        <f>HYPERLINK("http://exon.niaid.nih.gov/transcriptome/C_felis/S1/links/PFAM/cf-contig_252-PFAM.txt","EXS")</f>
        <v>EXS</v>
      </c>
      <c r="CW660" t="str">
        <f>HYPERLINK("http://pfam.sanger.ac.uk/family?acc=PF03124","0.027")</f>
        <v>0.027</v>
      </c>
      <c r="CX660" s="4" t="str">
        <f>HYPERLINK("http://exon.niaid.nih.gov/transcriptome/C_felis/S1/links/SMART/cf-contig_252-SMART.txt","PIPKc")</f>
        <v>PIPKc</v>
      </c>
      <c r="CY660" t="str">
        <f>HYPERLINK("http://smart.embl-heidelberg.de/smart/do_annotation.pl?DOMAIN=PIPKc&amp;BLAST=DUMMY","0.42")</f>
        <v>0.42</v>
      </c>
      <c r="CZ660" s="4" t="s">
        <v>42</v>
      </c>
      <c r="DA660" t="s">
        <v>42</v>
      </c>
      <c r="DB660" t="s">
        <v>42</v>
      </c>
      <c r="DC660" t="s">
        <v>42</v>
      </c>
      <c r="DD660" t="s">
        <v>42</v>
      </c>
      <c r="DE660" t="s">
        <v>42</v>
      </c>
      <c r="DF660" t="s">
        <v>42</v>
      </c>
      <c r="DG660" t="s">
        <v>42</v>
      </c>
      <c r="DH660" s="4" t="s">
        <v>42</v>
      </c>
      <c r="DI660" t="s">
        <v>42</v>
      </c>
      <c r="DJ660" s="4" t="s">
        <v>42</v>
      </c>
      <c r="DK660" t="s">
        <v>42</v>
      </c>
      <c r="DL660" s="4">
        <v>200</v>
      </c>
      <c r="DM660">
        <v>1</v>
      </c>
      <c r="DN660" s="4">
        <v>203</v>
      </c>
      <c r="DO660">
        <v>1</v>
      </c>
      <c r="DP660" s="4">
        <v>201</v>
      </c>
      <c r="DQ660">
        <v>1</v>
      </c>
      <c r="DR660" s="4">
        <v>210</v>
      </c>
      <c r="DS660">
        <v>1</v>
      </c>
      <c r="DT660" s="4">
        <v>216</v>
      </c>
      <c r="DU660">
        <v>1</v>
      </c>
      <c r="DV660" s="4">
        <v>228</v>
      </c>
      <c r="DW660">
        <v>1</v>
      </c>
      <c r="DX660" s="4">
        <v>230</v>
      </c>
      <c r="DY660">
        <v>1</v>
      </c>
      <c r="DZ660" s="4">
        <v>234</v>
      </c>
      <c r="EA660">
        <v>1</v>
      </c>
      <c r="EB660" s="4">
        <v>239</v>
      </c>
      <c r="EC660">
        <v>1</v>
      </c>
      <c r="ED660" s="4">
        <v>242</v>
      </c>
      <c r="EE660">
        <v>1</v>
      </c>
      <c r="EF660" s="4">
        <v>245</v>
      </c>
      <c r="EG660">
        <v>1</v>
      </c>
      <c r="EH660" s="4">
        <v>247</v>
      </c>
      <c r="EI660">
        <v>1</v>
      </c>
      <c r="EJ660" s="4">
        <v>252</v>
      </c>
      <c r="EK660">
        <v>1</v>
      </c>
    </row>
    <row r="661" spans="1:141" x14ac:dyDescent="0.2">
      <c r="A661" t="str">
        <f>HYPERLINK("http://exon.niaid.nih.gov/transcriptome/C_felis/S1/links/cf/cf-contig_376.txt","cf-contig_376")</f>
        <v>cf-contig_376</v>
      </c>
      <c r="B661">
        <v>1</v>
      </c>
      <c r="C661" s="10" t="s">
        <v>4600</v>
      </c>
      <c r="D661">
        <v>1</v>
      </c>
      <c r="E661" t="str">
        <f>HYPERLINK("http://exon.niaid.nih.gov/transcriptome/C_felis/S1/links/cf/cf-5-36-asb-376.txt","Contig-376")</f>
        <v>Contig-376</v>
      </c>
      <c r="F661" t="str">
        <f>HYPERLINK("http://exon.niaid.nih.gov/transcriptome/C_felis/S1/links/cf/cf-5-36-376-CLU.txt","Contig376")</f>
        <v>Contig376</v>
      </c>
      <c r="G661" t="str">
        <f>HYPERLINK("http://exon.niaid.nih.gov/transcriptome/C_felis/S1/links/cf/cf-5-36-376-qual.txt","64.")</f>
        <v>64.</v>
      </c>
      <c r="H661" t="s">
        <v>11</v>
      </c>
      <c r="I661">
        <v>72.900000000000006</v>
      </c>
      <c r="J661">
        <v>354</v>
      </c>
      <c r="K661" t="s">
        <v>12</v>
      </c>
      <c r="L661">
        <v>1</v>
      </c>
      <c r="M661" t="s">
        <v>389</v>
      </c>
      <c r="N661">
        <v>354</v>
      </c>
      <c r="O661">
        <v>373</v>
      </c>
      <c r="P661">
        <v>153</v>
      </c>
      <c r="Q661" t="s">
        <v>1196</v>
      </c>
      <c r="R661">
        <v>2</v>
      </c>
      <c r="S661" s="7" t="s">
        <v>4585</v>
      </c>
      <c r="U661">
        <v>1</v>
      </c>
      <c r="V661" s="4">
        <v>305</v>
      </c>
      <c r="W661">
        <v>1</v>
      </c>
      <c r="X661" s="4">
        <v>312</v>
      </c>
      <c r="Y661">
        <v>1</v>
      </c>
      <c r="Z661" s="4">
        <v>313</v>
      </c>
      <c r="AA661">
        <v>1</v>
      </c>
      <c r="AB661" s="4" t="str">
        <f>HYPERLINK("http://exon.niaid.nih.gov/transcriptome/C_felis/S1/links/XC-ASB/cf-contig_376-XC-ASB.txt","XC-contig_246")</f>
        <v>XC-contig_246</v>
      </c>
      <c r="AC661">
        <v>3.9999999999999998E-6</v>
      </c>
      <c r="AD661" s="10" t="s">
        <v>4600</v>
      </c>
      <c r="AE661" t="s">
        <v>4601</v>
      </c>
      <c r="AI661" s="4" t="str">
        <f>HYPERLINK("http://exon.niaid.nih.gov/transcriptome/C_felis/S1/links/NR/cf-contig_376-NR.txt","hypothetical protein IMG5_067010")</f>
        <v>hypothetical protein IMG5_067010</v>
      </c>
      <c r="AJ661" t="str">
        <f>HYPERLINK("http://www.ncbi.nlm.nih.gov/sutils/blink.cgi?pid=340506845","8E-004")</f>
        <v>8E-004</v>
      </c>
      <c r="AK661" t="str">
        <f>HYPERLINK("http://www.ncbi.nlm.nih.gov/protein/340506845","gi|340506845")</f>
        <v>gi|340506845</v>
      </c>
      <c r="AL661">
        <v>47.4</v>
      </c>
      <c r="AM661">
        <v>66</v>
      </c>
      <c r="AN661">
        <v>168</v>
      </c>
      <c r="AO661">
        <v>44</v>
      </c>
      <c r="AP661">
        <v>40</v>
      </c>
      <c r="AQ661">
        <v>35</v>
      </c>
      <c r="AR661">
        <v>4</v>
      </c>
      <c r="AS661">
        <v>5</v>
      </c>
      <c r="AT661">
        <v>36</v>
      </c>
      <c r="AU661">
        <v>2</v>
      </c>
      <c r="AV661">
        <v>-1</v>
      </c>
      <c r="AW661" t="s">
        <v>1689</v>
      </c>
      <c r="AY661" t="s">
        <v>1666</v>
      </c>
      <c r="AZ661" t="s">
        <v>2355</v>
      </c>
      <c r="BA661" s="4" t="str">
        <f>HYPERLINK("http://exon.niaid.nih.gov/transcriptome/C_felis/S1/links/SWISSP/cf-contig_376-SWISSP.txt","NADH-ubiquinone oxidoreductase chain 5")</f>
        <v>NADH-ubiquinone oxidoreductase chain 5</v>
      </c>
      <c r="BB661" t="str">
        <f>HYPERLINK("http://www.uniprot.org/uniprot/P04540","0.030")</f>
        <v>0.030</v>
      </c>
      <c r="BC661" t="s">
        <v>2998</v>
      </c>
      <c r="BD661">
        <v>37.4</v>
      </c>
      <c r="BE661">
        <v>442</v>
      </c>
      <c r="BF661">
        <v>590</v>
      </c>
      <c r="BG661">
        <v>29</v>
      </c>
      <c r="BH661">
        <v>75</v>
      </c>
      <c r="BI661">
        <v>54</v>
      </c>
      <c r="BJ661">
        <v>16</v>
      </c>
      <c r="BK661">
        <v>83</v>
      </c>
      <c r="BL661">
        <v>68</v>
      </c>
      <c r="BM661">
        <v>4</v>
      </c>
      <c r="BN661">
        <v>-3</v>
      </c>
      <c r="BO661" t="s">
        <v>1689</v>
      </c>
      <c r="BP661">
        <v>0.22600000000000001</v>
      </c>
      <c r="BQ661" t="s">
        <v>1666</v>
      </c>
      <c r="BR661" t="s">
        <v>2999</v>
      </c>
      <c r="BS661" s="4" t="str">
        <f>HYPERLINK("http://exon.niaid.nih.gov/transcriptome/C_felis/S1/links/CDD/cf-contig_376-CDD.txt","ER_lumen_recept")</f>
        <v>ER_lumen_recept</v>
      </c>
      <c r="BT661" t="str">
        <f>HYPERLINK("http://www.ncbi.nlm.nih.gov/Structure/cdd/cddsrv.cgi?uid=pfam00810&amp;version=v4.0","2E-005")</f>
        <v>2E-005</v>
      </c>
      <c r="BU661" t="s">
        <v>3000</v>
      </c>
      <c r="BV661" s="4" t="s">
        <v>42</v>
      </c>
      <c r="BW661" t="s">
        <v>42</v>
      </c>
      <c r="BX661" t="s">
        <v>42</v>
      </c>
      <c r="BY661" t="s">
        <v>42</v>
      </c>
      <c r="BZ661" t="s">
        <v>42</v>
      </c>
      <c r="CA661" t="s">
        <v>42</v>
      </c>
      <c r="CB661" t="s">
        <v>42</v>
      </c>
      <c r="CC661" t="s">
        <v>42</v>
      </c>
      <c r="CD661" t="s">
        <v>42</v>
      </c>
      <c r="CE661" t="s">
        <v>42</v>
      </c>
      <c r="CF661" t="s">
        <v>42</v>
      </c>
      <c r="CG661" t="s">
        <v>42</v>
      </c>
      <c r="CH661" t="s">
        <v>42</v>
      </c>
      <c r="CI661" t="s">
        <v>42</v>
      </c>
      <c r="CJ661" t="s">
        <v>42</v>
      </c>
      <c r="CK661" t="s">
        <v>42</v>
      </c>
      <c r="CL661" t="s">
        <v>42</v>
      </c>
      <c r="CM661" t="s">
        <v>42</v>
      </c>
      <c r="CN661" t="s">
        <v>42</v>
      </c>
      <c r="CO661" t="s">
        <v>42</v>
      </c>
      <c r="CP661" t="s">
        <v>42</v>
      </c>
      <c r="CQ661" t="s">
        <v>42</v>
      </c>
      <c r="CR661" t="s">
        <v>42</v>
      </c>
      <c r="CS661" s="4" t="str">
        <f>HYPERLINK("http://exon.niaid.nih.gov/transcriptome/C_felis/S1/links/KOG/cf-contig_376-KOG.txt","Major facilitator superfamily permease - Cdc91p")</f>
        <v>Major facilitator superfamily permease - Cdc91p</v>
      </c>
      <c r="CT661" t="str">
        <f>HYPERLINK("http://www.ncbi.nlm.nih.gov/COG/grace/shokog.cgi?KOG2552","2E-005")</f>
        <v>2E-005</v>
      </c>
      <c r="CU661" t="s">
        <v>1721</v>
      </c>
      <c r="CV661" s="4" t="str">
        <f>HYPERLINK("http://exon.niaid.nih.gov/transcriptome/C_felis/S1/links/PFAM/cf-contig_376-PFAM.txt","ER_lumen_recept")</f>
        <v>ER_lumen_recept</v>
      </c>
      <c r="CW661" t="str">
        <f>HYPERLINK("http://pfam.sanger.ac.uk/family?acc=PF00810","5E-006")</f>
        <v>5E-006</v>
      </c>
      <c r="CX661" s="4" t="str">
        <f>HYPERLINK("http://exon.niaid.nih.gov/transcriptome/C_felis/S1/links/SMART/cf-contig_376-SMART.txt","ProQ")</f>
        <v>ProQ</v>
      </c>
      <c r="CY661" t="str">
        <f>HYPERLINK("http://smart.embl-heidelberg.de/smart/do_annotation.pl?DOMAIN=ProQ&amp;BLAST=DUMMY","0.002")</f>
        <v>0.002</v>
      </c>
      <c r="CZ661" s="4" t="s">
        <v>42</v>
      </c>
      <c r="DA661" t="s">
        <v>42</v>
      </c>
      <c r="DB661" t="s">
        <v>42</v>
      </c>
      <c r="DC661" t="s">
        <v>42</v>
      </c>
      <c r="DD661" t="s">
        <v>42</v>
      </c>
      <c r="DE661" t="s">
        <v>42</v>
      </c>
      <c r="DF661" t="s">
        <v>42</v>
      </c>
      <c r="DG661" t="s">
        <v>42</v>
      </c>
      <c r="DH661" s="4" t="s">
        <v>42</v>
      </c>
      <c r="DI661" t="s">
        <v>42</v>
      </c>
      <c r="DJ661" s="4" t="s">
        <v>42</v>
      </c>
      <c r="DK661" t="s">
        <v>42</v>
      </c>
      <c r="DL661" s="4">
        <v>305</v>
      </c>
      <c r="DM661">
        <v>1</v>
      </c>
      <c r="DN661" s="4">
        <v>312</v>
      </c>
      <c r="DO661">
        <v>1</v>
      </c>
      <c r="DP661" s="4">
        <v>313</v>
      </c>
      <c r="DQ661">
        <v>1</v>
      </c>
      <c r="DR661" s="4">
        <v>324</v>
      </c>
      <c r="DS661">
        <v>1</v>
      </c>
      <c r="DT661" s="4">
        <v>334</v>
      </c>
      <c r="DU661">
        <v>1</v>
      </c>
      <c r="DV661" s="4">
        <v>347</v>
      </c>
      <c r="DW661">
        <v>1</v>
      </c>
      <c r="DX661" s="4">
        <v>350</v>
      </c>
      <c r="DY661">
        <v>1</v>
      </c>
      <c r="DZ661" s="4">
        <v>355</v>
      </c>
      <c r="EA661">
        <v>1</v>
      </c>
      <c r="EB661" s="4">
        <v>360</v>
      </c>
      <c r="EC661">
        <v>1</v>
      </c>
      <c r="ED661" s="4">
        <v>364</v>
      </c>
      <c r="EE661">
        <v>1</v>
      </c>
      <c r="EF661" s="4">
        <v>369</v>
      </c>
      <c r="EG661">
        <v>1</v>
      </c>
      <c r="EH661" s="4">
        <v>371</v>
      </c>
      <c r="EI661">
        <v>1</v>
      </c>
      <c r="EJ661" s="4">
        <v>376</v>
      </c>
      <c r="EK661">
        <v>1</v>
      </c>
    </row>
    <row r="662" spans="1:141" x14ac:dyDescent="0.2">
      <c r="A662" t="str">
        <f>HYPERLINK("http://exon.niaid.nih.gov/transcriptome/C_felis/S1/links/cf/cf-contig_191.txt","cf-contig_191")</f>
        <v>cf-contig_191</v>
      </c>
      <c r="B662">
        <v>1</v>
      </c>
      <c r="C662" s="10" t="s">
        <v>4600</v>
      </c>
      <c r="D662">
        <v>1</v>
      </c>
      <c r="E662" t="str">
        <f>HYPERLINK("http://exon.niaid.nih.gov/transcriptome/C_felis/S1/links/cf/cf-5-36-asb-191.txt","Contig-191")</f>
        <v>Contig-191</v>
      </c>
      <c r="F662" t="str">
        <f>HYPERLINK("http://exon.niaid.nih.gov/transcriptome/C_felis/S1/links/cf/cf-5-36-191-CLU.txt","Contig191")</f>
        <v>Contig191</v>
      </c>
      <c r="G662" t="str">
        <f>HYPERLINK("http://exon.niaid.nih.gov/transcriptome/C_felis/S1/links/cf/cf-5-36-191-qual.txt","60.2")</f>
        <v>60.2</v>
      </c>
      <c r="H662" t="s">
        <v>11</v>
      </c>
      <c r="I662">
        <v>81.900000000000006</v>
      </c>
      <c r="J662">
        <v>163</v>
      </c>
      <c r="K662" t="s">
        <v>12</v>
      </c>
      <c r="L662">
        <v>1</v>
      </c>
      <c r="M662" t="s">
        <v>204</v>
      </c>
      <c r="N662">
        <v>163</v>
      </c>
      <c r="O662">
        <v>182</v>
      </c>
      <c r="P662">
        <v>129</v>
      </c>
      <c r="Q662" t="s">
        <v>1011</v>
      </c>
      <c r="R662">
        <v>2</v>
      </c>
      <c r="S662" s="7" t="s">
        <v>4585</v>
      </c>
      <c r="U662">
        <v>1</v>
      </c>
      <c r="V662" s="4">
        <f>HYPERLINK("http://exon.niaid.nih.gov/transcriptome/C_felis/S1/links/cluster/cf-5-36-asb30-50-Id-CLU13.txt", 13)</f>
        <v>13</v>
      </c>
      <c r="W662">
        <f>HYPERLINK("http://exon.niaid.nih.gov/transcriptome/C_felis/S1/links/cluster/cf-5-36-asb30-50-Id-CLTL13.txt", 4)</f>
        <v>4</v>
      </c>
      <c r="X662" s="4">
        <f>HYPERLINK("http://exon.niaid.nih.gov/transcriptome/C_felis/S1/links/cluster/cf-5-36-asb35-50-Id-CLU11.txt", 11)</f>
        <v>11</v>
      </c>
      <c r="Y662">
        <f>HYPERLINK("http://exon.niaid.nih.gov/transcriptome/C_felis/S1/links/cluster/cf-5-36-asb35-50-Id-CLTL11.txt", 4)</f>
        <v>4</v>
      </c>
      <c r="Z662" s="4">
        <f>HYPERLINK("http://exon.niaid.nih.gov/transcriptome/C_felis/S1/links/cluster/cf-5-36-asb40-50-Id-CLU9.txt", 9)</f>
        <v>9</v>
      </c>
      <c r="AA662">
        <f>HYPERLINK("http://exon.niaid.nih.gov/transcriptome/C_felis/S1/links/cluster/cf-5-36-asb40-50-Id-CLTL9.txt", 4)</f>
        <v>4</v>
      </c>
      <c r="AB662" s="4" t="str">
        <f>HYPERLINK("http://exon.niaid.nih.gov/transcriptome/C_felis/S1/links/XC-ASB/cf-contig_191-XC-ASB.txt","XC-contig_220")</f>
        <v>XC-contig_220</v>
      </c>
      <c r="AC662">
        <v>1.4E-2</v>
      </c>
      <c r="AD662" s="10" t="s">
        <v>4600</v>
      </c>
      <c r="AE662" t="s">
        <v>4601</v>
      </c>
      <c r="AI662" s="4" t="str">
        <f>HYPERLINK("http://exon.niaid.nih.gov/transcriptome/C_felis/S1/links/NR/cf-contig_191-NR.txt","hypothetical protein IMG5_126020")</f>
        <v>hypothetical protein IMG5_126020</v>
      </c>
      <c r="AJ662" t="str">
        <f>HYPERLINK("http://www.ncbi.nlm.nih.gov/sutils/blink.cgi?pid=340504213","27")</f>
        <v>27</v>
      </c>
      <c r="AK662" t="str">
        <f>HYPERLINK("http://www.ncbi.nlm.nih.gov/protein/340504213","gi|340504213")</f>
        <v>gi|340504213</v>
      </c>
      <c r="AL662">
        <v>32.299999999999997</v>
      </c>
      <c r="AM662">
        <v>37</v>
      </c>
      <c r="AN662">
        <v>67</v>
      </c>
      <c r="AO662">
        <v>48</v>
      </c>
      <c r="AP662">
        <v>57</v>
      </c>
      <c r="AQ662">
        <v>20</v>
      </c>
      <c r="AR662">
        <v>0</v>
      </c>
      <c r="AS662">
        <v>14</v>
      </c>
      <c r="AT662">
        <v>31</v>
      </c>
      <c r="AU662">
        <v>1</v>
      </c>
      <c r="AV662">
        <v>-3</v>
      </c>
      <c r="AW662" t="s">
        <v>12</v>
      </c>
      <c r="AY662" t="s">
        <v>1666</v>
      </c>
      <c r="AZ662" t="s">
        <v>2355</v>
      </c>
      <c r="BA662" s="4" t="str">
        <f>HYPERLINK("http://exon.niaid.nih.gov/transcriptome/C_felis/S1/links/SWISSP/cf-contig_191-SWISSP.txt","Uncharacterized protein bbp_081")</f>
        <v>Uncharacterized protein bbp_081</v>
      </c>
      <c r="BB662" t="str">
        <f>HYPERLINK("http://www.uniprot.org/uniprot/Q89AY7","23")</f>
        <v>23</v>
      </c>
      <c r="BC662" t="s">
        <v>2371</v>
      </c>
      <c r="BD662">
        <v>27.7</v>
      </c>
      <c r="BE662">
        <v>43</v>
      </c>
      <c r="BF662">
        <v>717</v>
      </c>
      <c r="BG662">
        <v>27</v>
      </c>
      <c r="BH662">
        <v>6</v>
      </c>
      <c r="BI662">
        <v>32</v>
      </c>
      <c r="BJ662">
        <v>0</v>
      </c>
      <c r="BK662">
        <v>674</v>
      </c>
      <c r="BL662">
        <v>19</v>
      </c>
      <c r="BM662">
        <v>1</v>
      </c>
      <c r="BN662">
        <v>-3</v>
      </c>
      <c r="BO662" t="s">
        <v>12</v>
      </c>
      <c r="BP662">
        <v>2.3260000000000001</v>
      </c>
      <c r="BQ662" t="s">
        <v>1666</v>
      </c>
      <c r="BR662" t="s">
        <v>2372</v>
      </c>
      <c r="BS662" s="4" t="str">
        <f>HYPERLINK("http://exon.niaid.nih.gov/transcriptome/C_felis/S1/links/CDD/cf-contig_191-CDD.txt","Anoctamin")</f>
        <v>Anoctamin</v>
      </c>
      <c r="BT662" t="str">
        <f>HYPERLINK("http://www.ncbi.nlm.nih.gov/Structure/cdd/cddsrv.cgi?uid=pfam04547&amp;version=v4.0","0.010")</f>
        <v>0.010</v>
      </c>
      <c r="BU662" t="s">
        <v>2373</v>
      </c>
      <c r="BV662" s="4" t="s">
        <v>42</v>
      </c>
      <c r="BW662" t="s">
        <v>42</v>
      </c>
      <c r="BX662" t="s">
        <v>42</v>
      </c>
      <c r="BY662" t="s">
        <v>42</v>
      </c>
      <c r="BZ662" t="s">
        <v>42</v>
      </c>
      <c r="CA662" t="s">
        <v>42</v>
      </c>
      <c r="CB662" t="s">
        <v>42</v>
      </c>
      <c r="CC662" t="s">
        <v>42</v>
      </c>
      <c r="CD662" t="s">
        <v>42</v>
      </c>
      <c r="CE662" t="s">
        <v>42</v>
      </c>
      <c r="CF662" t="s">
        <v>42</v>
      </c>
      <c r="CG662" t="s">
        <v>42</v>
      </c>
      <c r="CH662" t="s">
        <v>42</v>
      </c>
      <c r="CI662" t="s">
        <v>42</v>
      </c>
      <c r="CJ662" t="s">
        <v>42</v>
      </c>
      <c r="CK662" t="s">
        <v>42</v>
      </c>
      <c r="CL662" t="s">
        <v>42</v>
      </c>
      <c r="CM662" t="s">
        <v>42</v>
      </c>
      <c r="CN662" t="s">
        <v>42</v>
      </c>
      <c r="CO662" t="s">
        <v>42</v>
      </c>
      <c r="CP662" t="s">
        <v>42</v>
      </c>
      <c r="CQ662" t="s">
        <v>42</v>
      </c>
      <c r="CR662" t="s">
        <v>42</v>
      </c>
      <c r="CS662" s="4" t="str">
        <f>HYPERLINK("http://exon.niaid.nih.gov/transcriptome/C_felis/S1/links/KOG/cf-contig_191-KOG.txt","Lipid exporter ABCA1 and related proteins, ABC superfamily")</f>
        <v>Lipid exporter ABCA1 and related proteins, ABC superfamily</v>
      </c>
      <c r="CT662" t="str">
        <f>HYPERLINK("http://www.ncbi.nlm.nih.gov/COG/grace/shokog.cgi?KOG0059","0.74")</f>
        <v>0.74</v>
      </c>
      <c r="CU662" t="s">
        <v>1768</v>
      </c>
      <c r="CV662" s="4" t="str">
        <f>HYPERLINK("http://exon.niaid.nih.gov/transcriptome/C_felis/S1/links/PFAM/cf-contig_191-PFAM.txt","Anoctamin")</f>
        <v>Anoctamin</v>
      </c>
      <c r="CW662" t="str">
        <f>HYPERLINK("http://pfam.sanger.ac.uk/family?acc=PF04547","0.002")</f>
        <v>0.002</v>
      </c>
      <c r="CX662" s="4" t="str">
        <f>HYPERLINK("http://exon.niaid.nih.gov/transcriptome/C_felis/S1/links/SMART/cf-contig_191-SMART.txt","RIO")</f>
        <v>RIO</v>
      </c>
      <c r="CY662" t="str">
        <f>HYPERLINK("http://smart.embl-heidelberg.de/smart/do_annotation.pl?DOMAIN=RIO&amp;BLAST=DUMMY","0.11")</f>
        <v>0.11</v>
      </c>
      <c r="CZ662" s="4" t="s">
        <v>42</v>
      </c>
      <c r="DA662" t="s">
        <v>42</v>
      </c>
      <c r="DB662" t="s">
        <v>42</v>
      </c>
      <c r="DC662" t="s">
        <v>42</v>
      </c>
      <c r="DD662" t="s">
        <v>42</v>
      </c>
      <c r="DE662" t="s">
        <v>42</v>
      </c>
      <c r="DF662" t="s">
        <v>42</v>
      </c>
      <c r="DG662" t="s">
        <v>42</v>
      </c>
      <c r="DH662" s="4" t="s">
        <v>42</v>
      </c>
      <c r="DI662" t="s">
        <v>42</v>
      </c>
      <c r="DJ662" s="4" t="s">
        <v>42</v>
      </c>
      <c r="DK662" t="s">
        <v>42</v>
      </c>
      <c r="DL662" s="4">
        <f>HYPERLINK("http://exon.niaid.nih.gov/transcriptome/C_felis/S1/links/cluster/cf-5-36-asb30-50-Id-CLU13.txt", 13)</f>
        <v>13</v>
      </c>
      <c r="DM662">
        <f>HYPERLINK("http://exon.niaid.nih.gov/transcriptome/C_felis/S1/links/cluster/cf-5-36-asb30-50-Id-CLTL13.txt", 4)</f>
        <v>4</v>
      </c>
      <c r="DN662" s="4">
        <f>HYPERLINK("http://exon.niaid.nih.gov/transcriptome/C_felis/S1/links/cluster/cf-5-36-asb35-50-Id-CLU11.txt", 11)</f>
        <v>11</v>
      </c>
      <c r="DO662">
        <f>HYPERLINK("http://exon.niaid.nih.gov/transcriptome/C_felis/S1/links/cluster/cf-5-36-asb35-50-Id-CLTL11.txt", 4)</f>
        <v>4</v>
      </c>
      <c r="DP662" s="4">
        <f>HYPERLINK("http://exon.niaid.nih.gov/transcriptome/C_felis/S1/links/cluster/cf-5-36-asb40-50-Id-CLU9.txt", 9)</f>
        <v>9</v>
      </c>
      <c r="DQ662">
        <f>HYPERLINK("http://exon.niaid.nih.gov/transcriptome/C_felis/S1/links/cluster/cf-5-36-asb40-50-Id-CLTL9.txt", 4)</f>
        <v>4</v>
      </c>
      <c r="DR662" s="4">
        <f>HYPERLINK("http://exon.niaid.nih.gov/transcriptome/C_felis/S1/links/cluster/cf-5-36-asb45-50-Id-CLU9.txt", 9)</f>
        <v>9</v>
      </c>
      <c r="DS662">
        <f>HYPERLINK("http://exon.niaid.nih.gov/transcriptome/C_felis/S1/links/cluster/cf-5-36-asb45-50-Id-CLTL9.txt", 4)</f>
        <v>4</v>
      </c>
      <c r="DT662" s="4">
        <v>165</v>
      </c>
      <c r="DU662">
        <v>1</v>
      </c>
      <c r="DV662" s="4">
        <v>175</v>
      </c>
      <c r="DW662">
        <v>1</v>
      </c>
      <c r="DX662" s="4">
        <v>177</v>
      </c>
      <c r="DY662">
        <v>1</v>
      </c>
      <c r="DZ662" s="4">
        <v>179</v>
      </c>
      <c r="EA662">
        <v>1</v>
      </c>
      <c r="EB662" s="4">
        <v>184</v>
      </c>
      <c r="EC662">
        <v>1</v>
      </c>
      <c r="ED662" s="4">
        <v>185</v>
      </c>
      <c r="EE662">
        <v>1</v>
      </c>
      <c r="EF662" s="4">
        <v>186</v>
      </c>
      <c r="EG662">
        <v>1</v>
      </c>
      <c r="EH662" s="4">
        <v>186</v>
      </c>
      <c r="EI662">
        <v>1</v>
      </c>
      <c r="EJ662" s="4">
        <v>191</v>
      </c>
      <c r="EK662">
        <v>1</v>
      </c>
    </row>
    <row r="663" spans="1:141" x14ac:dyDescent="0.2">
      <c r="A663" t="str">
        <f>HYPERLINK("http://exon.niaid.nih.gov/transcriptome/C_felis/S1/links/cf/cf-contig_354.txt","cf-contig_354")</f>
        <v>cf-contig_354</v>
      </c>
      <c r="B663">
        <v>1</v>
      </c>
      <c r="C663" s="10" t="s">
        <v>4600</v>
      </c>
      <c r="D663">
        <v>1</v>
      </c>
      <c r="E663" t="str">
        <f>HYPERLINK("http://exon.niaid.nih.gov/transcriptome/C_felis/S1/links/cf/cf-5-36-asb-354.txt","Contig-354")</f>
        <v>Contig-354</v>
      </c>
      <c r="F663" t="str">
        <f>HYPERLINK("http://exon.niaid.nih.gov/transcriptome/C_felis/S1/links/cf/cf-5-36-354-CLU.txt","Contig354")</f>
        <v>Contig354</v>
      </c>
      <c r="G663" t="str">
        <f>HYPERLINK("http://exon.niaid.nih.gov/transcriptome/C_felis/S1/links/cf/cf-5-36-354-qual.txt","63.5")</f>
        <v>63.5</v>
      </c>
      <c r="H663" t="s">
        <v>11</v>
      </c>
      <c r="I663">
        <v>83.3</v>
      </c>
      <c r="J663">
        <v>191</v>
      </c>
      <c r="K663" t="s">
        <v>12</v>
      </c>
      <c r="L663">
        <v>1</v>
      </c>
      <c r="M663" t="s">
        <v>367</v>
      </c>
      <c r="N663">
        <v>191</v>
      </c>
      <c r="O663">
        <v>210</v>
      </c>
      <c r="P663">
        <v>72</v>
      </c>
      <c r="Q663" t="s">
        <v>1174</v>
      </c>
      <c r="R663">
        <v>2</v>
      </c>
      <c r="S663" s="7" t="s">
        <v>4585</v>
      </c>
      <c r="U663">
        <v>1</v>
      </c>
      <c r="V663" s="4">
        <v>285</v>
      </c>
      <c r="W663">
        <v>1</v>
      </c>
      <c r="X663" s="4">
        <v>292</v>
      </c>
      <c r="Y663">
        <v>1</v>
      </c>
      <c r="Z663" s="4">
        <v>292</v>
      </c>
      <c r="AA663">
        <v>1</v>
      </c>
      <c r="AB663" s="4" t="str">
        <f>HYPERLINK("http://exon.niaid.nih.gov/transcriptome/C_felis/S1/links/XC-ASB/cf-contig_354-XC-ASB.txt","XC-contig_156")</f>
        <v>XC-contig_156</v>
      </c>
      <c r="AC663">
        <v>0.23</v>
      </c>
      <c r="AD663" s="10" t="s">
        <v>4600</v>
      </c>
      <c r="AE663" t="s">
        <v>4601</v>
      </c>
      <c r="AI663" s="4" t="str">
        <f>HYPERLINK("http://exon.niaid.nih.gov/transcriptome/C_felis/S1/links/NR/cf-contig_354-NR.txt","hypothetical protein IMG5_145480")</f>
        <v>hypothetical protein IMG5_145480</v>
      </c>
      <c r="AJ663" t="str">
        <f>HYPERLINK("http://www.ncbi.nlm.nih.gov/sutils/blink.cgi?pid=340503360","79")</f>
        <v>79</v>
      </c>
      <c r="AK663" t="str">
        <f>HYPERLINK("http://www.ncbi.nlm.nih.gov/protein/340503360","gi|340503360")</f>
        <v>gi|340503360</v>
      </c>
      <c r="AL663">
        <v>30.8</v>
      </c>
      <c r="AM663">
        <v>52</v>
      </c>
      <c r="AN663">
        <v>381</v>
      </c>
      <c r="AO663">
        <v>37</v>
      </c>
      <c r="AP663">
        <v>14</v>
      </c>
      <c r="AQ663">
        <v>35</v>
      </c>
      <c r="AR663">
        <v>2</v>
      </c>
      <c r="AS663">
        <v>26</v>
      </c>
      <c r="AT663">
        <v>16</v>
      </c>
      <c r="AU663">
        <v>1</v>
      </c>
      <c r="AV663">
        <v>-1</v>
      </c>
      <c r="AW663" t="s">
        <v>12</v>
      </c>
      <c r="AX663">
        <v>7.6920000000000002</v>
      </c>
      <c r="AY663" t="s">
        <v>1666</v>
      </c>
      <c r="AZ663" t="s">
        <v>2355</v>
      </c>
      <c r="BA663" s="4" t="str">
        <f>HYPERLINK("http://exon.niaid.nih.gov/transcriptome/C_felis/S1/links/SWISSP/cf-contig_354-SWISSP.txt","Autophagy-related protein 9")</f>
        <v>Autophagy-related protein 9</v>
      </c>
      <c r="BB663" t="str">
        <f>HYPERLINK("http://www.uniprot.org/uniprot/Q6CT08","24")</f>
        <v>24</v>
      </c>
      <c r="BC663" t="s">
        <v>2920</v>
      </c>
      <c r="BD663">
        <v>27.7</v>
      </c>
      <c r="BE663">
        <v>61</v>
      </c>
      <c r="BF663">
        <v>908</v>
      </c>
      <c r="BG663">
        <v>33</v>
      </c>
      <c r="BH663">
        <v>7</v>
      </c>
      <c r="BI663">
        <v>41</v>
      </c>
      <c r="BJ663">
        <v>0</v>
      </c>
      <c r="BK663">
        <v>501</v>
      </c>
      <c r="BL663">
        <v>5</v>
      </c>
      <c r="BM663">
        <v>1</v>
      </c>
      <c r="BN663">
        <v>2</v>
      </c>
      <c r="BO663" t="s">
        <v>12</v>
      </c>
      <c r="BP663">
        <v>9.8360000000000003</v>
      </c>
      <c r="BQ663" t="s">
        <v>1676</v>
      </c>
      <c r="BR663" t="s">
        <v>2921</v>
      </c>
      <c r="BS663" s="4" t="str">
        <f>HYPERLINK("http://exon.niaid.nih.gov/transcriptome/C_felis/S1/links/CDD/cf-contig_354-CDD.txt","Baculo_p47")</f>
        <v>Baculo_p47</v>
      </c>
      <c r="BT663" t="str">
        <f>HYPERLINK("http://www.ncbi.nlm.nih.gov/Structure/cdd/cddsrv.cgi?uid=pfam05112&amp;version=v4.0","0.100")</f>
        <v>0.100</v>
      </c>
      <c r="BU663" t="s">
        <v>2922</v>
      </c>
      <c r="BV663" s="4" t="s">
        <v>42</v>
      </c>
      <c r="BW663" t="s">
        <v>42</v>
      </c>
      <c r="BX663" t="s">
        <v>42</v>
      </c>
      <c r="BY663" t="s">
        <v>42</v>
      </c>
      <c r="BZ663" t="s">
        <v>42</v>
      </c>
      <c r="CA663" t="s">
        <v>42</v>
      </c>
      <c r="CB663" t="s">
        <v>42</v>
      </c>
      <c r="CC663" t="s">
        <v>42</v>
      </c>
      <c r="CD663" t="s">
        <v>42</v>
      </c>
      <c r="CE663" t="s">
        <v>42</v>
      </c>
      <c r="CF663" t="s">
        <v>42</v>
      </c>
      <c r="CG663" t="s">
        <v>42</v>
      </c>
      <c r="CH663" t="s">
        <v>42</v>
      </c>
      <c r="CI663" t="s">
        <v>42</v>
      </c>
      <c r="CJ663" t="s">
        <v>42</v>
      </c>
      <c r="CK663" t="s">
        <v>42</v>
      </c>
      <c r="CL663" t="s">
        <v>42</v>
      </c>
      <c r="CM663" t="s">
        <v>42</v>
      </c>
      <c r="CN663" t="s">
        <v>42</v>
      </c>
      <c r="CO663" t="s">
        <v>42</v>
      </c>
      <c r="CP663" t="s">
        <v>42</v>
      </c>
      <c r="CQ663" t="s">
        <v>42</v>
      </c>
      <c r="CR663" t="s">
        <v>42</v>
      </c>
      <c r="CS663" s="4" t="str">
        <f>HYPERLINK("http://exon.niaid.nih.gov/transcriptome/C_felis/S1/links/KOG/cf-contig_354-KOG.txt","Predicted membrane protein")</f>
        <v>Predicted membrane protein</v>
      </c>
      <c r="CT663" t="str">
        <f>HYPERLINK("http://www.ncbi.nlm.nih.gov/COG/grace/shokog.cgi?KOG2490","0.29")</f>
        <v>0.29</v>
      </c>
      <c r="CU663" t="s">
        <v>1711</v>
      </c>
      <c r="CV663" s="4" t="str">
        <f>HYPERLINK("http://exon.niaid.nih.gov/transcriptome/C_felis/S1/links/PFAM/cf-contig_354-PFAM.txt","Baculo_p47")</f>
        <v>Baculo_p47</v>
      </c>
      <c r="CW663" t="str">
        <f>HYPERLINK("http://pfam.sanger.ac.uk/family?acc=PF05112","0.021")</f>
        <v>0.021</v>
      </c>
      <c r="CX663" s="4" t="str">
        <f>HYPERLINK("http://exon.niaid.nih.gov/transcriptome/C_felis/S1/links/SMART/cf-contig_354-SMART.txt","LPD_N")</f>
        <v>LPD_N</v>
      </c>
      <c r="CY663" t="str">
        <f>HYPERLINK("http://smart.embl-heidelberg.de/smart/do_annotation.pl?DOMAIN=LPD_N&amp;BLAST=DUMMY","1.6")</f>
        <v>1.6</v>
      </c>
      <c r="CZ663" s="4" t="s">
        <v>42</v>
      </c>
      <c r="DA663" t="s">
        <v>42</v>
      </c>
      <c r="DB663" t="s">
        <v>42</v>
      </c>
      <c r="DC663" t="s">
        <v>42</v>
      </c>
      <c r="DD663" t="s">
        <v>42</v>
      </c>
      <c r="DE663" t="s">
        <v>42</v>
      </c>
      <c r="DF663" t="s">
        <v>42</v>
      </c>
      <c r="DG663" t="s">
        <v>42</v>
      </c>
      <c r="DH663" s="4" t="s">
        <v>42</v>
      </c>
      <c r="DI663" t="s">
        <v>42</v>
      </c>
      <c r="DJ663" s="4" t="s">
        <v>42</v>
      </c>
      <c r="DK663" t="s">
        <v>42</v>
      </c>
      <c r="DL663" s="4">
        <v>285</v>
      </c>
      <c r="DM663">
        <v>1</v>
      </c>
      <c r="DN663" s="4">
        <v>292</v>
      </c>
      <c r="DO663">
        <v>1</v>
      </c>
      <c r="DP663" s="4">
        <v>292</v>
      </c>
      <c r="DQ663">
        <v>1</v>
      </c>
      <c r="DR663" s="4">
        <v>302</v>
      </c>
      <c r="DS663">
        <v>1</v>
      </c>
      <c r="DT663" s="4">
        <v>312</v>
      </c>
      <c r="DU663">
        <v>1</v>
      </c>
      <c r="DV663" s="4">
        <v>325</v>
      </c>
      <c r="DW663">
        <v>1</v>
      </c>
      <c r="DX663" s="4">
        <v>328</v>
      </c>
      <c r="DY663">
        <v>1</v>
      </c>
      <c r="DZ663" s="4">
        <v>333</v>
      </c>
      <c r="EA663">
        <v>1</v>
      </c>
      <c r="EB663" s="4">
        <v>338</v>
      </c>
      <c r="EC663">
        <v>1</v>
      </c>
      <c r="ED663" s="4">
        <v>342</v>
      </c>
      <c r="EE663">
        <v>1</v>
      </c>
      <c r="EF663" s="4">
        <v>347</v>
      </c>
      <c r="EG663">
        <v>1</v>
      </c>
      <c r="EH663" s="4">
        <v>349</v>
      </c>
      <c r="EI663">
        <v>1</v>
      </c>
      <c r="EJ663" s="4">
        <v>354</v>
      </c>
      <c r="EK663">
        <v>1</v>
      </c>
    </row>
    <row r="664" spans="1:141" x14ac:dyDescent="0.2">
      <c r="A664" t="str">
        <f>HYPERLINK("http://exon.niaid.nih.gov/transcriptome/C_felis/S1/links/cf/cf-contig_671.txt","cf-contig_671")</f>
        <v>cf-contig_671</v>
      </c>
      <c r="B664">
        <v>1</v>
      </c>
      <c r="C664" s="10" t="s">
        <v>4600</v>
      </c>
      <c r="D664">
        <v>1</v>
      </c>
      <c r="E664" t="str">
        <f>HYPERLINK("http://exon.niaid.nih.gov/transcriptome/C_felis/S1/links/cf/cf-5-36-asb-671.txt","Contig-671")</f>
        <v>Contig-671</v>
      </c>
      <c r="F664" t="str">
        <f>HYPERLINK("http://exon.niaid.nih.gov/transcriptome/C_felis/S1/links/cf/cf-5-36-671-CLU.txt","Contig671")</f>
        <v>Contig671</v>
      </c>
      <c r="G664" t="str">
        <f>HYPERLINK("http://exon.niaid.nih.gov/transcriptome/C_felis/S1/links/cf/cf-5-36-671-qual.txt","63.4")</f>
        <v>63.4</v>
      </c>
      <c r="H664" t="s">
        <v>11</v>
      </c>
      <c r="I664">
        <v>78.8</v>
      </c>
      <c r="J664">
        <v>151</v>
      </c>
      <c r="K664" t="s">
        <v>12</v>
      </c>
      <c r="L664">
        <v>1</v>
      </c>
      <c r="M664" t="s">
        <v>684</v>
      </c>
      <c r="N664">
        <v>151</v>
      </c>
      <c r="O664">
        <v>170</v>
      </c>
      <c r="P664">
        <v>90</v>
      </c>
      <c r="Q664" t="s">
        <v>1490</v>
      </c>
      <c r="R664">
        <v>1</v>
      </c>
      <c r="S664" s="7" t="s">
        <v>4585</v>
      </c>
      <c r="U664">
        <v>1</v>
      </c>
      <c r="V664" s="4">
        <v>548</v>
      </c>
      <c r="W664">
        <v>1</v>
      </c>
      <c r="X664" s="4">
        <v>560</v>
      </c>
      <c r="Y664">
        <v>1</v>
      </c>
      <c r="Z664" s="4">
        <v>572</v>
      </c>
      <c r="AA664">
        <v>1</v>
      </c>
      <c r="AB664" s="4" t="str">
        <f>HYPERLINK("http://exon.niaid.nih.gov/transcriptome/C_felis/S1/links/XC-ASB/cf-contig_671-XC-ASB.txt","XC-contig_201")</f>
        <v>XC-contig_201</v>
      </c>
      <c r="AC664">
        <v>1E-4</v>
      </c>
      <c r="AD664" s="10" t="s">
        <v>4600</v>
      </c>
      <c r="AE664" t="s">
        <v>4601</v>
      </c>
      <c r="AI664" s="4" t="str">
        <f>HYPERLINK("http://exon.niaid.nih.gov/transcriptome/C_felis/S1/links/NR/cf-contig_671-NR.txt","hypothetical protein IMG5_183080")</f>
        <v>hypothetical protein IMG5_183080</v>
      </c>
      <c r="AJ664" t="str">
        <f>HYPERLINK("http://www.ncbi.nlm.nih.gov/sutils/blink.cgi?pid=340501323","27")</f>
        <v>27</v>
      </c>
      <c r="AK664" t="str">
        <f>HYPERLINK("http://www.ncbi.nlm.nih.gov/protein/340501323","gi|340501323")</f>
        <v>gi|340501323</v>
      </c>
      <c r="AL664">
        <v>32.299999999999997</v>
      </c>
      <c r="AM664">
        <v>27</v>
      </c>
      <c r="AN664">
        <v>216</v>
      </c>
      <c r="AO664">
        <v>42</v>
      </c>
      <c r="AP664">
        <v>13</v>
      </c>
      <c r="AQ664">
        <v>20</v>
      </c>
      <c r="AR664">
        <v>0</v>
      </c>
      <c r="AS664">
        <v>119</v>
      </c>
      <c r="AT664">
        <v>41</v>
      </c>
      <c r="AU664">
        <v>1</v>
      </c>
      <c r="AV664">
        <v>-2</v>
      </c>
      <c r="AW664" t="s">
        <v>12</v>
      </c>
      <c r="AY664" t="s">
        <v>1666</v>
      </c>
      <c r="AZ664" t="s">
        <v>2355</v>
      </c>
      <c r="BA664" s="4" t="str">
        <f>HYPERLINK("http://exon.niaid.nih.gov/transcriptome/C_felis/S1/links/SWISSP/cf-contig_671-SWISSP.txt","Ribosomal RNA small subunit methyltransferase C")</f>
        <v>Ribosomal RNA small subunit methyltransferase C</v>
      </c>
      <c r="BB664" t="str">
        <f>HYPERLINK("http://www.uniprot.org/uniprot/Q057M1","6.2")</f>
        <v>6.2</v>
      </c>
      <c r="BC664" t="s">
        <v>4115</v>
      </c>
      <c r="BD664">
        <v>29.6</v>
      </c>
      <c r="BE664">
        <v>26</v>
      </c>
      <c r="BF664">
        <v>343</v>
      </c>
      <c r="BG664">
        <v>48</v>
      </c>
      <c r="BH664">
        <v>8</v>
      </c>
      <c r="BI664">
        <v>14</v>
      </c>
      <c r="BJ664">
        <v>0</v>
      </c>
      <c r="BK664">
        <v>313</v>
      </c>
      <c r="BL664">
        <v>48</v>
      </c>
      <c r="BM664">
        <v>1</v>
      </c>
      <c r="BN664">
        <v>-1</v>
      </c>
      <c r="BO664" t="s">
        <v>12</v>
      </c>
      <c r="BP664">
        <v>3.8460000000000001</v>
      </c>
      <c r="BQ664" t="s">
        <v>1666</v>
      </c>
      <c r="BR664" t="s">
        <v>2379</v>
      </c>
      <c r="BS664" s="4" t="str">
        <f>HYPERLINK("http://exon.niaid.nih.gov/transcriptome/C_felis/S1/links/CDD/cf-contig_671-CDD.txt","secA")</f>
        <v>secA</v>
      </c>
      <c r="BT664" t="str">
        <f>HYPERLINK("http://www.ncbi.nlm.nih.gov/Structure/cdd/cddsrv.cgi?uid=CHL00122&amp;version=v4.0","0.65")</f>
        <v>0.65</v>
      </c>
      <c r="BU664" t="s">
        <v>4116</v>
      </c>
      <c r="BV664" s="4" t="s">
        <v>42</v>
      </c>
      <c r="BW664" t="s">
        <v>42</v>
      </c>
      <c r="BX664" t="s">
        <v>42</v>
      </c>
      <c r="BY664" t="s">
        <v>42</v>
      </c>
      <c r="BZ664" t="s">
        <v>42</v>
      </c>
      <c r="CA664" t="s">
        <v>42</v>
      </c>
      <c r="CB664" t="s">
        <v>42</v>
      </c>
      <c r="CC664" t="s">
        <v>42</v>
      </c>
      <c r="CD664" t="s">
        <v>42</v>
      </c>
      <c r="CE664" t="s">
        <v>42</v>
      </c>
      <c r="CF664" t="s">
        <v>42</v>
      </c>
      <c r="CG664" t="s">
        <v>42</v>
      </c>
      <c r="CH664" t="s">
        <v>42</v>
      </c>
      <c r="CI664" t="s">
        <v>42</v>
      </c>
      <c r="CJ664" t="s">
        <v>42</v>
      </c>
      <c r="CK664" t="s">
        <v>42</v>
      </c>
      <c r="CL664" t="s">
        <v>42</v>
      </c>
      <c r="CM664" t="s">
        <v>42</v>
      </c>
      <c r="CN664" t="s">
        <v>42</v>
      </c>
      <c r="CO664" t="s">
        <v>42</v>
      </c>
      <c r="CP664" t="s">
        <v>42</v>
      </c>
      <c r="CQ664" t="s">
        <v>42</v>
      </c>
      <c r="CR664" t="s">
        <v>42</v>
      </c>
      <c r="CS664" s="4" t="str">
        <f>HYPERLINK("http://exon.niaid.nih.gov/transcriptome/C_felis/S1/links/KOG/cf-contig_671-KOG.txt","Voltage-gated Ca2+ channels, alpha1 subunits")</f>
        <v>Voltage-gated Ca2+ channels, alpha1 subunits</v>
      </c>
      <c r="CT664" t="str">
        <f>HYPERLINK("http://www.ncbi.nlm.nih.gov/COG/grace/shokog.cgi?KOG2301","0.10")</f>
        <v>0.10</v>
      </c>
      <c r="CU664" t="s">
        <v>1702</v>
      </c>
      <c r="CV664" s="4" t="str">
        <f>HYPERLINK("http://exon.niaid.nih.gov/transcriptome/C_felis/S1/links/PFAM/cf-contig_671-PFAM.txt","RAP-1")</f>
        <v>RAP-1</v>
      </c>
      <c r="CW664" t="str">
        <f>HYPERLINK("http://pfam.sanger.ac.uk/family?acc=PF03085","0.42")</f>
        <v>0.42</v>
      </c>
      <c r="CX664" s="4" t="str">
        <f>HYPERLINK("http://exon.niaid.nih.gov/transcriptome/C_felis/S1/links/SMART/cf-contig_671-SMART.txt","C1_4")</f>
        <v>C1_4</v>
      </c>
      <c r="CY664" t="str">
        <f>HYPERLINK("http://smart.embl-heidelberg.de/smart/do_annotation.pl?DOMAIN=C1_4&amp;BLAST=DUMMY","0.10")</f>
        <v>0.10</v>
      </c>
      <c r="CZ664" s="4" t="s">
        <v>42</v>
      </c>
      <c r="DA664" t="s">
        <v>42</v>
      </c>
      <c r="DB664" t="s">
        <v>42</v>
      </c>
      <c r="DC664" t="s">
        <v>42</v>
      </c>
      <c r="DD664" t="s">
        <v>42</v>
      </c>
      <c r="DE664" t="s">
        <v>42</v>
      </c>
      <c r="DF664" t="s">
        <v>42</v>
      </c>
      <c r="DG664" t="s">
        <v>42</v>
      </c>
      <c r="DH664" s="4" t="s">
        <v>42</v>
      </c>
      <c r="DI664" t="s">
        <v>42</v>
      </c>
      <c r="DJ664" s="4" t="s">
        <v>42</v>
      </c>
      <c r="DK664" t="s">
        <v>42</v>
      </c>
      <c r="DL664" s="4">
        <v>548</v>
      </c>
      <c r="DM664">
        <v>1</v>
      </c>
      <c r="DN664" s="4">
        <v>560</v>
      </c>
      <c r="DO664">
        <v>1</v>
      </c>
      <c r="DP664" s="4">
        <v>572</v>
      </c>
      <c r="DQ664">
        <v>1</v>
      </c>
      <c r="DR664" s="4">
        <v>593</v>
      </c>
      <c r="DS664">
        <v>1</v>
      </c>
      <c r="DT664" s="4">
        <v>607</v>
      </c>
      <c r="DU664">
        <v>1</v>
      </c>
      <c r="DV664" s="4">
        <v>621</v>
      </c>
      <c r="DW664">
        <v>1</v>
      </c>
      <c r="DX664" s="4">
        <v>630</v>
      </c>
      <c r="DY664">
        <v>1</v>
      </c>
      <c r="DZ664" s="4">
        <v>640</v>
      </c>
      <c r="EA664">
        <v>1</v>
      </c>
      <c r="EB664" s="4">
        <v>645</v>
      </c>
      <c r="EC664">
        <v>1</v>
      </c>
      <c r="ED664" s="4">
        <v>649</v>
      </c>
      <c r="EE664">
        <v>1</v>
      </c>
      <c r="EF664" s="4">
        <v>655</v>
      </c>
      <c r="EG664">
        <v>1</v>
      </c>
      <c r="EH664" s="4">
        <v>663</v>
      </c>
      <c r="EI664">
        <v>1</v>
      </c>
      <c r="EJ664" s="4">
        <v>671</v>
      </c>
      <c r="EK664">
        <v>1</v>
      </c>
    </row>
    <row r="665" spans="1:141" x14ac:dyDescent="0.2">
      <c r="A665" t="str">
        <f>HYPERLINK("http://exon.niaid.nih.gov/transcriptome/C_felis/S1/links/cf/cf-contig_264.txt","cf-contig_264")</f>
        <v>cf-contig_264</v>
      </c>
      <c r="B665">
        <v>1</v>
      </c>
      <c r="C665" s="10" t="s">
        <v>4600</v>
      </c>
      <c r="D665">
        <v>1</v>
      </c>
      <c r="E665" t="str">
        <f>HYPERLINK("http://exon.niaid.nih.gov/transcriptome/C_felis/S1/links/cf/cf-5-36-asb-264.txt","Contig-264")</f>
        <v>Contig-264</v>
      </c>
      <c r="F665" t="str">
        <f>HYPERLINK("http://exon.niaid.nih.gov/transcriptome/C_felis/S1/links/cf/cf-5-36-264-CLU.txt","Contig264")</f>
        <v>Contig264</v>
      </c>
      <c r="G665" t="str">
        <f>HYPERLINK("http://exon.niaid.nih.gov/transcriptome/C_felis/S1/links/cf/cf-5-36-264-qual.txt","61.2")</f>
        <v>61.2</v>
      </c>
      <c r="H665" t="s">
        <v>11</v>
      </c>
      <c r="I665">
        <v>78.7</v>
      </c>
      <c r="J665">
        <v>197</v>
      </c>
      <c r="K665" t="s">
        <v>12</v>
      </c>
      <c r="L665">
        <v>1</v>
      </c>
      <c r="M665" t="s">
        <v>277</v>
      </c>
      <c r="N665">
        <v>197</v>
      </c>
      <c r="O665">
        <v>216</v>
      </c>
      <c r="P665">
        <v>93</v>
      </c>
      <c r="Q665" t="s">
        <v>1084</v>
      </c>
      <c r="R665">
        <v>2</v>
      </c>
      <c r="S665" s="7" t="s">
        <v>4585</v>
      </c>
      <c r="U665">
        <v>1</v>
      </c>
      <c r="V665" s="4">
        <v>211</v>
      </c>
      <c r="W665">
        <v>1</v>
      </c>
      <c r="X665" s="4">
        <v>215</v>
      </c>
      <c r="Y665">
        <v>1</v>
      </c>
      <c r="Z665" s="4">
        <v>213</v>
      </c>
      <c r="AA665">
        <v>1</v>
      </c>
      <c r="AB665" s="4" t="str">
        <f>HYPERLINK("http://exon.niaid.nih.gov/transcriptome/C_felis/S1/links/XC-ASB/cf-contig_264-XC-ASB.txt","XC-contig_217")</f>
        <v>XC-contig_217</v>
      </c>
      <c r="AC665">
        <v>0.24</v>
      </c>
      <c r="AD665" s="10" t="s">
        <v>4600</v>
      </c>
      <c r="AE665" t="s">
        <v>4601</v>
      </c>
      <c r="AI665" s="4" t="str">
        <f>HYPERLINK("http://exon.niaid.nih.gov/transcriptome/C_felis/S1/links/NR/cf-contig_264-NR.txt","hypothetical protein IMG5_202280")</f>
        <v>hypothetical protein IMG5_202280</v>
      </c>
      <c r="AJ665" t="str">
        <f>HYPERLINK("http://www.ncbi.nlm.nih.gov/sutils/blink.cgi?pid=340500150","7.1")</f>
        <v>7.1</v>
      </c>
      <c r="AK665" t="str">
        <f>HYPERLINK("http://www.ncbi.nlm.nih.gov/protein/340500150","gi|340500150")</f>
        <v>gi|340500150</v>
      </c>
      <c r="AL665">
        <v>34.299999999999997</v>
      </c>
      <c r="AM665">
        <v>40</v>
      </c>
      <c r="AN665">
        <v>413</v>
      </c>
      <c r="AO665">
        <v>40</v>
      </c>
      <c r="AP665">
        <v>10</v>
      </c>
      <c r="AQ665">
        <v>26</v>
      </c>
      <c r="AR665">
        <v>0</v>
      </c>
      <c r="AS665">
        <v>107</v>
      </c>
      <c r="AT665">
        <v>12</v>
      </c>
      <c r="AU665">
        <v>1</v>
      </c>
      <c r="AV665">
        <v>-2</v>
      </c>
      <c r="AW665" t="s">
        <v>12</v>
      </c>
      <c r="AY665" t="s">
        <v>1666</v>
      </c>
      <c r="AZ665" t="s">
        <v>2355</v>
      </c>
      <c r="BA665" s="4" t="str">
        <f>HYPERLINK("http://exon.niaid.nih.gov/transcriptome/C_felis/S1/links/SWISSP/cf-contig_264-SWISSP.txt","Protein lunapark")</f>
        <v>Protein lunapark</v>
      </c>
      <c r="BB665" t="str">
        <f>HYPERLINK("http://www.uniprot.org/uniprot/Q6DFJ8","1.6")</f>
        <v>1.6</v>
      </c>
      <c r="BC665" t="s">
        <v>2634</v>
      </c>
      <c r="BD665">
        <v>31.6</v>
      </c>
      <c r="BE665">
        <v>53</v>
      </c>
      <c r="BF665">
        <v>440</v>
      </c>
      <c r="BG665">
        <v>32</v>
      </c>
      <c r="BH665">
        <v>12</v>
      </c>
      <c r="BI665">
        <v>37</v>
      </c>
      <c r="BJ665">
        <v>1</v>
      </c>
      <c r="BK665">
        <v>42</v>
      </c>
      <c r="BL665">
        <v>12</v>
      </c>
      <c r="BM665">
        <v>1</v>
      </c>
      <c r="BN665">
        <v>-2</v>
      </c>
      <c r="BO665" t="s">
        <v>12</v>
      </c>
      <c r="BQ665" t="s">
        <v>1666</v>
      </c>
      <c r="BR665" t="s">
        <v>1832</v>
      </c>
      <c r="BS665" s="4" t="str">
        <f>HYPERLINK("http://exon.niaid.nih.gov/transcriptome/C_felis/S1/links/CDD/cf-contig_264-CDD.txt","rpoB")</f>
        <v>rpoB</v>
      </c>
      <c r="BT665" t="str">
        <f>HYPERLINK("http://www.ncbi.nlm.nih.gov/Structure/cdd/cddsrv.cgi?uid=CHL00001&amp;version=v4.0","1.1")</f>
        <v>1.1</v>
      </c>
      <c r="BU665" t="s">
        <v>2635</v>
      </c>
      <c r="BV665" s="4" t="s">
        <v>42</v>
      </c>
      <c r="BW665" t="s">
        <v>42</v>
      </c>
      <c r="BX665" t="s">
        <v>42</v>
      </c>
      <c r="BY665" t="s">
        <v>42</v>
      </c>
      <c r="BZ665" t="s">
        <v>42</v>
      </c>
      <c r="CA665" t="s">
        <v>42</v>
      </c>
      <c r="CB665" t="s">
        <v>42</v>
      </c>
      <c r="CC665" t="s">
        <v>42</v>
      </c>
      <c r="CD665" t="s">
        <v>42</v>
      </c>
      <c r="CE665" t="s">
        <v>42</v>
      </c>
      <c r="CF665" t="s">
        <v>42</v>
      </c>
      <c r="CG665" t="s">
        <v>42</v>
      </c>
      <c r="CH665" t="s">
        <v>42</v>
      </c>
      <c r="CI665" t="s">
        <v>42</v>
      </c>
      <c r="CJ665" t="s">
        <v>42</v>
      </c>
      <c r="CK665" t="s">
        <v>42</v>
      </c>
      <c r="CL665" t="s">
        <v>42</v>
      </c>
      <c r="CM665" t="s">
        <v>42</v>
      </c>
      <c r="CN665" t="s">
        <v>42</v>
      </c>
      <c r="CO665" t="s">
        <v>42</v>
      </c>
      <c r="CP665" t="s">
        <v>42</v>
      </c>
      <c r="CQ665" t="s">
        <v>42</v>
      </c>
      <c r="CR665" t="s">
        <v>42</v>
      </c>
      <c r="CS665" s="4" t="str">
        <f>HYPERLINK("http://exon.niaid.nih.gov/transcriptome/C_felis/S1/links/KOG/cf-contig_264-KOG.txt","Predicted DHHC-type Zn-finger protein")</f>
        <v>Predicted DHHC-type Zn-finger protein</v>
      </c>
      <c r="CT665" t="str">
        <f>HYPERLINK("http://www.ncbi.nlm.nih.gov/COG/grace/shokog.cgi?KOG1315","0.024")</f>
        <v>0.024</v>
      </c>
      <c r="CU665" t="s">
        <v>1721</v>
      </c>
      <c r="CV665" s="4" t="str">
        <f>HYPERLINK("http://exon.niaid.nih.gov/transcriptome/C_felis/S1/links/PFAM/cf-contig_264-PFAM.txt","VAR1")</f>
        <v>VAR1</v>
      </c>
      <c r="CW665" t="str">
        <f>HYPERLINK("http://pfam.sanger.ac.uk/family?acc=PF05316","0.30")</f>
        <v>0.30</v>
      </c>
      <c r="CX665" s="4" t="str">
        <f>HYPERLINK("http://exon.niaid.nih.gov/transcriptome/C_felis/S1/links/SMART/cf-contig_264-SMART.txt","TLC")</f>
        <v>TLC</v>
      </c>
      <c r="CY665" t="str">
        <f>HYPERLINK("http://smart.embl-heidelberg.de/smart/do_annotation.pl?DOMAIN=TLC&amp;BLAST=DUMMY","0.18")</f>
        <v>0.18</v>
      </c>
      <c r="CZ665" s="4" t="s">
        <v>42</v>
      </c>
      <c r="DA665" t="s">
        <v>42</v>
      </c>
      <c r="DB665" t="s">
        <v>42</v>
      </c>
      <c r="DC665" t="s">
        <v>42</v>
      </c>
      <c r="DD665" t="s">
        <v>42</v>
      </c>
      <c r="DE665" t="s">
        <v>42</v>
      </c>
      <c r="DF665" t="s">
        <v>42</v>
      </c>
      <c r="DG665" t="s">
        <v>42</v>
      </c>
      <c r="DH665" s="4" t="s">
        <v>42</v>
      </c>
      <c r="DI665" t="s">
        <v>42</v>
      </c>
      <c r="DJ665" s="4" t="s">
        <v>42</v>
      </c>
      <c r="DK665" t="s">
        <v>42</v>
      </c>
      <c r="DL665" s="4">
        <v>211</v>
      </c>
      <c r="DM665">
        <v>1</v>
      </c>
      <c r="DN665" s="4">
        <v>215</v>
      </c>
      <c r="DO665">
        <v>1</v>
      </c>
      <c r="DP665" s="4">
        <v>213</v>
      </c>
      <c r="DQ665">
        <v>1</v>
      </c>
      <c r="DR665" s="4">
        <v>222</v>
      </c>
      <c r="DS665">
        <v>1</v>
      </c>
      <c r="DT665" s="4">
        <v>228</v>
      </c>
      <c r="DU665">
        <v>1</v>
      </c>
      <c r="DV665" s="4">
        <v>240</v>
      </c>
      <c r="DW665">
        <v>1</v>
      </c>
      <c r="DX665" s="4">
        <v>242</v>
      </c>
      <c r="DY665">
        <v>1</v>
      </c>
      <c r="DZ665" s="4">
        <v>246</v>
      </c>
      <c r="EA665">
        <v>1</v>
      </c>
      <c r="EB665" s="4">
        <v>251</v>
      </c>
      <c r="EC665">
        <v>1</v>
      </c>
      <c r="ED665" s="4">
        <v>254</v>
      </c>
      <c r="EE665">
        <v>1</v>
      </c>
      <c r="EF665" s="4">
        <v>257</v>
      </c>
      <c r="EG665">
        <v>1</v>
      </c>
      <c r="EH665" s="4">
        <v>259</v>
      </c>
      <c r="EI665">
        <v>1</v>
      </c>
      <c r="EJ665" s="4">
        <v>264</v>
      </c>
      <c r="EK665">
        <v>1</v>
      </c>
    </row>
    <row r="666" spans="1:141" x14ac:dyDescent="0.2">
      <c r="A666" t="str">
        <f>HYPERLINK("http://exon.niaid.nih.gov/transcriptome/C_felis/S1/links/cf/cf-contig_558.txt","cf-contig_558")</f>
        <v>cf-contig_558</v>
      </c>
      <c r="B666">
        <v>1</v>
      </c>
      <c r="C666" s="10" t="s">
        <v>4600</v>
      </c>
      <c r="D666">
        <v>1</v>
      </c>
      <c r="E666" t="str">
        <f>HYPERLINK("http://exon.niaid.nih.gov/transcriptome/C_felis/S1/links/cf/cf-5-36-asb-558.txt","Contig-558")</f>
        <v>Contig-558</v>
      </c>
      <c r="F666" t="str">
        <f>HYPERLINK("http://exon.niaid.nih.gov/transcriptome/C_felis/S1/links/cf/cf-5-36-558-CLU.txt","Contig558")</f>
        <v>Contig558</v>
      </c>
      <c r="G666" t="str">
        <f>HYPERLINK("http://exon.niaid.nih.gov/transcriptome/C_felis/S1/links/cf/cf-5-36-558-qual.txt","53.7")</f>
        <v>53.7</v>
      </c>
      <c r="H666" t="s">
        <v>11</v>
      </c>
      <c r="I666">
        <v>80.599999999999994</v>
      </c>
      <c r="J666">
        <v>110</v>
      </c>
      <c r="K666" t="s">
        <v>12</v>
      </c>
      <c r="L666">
        <v>1</v>
      </c>
      <c r="M666" t="s">
        <v>571</v>
      </c>
      <c r="N666">
        <v>110</v>
      </c>
      <c r="O666">
        <v>129</v>
      </c>
      <c r="P666">
        <v>72</v>
      </c>
      <c r="Q666" t="s">
        <v>1377</v>
      </c>
      <c r="R666">
        <v>1</v>
      </c>
      <c r="S666" s="7" t="s">
        <v>4585</v>
      </c>
      <c r="U666">
        <v>1</v>
      </c>
      <c r="V666" s="4">
        <f>HYPERLINK("http://exon.niaid.nih.gov/transcriptome/C_felis/S1/links/cluster/cf-5-36-asb30-50-Id-CLU455.txt", 455)</f>
        <v>455</v>
      </c>
      <c r="W666">
        <f>HYPERLINK("http://exon.niaid.nih.gov/transcriptome/C_felis/S1/links/cluster/cf-5-36-asb30-50-Id-CLTL455.txt", 1)</f>
        <v>1</v>
      </c>
      <c r="X666" s="4">
        <v>465</v>
      </c>
      <c r="Y666">
        <v>1</v>
      </c>
      <c r="Z666" s="4">
        <v>472</v>
      </c>
      <c r="AA666">
        <v>1</v>
      </c>
      <c r="AB666" s="4" t="str">
        <f>HYPERLINK("http://exon.niaid.nih.gov/transcriptome/C_felis/S1/links/XC-ASB/cf-contig_558-XC-ASB.txt","XC-contig_215")</f>
        <v>XC-contig_215</v>
      </c>
      <c r="AC666">
        <v>9.9000000000000005E-2</v>
      </c>
      <c r="AD666" s="10" t="s">
        <v>4600</v>
      </c>
      <c r="AE666" t="s">
        <v>4601</v>
      </c>
      <c r="AI666" s="4" t="str">
        <f>HYPERLINK("http://exon.niaid.nih.gov/transcriptome/C_felis/S1/links/NR/cf-contig_558-NR.txt","morn domain repeat protein")</f>
        <v>morn domain repeat protein</v>
      </c>
      <c r="AJ666" t="str">
        <f>HYPERLINK("http://www.ncbi.nlm.nih.gov/sutils/blink.cgi?pid=340508676","94")</f>
        <v>94</v>
      </c>
      <c r="AK666" t="str">
        <f>HYPERLINK("http://www.ncbi.nlm.nih.gov/protein/340508676","gi|340508676")</f>
        <v>gi|340508676</v>
      </c>
      <c r="AL666">
        <v>27.7</v>
      </c>
      <c r="AM666">
        <v>30</v>
      </c>
      <c r="AN666">
        <v>593</v>
      </c>
      <c r="AO666">
        <v>70</v>
      </c>
      <c r="AP666">
        <v>5</v>
      </c>
      <c r="AQ666">
        <v>5</v>
      </c>
      <c r="AR666">
        <v>0</v>
      </c>
      <c r="AS666">
        <v>35</v>
      </c>
      <c r="AT666">
        <v>16</v>
      </c>
      <c r="AU666">
        <v>2</v>
      </c>
      <c r="AV666">
        <v>-2</v>
      </c>
      <c r="AW666" t="s">
        <v>1689</v>
      </c>
      <c r="AX666">
        <v>3.3330000000000002</v>
      </c>
      <c r="AY666" t="s">
        <v>1666</v>
      </c>
      <c r="AZ666" t="s">
        <v>2355</v>
      </c>
      <c r="BA666" s="4" t="s">
        <v>42</v>
      </c>
      <c r="BB666" t="s">
        <v>42</v>
      </c>
      <c r="BC666" t="s">
        <v>42</v>
      </c>
      <c r="BD666" t="s">
        <v>42</v>
      </c>
      <c r="BE666" t="s">
        <v>42</v>
      </c>
      <c r="BF666" t="s">
        <v>42</v>
      </c>
      <c r="BG666" t="s">
        <v>42</v>
      </c>
      <c r="BH666" t="s">
        <v>42</v>
      </c>
      <c r="BI666" t="s">
        <v>42</v>
      </c>
      <c r="BJ666" t="s">
        <v>42</v>
      </c>
      <c r="BK666" t="s">
        <v>42</v>
      </c>
      <c r="BL666" t="s">
        <v>42</v>
      </c>
      <c r="BM666" t="s">
        <v>42</v>
      </c>
      <c r="BN666" t="s">
        <v>42</v>
      </c>
      <c r="BO666" t="s">
        <v>42</v>
      </c>
      <c r="BP666" t="s">
        <v>42</v>
      </c>
      <c r="BQ666" t="s">
        <v>42</v>
      </c>
      <c r="BR666" t="s">
        <v>42</v>
      </c>
      <c r="BS666" s="4" t="str">
        <f>HYPERLINK("http://exon.niaid.nih.gov/transcriptome/C_felis/S1/links/CDD/cf-contig_558-CDD.txt","ND2")</f>
        <v>ND2</v>
      </c>
      <c r="BT666" t="str">
        <f>HYPERLINK("http://www.ncbi.nlm.nih.gov/Structure/cdd/cddsrv.cgi?uid=MTH00160&amp;version=v4.0","8.8")</f>
        <v>8.8</v>
      </c>
      <c r="BU666" t="s">
        <v>3702</v>
      </c>
      <c r="BV666" s="4" t="s">
        <v>42</v>
      </c>
      <c r="BW666" t="s">
        <v>42</v>
      </c>
      <c r="BX666" t="s">
        <v>42</v>
      </c>
      <c r="BY666" t="s">
        <v>42</v>
      </c>
      <c r="BZ666" t="s">
        <v>42</v>
      </c>
      <c r="CA666" t="s">
        <v>42</v>
      </c>
      <c r="CB666" t="s">
        <v>42</v>
      </c>
      <c r="CC666" t="s">
        <v>42</v>
      </c>
      <c r="CD666" t="s">
        <v>42</v>
      </c>
      <c r="CE666" t="s">
        <v>42</v>
      </c>
      <c r="CF666" t="s">
        <v>42</v>
      </c>
      <c r="CG666" t="s">
        <v>42</v>
      </c>
      <c r="CH666" t="s">
        <v>42</v>
      </c>
      <c r="CI666" t="s">
        <v>42</v>
      </c>
      <c r="CJ666" t="s">
        <v>42</v>
      </c>
      <c r="CK666" t="s">
        <v>42</v>
      </c>
      <c r="CL666" t="s">
        <v>42</v>
      </c>
      <c r="CM666" t="s">
        <v>42</v>
      </c>
      <c r="CN666" t="s">
        <v>42</v>
      </c>
      <c r="CO666" t="s">
        <v>42</v>
      </c>
      <c r="CP666" t="s">
        <v>42</v>
      </c>
      <c r="CQ666" t="s">
        <v>42</v>
      </c>
      <c r="CR666" t="s">
        <v>42</v>
      </c>
      <c r="CS666" s="4" t="str">
        <f>HYPERLINK("http://exon.niaid.nih.gov/transcriptome/C_felis/S1/links/KOG/cf-contig_558-KOG.txt","Uncharacterized conserved protein")</f>
        <v>Uncharacterized conserved protein</v>
      </c>
      <c r="CT666" t="str">
        <f>HYPERLINK("http://www.ncbi.nlm.nih.gov/COG/grace/shokog.cgi?KOG4054","7.5")</f>
        <v>7.5</v>
      </c>
      <c r="CU666" t="s">
        <v>1711</v>
      </c>
      <c r="CV666" s="4" t="str">
        <f>HYPERLINK("http://exon.niaid.nih.gov/transcriptome/C_felis/S1/links/PFAM/cf-contig_558-PFAM.txt","DUF3671")</f>
        <v>DUF3671</v>
      </c>
      <c r="CW666" t="str">
        <f>HYPERLINK("http://pfam.sanger.ac.uk/family?acc=PF12420","3.2")</f>
        <v>3.2</v>
      </c>
      <c r="CX666" s="4" t="str">
        <f>HYPERLINK("http://exon.niaid.nih.gov/transcriptome/C_felis/S1/links/SMART/cf-contig_558-SMART.txt","TLC")</f>
        <v>TLC</v>
      </c>
      <c r="CY666" t="str">
        <f>HYPERLINK("http://smart.embl-heidelberg.de/smart/do_annotation.pl?DOMAIN=TLC&amp;BLAST=DUMMY","0.57")</f>
        <v>0.57</v>
      </c>
      <c r="CZ666" s="4" t="s">
        <v>42</v>
      </c>
      <c r="DA666" t="s">
        <v>42</v>
      </c>
      <c r="DB666" t="s">
        <v>42</v>
      </c>
      <c r="DC666" t="s">
        <v>42</v>
      </c>
      <c r="DD666" t="s">
        <v>42</v>
      </c>
      <c r="DE666" t="s">
        <v>42</v>
      </c>
      <c r="DF666" t="s">
        <v>42</v>
      </c>
      <c r="DG666" t="s">
        <v>42</v>
      </c>
      <c r="DH666" s="4" t="s">
        <v>42</v>
      </c>
      <c r="DI666" t="s">
        <v>42</v>
      </c>
      <c r="DJ666" s="4" t="s">
        <v>42</v>
      </c>
      <c r="DK666" t="s">
        <v>42</v>
      </c>
      <c r="DL666" s="4">
        <f>HYPERLINK("http://exon.niaid.nih.gov/transcriptome/C_felis/S1/links/cluster/cf-5-36-asb30-50-Id-CLU455.txt", 455)</f>
        <v>455</v>
      </c>
      <c r="DM666">
        <f>HYPERLINK("http://exon.niaid.nih.gov/transcriptome/C_felis/S1/links/cluster/cf-5-36-asb30-50-Id-CLTL455.txt", 1)</f>
        <v>1</v>
      </c>
      <c r="DN666" s="4">
        <v>465</v>
      </c>
      <c r="DO666">
        <v>1</v>
      </c>
      <c r="DP666" s="4">
        <v>472</v>
      </c>
      <c r="DQ666">
        <v>1</v>
      </c>
      <c r="DR666" s="4">
        <v>488</v>
      </c>
      <c r="DS666">
        <v>1</v>
      </c>
      <c r="DT666" s="4">
        <v>500</v>
      </c>
      <c r="DU666">
        <v>1</v>
      </c>
      <c r="DV666" s="4">
        <v>514</v>
      </c>
      <c r="DW666">
        <v>1</v>
      </c>
      <c r="DX666" s="4">
        <v>522</v>
      </c>
      <c r="DY666">
        <v>1</v>
      </c>
      <c r="DZ666" s="4">
        <v>530</v>
      </c>
      <c r="EA666">
        <v>1</v>
      </c>
      <c r="EB666" s="4">
        <v>535</v>
      </c>
      <c r="EC666">
        <v>1</v>
      </c>
      <c r="ED666" s="4">
        <v>539</v>
      </c>
      <c r="EE666">
        <v>1</v>
      </c>
      <c r="EF666" s="4">
        <v>544</v>
      </c>
      <c r="EG666">
        <v>1</v>
      </c>
      <c r="EH666" s="4">
        <v>551</v>
      </c>
      <c r="EI666">
        <v>1</v>
      </c>
      <c r="EJ666" s="4">
        <v>558</v>
      </c>
      <c r="EK666">
        <v>1</v>
      </c>
    </row>
    <row r="667" spans="1:141" x14ac:dyDescent="0.2">
      <c r="A667" t="str">
        <f>HYPERLINK("http://exon.niaid.nih.gov/transcriptome/C_felis/S1/links/cf/cf-contig_357.txt","cf-contig_357")</f>
        <v>cf-contig_357</v>
      </c>
      <c r="B667">
        <v>1</v>
      </c>
      <c r="C667" s="10" t="s">
        <v>4600</v>
      </c>
      <c r="D667">
        <v>1</v>
      </c>
      <c r="E667" t="str">
        <f>HYPERLINK("http://exon.niaid.nih.gov/transcriptome/C_felis/S1/links/cf/cf-5-36-asb-357.txt","Contig-357")</f>
        <v>Contig-357</v>
      </c>
      <c r="F667" t="str">
        <f>HYPERLINK("http://exon.niaid.nih.gov/transcriptome/C_felis/S1/links/cf/cf-5-36-357-CLU.txt","Contig357")</f>
        <v>Contig357</v>
      </c>
      <c r="G667" t="str">
        <f>HYPERLINK("http://exon.niaid.nih.gov/transcriptome/C_felis/S1/links/cf/cf-5-36-357-qual.txt","62.4")</f>
        <v>62.4</v>
      </c>
      <c r="H667" t="s">
        <v>11</v>
      </c>
      <c r="I667">
        <v>85.2</v>
      </c>
      <c r="J667">
        <v>224</v>
      </c>
      <c r="K667" t="s">
        <v>12</v>
      </c>
      <c r="L667">
        <v>1</v>
      </c>
      <c r="M667" t="s">
        <v>370</v>
      </c>
      <c r="N667">
        <v>224</v>
      </c>
      <c r="O667">
        <v>243</v>
      </c>
      <c r="P667">
        <v>87</v>
      </c>
      <c r="Q667" t="s">
        <v>1177</v>
      </c>
      <c r="R667">
        <v>3</v>
      </c>
      <c r="S667" s="7" t="s">
        <v>4585</v>
      </c>
      <c r="U667">
        <v>1</v>
      </c>
      <c r="V667" s="4">
        <v>288</v>
      </c>
      <c r="W667">
        <v>1</v>
      </c>
      <c r="X667" s="4">
        <v>295</v>
      </c>
      <c r="Y667">
        <v>1</v>
      </c>
      <c r="Z667" s="4">
        <v>295</v>
      </c>
      <c r="AA667">
        <v>1</v>
      </c>
      <c r="AB667" s="4" t="str">
        <f>HYPERLINK("http://exon.niaid.nih.gov/transcriptome/C_felis/S1/links/XC-ASB/cf-contig_357-XC-ASB.txt","XC-contig_24")</f>
        <v>XC-contig_24</v>
      </c>
      <c r="AC667">
        <v>4.3999999999999997E-2</v>
      </c>
      <c r="AD667" s="10" t="s">
        <v>4600</v>
      </c>
      <c r="AE667" t="s">
        <v>4601</v>
      </c>
      <c r="AI667" s="4" t="str">
        <f>HYPERLINK("http://exon.niaid.nih.gov/transcriptome/C_felis/S1/links/NR/cf-contig_357-NR.txt","PAS domain S-box family protein")</f>
        <v>PAS domain S-box family protein</v>
      </c>
      <c r="AJ667" t="str">
        <f>HYPERLINK("http://www.ncbi.nlm.nih.gov/sutils/blink.cgi?pid=340503692","0.38")</f>
        <v>0.38</v>
      </c>
      <c r="AK667" t="str">
        <f>HYPERLINK("http://www.ncbi.nlm.nih.gov/protein/340503692","gi|340503692")</f>
        <v>gi|340503692</v>
      </c>
      <c r="AL667">
        <v>38.5</v>
      </c>
      <c r="AM667">
        <v>62</v>
      </c>
      <c r="AN667">
        <v>816</v>
      </c>
      <c r="AO667">
        <v>37</v>
      </c>
      <c r="AP667">
        <v>8</v>
      </c>
      <c r="AQ667">
        <v>44</v>
      </c>
      <c r="AR667">
        <v>0</v>
      </c>
      <c r="AS667">
        <v>663</v>
      </c>
      <c r="AT667">
        <v>8</v>
      </c>
      <c r="AU667">
        <v>1</v>
      </c>
      <c r="AV667">
        <v>-3</v>
      </c>
      <c r="AW667" t="s">
        <v>12</v>
      </c>
      <c r="AX667">
        <v>6.452</v>
      </c>
      <c r="AY667" t="s">
        <v>1666</v>
      </c>
      <c r="AZ667" t="s">
        <v>2355</v>
      </c>
      <c r="BA667" s="4" t="str">
        <f>HYPERLINK("http://exon.niaid.nih.gov/transcriptome/C_felis/S1/links/SWISSP/cf-contig_357-SWISSP.txt","Patatin-like phospholipase domain-containing protein CIMG_04897")</f>
        <v>Patatin-like phospholipase domain-containing protein CIMG_04897</v>
      </c>
      <c r="BB667" t="str">
        <f>HYPERLINK("http://www.uniprot.org/uniprot/Q1DXR6","4.8")</f>
        <v>4.8</v>
      </c>
      <c r="BC667" t="s">
        <v>2931</v>
      </c>
      <c r="BD667">
        <v>30</v>
      </c>
      <c r="BE667">
        <v>41</v>
      </c>
      <c r="BF667">
        <v>730</v>
      </c>
      <c r="BG667">
        <v>31</v>
      </c>
      <c r="BH667">
        <v>6</v>
      </c>
      <c r="BI667">
        <v>31</v>
      </c>
      <c r="BJ667">
        <v>0</v>
      </c>
      <c r="BK667">
        <v>87</v>
      </c>
      <c r="BL667">
        <v>62</v>
      </c>
      <c r="BM667">
        <v>1</v>
      </c>
      <c r="BN667">
        <v>-3</v>
      </c>
      <c r="BO667" t="s">
        <v>12</v>
      </c>
      <c r="BP667">
        <v>4.8780000000000001</v>
      </c>
      <c r="BQ667" t="s">
        <v>1666</v>
      </c>
      <c r="BR667" t="s">
        <v>2932</v>
      </c>
      <c r="BS667" s="4" t="str">
        <f>HYPERLINK("http://exon.niaid.nih.gov/transcriptome/C_felis/S1/links/CDD/cf-contig_357-CDD.txt","VAR1")</f>
        <v>VAR1</v>
      </c>
      <c r="BT667" t="str">
        <f>HYPERLINK("http://www.ncbi.nlm.nih.gov/Structure/cdd/cddsrv.cgi?uid=pfam05316&amp;version=v4.0","0.36")</f>
        <v>0.36</v>
      </c>
      <c r="BU667" t="s">
        <v>2933</v>
      </c>
      <c r="BV667" s="4" t="s">
        <v>42</v>
      </c>
      <c r="BW667" t="s">
        <v>42</v>
      </c>
      <c r="BX667" t="s">
        <v>42</v>
      </c>
      <c r="BY667" t="s">
        <v>42</v>
      </c>
      <c r="BZ667" t="s">
        <v>42</v>
      </c>
      <c r="CA667" t="s">
        <v>42</v>
      </c>
      <c r="CB667" t="s">
        <v>42</v>
      </c>
      <c r="CC667" t="s">
        <v>42</v>
      </c>
      <c r="CD667" t="s">
        <v>42</v>
      </c>
      <c r="CE667" t="s">
        <v>42</v>
      </c>
      <c r="CF667" t="s">
        <v>42</v>
      </c>
      <c r="CG667" t="s">
        <v>42</v>
      </c>
      <c r="CH667" t="s">
        <v>42</v>
      </c>
      <c r="CI667" t="s">
        <v>42</v>
      </c>
      <c r="CJ667" t="s">
        <v>42</v>
      </c>
      <c r="CK667" t="s">
        <v>42</v>
      </c>
      <c r="CL667" t="s">
        <v>42</v>
      </c>
      <c r="CM667" t="s">
        <v>42</v>
      </c>
      <c r="CN667" t="s">
        <v>42</v>
      </c>
      <c r="CO667" t="s">
        <v>42</v>
      </c>
      <c r="CP667" t="s">
        <v>42</v>
      </c>
      <c r="CQ667" t="s">
        <v>42</v>
      </c>
      <c r="CR667" t="s">
        <v>42</v>
      </c>
      <c r="CS667" s="4" t="str">
        <f>HYPERLINK("http://exon.niaid.nih.gov/transcriptome/C_felis/S1/links/KOG/cf-contig_357-KOG.txt","Nuclear division RFT1 protein")</f>
        <v>Nuclear division RFT1 protein</v>
      </c>
      <c r="CT667" t="str">
        <f>HYPERLINK("http://www.ncbi.nlm.nih.gov/COG/grace/shokog.cgi?KOG2864","0.095")</f>
        <v>0.095</v>
      </c>
      <c r="CU667" t="s">
        <v>1750</v>
      </c>
      <c r="CV667" s="4" t="str">
        <f>HYPERLINK("http://exon.niaid.nih.gov/transcriptome/C_felis/S1/links/PFAM/cf-contig_357-PFAM.txt","VAR1")</f>
        <v>VAR1</v>
      </c>
      <c r="CW667" t="str">
        <f>HYPERLINK("http://pfam.sanger.ac.uk/family?acc=PF05316","0.077")</f>
        <v>0.077</v>
      </c>
      <c r="CX667" s="4" t="str">
        <f>HYPERLINK("http://exon.niaid.nih.gov/transcriptome/C_felis/S1/links/SMART/cf-contig_357-SMART.txt","AgrB")</f>
        <v>AgrB</v>
      </c>
      <c r="CY667" t="str">
        <f>HYPERLINK("http://smart.embl-heidelberg.de/smart/do_annotation.pl?DOMAIN=AgrB&amp;BLAST=DUMMY","0.12")</f>
        <v>0.12</v>
      </c>
      <c r="CZ667" s="4" t="s">
        <v>42</v>
      </c>
      <c r="DA667" t="s">
        <v>42</v>
      </c>
      <c r="DB667" t="s">
        <v>42</v>
      </c>
      <c r="DC667" t="s">
        <v>42</v>
      </c>
      <c r="DD667" t="s">
        <v>42</v>
      </c>
      <c r="DE667" t="s">
        <v>42</v>
      </c>
      <c r="DF667" t="s">
        <v>42</v>
      </c>
      <c r="DG667" t="s">
        <v>42</v>
      </c>
      <c r="DH667" s="4" t="s">
        <v>42</v>
      </c>
      <c r="DI667" t="s">
        <v>42</v>
      </c>
      <c r="DJ667" s="4" t="s">
        <v>42</v>
      </c>
      <c r="DK667" t="s">
        <v>42</v>
      </c>
      <c r="DL667" s="4">
        <v>288</v>
      </c>
      <c r="DM667">
        <v>1</v>
      </c>
      <c r="DN667" s="4">
        <v>295</v>
      </c>
      <c r="DO667">
        <v>1</v>
      </c>
      <c r="DP667" s="4">
        <v>295</v>
      </c>
      <c r="DQ667">
        <v>1</v>
      </c>
      <c r="DR667" s="4">
        <v>305</v>
      </c>
      <c r="DS667">
        <v>1</v>
      </c>
      <c r="DT667" s="4">
        <v>315</v>
      </c>
      <c r="DU667">
        <v>1</v>
      </c>
      <c r="DV667" s="4">
        <v>328</v>
      </c>
      <c r="DW667">
        <v>1</v>
      </c>
      <c r="DX667" s="4">
        <v>331</v>
      </c>
      <c r="DY667">
        <v>1</v>
      </c>
      <c r="DZ667" s="4">
        <v>336</v>
      </c>
      <c r="EA667">
        <v>1</v>
      </c>
      <c r="EB667" s="4">
        <v>341</v>
      </c>
      <c r="EC667">
        <v>1</v>
      </c>
      <c r="ED667" s="4">
        <v>345</v>
      </c>
      <c r="EE667">
        <v>1</v>
      </c>
      <c r="EF667" s="4">
        <v>350</v>
      </c>
      <c r="EG667">
        <v>1</v>
      </c>
      <c r="EH667" s="4">
        <v>352</v>
      </c>
      <c r="EI667">
        <v>1</v>
      </c>
      <c r="EJ667" s="4">
        <v>357</v>
      </c>
      <c r="EK667">
        <v>1</v>
      </c>
    </row>
    <row r="668" spans="1:141" x14ac:dyDescent="0.2">
      <c r="A668" t="str">
        <f>HYPERLINK("http://exon.niaid.nih.gov/transcriptome/C_felis/S1/links/cf/cf-contig_779.txt","cf-contig_779")</f>
        <v>cf-contig_779</v>
      </c>
      <c r="B668">
        <v>1</v>
      </c>
      <c r="C668" s="10" t="s">
        <v>4600</v>
      </c>
      <c r="D668">
        <v>1</v>
      </c>
      <c r="E668" t="str">
        <f>HYPERLINK("http://exon.niaid.nih.gov/transcriptome/C_felis/S1/links/cf/cf-5-36-asb-779.txt","Contig-779")</f>
        <v>Contig-779</v>
      </c>
      <c r="F668" t="str">
        <f>HYPERLINK("http://exon.niaid.nih.gov/transcriptome/C_felis/S1/links/cf/cf-5-36-779-CLU.txt","Contig779")</f>
        <v>Contig779</v>
      </c>
      <c r="G668" t="str">
        <f>HYPERLINK("http://exon.niaid.nih.gov/transcriptome/C_felis/S1/links/cf/cf-5-36-779-qual.txt","61.3")</f>
        <v>61.3</v>
      </c>
      <c r="H668" t="s">
        <v>11</v>
      </c>
      <c r="I668">
        <v>75</v>
      </c>
      <c r="J668">
        <v>161</v>
      </c>
      <c r="K668" t="s">
        <v>12</v>
      </c>
      <c r="L668">
        <v>1</v>
      </c>
      <c r="M668" t="s">
        <v>792</v>
      </c>
      <c r="N668">
        <v>161</v>
      </c>
      <c r="O668">
        <v>180</v>
      </c>
      <c r="P668">
        <v>60</v>
      </c>
      <c r="Q668" t="s">
        <v>1598</v>
      </c>
      <c r="R668">
        <v>1</v>
      </c>
      <c r="S668" s="7" t="s">
        <v>4585</v>
      </c>
      <c r="U668">
        <v>1</v>
      </c>
      <c r="V668" s="4">
        <v>625</v>
      </c>
      <c r="W668">
        <v>1</v>
      </c>
      <c r="X668" s="4">
        <v>646</v>
      </c>
      <c r="Y668">
        <v>1</v>
      </c>
      <c r="Z668" s="4">
        <v>662</v>
      </c>
      <c r="AA668">
        <v>1</v>
      </c>
      <c r="AB668" s="4" t="str">
        <f>HYPERLINK("http://exon.niaid.nih.gov/transcriptome/C_felis/S1/links/XC-ASB/cf-contig_779-XC-ASB.txt","XC-contig_89")</f>
        <v>XC-contig_89</v>
      </c>
      <c r="AC668">
        <v>4.0000000000000001E-3</v>
      </c>
      <c r="AD668" s="10" t="s">
        <v>4600</v>
      </c>
      <c r="AE668" t="s">
        <v>4601</v>
      </c>
      <c r="AI668" s="4" t="str">
        <f>HYPERLINK("http://exon.niaid.nih.gov/transcriptome/C_felis/S1/links/NR/cf-contig_779-NR.txt","phospholipid-translocating p-type flippase family protein, putative")</f>
        <v>phospholipid-translocating p-type flippase family protein, putative</v>
      </c>
      <c r="AJ668" t="str">
        <f>HYPERLINK("http://www.ncbi.nlm.nih.gov/sutils/blink.cgi?pid=340504725","12")</f>
        <v>12</v>
      </c>
      <c r="AK668" t="str">
        <f>HYPERLINK("http://www.ncbi.nlm.nih.gov/protein/340504725","gi|340504725")</f>
        <v>gi|340504725</v>
      </c>
      <c r="AL668">
        <v>33.5</v>
      </c>
      <c r="AM668">
        <v>30</v>
      </c>
      <c r="AN668">
        <v>1171</v>
      </c>
      <c r="AO668">
        <v>46</v>
      </c>
      <c r="AP668">
        <v>3</v>
      </c>
      <c r="AQ668">
        <v>17</v>
      </c>
      <c r="AR668">
        <v>0</v>
      </c>
      <c r="AS668">
        <v>1094</v>
      </c>
      <c r="AT668">
        <v>50</v>
      </c>
      <c r="AU668">
        <v>1</v>
      </c>
      <c r="AV668">
        <v>-3</v>
      </c>
      <c r="AW668" t="s">
        <v>12</v>
      </c>
      <c r="AX668">
        <v>6.6669999999999998</v>
      </c>
      <c r="AY668" t="s">
        <v>1666</v>
      </c>
      <c r="AZ668" t="s">
        <v>2355</v>
      </c>
      <c r="BA668" s="4" t="str">
        <f>HYPERLINK("http://exon.niaid.nih.gov/transcriptome/C_felis/S1/links/SWISSP/cf-contig_779-SWISSP.txt","Putative taste receptor type 2 member 12")</f>
        <v>Putative taste receptor type 2 member 12</v>
      </c>
      <c r="BB668" t="str">
        <f>HYPERLINK("http://www.uniprot.org/uniprot/P59531","40")</f>
        <v>40</v>
      </c>
      <c r="BC668" t="s">
        <v>4493</v>
      </c>
      <c r="BD668">
        <v>26.9</v>
      </c>
      <c r="BE668">
        <v>25</v>
      </c>
      <c r="BF668">
        <v>264</v>
      </c>
      <c r="BG668">
        <v>38</v>
      </c>
      <c r="BH668">
        <v>10</v>
      </c>
      <c r="BI668">
        <v>16</v>
      </c>
      <c r="BJ668">
        <v>0</v>
      </c>
      <c r="BK668">
        <v>73</v>
      </c>
      <c r="BL668">
        <v>8</v>
      </c>
      <c r="BM668">
        <v>1</v>
      </c>
      <c r="BN668">
        <v>-3</v>
      </c>
      <c r="BO668" t="s">
        <v>12</v>
      </c>
      <c r="BP668">
        <v>4</v>
      </c>
      <c r="BQ668" t="s">
        <v>1666</v>
      </c>
      <c r="BR668" t="s">
        <v>1690</v>
      </c>
      <c r="BS668" s="4" t="str">
        <f>HYPERLINK("http://exon.niaid.nih.gov/transcriptome/C_felis/S1/links/CDD/cf-contig_779-CDD.txt","Snurportin-1_C")</f>
        <v>Snurportin-1_C</v>
      </c>
      <c r="BT668" t="str">
        <f>HYPERLINK("http://www.ncbi.nlm.nih.gov/Structure/cdd/cddsrv.cgi?uid=cd09232&amp;version=v4.0","0.40")</f>
        <v>0.40</v>
      </c>
      <c r="BU668" t="s">
        <v>4494</v>
      </c>
      <c r="BV668" s="4" t="s">
        <v>42</v>
      </c>
      <c r="BW668" t="s">
        <v>42</v>
      </c>
      <c r="BX668" t="s">
        <v>42</v>
      </c>
      <c r="BY668" t="s">
        <v>42</v>
      </c>
      <c r="BZ668" t="s">
        <v>42</v>
      </c>
      <c r="CA668" t="s">
        <v>42</v>
      </c>
      <c r="CB668" t="s">
        <v>42</v>
      </c>
      <c r="CC668" t="s">
        <v>42</v>
      </c>
      <c r="CD668" t="s">
        <v>42</v>
      </c>
      <c r="CE668" t="s">
        <v>42</v>
      </c>
      <c r="CF668" t="s">
        <v>42</v>
      </c>
      <c r="CG668" t="s">
        <v>42</v>
      </c>
      <c r="CH668" t="s">
        <v>42</v>
      </c>
      <c r="CI668" t="s">
        <v>42</v>
      </c>
      <c r="CJ668" t="s">
        <v>42</v>
      </c>
      <c r="CK668" t="s">
        <v>42</v>
      </c>
      <c r="CL668" t="s">
        <v>42</v>
      </c>
      <c r="CM668" t="s">
        <v>42</v>
      </c>
      <c r="CN668" t="s">
        <v>42</v>
      </c>
      <c r="CO668" t="s">
        <v>42</v>
      </c>
      <c r="CP668" t="s">
        <v>42</v>
      </c>
      <c r="CQ668" t="s">
        <v>42</v>
      </c>
      <c r="CR668" t="s">
        <v>42</v>
      </c>
      <c r="CS668" s="4" t="str">
        <f>HYPERLINK("http://exon.niaid.nih.gov/transcriptome/C_felis/S1/links/KOG/cf-contig_779-KOG.txt","Uncharacterized conserved protein")</f>
        <v>Uncharacterized conserved protein</v>
      </c>
      <c r="CT668" t="str">
        <f>HYPERLINK("http://www.ncbi.nlm.nih.gov/COG/grace/shokog.cgi?KOG4200","3.5")</f>
        <v>3.5</v>
      </c>
      <c r="CU668" t="s">
        <v>1711</v>
      </c>
      <c r="CV668" s="4" t="str">
        <f>HYPERLINK("http://exon.niaid.nih.gov/transcriptome/C_felis/S1/links/PFAM/cf-contig_779-PFAM.txt","7TM_GPCR_Srbc")</f>
        <v>7TM_GPCR_Srbc</v>
      </c>
      <c r="CW668" t="str">
        <f>HYPERLINK("http://pfam.sanger.ac.uk/family?acc=PF10316","0.24")</f>
        <v>0.24</v>
      </c>
      <c r="CX668" s="4" t="str">
        <f>HYPERLINK("http://exon.niaid.nih.gov/transcriptome/C_felis/S1/links/SMART/cf-contig_779-SMART.txt","MIF4G")</f>
        <v>MIF4G</v>
      </c>
      <c r="CY668" t="str">
        <f>HYPERLINK("http://smart.embl-heidelberg.de/smart/do_annotation.pl?DOMAIN=MIF4G&amp;BLAST=DUMMY","1.4")</f>
        <v>1.4</v>
      </c>
      <c r="CZ668" s="4" t="s">
        <v>42</v>
      </c>
      <c r="DA668" t="s">
        <v>42</v>
      </c>
      <c r="DB668" t="s">
        <v>42</v>
      </c>
      <c r="DC668" t="s">
        <v>42</v>
      </c>
      <c r="DD668" t="s">
        <v>42</v>
      </c>
      <c r="DE668" t="s">
        <v>42</v>
      </c>
      <c r="DF668" t="s">
        <v>42</v>
      </c>
      <c r="DG668" t="s">
        <v>42</v>
      </c>
      <c r="DH668" s="4" t="s">
        <v>42</v>
      </c>
      <c r="DI668" t="s">
        <v>42</v>
      </c>
      <c r="DJ668" s="4" t="s">
        <v>42</v>
      </c>
      <c r="DK668" t="s">
        <v>42</v>
      </c>
      <c r="DL668" s="4">
        <v>625</v>
      </c>
      <c r="DM668">
        <v>1</v>
      </c>
      <c r="DN668" s="4">
        <v>646</v>
      </c>
      <c r="DO668">
        <v>1</v>
      </c>
      <c r="DP668" s="4">
        <v>662</v>
      </c>
      <c r="DQ668">
        <v>1</v>
      </c>
      <c r="DR668" s="4">
        <v>684</v>
      </c>
      <c r="DS668">
        <v>1</v>
      </c>
      <c r="DT668" s="4">
        <v>700</v>
      </c>
      <c r="DU668">
        <v>1</v>
      </c>
      <c r="DV668" s="4">
        <v>715</v>
      </c>
      <c r="DW668">
        <v>1</v>
      </c>
      <c r="DX668" s="4">
        <v>729</v>
      </c>
      <c r="DY668">
        <v>1</v>
      </c>
      <c r="DZ668" s="4">
        <v>740</v>
      </c>
      <c r="EA668">
        <v>1</v>
      </c>
      <c r="EB668" s="4">
        <v>747</v>
      </c>
      <c r="EC668">
        <v>1</v>
      </c>
      <c r="ED668" s="4">
        <v>752</v>
      </c>
      <c r="EE668">
        <v>1</v>
      </c>
      <c r="EF668" s="4">
        <v>758</v>
      </c>
      <c r="EG668">
        <v>1</v>
      </c>
      <c r="EH668" s="4">
        <v>770</v>
      </c>
      <c r="EI668">
        <v>1</v>
      </c>
      <c r="EJ668" s="4">
        <v>779</v>
      </c>
      <c r="EK668">
        <v>1</v>
      </c>
    </row>
    <row r="669" spans="1:141" x14ac:dyDescent="0.2">
      <c r="A669" t="str">
        <f>HYPERLINK("http://exon.niaid.nih.gov/transcriptome/C_felis/S1/links/cf/cf-contig_211.txt","cf-contig_211")</f>
        <v>cf-contig_211</v>
      </c>
      <c r="B669">
        <v>2</v>
      </c>
      <c r="C669" s="10" t="s">
        <v>4600</v>
      </c>
      <c r="D669">
        <v>2</v>
      </c>
      <c r="E669" t="str">
        <f>HYPERLINK("http://exon.niaid.nih.gov/transcriptome/C_felis/S1/links/cf/cf-5-36-asb-211.txt","Contig-211")</f>
        <v>Contig-211</v>
      </c>
      <c r="F669" t="str">
        <f>HYPERLINK("http://exon.niaid.nih.gov/transcriptome/C_felis/S1/links/cf/cf-5-36-211-CLU.txt","Contig211")</f>
        <v>Contig211</v>
      </c>
      <c r="G669" t="str">
        <f>HYPERLINK("http://exon.niaid.nih.gov/transcriptome/C_felis/S1/links/cf/cf-5-36-211-qual.txt","87.9")</f>
        <v>87.9</v>
      </c>
      <c r="H669" t="s">
        <v>11</v>
      </c>
      <c r="I669">
        <v>69.900000000000006</v>
      </c>
      <c r="J669">
        <v>409</v>
      </c>
      <c r="K669" t="s">
        <v>12</v>
      </c>
      <c r="L669">
        <v>2</v>
      </c>
      <c r="M669" t="s">
        <v>224</v>
      </c>
      <c r="N669">
        <v>416</v>
      </c>
      <c r="O669">
        <v>428</v>
      </c>
      <c r="P669">
        <v>291</v>
      </c>
      <c r="Q669" t="s">
        <v>1031</v>
      </c>
      <c r="R669">
        <v>1</v>
      </c>
      <c r="S669" s="7" t="str">
        <f>HYPERLINK("http://exon.niaid.nih.gov/transcriptome/C_felis/S1/links/Sigp/CF-CONTIG_211-SigP.txt","Cyt")</f>
        <v>Cyt</v>
      </c>
      <c r="U669">
        <v>2</v>
      </c>
      <c r="V669" s="4">
        <f>HYPERLINK("http://exon.niaid.nih.gov/transcriptome/C_felis/S1/links/cluster/cf-5-36-asb30-50-Id-CLU52.txt", 52)</f>
        <v>52</v>
      </c>
      <c r="W669">
        <f>HYPERLINK("http://exon.niaid.nih.gov/transcriptome/C_felis/S1/links/cluster/cf-5-36-asb30-50-Id-CLTL52.txt", 2)</f>
        <v>2</v>
      </c>
      <c r="X669" s="4">
        <f>HYPERLINK("http://exon.niaid.nih.gov/transcriptome/C_felis/S1/links/cluster/cf-5-36-asb35-50-Id-CLU45.txt", 45)</f>
        <v>45</v>
      </c>
      <c r="Y669">
        <f>HYPERLINK("http://exon.niaid.nih.gov/transcriptome/C_felis/S1/links/cluster/cf-5-36-asb35-50-Id-CLTL45.txt", 2)</f>
        <v>2</v>
      </c>
      <c r="Z669" s="4">
        <f>HYPERLINK("http://exon.niaid.nih.gov/transcriptome/C_felis/S1/links/cluster/cf-5-36-asb40-50-Id-CLU42.txt", 42)</f>
        <v>42</v>
      </c>
      <c r="AA669">
        <f>HYPERLINK("http://exon.niaid.nih.gov/transcriptome/C_felis/S1/links/cluster/cf-5-36-asb40-50-Id-CLTL42.txt", 2)</f>
        <v>2</v>
      </c>
      <c r="AB669" s="4" t="str">
        <f>HYPERLINK("http://exon.niaid.nih.gov/transcriptome/C_felis/S1/links/XC-ASB/cf-contig_211-XC-ASB.txt","XC-contig_226")</f>
        <v>XC-contig_226</v>
      </c>
      <c r="AC669">
        <v>0.12</v>
      </c>
      <c r="AD669" s="10" t="s">
        <v>4600</v>
      </c>
      <c r="AE669" t="s">
        <v>4601</v>
      </c>
      <c r="AI669" s="4" t="str">
        <f>HYPERLINK("http://exon.niaid.nih.gov/transcriptome/C_felis/S1/links/NR/cf-contig_211-NR.txt","sodium hydrogen, putative")</f>
        <v>sodium hydrogen, putative</v>
      </c>
      <c r="AJ669" t="str">
        <f>HYPERLINK("http://www.ncbi.nlm.nih.gov/sutils/blink.cgi?pid=340508187","0.045")</f>
        <v>0.045</v>
      </c>
      <c r="AK669" t="str">
        <f>HYPERLINK("http://www.ncbi.nlm.nih.gov/protein/340508187","gi|340508187")</f>
        <v>gi|340508187</v>
      </c>
      <c r="AL669">
        <v>41.6</v>
      </c>
      <c r="AM669">
        <v>74</v>
      </c>
      <c r="AN669">
        <v>335</v>
      </c>
      <c r="AO669">
        <v>30</v>
      </c>
      <c r="AP669">
        <v>22</v>
      </c>
      <c r="AQ669">
        <v>52</v>
      </c>
      <c r="AR669">
        <v>7</v>
      </c>
      <c r="AS669">
        <v>126</v>
      </c>
      <c r="AT669">
        <v>202</v>
      </c>
      <c r="AU669">
        <v>1</v>
      </c>
      <c r="AV669">
        <v>1</v>
      </c>
      <c r="AW669" t="s">
        <v>12</v>
      </c>
      <c r="AX669">
        <v>1.351</v>
      </c>
      <c r="AY669" t="s">
        <v>1676</v>
      </c>
      <c r="AZ669" t="s">
        <v>2355</v>
      </c>
      <c r="BA669" s="4" t="str">
        <f>HYPERLINK("http://exon.niaid.nih.gov/transcriptome/C_felis/S1/links/SWISSP/cf-contig_211-SWISSP.txt","Putative acid phosphatase 11")</f>
        <v>Putative acid phosphatase 11</v>
      </c>
      <c r="BB669" t="str">
        <f>HYPERLINK("http://www.uniprot.org/uniprot/Q09451","0.26")</f>
        <v>0.26</v>
      </c>
      <c r="BC669" t="s">
        <v>2458</v>
      </c>
      <c r="BD669">
        <v>34.299999999999997</v>
      </c>
      <c r="BE669">
        <v>49</v>
      </c>
      <c r="BF669">
        <v>413</v>
      </c>
      <c r="BG669">
        <v>32</v>
      </c>
      <c r="BH669">
        <v>12</v>
      </c>
      <c r="BI669">
        <v>34</v>
      </c>
      <c r="BJ669">
        <v>2</v>
      </c>
      <c r="BK669">
        <v>336</v>
      </c>
      <c r="BL669">
        <v>88</v>
      </c>
      <c r="BM669">
        <v>1</v>
      </c>
      <c r="BN669">
        <v>1</v>
      </c>
      <c r="BO669" t="s">
        <v>12</v>
      </c>
      <c r="BQ669" t="s">
        <v>1676</v>
      </c>
      <c r="BR669" t="s">
        <v>1735</v>
      </c>
      <c r="BS669" s="4" t="str">
        <f>HYPERLINK("http://exon.niaid.nih.gov/transcriptome/C_felis/S1/links/CDD/cf-contig_211-CDD.txt","PYST-A")</f>
        <v>PYST-A</v>
      </c>
      <c r="BT669" t="str">
        <f>HYPERLINK("http://www.ncbi.nlm.nih.gov/Structure/cdd/cddsrv.cgi?uid=TIGR01599&amp;version=v4.0","0.15")</f>
        <v>0.15</v>
      </c>
      <c r="BU669" t="s">
        <v>2459</v>
      </c>
      <c r="BV669" s="4" t="s">
        <v>42</v>
      </c>
      <c r="BW669" t="s">
        <v>42</v>
      </c>
      <c r="BX669" t="s">
        <v>42</v>
      </c>
      <c r="BY669" t="s">
        <v>42</v>
      </c>
      <c r="BZ669" t="s">
        <v>42</v>
      </c>
      <c r="CA669" t="s">
        <v>42</v>
      </c>
      <c r="CB669" t="s">
        <v>42</v>
      </c>
      <c r="CC669" t="s">
        <v>42</v>
      </c>
      <c r="CD669" t="s">
        <v>42</v>
      </c>
      <c r="CE669" t="s">
        <v>42</v>
      </c>
      <c r="CF669" t="s">
        <v>42</v>
      </c>
      <c r="CG669" t="s">
        <v>42</v>
      </c>
      <c r="CH669" t="s">
        <v>42</v>
      </c>
      <c r="CI669" t="s">
        <v>42</v>
      </c>
      <c r="CJ669" t="s">
        <v>42</v>
      </c>
      <c r="CK669" t="s">
        <v>42</v>
      </c>
      <c r="CL669" t="s">
        <v>42</v>
      </c>
      <c r="CM669" t="s">
        <v>42</v>
      </c>
      <c r="CN669" t="s">
        <v>42</v>
      </c>
      <c r="CO669" t="s">
        <v>42</v>
      </c>
      <c r="CP669" t="s">
        <v>42</v>
      </c>
      <c r="CQ669" t="s">
        <v>42</v>
      </c>
      <c r="CR669" t="s">
        <v>42</v>
      </c>
      <c r="CS669" s="4" t="str">
        <f>HYPERLINK("http://exon.niaid.nih.gov/transcriptome/C_felis/S1/links/KOG/cf-contig_211-KOG.txt","Lysosomal &amp; prostatic acid phosphatases")</f>
        <v>Lysosomal &amp; prostatic acid phosphatases</v>
      </c>
      <c r="CT669" t="str">
        <f>HYPERLINK("http://www.ncbi.nlm.nih.gov/COG/grace/shokog.cgi?KOG3720","5E-005")</f>
        <v>5E-005</v>
      </c>
      <c r="CU669" t="s">
        <v>1761</v>
      </c>
      <c r="CV669" s="4" t="str">
        <f>HYPERLINK("http://exon.niaid.nih.gov/transcriptome/C_felis/S1/links/PFAM/cf-contig_211-PFAM.txt","Cir_Bir_Yir")</f>
        <v>Cir_Bir_Yir</v>
      </c>
      <c r="CW669" t="str">
        <f>HYPERLINK("http://pfam.sanger.ac.uk/family?acc=PF06022","0.11")</f>
        <v>0.11</v>
      </c>
      <c r="CX669" s="4" t="str">
        <f>HYPERLINK("http://exon.niaid.nih.gov/transcriptome/C_felis/S1/links/SMART/cf-contig_211-SMART.txt","Spc7")</f>
        <v>Spc7</v>
      </c>
      <c r="CY669" t="str">
        <f>HYPERLINK("http://smart.embl-heidelberg.de/smart/do_annotation.pl?DOMAIN=Spc7&amp;BLAST=DUMMY","0.16")</f>
        <v>0.16</v>
      </c>
      <c r="CZ669" s="4" t="s">
        <v>42</v>
      </c>
      <c r="DA669" t="s">
        <v>42</v>
      </c>
      <c r="DB669" t="s">
        <v>42</v>
      </c>
      <c r="DC669" t="s">
        <v>42</v>
      </c>
      <c r="DD669" t="s">
        <v>42</v>
      </c>
      <c r="DE669" t="s">
        <v>42</v>
      </c>
      <c r="DF669" t="s">
        <v>42</v>
      </c>
      <c r="DG669" t="s">
        <v>42</v>
      </c>
      <c r="DH669" s="4" t="s">
        <v>42</v>
      </c>
      <c r="DI669" t="s">
        <v>42</v>
      </c>
      <c r="DJ669" s="4" t="s">
        <v>42</v>
      </c>
      <c r="DK669" t="s">
        <v>42</v>
      </c>
      <c r="DL669" s="4">
        <f>HYPERLINK("http://exon.niaid.nih.gov/transcriptome/C_felis/S1/links/cluster/cf-5-36-asb30-50-Id-CLU52.txt", 52)</f>
        <v>52</v>
      </c>
      <c r="DM669">
        <f>HYPERLINK("http://exon.niaid.nih.gov/transcriptome/C_felis/S1/links/cluster/cf-5-36-asb30-50-Id-CLTL52.txt", 2)</f>
        <v>2</v>
      </c>
      <c r="DN669" s="4">
        <f>HYPERLINK("http://exon.niaid.nih.gov/transcriptome/C_felis/S1/links/cluster/cf-5-36-asb35-50-Id-CLU45.txt", 45)</f>
        <v>45</v>
      </c>
      <c r="DO669">
        <f>HYPERLINK("http://exon.niaid.nih.gov/transcriptome/C_felis/S1/links/cluster/cf-5-36-asb35-50-Id-CLTL45.txt", 2)</f>
        <v>2</v>
      </c>
      <c r="DP669" s="4">
        <f>HYPERLINK("http://exon.niaid.nih.gov/transcriptome/C_felis/S1/links/cluster/cf-5-36-asb40-50-Id-CLU42.txt", 42)</f>
        <v>42</v>
      </c>
      <c r="DQ669">
        <f>HYPERLINK("http://exon.niaid.nih.gov/transcriptome/C_felis/S1/links/cluster/cf-5-36-asb40-50-Id-CLTL42.txt", 2)</f>
        <v>2</v>
      </c>
      <c r="DR669" s="4">
        <f>HYPERLINK("http://exon.niaid.nih.gov/transcriptome/C_felis/S1/links/cluster/cf-5-36-asb45-50-Id-CLU37.txt", 37)</f>
        <v>37</v>
      </c>
      <c r="DS669">
        <f>HYPERLINK("http://exon.niaid.nih.gov/transcriptome/C_felis/S1/links/cluster/cf-5-36-asb45-50-Id-CLTL37.txt", 2)</f>
        <v>2</v>
      </c>
      <c r="DT669" s="4">
        <f>HYPERLINK("http://exon.niaid.nih.gov/transcriptome/C_felis/S1/links/cluster/cf-5-36-asb50-50-Id-CLU33.txt", 33)</f>
        <v>33</v>
      </c>
      <c r="DU669">
        <f>HYPERLINK("http://exon.niaid.nih.gov/transcriptome/C_felis/S1/links/cluster/cf-5-36-asb50-50-Id-CLTL33.txt", 2)</f>
        <v>2</v>
      </c>
      <c r="DV669" s="4">
        <f>HYPERLINK("http://exon.niaid.nih.gov/transcriptome/C_felis/S1/links/cluster/cf-5-36-asb55-50-Id-CLU30.txt", 30)</f>
        <v>30</v>
      </c>
      <c r="DW669">
        <f>HYPERLINK("http://exon.niaid.nih.gov/transcriptome/C_felis/S1/links/cluster/cf-5-36-asb55-50-Id-CLTL30.txt", 2)</f>
        <v>2</v>
      </c>
      <c r="DX669" s="4">
        <f>HYPERLINK("http://exon.niaid.nih.gov/transcriptome/C_felis/S1/links/cluster/cf-5-36-asb60-50-Id-CLU27.txt", 27)</f>
        <v>27</v>
      </c>
      <c r="DY669">
        <f>HYPERLINK("http://exon.niaid.nih.gov/transcriptome/C_felis/S1/links/cluster/cf-5-36-asb60-50-Id-CLTL27.txt", 2)</f>
        <v>2</v>
      </c>
      <c r="DZ669" s="4">
        <f>HYPERLINK("http://exon.niaid.nih.gov/transcriptome/C_felis/S1/links/cluster/cf-5-36-asb65-50-Id-CLU23.txt", 23)</f>
        <v>23</v>
      </c>
      <c r="EA669">
        <f>HYPERLINK("http://exon.niaid.nih.gov/transcriptome/C_felis/S1/links/cluster/cf-5-36-asb65-50-Id-CLTL23.txt", 2)</f>
        <v>2</v>
      </c>
      <c r="EB669" s="4">
        <f>HYPERLINK("http://exon.niaid.nih.gov/transcriptome/C_felis/S1/links/cluster/cf-5-36-asb70-50-Id-CLU18.txt", 18)</f>
        <v>18</v>
      </c>
      <c r="EC669">
        <f>HYPERLINK("http://exon.niaid.nih.gov/transcriptome/C_felis/S1/links/cluster/cf-5-36-asb70-50-Id-CLTL18.txt", 2)</f>
        <v>2</v>
      </c>
      <c r="ED669" s="4">
        <f>HYPERLINK("http://exon.niaid.nih.gov/transcriptome/C_felis/S1/links/cluster/cf-5-36-asb75-50-Id-CLU15.txt", 15)</f>
        <v>15</v>
      </c>
      <c r="EE669">
        <f>HYPERLINK("http://exon.niaid.nih.gov/transcriptome/C_felis/S1/links/cluster/cf-5-36-asb75-50-Id-CLTL15.txt", 2)</f>
        <v>2</v>
      </c>
      <c r="EF669" s="4">
        <f>HYPERLINK("http://exon.niaid.nih.gov/transcriptome/C_felis/S1/links/cluster/cf-5-36-asb80-50-Id-CLU11.txt", 11)</f>
        <v>11</v>
      </c>
      <c r="EG669">
        <f>HYPERLINK("http://exon.niaid.nih.gov/transcriptome/C_felis/S1/links/cluster/cf-5-36-asb80-50-Id-CLTL11.txt", 2)</f>
        <v>2</v>
      </c>
      <c r="EH669" s="4">
        <v>206</v>
      </c>
      <c r="EI669">
        <v>1</v>
      </c>
      <c r="EJ669" s="4">
        <v>211</v>
      </c>
      <c r="EK669">
        <v>1</v>
      </c>
    </row>
    <row r="670" spans="1:141" x14ac:dyDescent="0.2">
      <c r="A670" t="str">
        <f>HYPERLINK("http://exon.niaid.nih.gov/transcriptome/C_felis/S1/links/cf/cf-contig_212.txt","cf-contig_212")</f>
        <v>cf-contig_212</v>
      </c>
      <c r="B670">
        <v>1</v>
      </c>
      <c r="C670" s="10" t="s">
        <v>4600</v>
      </c>
      <c r="D670">
        <v>1</v>
      </c>
      <c r="E670" t="str">
        <f>HYPERLINK("http://exon.niaid.nih.gov/transcriptome/C_felis/S1/links/cf/cf-5-36-asb-212.txt","Contig-212")</f>
        <v>Contig-212</v>
      </c>
      <c r="F670" t="str">
        <f>HYPERLINK("http://exon.niaid.nih.gov/transcriptome/C_felis/S1/links/cf/cf-5-36-212-CLU.txt","Contig212")</f>
        <v>Contig212</v>
      </c>
      <c r="G670" t="str">
        <f>HYPERLINK("http://exon.niaid.nih.gov/transcriptome/C_felis/S1/links/cf/cf-5-36-212-qual.txt","64.5")</f>
        <v>64.5</v>
      </c>
      <c r="H670" t="s">
        <v>11</v>
      </c>
      <c r="I670">
        <v>70.900000000000006</v>
      </c>
      <c r="J670">
        <v>369</v>
      </c>
      <c r="K670" t="s">
        <v>12</v>
      </c>
      <c r="L670">
        <v>1</v>
      </c>
      <c r="M670" t="s">
        <v>225</v>
      </c>
      <c r="N670">
        <v>369</v>
      </c>
      <c r="O670">
        <v>388</v>
      </c>
      <c r="P670">
        <v>240</v>
      </c>
      <c r="Q670" t="s">
        <v>1032</v>
      </c>
      <c r="R670">
        <v>3</v>
      </c>
      <c r="S670" s="7" t="str">
        <f>HYPERLINK("http://exon.niaid.nih.gov/transcriptome/C_felis/S1/links/Sigp/CF-CONTIG_212-SigP.txt","Cyt")</f>
        <v>Cyt</v>
      </c>
      <c r="U670">
        <v>1</v>
      </c>
      <c r="V670" s="4">
        <f>HYPERLINK("http://exon.niaid.nih.gov/transcriptome/C_felis/S1/links/cluster/cf-5-36-asb30-50-Id-CLU52.txt", 52)</f>
        <v>52</v>
      </c>
      <c r="W670">
        <f>HYPERLINK("http://exon.niaid.nih.gov/transcriptome/C_felis/S1/links/cluster/cf-5-36-asb30-50-Id-CLTL52.txt", 2)</f>
        <v>2</v>
      </c>
      <c r="X670" s="4">
        <f>HYPERLINK("http://exon.niaid.nih.gov/transcriptome/C_felis/S1/links/cluster/cf-5-36-asb35-50-Id-CLU45.txt", 45)</f>
        <v>45</v>
      </c>
      <c r="Y670">
        <f>HYPERLINK("http://exon.niaid.nih.gov/transcriptome/C_felis/S1/links/cluster/cf-5-36-asb35-50-Id-CLTL45.txt", 2)</f>
        <v>2</v>
      </c>
      <c r="Z670" s="4">
        <f>HYPERLINK("http://exon.niaid.nih.gov/transcriptome/C_felis/S1/links/cluster/cf-5-36-asb40-50-Id-CLU42.txt", 42)</f>
        <v>42</v>
      </c>
      <c r="AA670">
        <f>HYPERLINK("http://exon.niaid.nih.gov/transcriptome/C_felis/S1/links/cluster/cf-5-36-asb40-50-Id-CLTL42.txt", 2)</f>
        <v>2</v>
      </c>
      <c r="AB670" s="4" t="str">
        <f>HYPERLINK("http://exon.niaid.nih.gov/transcriptome/C_felis/S1/links/XC-ASB/cf-contig_212-XC-ASB.txt","XC-contig_226")</f>
        <v>XC-contig_226</v>
      </c>
      <c r="AC670">
        <v>0.15</v>
      </c>
      <c r="AD670" s="10" t="s">
        <v>4600</v>
      </c>
      <c r="AE670" t="s">
        <v>4601</v>
      </c>
      <c r="AI670" s="4" t="str">
        <f>HYPERLINK("http://exon.niaid.nih.gov/transcriptome/C_felis/S1/links/NR/cf-contig_212-NR.txt","sodium hydrogen, putative")</f>
        <v>sodium hydrogen, putative</v>
      </c>
      <c r="AJ670" t="str">
        <f>HYPERLINK("http://www.ncbi.nlm.nih.gov/sutils/blink.cgi?pid=340508187","0.10")</f>
        <v>0.10</v>
      </c>
      <c r="AK670" t="str">
        <f>HYPERLINK("http://www.ncbi.nlm.nih.gov/protein/340508187","gi|340508187")</f>
        <v>gi|340508187</v>
      </c>
      <c r="AL670">
        <v>40.4</v>
      </c>
      <c r="AM670">
        <v>69</v>
      </c>
      <c r="AN670">
        <v>335</v>
      </c>
      <c r="AO670">
        <v>30</v>
      </c>
      <c r="AP670">
        <v>21</v>
      </c>
      <c r="AQ670">
        <v>49</v>
      </c>
      <c r="AR670">
        <v>7</v>
      </c>
      <c r="AS670">
        <v>132</v>
      </c>
      <c r="AT670">
        <v>180</v>
      </c>
      <c r="AU670">
        <v>1</v>
      </c>
      <c r="AV670">
        <v>3</v>
      </c>
      <c r="AW670" t="s">
        <v>12</v>
      </c>
      <c r="AX670">
        <v>1.4490000000000001</v>
      </c>
      <c r="AY670" t="s">
        <v>1676</v>
      </c>
      <c r="AZ670" t="s">
        <v>2355</v>
      </c>
      <c r="BA670" s="4" t="str">
        <f>HYPERLINK("http://exon.niaid.nih.gov/transcriptome/C_felis/S1/links/SWISSP/cf-contig_212-SWISSP.txt","Putative acid phosphatase 11")</f>
        <v>Putative acid phosphatase 11</v>
      </c>
      <c r="BB670" t="str">
        <f>HYPERLINK("http://www.uniprot.org/uniprot/Q09451","0.96")</f>
        <v>0.96</v>
      </c>
      <c r="BC670" t="s">
        <v>2458</v>
      </c>
      <c r="BD670">
        <v>32.299999999999997</v>
      </c>
      <c r="BE670">
        <v>49</v>
      </c>
      <c r="BF670">
        <v>413</v>
      </c>
      <c r="BG670">
        <v>30</v>
      </c>
      <c r="BH670">
        <v>12</v>
      </c>
      <c r="BI670">
        <v>35</v>
      </c>
      <c r="BJ670">
        <v>2</v>
      </c>
      <c r="BK670">
        <v>336</v>
      </c>
      <c r="BL670">
        <v>48</v>
      </c>
      <c r="BM670">
        <v>1</v>
      </c>
      <c r="BN670">
        <v>3</v>
      </c>
      <c r="BO670" t="s">
        <v>12</v>
      </c>
      <c r="BQ670" t="s">
        <v>1676</v>
      </c>
      <c r="BR670" t="s">
        <v>1735</v>
      </c>
      <c r="BS670" s="4" t="str">
        <f>HYPERLINK("http://exon.niaid.nih.gov/transcriptome/C_felis/S1/links/CDD/cf-contig_212-CDD.txt","PRK03868")</f>
        <v>PRK03868</v>
      </c>
      <c r="BT670" t="str">
        <f>HYPERLINK("http://www.ncbi.nlm.nih.gov/Structure/cdd/cddsrv.cgi?uid=PRK03868&amp;version=v4.0","0.18")</f>
        <v>0.18</v>
      </c>
      <c r="BU670" t="s">
        <v>2460</v>
      </c>
      <c r="BV670" s="4" t="s">
        <v>42</v>
      </c>
      <c r="BW670" t="s">
        <v>42</v>
      </c>
      <c r="BX670" t="s">
        <v>42</v>
      </c>
      <c r="BY670" t="s">
        <v>42</v>
      </c>
      <c r="BZ670" t="s">
        <v>42</v>
      </c>
      <c r="CA670" t="s">
        <v>42</v>
      </c>
      <c r="CB670" t="s">
        <v>42</v>
      </c>
      <c r="CC670" t="s">
        <v>42</v>
      </c>
      <c r="CD670" t="s">
        <v>42</v>
      </c>
      <c r="CE670" t="s">
        <v>42</v>
      </c>
      <c r="CF670" t="s">
        <v>42</v>
      </c>
      <c r="CG670" t="s">
        <v>42</v>
      </c>
      <c r="CH670" t="s">
        <v>42</v>
      </c>
      <c r="CI670" t="s">
        <v>42</v>
      </c>
      <c r="CJ670" t="s">
        <v>42</v>
      </c>
      <c r="CK670" t="s">
        <v>42</v>
      </c>
      <c r="CL670" t="s">
        <v>42</v>
      </c>
      <c r="CM670" t="s">
        <v>42</v>
      </c>
      <c r="CN670" t="s">
        <v>42</v>
      </c>
      <c r="CO670" t="s">
        <v>42</v>
      </c>
      <c r="CP670" t="s">
        <v>42</v>
      </c>
      <c r="CQ670" t="s">
        <v>42</v>
      </c>
      <c r="CR670" t="s">
        <v>42</v>
      </c>
      <c r="CS670" s="4" t="str">
        <f>HYPERLINK("http://exon.niaid.nih.gov/transcriptome/C_felis/S1/links/KOG/cf-contig_212-KOG.txt","Lysosomal &amp; prostatic acid phosphatases")</f>
        <v>Lysosomal &amp; prostatic acid phosphatases</v>
      </c>
      <c r="CT670" t="str">
        <f>HYPERLINK("http://www.ncbi.nlm.nih.gov/COG/grace/shokog.cgi?KOG3720","3E-004")</f>
        <v>3E-004</v>
      </c>
      <c r="CU670" t="s">
        <v>1761</v>
      </c>
      <c r="CV670" s="4" t="str">
        <f>HYPERLINK("http://exon.niaid.nih.gov/transcriptome/C_felis/S1/links/PFAM/cf-contig_212-PFAM.txt","Cir_Bir_Yir")</f>
        <v>Cir_Bir_Yir</v>
      </c>
      <c r="CW670" t="str">
        <f>HYPERLINK("http://pfam.sanger.ac.uk/family?acc=PF06022","0.089")</f>
        <v>0.089</v>
      </c>
      <c r="CX670" s="4" t="str">
        <f>HYPERLINK("http://exon.niaid.nih.gov/transcriptome/C_felis/S1/links/SMART/cf-contig_212-SMART.txt","Spc7")</f>
        <v>Spc7</v>
      </c>
      <c r="CY670" t="str">
        <f>HYPERLINK("http://smart.embl-heidelberg.de/smart/do_annotation.pl?DOMAIN=Spc7&amp;BLAST=DUMMY","0.14")</f>
        <v>0.14</v>
      </c>
      <c r="CZ670" s="4" t="s">
        <v>42</v>
      </c>
      <c r="DA670" t="s">
        <v>42</v>
      </c>
      <c r="DB670" t="s">
        <v>42</v>
      </c>
      <c r="DC670" t="s">
        <v>42</v>
      </c>
      <c r="DD670" t="s">
        <v>42</v>
      </c>
      <c r="DE670" t="s">
        <v>42</v>
      </c>
      <c r="DF670" t="s">
        <v>42</v>
      </c>
      <c r="DG670" t="s">
        <v>42</v>
      </c>
      <c r="DH670" s="4" t="s">
        <v>42</v>
      </c>
      <c r="DI670" t="s">
        <v>42</v>
      </c>
      <c r="DJ670" s="4" t="s">
        <v>42</v>
      </c>
      <c r="DK670" t="s">
        <v>42</v>
      </c>
      <c r="DL670" s="4">
        <f>HYPERLINK("http://exon.niaid.nih.gov/transcriptome/C_felis/S1/links/cluster/cf-5-36-asb30-50-Id-CLU52.txt", 52)</f>
        <v>52</v>
      </c>
      <c r="DM670">
        <f>HYPERLINK("http://exon.niaid.nih.gov/transcriptome/C_felis/S1/links/cluster/cf-5-36-asb30-50-Id-CLTL52.txt", 2)</f>
        <v>2</v>
      </c>
      <c r="DN670" s="4">
        <f>HYPERLINK("http://exon.niaid.nih.gov/transcriptome/C_felis/S1/links/cluster/cf-5-36-asb35-50-Id-CLU45.txt", 45)</f>
        <v>45</v>
      </c>
      <c r="DO670">
        <f>HYPERLINK("http://exon.niaid.nih.gov/transcriptome/C_felis/S1/links/cluster/cf-5-36-asb35-50-Id-CLTL45.txt", 2)</f>
        <v>2</v>
      </c>
      <c r="DP670" s="4">
        <f>HYPERLINK("http://exon.niaid.nih.gov/transcriptome/C_felis/S1/links/cluster/cf-5-36-asb40-50-Id-CLU42.txt", 42)</f>
        <v>42</v>
      </c>
      <c r="DQ670">
        <f>HYPERLINK("http://exon.niaid.nih.gov/transcriptome/C_felis/S1/links/cluster/cf-5-36-asb40-50-Id-CLTL42.txt", 2)</f>
        <v>2</v>
      </c>
      <c r="DR670" s="4">
        <f>HYPERLINK("http://exon.niaid.nih.gov/transcriptome/C_felis/S1/links/cluster/cf-5-36-asb45-50-Id-CLU37.txt", 37)</f>
        <v>37</v>
      </c>
      <c r="DS670">
        <f>HYPERLINK("http://exon.niaid.nih.gov/transcriptome/C_felis/S1/links/cluster/cf-5-36-asb45-50-Id-CLTL37.txt", 2)</f>
        <v>2</v>
      </c>
      <c r="DT670" s="4">
        <f>HYPERLINK("http://exon.niaid.nih.gov/transcriptome/C_felis/S1/links/cluster/cf-5-36-asb50-50-Id-CLU33.txt", 33)</f>
        <v>33</v>
      </c>
      <c r="DU670">
        <f>HYPERLINK("http://exon.niaid.nih.gov/transcriptome/C_felis/S1/links/cluster/cf-5-36-asb50-50-Id-CLTL33.txt", 2)</f>
        <v>2</v>
      </c>
      <c r="DV670" s="4">
        <f>HYPERLINK("http://exon.niaid.nih.gov/transcriptome/C_felis/S1/links/cluster/cf-5-36-asb55-50-Id-CLU30.txt", 30)</f>
        <v>30</v>
      </c>
      <c r="DW670">
        <f>HYPERLINK("http://exon.niaid.nih.gov/transcriptome/C_felis/S1/links/cluster/cf-5-36-asb55-50-Id-CLTL30.txt", 2)</f>
        <v>2</v>
      </c>
      <c r="DX670" s="4">
        <f>HYPERLINK("http://exon.niaid.nih.gov/transcriptome/C_felis/S1/links/cluster/cf-5-36-asb60-50-Id-CLU27.txt", 27)</f>
        <v>27</v>
      </c>
      <c r="DY670">
        <f>HYPERLINK("http://exon.niaid.nih.gov/transcriptome/C_felis/S1/links/cluster/cf-5-36-asb60-50-Id-CLTL27.txt", 2)</f>
        <v>2</v>
      </c>
      <c r="DZ670" s="4">
        <f>HYPERLINK("http://exon.niaid.nih.gov/transcriptome/C_felis/S1/links/cluster/cf-5-36-asb65-50-Id-CLU23.txt", 23)</f>
        <v>23</v>
      </c>
      <c r="EA670">
        <f>HYPERLINK("http://exon.niaid.nih.gov/transcriptome/C_felis/S1/links/cluster/cf-5-36-asb65-50-Id-CLTL23.txt", 2)</f>
        <v>2</v>
      </c>
      <c r="EB670" s="4">
        <f>HYPERLINK("http://exon.niaid.nih.gov/transcriptome/C_felis/S1/links/cluster/cf-5-36-asb70-50-Id-CLU18.txt", 18)</f>
        <v>18</v>
      </c>
      <c r="EC670">
        <f>HYPERLINK("http://exon.niaid.nih.gov/transcriptome/C_felis/S1/links/cluster/cf-5-36-asb70-50-Id-CLTL18.txt", 2)</f>
        <v>2</v>
      </c>
      <c r="ED670" s="4">
        <f>HYPERLINK("http://exon.niaid.nih.gov/transcriptome/C_felis/S1/links/cluster/cf-5-36-asb75-50-Id-CLU15.txt", 15)</f>
        <v>15</v>
      </c>
      <c r="EE670">
        <f>HYPERLINK("http://exon.niaid.nih.gov/transcriptome/C_felis/S1/links/cluster/cf-5-36-asb75-50-Id-CLTL15.txt", 2)</f>
        <v>2</v>
      </c>
      <c r="EF670" s="4">
        <f>HYPERLINK("http://exon.niaid.nih.gov/transcriptome/C_felis/S1/links/cluster/cf-5-36-asb80-50-Id-CLU11.txt", 11)</f>
        <v>11</v>
      </c>
      <c r="EG670">
        <f>HYPERLINK("http://exon.niaid.nih.gov/transcriptome/C_felis/S1/links/cluster/cf-5-36-asb80-50-Id-CLTL11.txt", 2)</f>
        <v>2</v>
      </c>
      <c r="EH670" s="4">
        <v>207</v>
      </c>
      <c r="EI670">
        <v>1</v>
      </c>
      <c r="EJ670" s="4">
        <v>212</v>
      </c>
      <c r="EK670">
        <v>1</v>
      </c>
    </row>
    <row r="671" spans="1:141" x14ac:dyDescent="0.2">
      <c r="A671" t="str">
        <f>HYPERLINK("http://exon.niaid.nih.gov/transcriptome/C_felis/S1/links/cf/cf-contig_318.txt","cf-contig_318")</f>
        <v>cf-contig_318</v>
      </c>
      <c r="B671">
        <v>1</v>
      </c>
      <c r="C671" s="10" t="s">
        <v>4600</v>
      </c>
      <c r="D671">
        <v>1</v>
      </c>
      <c r="E671" t="str">
        <f>HYPERLINK("http://exon.niaid.nih.gov/transcriptome/C_felis/S1/links/cf/cf-5-36-asb-318.txt","Contig-318")</f>
        <v>Contig-318</v>
      </c>
      <c r="F671" t="str">
        <f>HYPERLINK("http://exon.niaid.nih.gov/transcriptome/C_felis/S1/links/cf/cf-5-36-318-CLU.txt","Contig318")</f>
        <v>Contig318</v>
      </c>
      <c r="G671" t="str">
        <f>HYPERLINK("http://exon.niaid.nih.gov/transcriptome/C_felis/S1/links/cf/cf-5-36-318-qual.txt","65.")</f>
        <v>65.</v>
      </c>
      <c r="H671" t="s">
        <v>11</v>
      </c>
      <c r="I671">
        <v>74.900000000000006</v>
      </c>
      <c r="J671">
        <v>172</v>
      </c>
      <c r="K671" t="s">
        <v>12</v>
      </c>
      <c r="L671">
        <v>1</v>
      </c>
      <c r="M671" t="s">
        <v>331</v>
      </c>
      <c r="N671">
        <v>172</v>
      </c>
      <c r="O671">
        <v>191</v>
      </c>
      <c r="P671">
        <v>96</v>
      </c>
      <c r="Q671" t="s">
        <v>1138</v>
      </c>
      <c r="R671">
        <v>2</v>
      </c>
      <c r="S671" s="7" t="s">
        <v>4585</v>
      </c>
      <c r="U671">
        <v>1</v>
      </c>
      <c r="V671" s="4">
        <v>256</v>
      </c>
      <c r="W671">
        <v>1</v>
      </c>
      <c r="X671" s="4">
        <v>262</v>
      </c>
      <c r="Y671">
        <v>1</v>
      </c>
      <c r="Z671" s="4">
        <v>261</v>
      </c>
      <c r="AA671">
        <v>1</v>
      </c>
      <c r="AB671" s="4" t="str">
        <f>HYPERLINK("http://exon.niaid.nih.gov/transcriptome/C_felis/S1/links/XC-ASB/cf-contig_318-XC-ASB.txt","XC-contig_236")</f>
        <v>XC-contig_236</v>
      </c>
      <c r="AC671">
        <v>5.5E-2</v>
      </c>
      <c r="AD671" s="10" t="s">
        <v>4600</v>
      </c>
      <c r="AE671" t="s">
        <v>4601</v>
      </c>
      <c r="AI671" s="4" t="str">
        <f>HYPERLINK("http://exon.niaid.nih.gov/transcriptome/C_felis/S1/links/NR/cf-contig_318-NR.txt","TRM1 tRNA methyltransferase 1, putative")</f>
        <v>TRM1 tRNA methyltransferase 1, putative</v>
      </c>
      <c r="AJ671" t="str">
        <f>HYPERLINK("http://www.ncbi.nlm.nih.gov/sutils/blink.cgi?pid=340502936","81")</f>
        <v>81</v>
      </c>
      <c r="AK671" t="str">
        <f>HYPERLINK("http://www.ncbi.nlm.nih.gov/protein/340502936","gi|340502936")</f>
        <v>gi|340502936</v>
      </c>
      <c r="AL671">
        <v>30.8</v>
      </c>
      <c r="AM671">
        <v>29</v>
      </c>
      <c r="AN671">
        <v>545</v>
      </c>
      <c r="AO671">
        <v>33</v>
      </c>
      <c r="AP671">
        <v>6</v>
      </c>
      <c r="AQ671">
        <v>22</v>
      </c>
      <c r="AR671">
        <v>0</v>
      </c>
      <c r="AS671">
        <v>237</v>
      </c>
      <c r="AT671">
        <v>27</v>
      </c>
      <c r="AU671">
        <v>1</v>
      </c>
      <c r="AV671">
        <v>3</v>
      </c>
      <c r="AW671" t="s">
        <v>12</v>
      </c>
      <c r="AX671">
        <v>3.448</v>
      </c>
      <c r="AY671" t="s">
        <v>1676</v>
      </c>
      <c r="AZ671" t="s">
        <v>2355</v>
      </c>
      <c r="BA671" s="4" t="str">
        <f>HYPERLINK("http://exon.niaid.nih.gov/transcriptome/C_felis/S1/links/SWISSP/cf-contig_318-SWISSP.txt","PHO85 cyclin CLG1")</f>
        <v>PHO85 cyclin CLG1</v>
      </c>
      <c r="BB671" t="str">
        <f>HYPERLINK("http://www.uniprot.org/uniprot/P35190","18")</f>
        <v>18</v>
      </c>
      <c r="BC671" t="s">
        <v>2813</v>
      </c>
      <c r="BD671">
        <v>28.1</v>
      </c>
      <c r="BE671">
        <v>29</v>
      </c>
      <c r="BF671">
        <v>452</v>
      </c>
      <c r="BG671">
        <v>33</v>
      </c>
      <c r="BH671">
        <v>7</v>
      </c>
      <c r="BI671">
        <v>20</v>
      </c>
      <c r="BJ671">
        <v>0</v>
      </c>
      <c r="BK671">
        <v>162</v>
      </c>
      <c r="BL671">
        <v>31</v>
      </c>
      <c r="BM671">
        <v>1</v>
      </c>
      <c r="BN671">
        <v>-3</v>
      </c>
      <c r="BO671" t="s">
        <v>12</v>
      </c>
      <c r="BQ671" t="s">
        <v>1666</v>
      </c>
      <c r="BR671" t="s">
        <v>1796</v>
      </c>
      <c r="BS671" s="4" t="str">
        <f>HYPERLINK("http://exon.niaid.nih.gov/transcriptome/C_felis/S1/links/CDD/cf-contig_318-CDD.txt","Baculo_helicase")</f>
        <v>Baculo_helicase</v>
      </c>
      <c r="BT671" t="str">
        <f>HYPERLINK("http://www.ncbi.nlm.nih.gov/Structure/cdd/cddsrv.cgi?uid=pfam04735&amp;version=v4.0","1.5")</f>
        <v>1.5</v>
      </c>
      <c r="BU671" t="s">
        <v>2814</v>
      </c>
      <c r="BV671" s="4" t="s">
        <v>42</v>
      </c>
      <c r="BW671" t="s">
        <v>42</v>
      </c>
      <c r="BX671" t="s">
        <v>42</v>
      </c>
      <c r="BY671" t="s">
        <v>42</v>
      </c>
      <c r="BZ671" t="s">
        <v>42</v>
      </c>
      <c r="CA671" t="s">
        <v>42</v>
      </c>
      <c r="CB671" t="s">
        <v>42</v>
      </c>
      <c r="CC671" t="s">
        <v>42</v>
      </c>
      <c r="CD671" t="s">
        <v>42</v>
      </c>
      <c r="CE671" t="s">
        <v>42</v>
      </c>
      <c r="CF671" t="s">
        <v>42</v>
      </c>
      <c r="CG671" t="s">
        <v>42</v>
      </c>
      <c r="CH671" t="s">
        <v>42</v>
      </c>
      <c r="CI671" t="s">
        <v>42</v>
      </c>
      <c r="CJ671" t="s">
        <v>42</v>
      </c>
      <c r="CK671" t="s">
        <v>42</v>
      </c>
      <c r="CL671" t="s">
        <v>42</v>
      </c>
      <c r="CM671" t="s">
        <v>42</v>
      </c>
      <c r="CN671" t="s">
        <v>42</v>
      </c>
      <c r="CO671" t="s">
        <v>42</v>
      </c>
      <c r="CP671" t="s">
        <v>42</v>
      </c>
      <c r="CQ671" t="s">
        <v>42</v>
      </c>
      <c r="CR671" t="s">
        <v>42</v>
      </c>
      <c r="CS671" s="4" t="str">
        <f>HYPERLINK("http://exon.niaid.nih.gov/transcriptome/C_felis/S1/links/KOG/cf-contig_318-KOG.txt","Exostosin EXT1L")</f>
        <v>Exostosin EXT1L</v>
      </c>
      <c r="CT671" t="str">
        <f>HYPERLINK("http://www.ncbi.nlm.nih.gov/COG/grace/shokog.cgi?KOG2264","3.6")</f>
        <v>3.6</v>
      </c>
      <c r="CU671" t="s">
        <v>1780</v>
      </c>
      <c r="CV671" s="4" t="str">
        <f>HYPERLINK("http://exon.niaid.nih.gov/transcriptome/C_felis/S1/links/PFAM/cf-contig_318-PFAM.txt","Baculo_helicase")</f>
        <v>Baculo_helicase</v>
      </c>
      <c r="CW671" t="str">
        <f>HYPERLINK("http://pfam.sanger.ac.uk/family?acc=PF04735","0.30")</f>
        <v>0.30</v>
      </c>
      <c r="CX671" s="4" t="str">
        <f>HYPERLINK("http://exon.niaid.nih.gov/transcriptome/C_felis/S1/links/SMART/cf-contig_318-SMART.txt","HELICc2")</f>
        <v>HELICc2</v>
      </c>
      <c r="CY671" t="str">
        <f>HYPERLINK("http://smart.embl-heidelberg.de/smart/do_annotation.pl?DOMAIN=HELICc2&amp;BLAST=DUMMY","0.69")</f>
        <v>0.69</v>
      </c>
      <c r="CZ671" s="4" t="s">
        <v>42</v>
      </c>
      <c r="DA671" t="s">
        <v>42</v>
      </c>
      <c r="DB671" t="s">
        <v>42</v>
      </c>
      <c r="DC671" t="s">
        <v>42</v>
      </c>
      <c r="DD671" t="s">
        <v>42</v>
      </c>
      <c r="DE671" t="s">
        <v>42</v>
      </c>
      <c r="DF671" t="s">
        <v>42</v>
      </c>
      <c r="DG671" t="s">
        <v>42</v>
      </c>
      <c r="DH671" s="4" t="s">
        <v>42</v>
      </c>
      <c r="DI671" t="s">
        <v>42</v>
      </c>
      <c r="DJ671" s="4" t="s">
        <v>42</v>
      </c>
      <c r="DK671" t="s">
        <v>42</v>
      </c>
      <c r="DL671" s="4">
        <v>256</v>
      </c>
      <c r="DM671">
        <v>1</v>
      </c>
      <c r="DN671" s="4">
        <v>262</v>
      </c>
      <c r="DO671">
        <v>1</v>
      </c>
      <c r="DP671" s="4">
        <v>261</v>
      </c>
      <c r="DQ671">
        <v>1</v>
      </c>
      <c r="DR671" s="4">
        <v>270</v>
      </c>
      <c r="DS671">
        <v>1</v>
      </c>
      <c r="DT671" s="4">
        <v>280</v>
      </c>
      <c r="DU671">
        <v>1</v>
      </c>
      <c r="DV671" s="4">
        <v>292</v>
      </c>
      <c r="DW671">
        <v>1</v>
      </c>
      <c r="DX671" s="4">
        <v>294</v>
      </c>
      <c r="DY671">
        <v>1</v>
      </c>
      <c r="DZ671" s="4">
        <v>299</v>
      </c>
      <c r="EA671">
        <v>1</v>
      </c>
      <c r="EB671" s="4">
        <v>304</v>
      </c>
      <c r="EC671">
        <v>1</v>
      </c>
      <c r="ED671" s="4">
        <v>307</v>
      </c>
      <c r="EE671">
        <v>1</v>
      </c>
      <c r="EF671" s="4">
        <v>311</v>
      </c>
      <c r="EG671">
        <v>1</v>
      </c>
      <c r="EH671" s="4">
        <v>313</v>
      </c>
      <c r="EI671">
        <v>1</v>
      </c>
      <c r="EJ671" s="4">
        <v>318</v>
      </c>
      <c r="EK671">
        <v>1</v>
      </c>
    </row>
    <row r="672" spans="1:141" x14ac:dyDescent="0.2">
      <c r="A672" t="str">
        <f>HYPERLINK("http://exon.niaid.nih.gov/transcriptome/C_felis/S1/links/cf/cf-contig_185.txt","cf-contig_185")</f>
        <v>cf-contig_185</v>
      </c>
      <c r="B672">
        <v>4</v>
      </c>
      <c r="C672" s="10" t="s">
        <v>4600</v>
      </c>
      <c r="D672">
        <v>4</v>
      </c>
      <c r="E672" t="str">
        <f>HYPERLINK("http://exon.niaid.nih.gov/transcriptome/C_felis/S1/links/cf/cf-5-36-asb-185.txt","Contig-185")</f>
        <v>Contig-185</v>
      </c>
      <c r="F672" t="str">
        <f>HYPERLINK("http://exon.niaid.nih.gov/transcriptome/C_felis/S1/links/cf/cf-5-36-185-CLU.txt","Contig185")</f>
        <v>Contig185</v>
      </c>
      <c r="G672" t="str">
        <f>HYPERLINK("http://exon.niaid.nih.gov/transcriptome/C_felis/S1/links/cf/cf-5-36-185-qual.txt","77.")</f>
        <v>77.</v>
      </c>
      <c r="H672" t="s">
        <v>11</v>
      </c>
      <c r="I672">
        <v>80.3</v>
      </c>
      <c r="J672">
        <v>352</v>
      </c>
      <c r="K672" t="s">
        <v>12</v>
      </c>
      <c r="L672">
        <v>4</v>
      </c>
      <c r="M672" t="s">
        <v>198</v>
      </c>
      <c r="N672">
        <v>352</v>
      </c>
      <c r="O672">
        <v>371</v>
      </c>
      <c r="P672">
        <v>123</v>
      </c>
      <c r="Q672" t="s">
        <v>1005</v>
      </c>
      <c r="R672">
        <v>3</v>
      </c>
      <c r="S672" s="7" t="s">
        <v>4585</v>
      </c>
      <c r="U672">
        <v>4</v>
      </c>
      <c r="V672" s="4">
        <v>160</v>
      </c>
      <c r="W672">
        <v>1</v>
      </c>
      <c r="X672" s="4">
        <v>162</v>
      </c>
      <c r="Y672">
        <v>1</v>
      </c>
      <c r="Z672" s="4">
        <v>160</v>
      </c>
      <c r="AA672">
        <v>1</v>
      </c>
      <c r="AB672" s="4" t="str">
        <f>HYPERLINK("http://exon.niaid.nih.gov/transcriptome/C_felis/S1/links/XC-ASB/cf-contig_185-XC-ASB.txt","XC-contig_7")</f>
        <v>XC-contig_7</v>
      </c>
      <c r="AC672">
        <v>1.4999999999999999E-2</v>
      </c>
      <c r="AD672" s="10" t="s">
        <v>4600</v>
      </c>
      <c r="AE672" t="s">
        <v>4601</v>
      </c>
      <c r="AI672" s="4" t="str">
        <f>HYPERLINK("http://exon.niaid.nih.gov/transcriptome/C_felis/S1/links/NR/cf-contig_185-NR.txt","vacuolar sorting receptor, putative")</f>
        <v>vacuolar sorting receptor, putative</v>
      </c>
      <c r="AJ672" t="str">
        <f>HYPERLINK("http://www.ncbi.nlm.nih.gov/sutils/blink.cgi?pid=340506194","0.30")</f>
        <v>0.30</v>
      </c>
      <c r="AK672" t="str">
        <f>HYPERLINK("http://www.ncbi.nlm.nih.gov/protein/340506194","gi|340506194")</f>
        <v>gi|340506194</v>
      </c>
      <c r="AL672">
        <v>38.9</v>
      </c>
      <c r="AM672">
        <v>59</v>
      </c>
      <c r="AN672">
        <v>622</v>
      </c>
      <c r="AO672">
        <v>37</v>
      </c>
      <c r="AP672">
        <v>10</v>
      </c>
      <c r="AQ672">
        <v>43</v>
      </c>
      <c r="AR672">
        <v>0</v>
      </c>
      <c r="AS672">
        <v>473</v>
      </c>
      <c r="AT672">
        <v>134</v>
      </c>
      <c r="AU672">
        <v>1</v>
      </c>
      <c r="AV672">
        <v>-2</v>
      </c>
      <c r="AW672" t="s">
        <v>12</v>
      </c>
      <c r="AX672">
        <v>8.4749999999999996</v>
      </c>
      <c r="AY672" t="s">
        <v>1666</v>
      </c>
      <c r="AZ672" t="s">
        <v>2355</v>
      </c>
      <c r="BA672" s="4" t="str">
        <f>HYPERLINK("http://exon.niaid.nih.gov/transcriptome/C_felis/S1/links/SWISSP/cf-contig_185-SWISSP.txt","Putative uncharacterized protein Q0182, mitochondrial")</f>
        <v>Putative uncharacterized protein Q0182, mitochondrial</v>
      </c>
      <c r="BB672" t="str">
        <f>HYPERLINK("http://www.uniprot.org/uniprot/Q9ZZW1","4.7")</f>
        <v>4.7</v>
      </c>
      <c r="BC672" t="s">
        <v>2356</v>
      </c>
      <c r="BD672">
        <v>30</v>
      </c>
      <c r="BE672">
        <v>37</v>
      </c>
      <c r="BF672">
        <v>134</v>
      </c>
      <c r="BG672">
        <v>34</v>
      </c>
      <c r="BH672">
        <v>28</v>
      </c>
      <c r="BI672">
        <v>27</v>
      </c>
      <c r="BJ672">
        <v>0</v>
      </c>
      <c r="BK672">
        <v>64</v>
      </c>
      <c r="BL672">
        <v>213</v>
      </c>
      <c r="BM672">
        <v>1</v>
      </c>
      <c r="BN672">
        <v>-1</v>
      </c>
      <c r="BO672" t="s">
        <v>12</v>
      </c>
      <c r="BP672">
        <v>5.4050000000000002</v>
      </c>
      <c r="BQ672" t="s">
        <v>1666</v>
      </c>
      <c r="BR672" t="s">
        <v>1796</v>
      </c>
      <c r="BS672" s="4" t="str">
        <f>HYPERLINK("http://exon.niaid.nih.gov/transcriptome/C_felis/S1/links/CDD/cf-contig_185-CDD.txt","7TM_GPCR_Srz")</f>
        <v>7TM_GPCR_Srz</v>
      </c>
      <c r="BT672" t="str">
        <f>HYPERLINK("http://www.ncbi.nlm.nih.gov/Structure/cdd/cddsrv.cgi?uid=pfam10325&amp;version=v4.0","3E-004")</f>
        <v>3E-004</v>
      </c>
      <c r="BU672" t="s">
        <v>2357</v>
      </c>
      <c r="BV672" s="4" t="s">
        <v>42</v>
      </c>
      <c r="BW672" t="s">
        <v>42</v>
      </c>
      <c r="BX672" t="s">
        <v>42</v>
      </c>
      <c r="BY672" t="s">
        <v>42</v>
      </c>
      <c r="BZ672" t="s">
        <v>42</v>
      </c>
      <c r="CA672" t="s">
        <v>42</v>
      </c>
      <c r="CB672" t="s">
        <v>42</v>
      </c>
      <c r="CC672" t="s">
        <v>42</v>
      </c>
      <c r="CD672" t="s">
        <v>42</v>
      </c>
      <c r="CE672" t="s">
        <v>42</v>
      </c>
      <c r="CF672" t="s">
        <v>42</v>
      </c>
      <c r="CG672" t="s">
        <v>42</v>
      </c>
      <c r="CH672" t="s">
        <v>42</v>
      </c>
      <c r="CI672" t="s">
        <v>42</v>
      </c>
      <c r="CJ672" t="s">
        <v>42</v>
      </c>
      <c r="CK672" t="s">
        <v>42</v>
      </c>
      <c r="CL672" t="s">
        <v>42</v>
      </c>
      <c r="CM672" t="s">
        <v>42</v>
      </c>
      <c r="CN672" t="s">
        <v>42</v>
      </c>
      <c r="CO672" t="s">
        <v>42</v>
      </c>
      <c r="CP672" t="s">
        <v>42</v>
      </c>
      <c r="CQ672" t="s">
        <v>42</v>
      </c>
      <c r="CR672" t="s">
        <v>42</v>
      </c>
      <c r="CS672" s="4" t="str">
        <f>HYPERLINK("http://exon.niaid.nih.gov/transcriptome/C_felis/S1/links/KOG/cf-contig_185-KOG.txt","Ca2+/Mg2+-permeable cation channels (LTRPC family)")</f>
        <v>Ca2+/Mg2+-permeable cation channels (LTRPC family)</v>
      </c>
      <c r="CT672" t="str">
        <f>HYPERLINK("http://www.ncbi.nlm.nih.gov/COG/grace/shokog.cgi?KOG3614","0.17")</f>
        <v>0.17</v>
      </c>
      <c r="CU672" t="s">
        <v>1702</v>
      </c>
      <c r="CV672" s="4" t="str">
        <f>HYPERLINK("http://exon.niaid.nih.gov/transcriptome/C_felis/S1/links/PFAM/cf-contig_185-PFAM.txt","7TM_GPCR_Srz")</f>
        <v>7TM_GPCR_Srz</v>
      </c>
      <c r="CW672" t="str">
        <f>HYPERLINK("http://pfam.sanger.ac.uk/family?acc=PF10325","8E-005")</f>
        <v>8E-005</v>
      </c>
      <c r="CX672" s="4" t="str">
        <f>HYPERLINK("http://exon.niaid.nih.gov/transcriptome/C_felis/S1/links/SMART/cf-contig_185-SMART.txt","AgrB")</f>
        <v>AgrB</v>
      </c>
      <c r="CY672" t="str">
        <f>HYPERLINK("http://smart.embl-heidelberg.de/smart/do_annotation.pl?DOMAIN=AgrB&amp;BLAST=DUMMY","0.034")</f>
        <v>0.034</v>
      </c>
      <c r="CZ672" s="4" t="s">
        <v>42</v>
      </c>
      <c r="DA672" t="s">
        <v>42</v>
      </c>
      <c r="DB672" t="s">
        <v>42</v>
      </c>
      <c r="DC672" t="s">
        <v>42</v>
      </c>
      <c r="DD672" t="s">
        <v>42</v>
      </c>
      <c r="DE672" t="s">
        <v>42</v>
      </c>
      <c r="DF672" t="s">
        <v>42</v>
      </c>
      <c r="DG672" t="s">
        <v>42</v>
      </c>
      <c r="DH672" s="4" t="s">
        <v>42</v>
      </c>
      <c r="DI672" t="s">
        <v>42</v>
      </c>
      <c r="DJ672" s="4" t="s">
        <v>42</v>
      </c>
      <c r="DK672" t="s">
        <v>42</v>
      </c>
      <c r="DL672" s="4">
        <v>160</v>
      </c>
      <c r="DM672">
        <v>1</v>
      </c>
      <c r="DN672" s="4">
        <v>162</v>
      </c>
      <c r="DO672">
        <v>1</v>
      </c>
      <c r="DP672" s="4">
        <v>160</v>
      </c>
      <c r="DQ672">
        <v>1</v>
      </c>
      <c r="DR672" s="4">
        <v>159</v>
      </c>
      <c r="DS672">
        <v>1</v>
      </c>
      <c r="DT672" s="4">
        <v>161</v>
      </c>
      <c r="DU672">
        <v>1</v>
      </c>
      <c r="DV672" s="4">
        <v>171</v>
      </c>
      <c r="DW672">
        <v>1</v>
      </c>
      <c r="DX672" s="4">
        <v>173</v>
      </c>
      <c r="DY672">
        <v>1</v>
      </c>
      <c r="DZ672" s="4">
        <v>173</v>
      </c>
      <c r="EA672">
        <v>1</v>
      </c>
      <c r="EB672" s="4">
        <v>178</v>
      </c>
      <c r="EC672">
        <v>1</v>
      </c>
      <c r="ED672" s="4">
        <v>179</v>
      </c>
      <c r="EE672">
        <v>1</v>
      </c>
      <c r="EF672" s="4">
        <v>180</v>
      </c>
      <c r="EG672">
        <v>1</v>
      </c>
      <c r="EH672" s="4">
        <v>180</v>
      </c>
      <c r="EI672">
        <v>1</v>
      </c>
      <c r="EJ672" s="4">
        <v>185</v>
      </c>
      <c r="EK672">
        <v>1</v>
      </c>
    </row>
    <row r="673" spans="1:141" x14ac:dyDescent="0.2">
      <c r="A673" t="str">
        <f>HYPERLINK("http://exon.niaid.nih.gov/transcriptome/C_felis/S1/links/cf/cf-contig_388.txt","cf-contig_388")</f>
        <v>cf-contig_388</v>
      </c>
      <c r="B673">
        <v>1</v>
      </c>
      <c r="C673" s="10" t="s">
        <v>4600</v>
      </c>
      <c r="D673">
        <v>1</v>
      </c>
      <c r="E673" t="str">
        <f>HYPERLINK("http://exon.niaid.nih.gov/transcriptome/C_felis/S1/links/cf/cf-5-36-asb-388.txt","Contig-388")</f>
        <v>Contig-388</v>
      </c>
      <c r="F673" t="str">
        <f>HYPERLINK("http://exon.niaid.nih.gov/transcriptome/C_felis/S1/links/cf/cf-5-36-388-CLU.txt","Contig388")</f>
        <v>Contig388</v>
      </c>
      <c r="G673" t="str">
        <f>HYPERLINK("http://exon.niaid.nih.gov/transcriptome/C_felis/S1/links/cf/cf-5-36-388-qual.txt","60.7")</f>
        <v>60.7</v>
      </c>
      <c r="H673" t="s">
        <v>11</v>
      </c>
      <c r="I673">
        <v>83</v>
      </c>
      <c r="J673">
        <v>199</v>
      </c>
      <c r="K673" t="s">
        <v>12</v>
      </c>
      <c r="L673">
        <v>1</v>
      </c>
      <c r="M673" t="s">
        <v>401</v>
      </c>
      <c r="N673">
        <v>199</v>
      </c>
      <c r="O673">
        <v>218</v>
      </c>
      <c r="P673">
        <v>90</v>
      </c>
      <c r="Q673" t="s">
        <v>1208</v>
      </c>
      <c r="R673">
        <v>1</v>
      </c>
      <c r="S673" s="7" t="s">
        <v>4585</v>
      </c>
      <c r="U673">
        <v>1</v>
      </c>
      <c r="V673" s="4">
        <v>316</v>
      </c>
      <c r="W673">
        <v>1</v>
      </c>
      <c r="X673" s="4">
        <v>324</v>
      </c>
      <c r="Y673">
        <v>1</v>
      </c>
      <c r="Z673" s="4">
        <v>325</v>
      </c>
      <c r="AA673">
        <v>1</v>
      </c>
      <c r="AB673" s="4" t="str">
        <f>HYPERLINK("http://exon.niaid.nih.gov/transcriptome/C_felis/S1/links/XC-ASB/cf-contig_388-XC-ASB.txt","XC-contig_111")</f>
        <v>XC-contig_111</v>
      </c>
      <c r="AC673">
        <v>1.2999999999999999E-2</v>
      </c>
      <c r="AD673" s="10" t="s">
        <v>4600</v>
      </c>
      <c r="AE673" t="s">
        <v>4601</v>
      </c>
      <c r="AI673" s="4" t="str">
        <f>HYPERLINK("http://exon.niaid.nih.gov/transcriptome/C_felis/S1/links/NR/cf-contig_388-NR.txt","maturase K")</f>
        <v>maturase K</v>
      </c>
      <c r="AJ673" t="str">
        <f>HYPERLINK("http://www.ncbi.nlm.nih.gov/sutils/blink.cgi?pid=124358489","16")</f>
        <v>16</v>
      </c>
      <c r="AK673" t="str">
        <f>HYPERLINK("http://www.ncbi.nlm.nih.gov/protein/124358489","gi|124358489")</f>
        <v>gi|124358489</v>
      </c>
      <c r="AL673">
        <v>33.1</v>
      </c>
      <c r="AM673">
        <v>58</v>
      </c>
      <c r="AN673">
        <v>502</v>
      </c>
      <c r="AO673">
        <v>33</v>
      </c>
      <c r="AP673">
        <v>12</v>
      </c>
      <c r="AQ673">
        <v>40</v>
      </c>
      <c r="AR673">
        <v>0</v>
      </c>
      <c r="AS673">
        <v>63</v>
      </c>
      <c r="AT673">
        <v>12</v>
      </c>
      <c r="AU673">
        <v>1</v>
      </c>
      <c r="AV673">
        <v>-1</v>
      </c>
      <c r="AW673" t="s">
        <v>12</v>
      </c>
      <c r="AX673">
        <v>3.448</v>
      </c>
      <c r="AY673" t="s">
        <v>1666</v>
      </c>
      <c r="AZ673" t="s">
        <v>3048</v>
      </c>
      <c r="BA673" s="4" t="str">
        <f>HYPERLINK("http://exon.niaid.nih.gov/transcriptome/C_felis/S1/links/SWISSP/cf-contig_388-SWISSP.txt","DNA translocase ftsK")</f>
        <v>DNA translocase ftsK</v>
      </c>
      <c r="BB673" t="str">
        <f>HYPERLINK("http://www.uniprot.org/uniprot/O51272","4.7")</f>
        <v>4.7</v>
      </c>
      <c r="BC673" t="s">
        <v>3049</v>
      </c>
      <c r="BD673">
        <v>30</v>
      </c>
      <c r="BE673">
        <v>43</v>
      </c>
      <c r="BF673">
        <v>787</v>
      </c>
      <c r="BG673">
        <v>34</v>
      </c>
      <c r="BH673">
        <v>6</v>
      </c>
      <c r="BI673">
        <v>29</v>
      </c>
      <c r="BJ673">
        <v>0</v>
      </c>
      <c r="BK673">
        <v>127</v>
      </c>
      <c r="BL673">
        <v>21</v>
      </c>
      <c r="BM673">
        <v>1</v>
      </c>
      <c r="BN673">
        <v>-1</v>
      </c>
      <c r="BO673" t="s">
        <v>12</v>
      </c>
      <c r="BP673">
        <v>4.6509999999999998</v>
      </c>
      <c r="BQ673" t="s">
        <v>1666</v>
      </c>
      <c r="BR673" t="s">
        <v>2526</v>
      </c>
      <c r="BS673" s="4" t="str">
        <f>HYPERLINK("http://exon.niaid.nih.gov/transcriptome/C_felis/S1/links/CDD/cf-contig_388-CDD.txt","7TM_GPCR_Srz")</f>
        <v>7TM_GPCR_Srz</v>
      </c>
      <c r="BT673" t="str">
        <f>HYPERLINK("http://www.ncbi.nlm.nih.gov/Structure/cdd/cddsrv.cgi?uid=pfam10325&amp;version=v4.0","0.18")</f>
        <v>0.18</v>
      </c>
      <c r="BU673" t="s">
        <v>3050</v>
      </c>
      <c r="BV673" s="4" t="s">
        <v>42</v>
      </c>
      <c r="BW673" t="s">
        <v>42</v>
      </c>
      <c r="BX673" t="s">
        <v>42</v>
      </c>
      <c r="BY673" t="s">
        <v>42</v>
      </c>
      <c r="BZ673" t="s">
        <v>42</v>
      </c>
      <c r="CA673" t="s">
        <v>42</v>
      </c>
      <c r="CB673" t="s">
        <v>42</v>
      </c>
      <c r="CC673" t="s">
        <v>42</v>
      </c>
      <c r="CD673" t="s">
        <v>42</v>
      </c>
      <c r="CE673" t="s">
        <v>42</v>
      </c>
      <c r="CF673" t="s">
        <v>42</v>
      </c>
      <c r="CG673" t="s">
        <v>42</v>
      </c>
      <c r="CH673" t="s">
        <v>42</v>
      </c>
      <c r="CI673" t="s">
        <v>42</v>
      </c>
      <c r="CJ673" t="s">
        <v>42</v>
      </c>
      <c r="CK673" t="s">
        <v>42</v>
      </c>
      <c r="CL673" t="s">
        <v>42</v>
      </c>
      <c r="CM673" t="s">
        <v>42</v>
      </c>
      <c r="CN673" t="s">
        <v>42</v>
      </c>
      <c r="CO673" t="s">
        <v>42</v>
      </c>
      <c r="CP673" t="s">
        <v>42</v>
      </c>
      <c r="CQ673" t="s">
        <v>42</v>
      </c>
      <c r="CR673" t="s">
        <v>42</v>
      </c>
      <c r="CS673" s="4" t="str">
        <f>HYPERLINK("http://exon.niaid.nih.gov/transcriptome/C_felis/S1/links/KOG/cf-contig_388-KOG.txt","Na+:iodide/myo-inositol/multivitamin symporters")</f>
        <v>Na+:iodide/myo-inositol/multivitamin symporters</v>
      </c>
      <c r="CT673" t="str">
        <f>HYPERLINK("http://www.ncbi.nlm.nih.gov/COG/grace/shokog.cgi?KOG2349","0.38")</f>
        <v>0.38</v>
      </c>
      <c r="CU673" t="s">
        <v>1681</v>
      </c>
      <c r="CV673" s="4" t="str">
        <f>HYPERLINK("http://exon.niaid.nih.gov/transcriptome/C_felis/S1/links/PFAM/cf-contig_388-PFAM.txt","7TM_GPCR_Srz")</f>
        <v>7TM_GPCR_Srz</v>
      </c>
      <c r="CW673" t="str">
        <f>HYPERLINK("http://pfam.sanger.ac.uk/family?acc=PF10325","0.038")</f>
        <v>0.038</v>
      </c>
      <c r="CX673" s="4" t="str">
        <f>HYPERLINK("http://exon.niaid.nih.gov/transcriptome/C_felis/S1/links/SMART/cf-contig_388-SMART.txt","Aamy_C")</f>
        <v>Aamy_C</v>
      </c>
      <c r="CY673" t="str">
        <f>HYPERLINK("http://smart.embl-heidelberg.de/smart/do_annotation.pl?DOMAIN=Aamy_C&amp;BLAST=DUMMY","0.22")</f>
        <v>0.22</v>
      </c>
      <c r="CZ673" s="4" t="s">
        <v>42</v>
      </c>
      <c r="DA673" t="s">
        <v>42</v>
      </c>
      <c r="DB673" t="s">
        <v>42</v>
      </c>
      <c r="DC673" t="s">
        <v>42</v>
      </c>
      <c r="DD673" t="s">
        <v>42</v>
      </c>
      <c r="DE673" t="s">
        <v>42</v>
      </c>
      <c r="DF673" t="s">
        <v>42</v>
      </c>
      <c r="DG673" t="s">
        <v>42</v>
      </c>
      <c r="DH673" s="4" t="s">
        <v>42</v>
      </c>
      <c r="DI673" t="s">
        <v>42</v>
      </c>
      <c r="DJ673" s="4" t="s">
        <v>42</v>
      </c>
      <c r="DK673" t="s">
        <v>42</v>
      </c>
      <c r="DL673" s="4">
        <v>316</v>
      </c>
      <c r="DM673">
        <v>1</v>
      </c>
      <c r="DN673" s="4">
        <v>324</v>
      </c>
      <c r="DO673">
        <v>1</v>
      </c>
      <c r="DP673" s="4">
        <v>325</v>
      </c>
      <c r="DQ673">
        <v>1</v>
      </c>
      <c r="DR673" s="4">
        <v>336</v>
      </c>
      <c r="DS673">
        <v>1</v>
      </c>
      <c r="DT673" s="4">
        <v>346</v>
      </c>
      <c r="DU673">
        <v>1</v>
      </c>
      <c r="DV673" s="4">
        <v>359</v>
      </c>
      <c r="DW673">
        <v>1</v>
      </c>
      <c r="DX673" s="4">
        <v>362</v>
      </c>
      <c r="DY673">
        <v>1</v>
      </c>
      <c r="DZ673" s="4">
        <v>367</v>
      </c>
      <c r="EA673">
        <v>1</v>
      </c>
      <c r="EB673" s="4">
        <v>372</v>
      </c>
      <c r="EC673">
        <v>1</v>
      </c>
      <c r="ED673" s="4">
        <v>376</v>
      </c>
      <c r="EE673">
        <v>1</v>
      </c>
      <c r="EF673" s="4">
        <v>381</v>
      </c>
      <c r="EG673">
        <v>1</v>
      </c>
      <c r="EH673" s="4">
        <v>383</v>
      </c>
      <c r="EI673">
        <v>1</v>
      </c>
      <c r="EJ673" s="4">
        <v>388</v>
      </c>
      <c r="EK673">
        <v>1</v>
      </c>
    </row>
    <row r="674" spans="1:141" x14ac:dyDescent="0.2">
      <c r="A674" t="str">
        <f>HYPERLINK("http://exon.niaid.nih.gov/transcriptome/C_felis/S1/links/cf/cf-contig_487.txt","cf-contig_487")</f>
        <v>cf-contig_487</v>
      </c>
      <c r="B674">
        <v>1</v>
      </c>
      <c r="C674" s="10" t="s">
        <v>4600</v>
      </c>
      <c r="D674">
        <v>1</v>
      </c>
      <c r="E674" t="str">
        <f>HYPERLINK("http://exon.niaid.nih.gov/transcriptome/C_felis/S1/links/cf/cf-5-36-asb-487.txt","Contig-487")</f>
        <v>Contig-487</v>
      </c>
      <c r="F674" t="str">
        <f>HYPERLINK("http://exon.niaid.nih.gov/transcriptome/C_felis/S1/links/cf/cf-5-36-487-CLU.txt","Contig487")</f>
        <v>Contig487</v>
      </c>
      <c r="G674" t="str">
        <f>HYPERLINK("http://exon.niaid.nih.gov/transcriptome/C_felis/S1/links/cf/cf-5-36-487-qual.txt","57.2")</f>
        <v>57.2</v>
      </c>
      <c r="H674">
        <v>0.6</v>
      </c>
      <c r="I674">
        <v>72.2</v>
      </c>
      <c r="J674">
        <v>290</v>
      </c>
      <c r="K674" t="s">
        <v>12</v>
      </c>
      <c r="L674">
        <v>1</v>
      </c>
      <c r="M674" t="s">
        <v>500</v>
      </c>
      <c r="N674">
        <v>290</v>
      </c>
      <c r="O674">
        <v>309</v>
      </c>
      <c r="P674">
        <v>108</v>
      </c>
      <c r="Q674" t="s">
        <v>1306</v>
      </c>
      <c r="R674">
        <v>3</v>
      </c>
      <c r="S674" s="7" t="s">
        <v>4585</v>
      </c>
      <c r="U674">
        <v>1</v>
      </c>
      <c r="V674" s="4">
        <v>397</v>
      </c>
      <c r="W674">
        <v>1</v>
      </c>
      <c r="X674" s="4">
        <v>406</v>
      </c>
      <c r="Y674">
        <v>1</v>
      </c>
      <c r="Z674" s="4">
        <v>411</v>
      </c>
      <c r="AA674">
        <v>1</v>
      </c>
      <c r="AB674" s="4" t="str">
        <f>HYPERLINK("http://exon.niaid.nih.gov/transcriptome/C_felis/S1/links/XC-ASB/cf-contig_487-XC-ASB.txt","XC-contig_40")</f>
        <v>XC-contig_40</v>
      </c>
      <c r="AC674">
        <v>0.28999999999999998</v>
      </c>
      <c r="AD674" s="10" t="s">
        <v>4600</v>
      </c>
      <c r="AE674" t="s">
        <v>4601</v>
      </c>
      <c r="AI674" s="4" t="str">
        <f>HYPERLINK("http://exon.niaid.nih.gov/transcriptome/C_felis/S1/links/NR/cf-contig_487-NR.txt","hypothetical protein Isop_1620")</f>
        <v>hypothetical protein Isop_1620</v>
      </c>
      <c r="AJ674" t="str">
        <f>HYPERLINK("http://www.ncbi.nlm.nih.gov/sutils/blink.cgi?pid=320103162","2.5")</f>
        <v>2.5</v>
      </c>
      <c r="AK674" t="str">
        <f>HYPERLINK("http://www.ncbi.nlm.nih.gov/protein/320103162","gi|320103162")</f>
        <v>gi|320103162</v>
      </c>
      <c r="AL674">
        <v>35.799999999999997</v>
      </c>
      <c r="AM674">
        <v>34</v>
      </c>
      <c r="AN674">
        <v>843</v>
      </c>
      <c r="AO674">
        <v>48</v>
      </c>
      <c r="AP674">
        <v>4</v>
      </c>
      <c r="AQ674">
        <v>18</v>
      </c>
      <c r="AR674">
        <v>0</v>
      </c>
      <c r="AS674">
        <v>244</v>
      </c>
      <c r="AT674">
        <v>29</v>
      </c>
      <c r="AU674">
        <v>1</v>
      </c>
      <c r="AV674">
        <v>-3</v>
      </c>
      <c r="AW674" t="s">
        <v>12</v>
      </c>
      <c r="AY674" t="s">
        <v>1666</v>
      </c>
      <c r="AZ674" t="s">
        <v>3439</v>
      </c>
      <c r="BA674" s="4" t="str">
        <f>HYPERLINK("http://exon.niaid.nih.gov/transcriptome/C_felis/S1/links/SWISSP/cf-contig_487-SWISSP.txt","Gag-Pol polyprotein")</f>
        <v>Gag-Pol polyprotein</v>
      </c>
      <c r="BB674" t="str">
        <f>HYPERLINK("http://www.uniprot.org/uniprot/P27973","8.1")</f>
        <v>8.1</v>
      </c>
      <c r="BC674" t="s">
        <v>3440</v>
      </c>
      <c r="BD674">
        <v>29.3</v>
      </c>
      <c r="BE674">
        <v>27</v>
      </c>
      <c r="BF674">
        <v>1470</v>
      </c>
      <c r="BG674">
        <v>39</v>
      </c>
      <c r="BH674">
        <v>2</v>
      </c>
      <c r="BI674">
        <v>17</v>
      </c>
      <c r="BJ674">
        <v>0</v>
      </c>
      <c r="BK674">
        <v>1305</v>
      </c>
      <c r="BL674">
        <v>7</v>
      </c>
      <c r="BM674">
        <v>1</v>
      </c>
      <c r="BN674">
        <v>1</v>
      </c>
      <c r="BO674" t="s">
        <v>12</v>
      </c>
      <c r="BQ674" t="s">
        <v>1676</v>
      </c>
      <c r="BR674" t="s">
        <v>3441</v>
      </c>
      <c r="BS674" s="4" t="str">
        <f>HYPERLINK("http://exon.niaid.nih.gov/transcriptome/C_felis/S1/links/CDD/cf-contig_487-CDD.txt","PRK10124")</f>
        <v>PRK10124</v>
      </c>
      <c r="BT674" t="str">
        <f>HYPERLINK("http://www.ncbi.nlm.nih.gov/Structure/cdd/cddsrv.cgi?uid=PRK10124&amp;version=v4.0","0.17")</f>
        <v>0.17</v>
      </c>
      <c r="BU674" t="s">
        <v>3442</v>
      </c>
      <c r="BV674" s="4" t="s">
        <v>42</v>
      </c>
      <c r="BW674" t="s">
        <v>42</v>
      </c>
      <c r="BX674" t="s">
        <v>42</v>
      </c>
      <c r="BY674" t="s">
        <v>42</v>
      </c>
      <c r="BZ674" t="s">
        <v>42</v>
      </c>
      <c r="CA674" t="s">
        <v>42</v>
      </c>
      <c r="CB674" t="s">
        <v>42</v>
      </c>
      <c r="CC674" t="s">
        <v>42</v>
      </c>
      <c r="CD674" t="s">
        <v>42</v>
      </c>
      <c r="CE674" t="s">
        <v>42</v>
      </c>
      <c r="CF674" t="s">
        <v>42</v>
      </c>
      <c r="CG674" t="s">
        <v>42</v>
      </c>
      <c r="CH674" t="s">
        <v>42</v>
      </c>
      <c r="CI674" t="s">
        <v>42</v>
      </c>
      <c r="CJ674" t="s">
        <v>42</v>
      </c>
      <c r="CK674" t="s">
        <v>42</v>
      </c>
      <c r="CL674" t="s">
        <v>42</v>
      </c>
      <c r="CM674" t="s">
        <v>42</v>
      </c>
      <c r="CN674" t="s">
        <v>42</v>
      </c>
      <c r="CO674" t="s">
        <v>42</v>
      </c>
      <c r="CP674" t="s">
        <v>42</v>
      </c>
      <c r="CQ674" t="s">
        <v>42</v>
      </c>
      <c r="CR674" t="s">
        <v>42</v>
      </c>
      <c r="CS674" s="4" t="str">
        <f>HYPERLINK("http://exon.niaid.nih.gov/transcriptome/C_felis/S1/links/KOG/cf-contig_487-KOG.txt","Alpha-1,2 glucosyltransferase/transcriptional activator")</f>
        <v>Alpha-1,2 glucosyltransferase/transcriptional activator</v>
      </c>
      <c r="CT674" t="str">
        <f>HYPERLINK("http://www.ncbi.nlm.nih.gov/COG/grace/shokog.cgi?KOG2642","0.010")</f>
        <v>0.010</v>
      </c>
      <c r="CU674" t="s">
        <v>3443</v>
      </c>
      <c r="CV674" s="4" t="str">
        <f>HYPERLINK("http://exon.niaid.nih.gov/transcriptome/C_felis/S1/links/PFAM/cf-contig_487-PFAM.txt","Cas1p")</f>
        <v>Cas1p</v>
      </c>
      <c r="CW674" t="str">
        <f>HYPERLINK("http://pfam.sanger.ac.uk/family?acc=PF07779","0.071")</f>
        <v>0.071</v>
      </c>
      <c r="CX674" s="4" t="str">
        <f>HYPERLINK("http://exon.niaid.nih.gov/transcriptome/C_felis/S1/links/SMART/cf-contig_487-SMART.txt","AgrB")</f>
        <v>AgrB</v>
      </c>
      <c r="CY674" t="str">
        <f>HYPERLINK("http://smart.embl-heidelberg.de/smart/do_annotation.pl?DOMAIN=AgrB&amp;BLAST=DUMMY","0.20")</f>
        <v>0.20</v>
      </c>
      <c r="CZ674" s="4" t="s">
        <v>42</v>
      </c>
      <c r="DA674" t="s">
        <v>42</v>
      </c>
      <c r="DB674" t="s">
        <v>42</v>
      </c>
      <c r="DC674" t="s">
        <v>42</v>
      </c>
      <c r="DD674" t="s">
        <v>42</v>
      </c>
      <c r="DE674" t="s">
        <v>42</v>
      </c>
      <c r="DF674" t="s">
        <v>42</v>
      </c>
      <c r="DG674" t="s">
        <v>42</v>
      </c>
      <c r="DH674" s="4" t="s">
        <v>42</v>
      </c>
      <c r="DI674" t="s">
        <v>42</v>
      </c>
      <c r="DJ674" s="4" t="s">
        <v>42</v>
      </c>
      <c r="DK674" t="s">
        <v>42</v>
      </c>
      <c r="DL674" s="4">
        <v>397</v>
      </c>
      <c r="DM674">
        <v>1</v>
      </c>
      <c r="DN674" s="4">
        <v>406</v>
      </c>
      <c r="DO674">
        <v>1</v>
      </c>
      <c r="DP674" s="4">
        <v>411</v>
      </c>
      <c r="DQ674">
        <v>1</v>
      </c>
      <c r="DR674" s="4">
        <v>426</v>
      </c>
      <c r="DS674">
        <v>1</v>
      </c>
      <c r="DT674" s="4">
        <v>436</v>
      </c>
      <c r="DU674">
        <v>1</v>
      </c>
      <c r="DV674" s="4">
        <v>450</v>
      </c>
      <c r="DW674">
        <v>1</v>
      </c>
      <c r="DX674" s="4">
        <v>454</v>
      </c>
      <c r="DY674">
        <v>1</v>
      </c>
      <c r="DZ674" s="4">
        <v>461</v>
      </c>
      <c r="EA674">
        <v>1</v>
      </c>
      <c r="EB674" s="4">
        <v>466</v>
      </c>
      <c r="EC674">
        <v>1</v>
      </c>
      <c r="ED674" s="4">
        <v>470</v>
      </c>
      <c r="EE674">
        <v>1</v>
      </c>
      <c r="EF674" s="4">
        <v>475</v>
      </c>
      <c r="EG674">
        <v>1</v>
      </c>
      <c r="EH674" s="4">
        <v>481</v>
      </c>
      <c r="EI674">
        <v>1</v>
      </c>
      <c r="EJ674" s="4">
        <v>487</v>
      </c>
      <c r="EK674">
        <v>1</v>
      </c>
    </row>
    <row r="675" spans="1:141" x14ac:dyDescent="0.2">
      <c r="A675" t="str">
        <f>HYPERLINK("http://exon.niaid.nih.gov/transcriptome/C_felis/S1/links/cf/cf-contig_602.txt","cf-contig_602")</f>
        <v>cf-contig_602</v>
      </c>
      <c r="B675">
        <v>1</v>
      </c>
      <c r="C675" s="10" t="s">
        <v>4600</v>
      </c>
      <c r="D675">
        <v>1</v>
      </c>
      <c r="E675" t="str">
        <f>HYPERLINK("http://exon.niaid.nih.gov/transcriptome/C_felis/S1/links/cf/cf-5-36-asb-602.txt","Contig-602")</f>
        <v>Contig-602</v>
      </c>
      <c r="F675" t="str">
        <f>HYPERLINK("http://exon.niaid.nih.gov/transcriptome/C_felis/S1/links/cf/cf-5-36-602-CLU.txt","Contig602")</f>
        <v>Contig602</v>
      </c>
      <c r="G675" t="str">
        <f>HYPERLINK("http://exon.niaid.nih.gov/transcriptome/C_felis/S1/links/cf/cf-5-36-602-qual.txt","60.5")</f>
        <v>60.5</v>
      </c>
      <c r="H675">
        <v>0.3</v>
      </c>
      <c r="I675">
        <v>66.099999999999994</v>
      </c>
      <c r="J675">
        <v>270</v>
      </c>
      <c r="K675" t="s">
        <v>12</v>
      </c>
      <c r="L675">
        <v>1</v>
      </c>
      <c r="M675" t="s">
        <v>615</v>
      </c>
      <c r="N675">
        <v>270</v>
      </c>
      <c r="O675">
        <v>289</v>
      </c>
      <c r="P675">
        <v>186</v>
      </c>
      <c r="Q675" t="s">
        <v>1421</v>
      </c>
      <c r="R675">
        <v>2</v>
      </c>
      <c r="S675" s="7" t="s">
        <v>4585</v>
      </c>
      <c r="U675">
        <v>1</v>
      </c>
      <c r="V675" s="4">
        <v>489</v>
      </c>
      <c r="W675">
        <v>1</v>
      </c>
      <c r="X675" s="4">
        <v>501</v>
      </c>
      <c r="Y675">
        <v>1</v>
      </c>
      <c r="Z675" s="4">
        <v>511</v>
      </c>
      <c r="AA675">
        <v>1</v>
      </c>
      <c r="AB675" s="4" t="str">
        <f>HYPERLINK("http://exon.niaid.nih.gov/transcriptome/C_felis/S1/links/XC-ASB/cf-contig_602-XC-ASB.txt","XC-contig_205")</f>
        <v>XC-contig_205</v>
      </c>
      <c r="AC675">
        <v>0.27</v>
      </c>
      <c r="AD675" s="10" t="s">
        <v>4600</v>
      </c>
      <c r="AE675" t="s">
        <v>4601</v>
      </c>
      <c r="AI675" s="4" t="str">
        <f>HYPERLINK("http://exon.niaid.nih.gov/transcriptome/C_felis/S1/links/NR/cf-contig_602-NR.txt","Acyl-coenzymeA:ethanol O-acyltransferase")</f>
        <v>Acyl-coenzymeA:ethanol O-acyltransferase</v>
      </c>
      <c r="AJ675" t="str">
        <f>HYPERLINK("http://www.ncbi.nlm.nih.gov/sutils/blink.cgi?pid=254565935","13")</f>
        <v>13</v>
      </c>
      <c r="AK675" t="str">
        <f>HYPERLINK("http://www.ncbi.nlm.nih.gov/protein/254565935","gi|254565935")</f>
        <v>gi|254565935</v>
      </c>
      <c r="AL675">
        <v>33.5</v>
      </c>
      <c r="AM675">
        <v>42</v>
      </c>
      <c r="AN675">
        <v>452</v>
      </c>
      <c r="AO675">
        <v>39</v>
      </c>
      <c r="AP675">
        <v>10</v>
      </c>
      <c r="AQ675">
        <v>26</v>
      </c>
      <c r="AR675">
        <v>1</v>
      </c>
      <c r="AS675">
        <v>344</v>
      </c>
      <c r="AT675">
        <v>23</v>
      </c>
      <c r="AU675">
        <v>1</v>
      </c>
      <c r="AV675">
        <v>-1</v>
      </c>
      <c r="AW675" t="s">
        <v>12</v>
      </c>
      <c r="AY675" t="s">
        <v>1666</v>
      </c>
      <c r="AZ675" t="s">
        <v>3887</v>
      </c>
      <c r="BA675" s="4" t="str">
        <f>HYPERLINK("http://exon.niaid.nih.gov/transcriptome/C_felis/S1/links/SWISSP/cf-contig_602-SWISSP.txt","Lariat debranching enzyme")</f>
        <v>Lariat debranching enzyme</v>
      </c>
      <c r="BB675" t="str">
        <f>HYPERLINK("http://www.uniprot.org/uniprot/P24309","8.0")</f>
        <v>8.0</v>
      </c>
      <c r="BC675" t="s">
        <v>3888</v>
      </c>
      <c r="BD675">
        <v>29.3</v>
      </c>
      <c r="BE675">
        <v>29</v>
      </c>
      <c r="BF675">
        <v>405</v>
      </c>
      <c r="BG675">
        <v>48</v>
      </c>
      <c r="BH675">
        <v>7</v>
      </c>
      <c r="BI675">
        <v>16</v>
      </c>
      <c r="BJ675">
        <v>0</v>
      </c>
      <c r="BK675">
        <v>188</v>
      </c>
      <c r="BL675">
        <v>152</v>
      </c>
      <c r="BM675">
        <v>1</v>
      </c>
      <c r="BN675">
        <v>2</v>
      </c>
      <c r="BO675" t="s">
        <v>12</v>
      </c>
      <c r="BQ675" t="s">
        <v>1676</v>
      </c>
      <c r="BR675" t="s">
        <v>1796</v>
      </c>
      <c r="BS675" s="4" t="str">
        <f>HYPERLINK("http://exon.niaid.nih.gov/transcriptome/C_felis/S1/links/CDD/cf-contig_602-CDD.txt","POLBc_alpha")</f>
        <v>POLBc_alpha</v>
      </c>
      <c r="BT675" t="str">
        <f>HYPERLINK("http://www.ncbi.nlm.nih.gov/Structure/cdd/cddsrv.cgi?uid=cd05532&amp;version=v4.0","0.40")</f>
        <v>0.40</v>
      </c>
      <c r="BU675" t="s">
        <v>3889</v>
      </c>
      <c r="BV675" s="4" t="s">
        <v>42</v>
      </c>
      <c r="BW675" t="s">
        <v>42</v>
      </c>
      <c r="BX675" t="s">
        <v>42</v>
      </c>
      <c r="BY675" t="s">
        <v>42</v>
      </c>
      <c r="BZ675" t="s">
        <v>42</v>
      </c>
      <c r="CA675" t="s">
        <v>42</v>
      </c>
      <c r="CB675" t="s">
        <v>42</v>
      </c>
      <c r="CC675" t="s">
        <v>42</v>
      </c>
      <c r="CD675" t="s">
        <v>42</v>
      </c>
      <c r="CE675" t="s">
        <v>42</v>
      </c>
      <c r="CF675" t="s">
        <v>42</v>
      </c>
      <c r="CG675" t="s">
        <v>42</v>
      </c>
      <c r="CH675" t="s">
        <v>42</v>
      </c>
      <c r="CI675" t="s">
        <v>42</v>
      </c>
      <c r="CJ675" t="s">
        <v>42</v>
      </c>
      <c r="CK675" t="s">
        <v>42</v>
      </c>
      <c r="CL675" t="s">
        <v>42</v>
      </c>
      <c r="CM675" t="s">
        <v>42</v>
      </c>
      <c r="CN675" t="s">
        <v>42</v>
      </c>
      <c r="CO675" t="s">
        <v>42</v>
      </c>
      <c r="CP675" t="s">
        <v>42</v>
      </c>
      <c r="CQ675" t="s">
        <v>42</v>
      </c>
      <c r="CR675" t="s">
        <v>42</v>
      </c>
      <c r="CS675" s="4" t="str">
        <f>HYPERLINK("http://exon.niaid.nih.gov/transcriptome/C_felis/S1/links/KOG/cf-contig_602-KOG.txt","Protein kinase containing WD40 repeats")</f>
        <v>Protein kinase containing WD40 repeats</v>
      </c>
      <c r="CT675" t="str">
        <f>HYPERLINK("http://www.ncbi.nlm.nih.gov/COG/grace/shokog.cgi?KOG1240","1.8")</f>
        <v>1.8</v>
      </c>
      <c r="CU675" t="s">
        <v>1780</v>
      </c>
      <c r="CV675" s="4" t="str">
        <f>HYPERLINK("http://exon.niaid.nih.gov/transcriptome/C_felis/S1/links/PFAM/cf-contig_602-PFAM.txt","XG_FTase")</f>
        <v>XG_FTase</v>
      </c>
      <c r="CW675" t="str">
        <f>HYPERLINK("http://pfam.sanger.ac.uk/family?acc=PF03254","0.23")</f>
        <v>0.23</v>
      </c>
      <c r="CX675" s="4" t="str">
        <f>HYPERLINK("http://exon.niaid.nih.gov/transcriptome/C_felis/S1/links/SMART/cf-contig_602-SMART.txt","Haemagg_act")</f>
        <v>Haemagg_act</v>
      </c>
      <c r="CY675" t="str">
        <f>HYPERLINK("http://smart.embl-heidelberg.de/smart/do_annotation.pl?DOMAIN=Haemagg_act&amp;BLAST=DUMMY","0.17")</f>
        <v>0.17</v>
      </c>
      <c r="CZ675" s="4" t="s">
        <v>42</v>
      </c>
      <c r="DA675" t="s">
        <v>42</v>
      </c>
      <c r="DB675" t="s">
        <v>42</v>
      </c>
      <c r="DC675" t="s">
        <v>42</v>
      </c>
      <c r="DD675" t="s">
        <v>42</v>
      </c>
      <c r="DE675" t="s">
        <v>42</v>
      </c>
      <c r="DF675" t="s">
        <v>42</v>
      </c>
      <c r="DG675" t="s">
        <v>42</v>
      </c>
      <c r="DH675" s="4" t="s">
        <v>42</v>
      </c>
      <c r="DI675" t="s">
        <v>42</v>
      </c>
      <c r="DJ675" s="4" t="s">
        <v>42</v>
      </c>
      <c r="DK675" t="s">
        <v>42</v>
      </c>
      <c r="DL675" s="4">
        <v>489</v>
      </c>
      <c r="DM675">
        <v>1</v>
      </c>
      <c r="DN675" s="4">
        <v>501</v>
      </c>
      <c r="DO675">
        <v>1</v>
      </c>
      <c r="DP675" s="4">
        <v>511</v>
      </c>
      <c r="DQ675">
        <v>1</v>
      </c>
      <c r="DR675" s="4">
        <v>530</v>
      </c>
      <c r="DS675">
        <v>1</v>
      </c>
      <c r="DT675" s="4">
        <v>542</v>
      </c>
      <c r="DU675">
        <v>1</v>
      </c>
      <c r="DV675" s="4">
        <v>556</v>
      </c>
      <c r="DW675">
        <v>1</v>
      </c>
      <c r="DX675" s="4">
        <v>565</v>
      </c>
      <c r="DY675">
        <v>1</v>
      </c>
      <c r="DZ675" s="4">
        <v>573</v>
      </c>
      <c r="EA675">
        <v>1</v>
      </c>
      <c r="EB675" s="4">
        <v>578</v>
      </c>
      <c r="EC675">
        <v>1</v>
      </c>
      <c r="ED675" s="4">
        <v>582</v>
      </c>
      <c r="EE675">
        <v>1</v>
      </c>
      <c r="EF675" s="4">
        <v>588</v>
      </c>
      <c r="EG675">
        <v>1</v>
      </c>
      <c r="EH675" s="4">
        <v>595</v>
      </c>
      <c r="EI675">
        <v>1</v>
      </c>
      <c r="EJ675" s="4">
        <v>602</v>
      </c>
      <c r="EK675">
        <v>1</v>
      </c>
    </row>
    <row r="676" spans="1:141" x14ac:dyDescent="0.2">
      <c r="A676" t="str">
        <f>HYPERLINK("http://exon.niaid.nih.gov/transcriptome/C_felis/S1/links/cf/cf-contig_207.txt","cf-contig_207")</f>
        <v>cf-contig_207</v>
      </c>
      <c r="B676">
        <v>1</v>
      </c>
      <c r="C676" s="10" t="s">
        <v>4600</v>
      </c>
      <c r="D676">
        <v>1</v>
      </c>
      <c r="E676" t="str">
        <f>HYPERLINK("http://exon.niaid.nih.gov/transcriptome/C_felis/S1/links/cf/cf-5-36-asb-207.txt","Contig-207")</f>
        <v>Contig-207</v>
      </c>
      <c r="F676" t="str">
        <f>HYPERLINK("http://exon.niaid.nih.gov/transcriptome/C_felis/S1/links/cf/cf-5-36-207-CLU.txt","Contig207")</f>
        <v>Contig207</v>
      </c>
      <c r="G676" t="str">
        <f>HYPERLINK("http://exon.niaid.nih.gov/transcriptome/C_felis/S1/links/cf/cf-5-36-207-qual.txt","53.1")</f>
        <v>53.1</v>
      </c>
      <c r="H676">
        <v>0.2</v>
      </c>
      <c r="I676">
        <v>74.5</v>
      </c>
      <c r="J676">
        <v>443</v>
      </c>
      <c r="K676" t="s">
        <v>12</v>
      </c>
      <c r="L676">
        <v>1</v>
      </c>
      <c r="M676" t="s">
        <v>220</v>
      </c>
      <c r="N676">
        <v>443</v>
      </c>
      <c r="O676">
        <v>462</v>
      </c>
      <c r="P676">
        <v>108</v>
      </c>
      <c r="Q676" t="s">
        <v>1027</v>
      </c>
      <c r="R676">
        <v>2</v>
      </c>
      <c r="S676" s="7" t="s">
        <v>4585</v>
      </c>
      <c r="U676">
        <v>1</v>
      </c>
      <c r="V676" s="4">
        <f>HYPERLINK("http://exon.niaid.nih.gov/transcriptome/C_felis/S1/links/cluster/cf-5-36-asb30-50-Id-CLU51.txt", 51)</f>
        <v>51</v>
      </c>
      <c r="W676">
        <f>HYPERLINK("http://exon.niaid.nih.gov/transcriptome/C_felis/S1/links/cluster/cf-5-36-asb30-50-Id-CLTL51.txt", 2)</f>
        <v>2</v>
      </c>
      <c r="X676" s="4">
        <f>HYPERLINK("http://exon.niaid.nih.gov/transcriptome/C_felis/S1/links/cluster/cf-5-36-asb35-50-Id-CLU44.txt", 44)</f>
        <v>44</v>
      </c>
      <c r="Y676">
        <f>HYPERLINK("http://exon.niaid.nih.gov/transcriptome/C_felis/S1/links/cluster/cf-5-36-asb35-50-Id-CLTL44.txt", 2)</f>
        <v>2</v>
      </c>
      <c r="Z676" s="4">
        <f>HYPERLINK("http://exon.niaid.nih.gov/transcriptome/C_felis/S1/links/cluster/cf-5-36-asb40-50-Id-CLU41.txt", 41)</f>
        <v>41</v>
      </c>
      <c r="AA676">
        <f>HYPERLINK("http://exon.niaid.nih.gov/transcriptome/C_felis/S1/links/cluster/cf-5-36-asb40-50-Id-CLTL41.txt", 2)</f>
        <v>2</v>
      </c>
      <c r="AB676" s="4" t="str">
        <f>HYPERLINK("http://exon.niaid.nih.gov/transcriptome/C_felis/S1/links/XC-ASB/cf-contig_207-XC-ASB.txt","XC-contig_99")</f>
        <v>XC-contig_99</v>
      </c>
      <c r="AC676">
        <v>0.31</v>
      </c>
      <c r="AD676" s="10" t="s">
        <v>4600</v>
      </c>
      <c r="AE676" t="s">
        <v>4601</v>
      </c>
      <c r="AI676" s="4" t="str">
        <f>HYPERLINK("http://exon.niaid.nih.gov/transcriptome/C_felis/S1/links/NR/cf-contig_207-NR.txt","toxin secretion/phage lysis holin")</f>
        <v>toxin secretion/phage lysis holin</v>
      </c>
      <c r="AJ676" t="str">
        <f>HYPERLINK("http://www.ncbi.nlm.nih.gov/sutils/blink.cgi?pid=194466745","21")</f>
        <v>21</v>
      </c>
      <c r="AK676" t="str">
        <f>HYPERLINK("http://www.ncbi.nlm.nih.gov/protein/194466745","gi|194466745")</f>
        <v>gi|194466745</v>
      </c>
      <c r="AL676">
        <v>32.700000000000003</v>
      </c>
      <c r="AM676">
        <v>55</v>
      </c>
      <c r="AN676">
        <v>144</v>
      </c>
      <c r="AO676">
        <v>30</v>
      </c>
      <c r="AP676">
        <v>39</v>
      </c>
      <c r="AQ676">
        <v>39</v>
      </c>
      <c r="AR676">
        <v>0</v>
      </c>
      <c r="AS676">
        <v>3</v>
      </c>
      <c r="AT676">
        <v>127</v>
      </c>
      <c r="AU676">
        <v>1</v>
      </c>
      <c r="AV676">
        <v>-1</v>
      </c>
      <c r="AW676" t="s">
        <v>12</v>
      </c>
      <c r="AX676">
        <v>5.4550000000000001</v>
      </c>
      <c r="AY676" t="s">
        <v>1666</v>
      </c>
      <c r="AZ676" t="s">
        <v>2446</v>
      </c>
      <c r="BA676" s="4" t="str">
        <f>HYPERLINK("http://exon.niaid.nih.gov/transcriptome/C_felis/S1/links/SWISSP/cf-contig_207-SWISSP.txt","Cellulose synthase A catalytic subunit 7")</f>
        <v>Cellulose synthase A catalytic subunit 7</v>
      </c>
      <c r="BB676" t="str">
        <f>HYPERLINK("http://www.uniprot.org/uniprot/Q9AV71","3.6")</f>
        <v>3.6</v>
      </c>
      <c r="BC676" t="s">
        <v>2447</v>
      </c>
      <c r="BD676">
        <v>30.8</v>
      </c>
      <c r="BE676">
        <v>28</v>
      </c>
      <c r="BF676">
        <v>1063</v>
      </c>
      <c r="BG676">
        <v>41</v>
      </c>
      <c r="BH676">
        <v>3</v>
      </c>
      <c r="BI676">
        <v>17</v>
      </c>
      <c r="BJ676">
        <v>4</v>
      </c>
      <c r="BK676">
        <v>494</v>
      </c>
      <c r="BL676">
        <v>258</v>
      </c>
      <c r="BM676">
        <v>1</v>
      </c>
      <c r="BN676">
        <v>-2</v>
      </c>
      <c r="BO676" t="s">
        <v>12</v>
      </c>
      <c r="BP676">
        <v>3.5710000000000002</v>
      </c>
      <c r="BQ676" t="s">
        <v>1666</v>
      </c>
      <c r="BR676" t="s">
        <v>2448</v>
      </c>
      <c r="BS676" s="4" t="str">
        <f>HYPERLINK("http://exon.niaid.nih.gov/transcriptome/C_felis/S1/links/CDD/cf-contig_207-CDD.txt","PLN02915")</f>
        <v>PLN02915</v>
      </c>
      <c r="BT676" t="str">
        <f>HYPERLINK("http://www.ncbi.nlm.nih.gov/Structure/cdd/cddsrv.cgi?uid=PLN02915&amp;version=v4.0","0.17")</f>
        <v>0.17</v>
      </c>
      <c r="BU676" t="s">
        <v>2449</v>
      </c>
      <c r="BV676" s="4" t="s">
        <v>42</v>
      </c>
      <c r="BW676" t="s">
        <v>42</v>
      </c>
      <c r="BX676" t="s">
        <v>42</v>
      </c>
      <c r="BY676" t="s">
        <v>42</v>
      </c>
      <c r="BZ676" t="s">
        <v>42</v>
      </c>
      <c r="CA676" t="s">
        <v>42</v>
      </c>
      <c r="CB676" t="s">
        <v>42</v>
      </c>
      <c r="CC676" t="s">
        <v>42</v>
      </c>
      <c r="CD676" t="s">
        <v>42</v>
      </c>
      <c r="CE676" t="s">
        <v>42</v>
      </c>
      <c r="CF676" t="s">
        <v>42</v>
      </c>
      <c r="CG676" t="s">
        <v>42</v>
      </c>
      <c r="CH676" t="s">
        <v>42</v>
      </c>
      <c r="CI676" t="s">
        <v>42</v>
      </c>
      <c r="CJ676" t="s">
        <v>42</v>
      </c>
      <c r="CK676" t="s">
        <v>42</v>
      </c>
      <c r="CL676" t="s">
        <v>42</v>
      </c>
      <c r="CM676" t="s">
        <v>42</v>
      </c>
      <c r="CN676" t="s">
        <v>42</v>
      </c>
      <c r="CO676" t="s">
        <v>42</v>
      </c>
      <c r="CP676" t="s">
        <v>42</v>
      </c>
      <c r="CQ676" t="s">
        <v>42</v>
      </c>
      <c r="CR676" t="s">
        <v>42</v>
      </c>
      <c r="CS676" s="4" t="str">
        <f>HYPERLINK("http://exon.niaid.nih.gov/transcriptome/C_felis/S1/links/KOG/cf-contig_207-KOG.txt","Beta-galactosidase")</f>
        <v>Beta-galactosidase</v>
      </c>
      <c r="CT676" t="str">
        <f>HYPERLINK("http://www.ncbi.nlm.nih.gov/COG/grace/shokog.cgi?KOG0496","0.95")</f>
        <v>0.95</v>
      </c>
      <c r="CU676" t="s">
        <v>1823</v>
      </c>
      <c r="CV676" s="4" t="str">
        <f>HYPERLINK("http://exon.niaid.nih.gov/transcriptome/C_felis/S1/links/PFAM/cf-contig_207-PFAM.txt","Cellulose_synt")</f>
        <v>Cellulose_synt</v>
      </c>
      <c r="CW676" t="str">
        <f>HYPERLINK("http://pfam.sanger.ac.uk/family?acc=PF03552","0.063")</f>
        <v>0.063</v>
      </c>
      <c r="CX676" s="4" t="str">
        <f>HYPERLINK("http://exon.niaid.nih.gov/transcriptome/C_felis/S1/links/SMART/cf-contig_207-SMART.txt","zf-AD")</f>
        <v>zf-AD</v>
      </c>
      <c r="CY676" t="str">
        <f>HYPERLINK("http://smart.embl-heidelberg.de/smart/do_annotation.pl?DOMAIN=zf-AD&amp;BLAST=DUMMY","0.12")</f>
        <v>0.12</v>
      </c>
      <c r="CZ676" s="4" t="s">
        <v>42</v>
      </c>
      <c r="DA676" t="s">
        <v>42</v>
      </c>
      <c r="DB676" t="s">
        <v>42</v>
      </c>
      <c r="DC676" t="s">
        <v>42</v>
      </c>
      <c r="DD676" t="s">
        <v>42</v>
      </c>
      <c r="DE676" t="s">
        <v>42</v>
      </c>
      <c r="DF676" t="s">
        <v>42</v>
      </c>
      <c r="DG676" t="s">
        <v>42</v>
      </c>
      <c r="DH676" s="4" t="s">
        <v>42</v>
      </c>
      <c r="DI676" t="s">
        <v>42</v>
      </c>
      <c r="DJ676" s="4" t="s">
        <v>42</v>
      </c>
      <c r="DK676" t="s">
        <v>42</v>
      </c>
      <c r="DL676" s="4">
        <f>HYPERLINK("http://exon.niaid.nih.gov/transcriptome/C_felis/S1/links/cluster/cf-5-36-asb30-50-Id-CLU51.txt", 51)</f>
        <v>51</v>
      </c>
      <c r="DM676">
        <f>HYPERLINK("http://exon.niaid.nih.gov/transcriptome/C_felis/S1/links/cluster/cf-5-36-asb30-50-Id-CLTL51.txt", 2)</f>
        <v>2</v>
      </c>
      <c r="DN676" s="4">
        <f>HYPERLINK("http://exon.niaid.nih.gov/transcriptome/C_felis/S1/links/cluster/cf-5-36-asb35-50-Id-CLU44.txt", 44)</f>
        <v>44</v>
      </c>
      <c r="DO676">
        <f>HYPERLINK("http://exon.niaid.nih.gov/transcriptome/C_felis/S1/links/cluster/cf-5-36-asb35-50-Id-CLTL44.txt", 2)</f>
        <v>2</v>
      </c>
      <c r="DP676" s="4">
        <f>HYPERLINK("http://exon.niaid.nih.gov/transcriptome/C_felis/S1/links/cluster/cf-5-36-asb40-50-Id-CLU41.txt", 41)</f>
        <v>41</v>
      </c>
      <c r="DQ676">
        <f>HYPERLINK("http://exon.niaid.nih.gov/transcriptome/C_felis/S1/links/cluster/cf-5-36-asb40-50-Id-CLTL41.txt", 2)</f>
        <v>2</v>
      </c>
      <c r="DR676" s="4">
        <v>173</v>
      </c>
      <c r="DS676">
        <v>1</v>
      </c>
      <c r="DT676" s="4">
        <v>177</v>
      </c>
      <c r="DU676">
        <v>1</v>
      </c>
      <c r="DV676" s="4">
        <v>189</v>
      </c>
      <c r="DW676">
        <v>1</v>
      </c>
      <c r="DX676" s="4">
        <v>191</v>
      </c>
      <c r="DY676">
        <v>1</v>
      </c>
      <c r="DZ676" s="4">
        <v>193</v>
      </c>
      <c r="EA676">
        <v>1</v>
      </c>
      <c r="EB676" s="4">
        <v>198</v>
      </c>
      <c r="EC676">
        <v>1</v>
      </c>
      <c r="ED676" s="4">
        <v>201</v>
      </c>
      <c r="EE676">
        <v>1</v>
      </c>
      <c r="EF676" s="4">
        <v>202</v>
      </c>
      <c r="EG676">
        <v>1</v>
      </c>
      <c r="EH676" s="4">
        <v>202</v>
      </c>
      <c r="EI676">
        <v>1</v>
      </c>
      <c r="EJ676" s="4">
        <v>207</v>
      </c>
      <c r="EK676">
        <v>1</v>
      </c>
    </row>
    <row r="677" spans="1:141" x14ac:dyDescent="0.2">
      <c r="A677" t="str">
        <f>HYPERLINK("http://exon.niaid.nih.gov/transcriptome/C_felis/S1/links/cf/cf-contig_218.txt","cf-contig_218")</f>
        <v>cf-contig_218</v>
      </c>
      <c r="B677">
        <v>2</v>
      </c>
      <c r="C677" s="10" t="s">
        <v>4600</v>
      </c>
      <c r="D677">
        <v>2</v>
      </c>
      <c r="E677" t="str">
        <f>HYPERLINK("http://exon.niaid.nih.gov/transcriptome/C_felis/S1/links/cf/cf-5-36-asb-218.txt","Contig-218")</f>
        <v>Contig-218</v>
      </c>
      <c r="F677" t="str">
        <f>HYPERLINK("http://exon.niaid.nih.gov/transcriptome/C_felis/S1/links/cf/cf-5-36-218-CLU.txt","Contig218")</f>
        <v>Contig218</v>
      </c>
      <c r="G677" t="str">
        <f>HYPERLINK("http://exon.niaid.nih.gov/transcriptome/C_felis/S1/links/cf/cf-5-36-218-qual.txt","72.")</f>
        <v>72.</v>
      </c>
      <c r="H677">
        <v>0.2</v>
      </c>
      <c r="I677">
        <v>79.2</v>
      </c>
      <c r="J677">
        <v>576</v>
      </c>
      <c r="K677" t="s">
        <v>12</v>
      </c>
      <c r="L677">
        <v>2</v>
      </c>
      <c r="M677" t="s">
        <v>231</v>
      </c>
      <c r="N677">
        <v>576</v>
      </c>
      <c r="O677">
        <v>595</v>
      </c>
      <c r="P677">
        <v>168</v>
      </c>
      <c r="Q677" t="s">
        <v>1038</v>
      </c>
      <c r="R677">
        <v>3</v>
      </c>
      <c r="S677" s="7" t="str">
        <f>HYPERLINK("http://exon.niaid.nih.gov/transcriptome/C_felis/S1/links/Sigp/CF-CONTIG_218-SigP.txt","Cyt")</f>
        <v>Cyt</v>
      </c>
      <c r="U677">
        <v>2</v>
      </c>
      <c r="V677" s="4">
        <v>176</v>
      </c>
      <c r="W677">
        <v>1</v>
      </c>
      <c r="X677" s="4">
        <v>179</v>
      </c>
      <c r="Y677">
        <v>1</v>
      </c>
      <c r="Z677" s="4">
        <v>177</v>
      </c>
      <c r="AA677">
        <v>1</v>
      </c>
      <c r="AB677" s="4" t="str">
        <f>HYPERLINK("http://exon.niaid.nih.gov/transcriptome/C_felis/S1/links/XC-ASB/cf-contig_218-XC-ASB.txt","XC-contig_75")</f>
        <v>XC-contig_75</v>
      </c>
      <c r="AC677">
        <v>4.0000000000000001E-3</v>
      </c>
      <c r="AD677" s="10" t="s">
        <v>4600</v>
      </c>
      <c r="AE677" t="s">
        <v>4601</v>
      </c>
      <c r="AI677" s="4" t="str">
        <f>HYPERLINK("http://exon.niaid.nih.gov/transcriptome/C_felis/S1/links/NR/cf-contig_218-NR.txt","A 'c' was inserted after nt 369 (=nt 10459 in genomic sequence (M10126)) to")</f>
        <v>A 'c' was inserted after nt 369 (=nt 10459 in genomic sequence (M10126)) to</v>
      </c>
      <c r="AJ677" t="str">
        <f>HYPERLINK("http://www.ncbi.nlm.nih.gov/sutils/blink.cgi?pid=340613","1.1")</f>
        <v>1.1</v>
      </c>
      <c r="AK677" t="str">
        <f>HYPERLINK("http://www.ncbi.nlm.nih.gov/protein/340613","gi|340613")</f>
        <v>gi|340613</v>
      </c>
      <c r="AL677">
        <v>37.700000000000003</v>
      </c>
      <c r="AM677">
        <v>159</v>
      </c>
      <c r="AN677">
        <v>355</v>
      </c>
      <c r="AO677">
        <v>26</v>
      </c>
      <c r="AP677">
        <v>45</v>
      </c>
      <c r="AQ677">
        <v>124</v>
      </c>
      <c r="AR677">
        <v>14</v>
      </c>
      <c r="AS677">
        <v>171</v>
      </c>
      <c r="AT677">
        <v>44</v>
      </c>
      <c r="AU677">
        <v>1</v>
      </c>
      <c r="AV677">
        <v>-1</v>
      </c>
      <c r="AW677" t="s">
        <v>12</v>
      </c>
      <c r="AX677">
        <v>5.66</v>
      </c>
      <c r="AY677" t="s">
        <v>1666</v>
      </c>
      <c r="AZ677" t="s">
        <v>2478</v>
      </c>
      <c r="BA677" s="4" t="str">
        <f>HYPERLINK("http://exon.niaid.nih.gov/transcriptome/C_felis/S1/links/SWISSP/cf-contig_218-SWISSP.txt","SET domain-containing protein DDB_G0283443")</f>
        <v>SET domain-containing protein DDB_G0283443</v>
      </c>
      <c r="BB677" t="str">
        <f>HYPERLINK("http://www.uniprot.org/uniprot/Q54R14","3.0")</f>
        <v>3.0</v>
      </c>
      <c r="BC677" t="s">
        <v>2479</v>
      </c>
      <c r="BD677">
        <v>32</v>
      </c>
      <c r="BE677">
        <v>32</v>
      </c>
      <c r="BF677">
        <v>393</v>
      </c>
      <c r="BG677">
        <v>48</v>
      </c>
      <c r="BH677">
        <v>8</v>
      </c>
      <c r="BI677">
        <v>17</v>
      </c>
      <c r="BJ677">
        <v>2</v>
      </c>
      <c r="BK677">
        <v>86</v>
      </c>
      <c r="BL677">
        <v>273</v>
      </c>
      <c r="BM677">
        <v>1</v>
      </c>
      <c r="BN677">
        <v>-3</v>
      </c>
      <c r="BO677" t="s">
        <v>12</v>
      </c>
      <c r="BQ677" t="s">
        <v>1666</v>
      </c>
      <c r="BR677" t="s">
        <v>1976</v>
      </c>
      <c r="BS677" s="4" t="str">
        <f>HYPERLINK("http://exon.niaid.nih.gov/transcriptome/C_felis/S1/links/CDD/cf-contig_218-CDD.txt","7TM_GPCR_Srh")</f>
        <v>7TM_GPCR_Srh</v>
      </c>
      <c r="BT677" t="str">
        <f>HYPERLINK("http://www.ncbi.nlm.nih.gov/Structure/cdd/cddsrv.cgi?uid=pfam10318&amp;version=v4.0","0.006")</f>
        <v>0.006</v>
      </c>
      <c r="BU677" t="s">
        <v>2480</v>
      </c>
      <c r="BV677" s="4" t="s">
        <v>42</v>
      </c>
      <c r="BW677" t="s">
        <v>42</v>
      </c>
      <c r="BX677" t="s">
        <v>42</v>
      </c>
      <c r="BY677" t="s">
        <v>42</v>
      </c>
      <c r="BZ677" t="s">
        <v>42</v>
      </c>
      <c r="CA677" t="s">
        <v>42</v>
      </c>
      <c r="CB677" t="s">
        <v>42</v>
      </c>
      <c r="CC677" t="s">
        <v>42</v>
      </c>
      <c r="CD677" t="s">
        <v>42</v>
      </c>
      <c r="CE677" t="s">
        <v>42</v>
      </c>
      <c r="CF677" t="s">
        <v>42</v>
      </c>
      <c r="CG677" t="s">
        <v>42</v>
      </c>
      <c r="CH677" t="s">
        <v>42</v>
      </c>
      <c r="CI677" t="s">
        <v>42</v>
      </c>
      <c r="CJ677" t="s">
        <v>42</v>
      </c>
      <c r="CK677" t="s">
        <v>42</v>
      </c>
      <c r="CL677" t="s">
        <v>42</v>
      </c>
      <c r="CM677" t="s">
        <v>42</v>
      </c>
      <c r="CN677" t="s">
        <v>42</v>
      </c>
      <c r="CO677" t="s">
        <v>42</v>
      </c>
      <c r="CP677" t="s">
        <v>42</v>
      </c>
      <c r="CQ677" t="s">
        <v>42</v>
      </c>
      <c r="CR677" t="s">
        <v>42</v>
      </c>
      <c r="CS677" s="4" t="str">
        <f>HYPERLINK("http://exon.niaid.nih.gov/transcriptome/C_felis/S1/links/KOG/cf-contig_218-KOG.txt","Long chain fatty acid elongase")</f>
        <v>Long chain fatty acid elongase</v>
      </c>
      <c r="CT677" t="str">
        <f>HYPERLINK("http://www.ncbi.nlm.nih.gov/COG/grace/shokog.cgi?KOG3072","0.32")</f>
        <v>0.32</v>
      </c>
      <c r="CU677" t="s">
        <v>1761</v>
      </c>
      <c r="CV677" s="4" t="str">
        <f>HYPERLINK("http://exon.niaid.nih.gov/transcriptome/C_felis/S1/links/PFAM/cf-contig_218-PFAM.txt","7TM_GPCR_Srh")</f>
        <v>7TM_GPCR_Srh</v>
      </c>
      <c r="CW677" t="str">
        <f>HYPERLINK("http://pfam.sanger.ac.uk/family?acc=PF10318","0.001")</f>
        <v>0.001</v>
      </c>
      <c r="CX677" s="4" t="str">
        <f>HYPERLINK("http://exon.niaid.nih.gov/transcriptome/C_felis/S1/links/SMART/cf-contig_218-SMART.txt","Cg6151-P")</f>
        <v>Cg6151-P</v>
      </c>
      <c r="CY677" t="str">
        <f>HYPERLINK("http://smart.embl-heidelberg.de/smart/do_annotation.pl?DOMAIN=Cg6151-P&amp;BLAST=DUMMY","0.050")</f>
        <v>0.050</v>
      </c>
      <c r="CZ677" s="4" t="s">
        <v>42</v>
      </c>
      <c r="DA677" t="s">
        <v>42</v>
      </c>
      <c r="DB677" t="s">
        <v>42</v>
      </c>
      <c r="DC677" t="s">
        <v>42</v>
      </c>
      <c r="DD677" t="s">
        <v>42</v>
      </c>
      <c r="DE677" t="s">
        <v>42</v>
      </c>
      <c r="DF677" t="s">
        <v>42</v>
      </c>
      <c r="DG677" t="s">
        <v>42</v>
      </c>
      <c r="DH677" s="4" t="s">
        <v>42</v>
      </c>
      <c r="DI677" t="s">
        <v>42</v>
      </c>
      <c r="DJ677" s="4" t="s">
        <v>42</v>
      </c>
      <c r="DK677" t="s">
        <v>42</v>
      </c>
      <c r="DL677" s="4">
        <v>176</v>
      </c>
      <c r="DM677">
        <v>1</v>
      </c>
      <c r="DN677" s="4">
        <v>179</v>
      </c>
      <c r="DO677">
        <v>1</v>
      </c>
      <c r="DP677" s="4">
        <v>177</v>
      </c>
      <c r="DQ677">
        <v>1</v>
      </c>
      <c r="DR677" s="4">
        <v>180</v>
      </c>
      <c r="DS677">
        <v>1</v>
      </c>
      <c r="DT677" s="4">
        <v>184</v>
      </c>
      <c r="DU677">
        <v>1</v>
      </c>
      <c r="DV677" s="4">
        <v>196</v>
      </c>
      <c r="DW677">
        <v>1</v>
      </c>
      <c r="DX677" s="4">
        <v>198</v>
      </c>
      <c r="DY677">
        <v>1</v>
      </c>
      <c r="DZ677" s="4">
        <v>200</v>
      </c>
      <c r="EA677">
        <v>1</v>
      </c>
      <c r="EB677" s="4">
        <v>205</v>
      </c>
      <c r="EC677">
        <v>1</v>
      </c>
      <c r="ED677" s="4">
        <v>208</v>
      </c>
      <c r="EE677">
        <v>1</v>
      </c>
      <c r="EF677" s="4">
        <v>211</v>
      </c>
      <c r="EG677">
        <v>1</v>
      </c>
      <c r="EH677" s="4">
        <v>213</v>
      </c>
      <c r="EI677">
        <v>1</v>
      </c>
      <c r="EJ677" s="4">
        <v>218</v>
      </c>
      <c r="EK677">
        <v>1</v>
      </c>
    </row>
    <row r="678" spans="1:141" x14ac:dyDescent="0.2">
      <c r="A678" t="str">
        <f>HYPERLINK("http://exon.niaid.nih.gov/transcriptome/C_felis/S1/links/cf/cf-contig_33.txt","cf-contig_33")</f>
        <v>cf-contig_33</v>
      </c>
      <c r="B678">
        <v>1</v>
      </c>
      <c r="C678" s="10" t="s">
        <v>4600</v>
      </c>
      <c r="D678">
        <v>1</v>
      </c>
      <c r="E678" t="str">
        <f>HYPERLINK("http://exon.niaid.nih.gov/transcriptome/C_felis/S1/links/cf/cf-5-36-asb-33.txt","Contig-33")</f>
        <v>Contig-33</v>
      </c>
      <c r="F678" t="str">
        <f>HYPERLINK("http://exon.niaid.nih.gov/transcriptome/C_felis/S1/links/cf/cf-5-36-33-CLU.txt","Contig33")</f>
        <v>Contig33</v>
      </c>
      <c r="G678" t="str">
        <f>HYPERLINK("http://exon.niaid.nih.gov/transcriptome/C_felis/S1/links/cf/cf-5-36-33-qual.txt","63.2")</f>
        <v>63.2</v>
      </c>
      <c r="H678" t="s">
        <v>11</v>
      </c>
      <c r="I678">
        <v>72</v>
      </c>
      <c r="J678">
        <v>309</v>
      </c>
      <c r="K678" t="s">
        <v>12</v>
      </c>
      <c r="L678">
        <v>1</v>
      </c>
      <c r="M678" t="s">
        <v>46</v>
      </c>
      <c r="N678">
        <v>309</v>
      </c>
      <c r="O678">
        <v>328</v>
      </c>
      <c r="P678">
        <v>147</v>
      </c>
      <c r="Q678" t="s">
        <v>855</v>
      </c>
      <c r="R678">
        <v>3</v>
      </c>
      <c r="S678" s="7" t="s">
        <v>4585</v>
      </c>
      <c r="U678">
        <v>1</v>
      </c>
      <c r="V678" s="4">
        <f>HYPERLINK("http://exon.niaid.nih.gov/transcriptome/C_felis/S1/links/cluster/cf-5-36-asb30-50-Id-CLU1.txt", 1)</f>
        <v>1</v>
      </c>
      <c r="W678">
        <f>HYPERLINK("http://exon.niaid.nih.gov/transcriptome/C_felis/S1/links/cluster/cf-5-36-asb30-50-Id-CLTL1.txt", 14)</f>
        <v>14</v>
      </c>
      <c r="X678" s="4">
        <f>HYPERLINK("http://exon.niaid.nih.gov/transcriptome/C_felis/S1/links/cluster/cf-5-36-asb35-50-Id-CLU2.txt", 2)</f>
        <v>2</v>
      </c>
      <c r="Y678">
        <f>HYPERLINK("http://exon.niaid.nih.gov/transcriptome/C_felis/S1/links/cluster/cf-5-36-asb35-50-Id-CLTL2.txt", 9)</f>
        <v>9</v>
      </c>
      <c r="Z678" s="4">
        <f>HYPERLINK("http://exon.niaid.nih.gov/transcriptome/C_felis/S1/links/cluster/cf-5-36-asb40-50-Id-CLU2.txt", 2)</f>
        <v>2</v>
      </c>
      <c r="AA678">
        <f>HYPERLINK("http://exon.niaid.nih.gov/transcriptome/C_felis/S1/links/cluster/cf-5-36-asb40-50-Id-CLTL2.txt", 7)</f>
        <v>7</v>
      </c>
      <c r="AB678" s="4" t="str">
        <f>HYPERLINK("http://exon.niaid.nih.gov/transcriptome/C_felis/S1/links/XC-ASB/cf-contig_33-XC-ASB.txt","XC-contig_209")</f>
        <v>XC-contig_209</v>
      </c>
      <c r="AC678">
        <v>0.15</v>
      </c>
      <c r="AD678" s="10" t="s">
        <v>4600</v>
      </c>
      <c r="AE678" t="s">
        <v>4601</v>
      </c>
      <c r="AI678" s="4" t="str">
        <f>HYPERLINK("http://exon.niaid.nih.gov/transcriptome/C_felis/S1/links/NR/cf-contig_33-NR.txt","hypothetical protein Lebu_0038")</f>
        <v>hypothetical protein Lebu_0038</v>
      </c>
      <c r="AJ678" t="str">
        <f>HYPERLINK("http://www.ncbi.nlm.nih.gov/sutils/blink.cgi?pid=257124849","7.2")</f>
        <v>7.2</v>
      </c>
      <c r="AK678" t="str">
        <f>HYPERLINK("http://www.ncbi.nlm.nih.gov/protein/257124849","gi|257124849")</f>
        <v>gi|257124849</v>
      </c>
      <c r="AL678">
        <v>34.299999999999997</v>
      </c>
      <c r="AM678">
        <v>40</v>
      </c>
      <c r="AN678">
        <v>272</v>
      </c>
      <c r="AO678">
        <v>41</v>
      </c>
      <c r="AP678">
        <v>15</v>
      </c>
      <c r="AQ678">
        <v>24</v>
      </c>
      <c r="AR678">
        <v>1</v>
      </c>
      <c r="AS678">
        <v>205</v>
      </c>
      <c r="AT678">
        <v>181</v>
      </c>
      <c r="AU678">
        <v>1</v>
      </c>
      <c r="AV678">
        <v>1</v>
      </c>
      <c r="AW678" t="s">
        <v>12</v>
      </c>
      <c r="AX678">
        <v>5</v>
      </c>
      <c r="AY678" t="s">
        <v>1676</v>
      </c>
      <c r="AZ678" t="s">
        <v>1789</v>
      </c>
      <c r="BA678" s="4" t="str">
        <f>HYPERLINK("http://exon.niaid.nih.gov/transcriptome/C_felis/S1/links/SWISSP/cf-contig_33-SWISSP.txt","DNA-directed RNA polymerase subunit beta")</f>
        <v>DNA-directed RNA polymerase subunit beta</v>
      </c>
      <c r="BB678" t="str">
        <f>HYPERLINK("http://www.uniprot.org/uniprot/P21421","3.7")</f>
        <v>3.7</v>
      </c>
      <c r="BC678" t="s">
        <v>1790</v>
      </c>
      <c r="BD678">
        <v>30.4</v>
      </c>
      <c r="BE678">
        <v>83</v>
      </c>
      <c r="BF678">
        <v>1024</v>
      </c>
      <c r="BG678">
        <v>29</v>
      </c>
      <c r="BH678">
        <v>8</v>
      </c>
      <c r="BI678">
        <v>67</v>
      </c>
      <c r="BJ678">
        <v>6</v>
      </c>
      <c r="BK678">
        <v>817</v>
      </c>
      <c r="BL678">
        <v>13</v>
      </c>
      <c r="BM678">
        <v>1</v>
      </c>
      <c r="BN678">
        <v>-2</v>
      </c>
      <c r="BO678" t="s">
        <v>12</v>
      </c>
      <c r="BP678">
        <v>2.41</v>
      </c>
      <c r="BQ678" t="s">
        <v>1666</v>
      </c>
      <c r="BR678" t="s">
        <v>1791</v>
      </c>
      <c r="BS678" s="4" t="str">
        <f>HYPERLINK("http://exon.niaid.nih.gov/transcriptome/C_felis/S1/links/CDD/cf-contig_33-CDD.txt","7TM_GPCR_Srz")</f>
        <v>7TM_GPCR_Srz</v>
      </c>
      <c r="BT678" t="str">
        <f>HYPERLINK("http://www.ncbi.nlm.nih.gov/Structure/cdd/cddsrv.cgi?uid=pfam10325&amp;version=v4.0","0.070")</f>
        <v>0.070</v>
      </c>
      <c r="BU678" t="s">
        <v>1792</v>
      </c>
      <c r="BV678" s="4" t="s">
        <v>42</v>
      </c>
      <c r="BW678" t="s">
        <v>42</v>
      </c>
      <c r="BX678" t="s">
        <v>42</v>
      </c>
      <c r="BY678" t="s">
        <v>42</v>
      </c>
      <c r="BZ678" t="s">
        <v>42</v>
      </c>
      <c r="CA678" t="s">
        <v>42</v>
      </c>
      <c r="CB678" t="s">
        <v>42</v>
      </c>
      <c r="CC678" t="s">
        <v>42</v>
      </c>
      <c r="CD678" t="s">
        <v>42</v>
      </c>
      <c r="CE678" t="s">
        <v>42</v>
      </c>
      <c r="CF678" t="s">
        <v>42</v>
      </c>
      <c r="CG678" t="s">
        <v>42</v>
      </c>
      <c r="CH678" t="s">
        <v>42</v>
      </c>
      <c r="CI678" t="s">
        <v>42</v>
      </c>
      <c r="CJ678" t="s">
        <v>42</v>
      </c>
      <c r="CK678" t="s">
        <v>42</v>
      </c>
      <c r="CL678" t="s">
        <v>42</v>
      </c>
      <c r="CM678" t="s">
        <v>42</v>
      </c>
      <c r="CN678" t="s">
        <v>42</v>
      </c>
      <c r="CO678" t="s">
        <v>42</v>
      </c>
      <c r="CP678" t="s">
        <v>42</v>
      </c>
      <c r="CQ678" t="s">
        <v>42</v>
      </c>
      <c r="CR678" t="s">
        <v>42</v>
      </c>
      <c r="CS678" s="4" t="str">
        <f>HYPERLINK("http://exon.niaid.nih.gov/transcriptome/C_felis/S1/links/KOG/cf-contig_33-KOG.txt","Cytochrome c oxidase, subunit II, and related proteins")</f>
        <v>Cytochrome c oxidase, subunit II, and related proteins</v>
      </c>
      <c r="CT678" t="str">
        <f>HYPERLINK("http://www.ncbi.nlm.nih.gov/COG/grace/shokog.cgi?KOG4767","0.90")</f>
        <v>0.90</v>
      </c>
      <c r="CU678" t="s">
        <v>1793</v>
      </c>
      <c r="CV678" s="4" t="str">
        <f>HYPERLINK("http://exon.niaid.nih.gov/transcriptome/C_felis/S1/links/PFAM/cf-contig_33-PFAM.txt","7TM_GPCR_Srz")</f>
        <v>7TM_GPCR_Srz</v>
      </c>
      <c r="CW678" t="str">
        <f>HYPERLINK("http://pfam.sanger.ac.uk/family?acc=PF10325","0.015")</f>
        <v>0.015</v>
      </c>
      <c r="CX678" s="4" t="str">
        <f>HYPERLINK("http://exon.niaid.nih.gov/transcriptome/C_felis/S1/links/SMART/cf-contig_33-SMART.txt","AgrB")</f>
        <v>AgrB</v>
      </c>
      <c r="CY678" t="str">
        <f>HYPERLINK("http://smart.embl-heidelberg.de/smart/do_annotation.pl?DOMAIN=AgrB&amp;BLAST=DUMMY","0.047")</f>
        <v>0.047</v>
      </c>
      <c r="CZ678" s="4" t="s">
        <v>42</v>
      </c>
      <c r="DA678" t="s">
        <v>42</v>
      </c>
      <c r="DB678" t="s">
        <v>42</v>
      </c>
      <c r="DC678" t="s">
        <v>42</v>
      </c>
      <c r="DD678" t="s">
        <v>42</v>
      </c>
      <c r="DE678" t="s">
        <v>42</v>
      </c>
      <c r="DF678" t="s">
        <v>42</v>
      </c>
      <c r="DG678" t="s">
        <v>42</v>
      </c>
      <c r="DH678" s="4" t="s">
        <v>42</v>
      </c>
      <c r="DI678" t="s">
        <v>42</v>
      </c>
      <c r="DJ678" s="4" t="s">
        <v>42</v>
      </c>
      <c r="DK678" t="s">
        <v>42</v>
      </c>
      <c r="DL678" s="4">
        <f>HYPERLINK("http://exon.niaid.nih.gov/transcriptome/C_felis/S1/links/cluster/cf-5-36-asb30-50-Id-CLU1.txt", 1)</f>
        <v>1</v>
      </c>
      <c r="DM678">
        <f>HYPERLINK("http://exon.niaid.nih.gov/transcriptome/C_felis/S1/links/cluster/cf-5-36-asb30-50-Id-CLTL1.txt", 14)</f>
        <v>14</v>
      </c>
      <c r="DN678" s="4">
        <f>HYPERLINK("http://exon.niaid.nih.gov/transcriptome/C_felis/S1/links/cluster/cf-5-36-asb35-50-Id-CLU2.txt", 2)</f>
        <v>2</v>
      </c>
      <c r="DO678">
        <f>HYPERLINK("http://exon.niaid.nih.gov/transcriptome/C_felis/S1/links/cluster/cf-5-36-asb35-50-Id-CLTL2.txt", 9)</f>
        <v>9</v>
      </c>
      <c r="DP678" s="4">
        <f>HYPERLINK("http://exon.niaid.nih.gov/transcriptome/C_felis/S1/links/cluster/cf-5-36-asb40-50-Id-CLU2.txt", 2)</f>
        <v>2</v>
      </c>
      <c r="DQ678">
        <f>HYPERLINK("http://exon.niaid.nih.gov/transcriptome/C_felis/S1/links/cluster/cf-5-36-asb40-50-Id-CLTL2.txt", 7)</f>
        <v>7</v>
      </c>
      <c r="DR678" s="4">
        <f>HYPERLINK("http://exon.niaid.nih.gov/transcriptome/C_felis/S1/links/cluster/cf-5-36-asb45-50-Id-CLU2.txt", 2)</f>
        <v>2</v>
      </c>
      <c r="DS678">
        <f>HYPERLINK("http://exon.niaid.nih.gov/transcriptome/C_felis/S1/links/cluster/cf-5-36-asb45-50-Id-CLTL2.txt", 6)</f>
        <v>6</v>
      </c>
      <c r="DT678" s="4">
        <f>HYPERLINK("http://exon.niaid.nih.gov/transcriptome/C_felis/S1/links/cluster/cf-5-36-asb50-50-Id-CLU2.txt", 2)</f>
        <v>2</v>
      </c>
      <c r="DU678">
        <f>HYPERLINK("http://exon.niaid.nih.gov/transcriptome/C_felis/S1/links/cluster/cf-5-36-asb50-50-Id-CLTL2.txt", 6)</f>
        <v>6</v>
      </c>
      <c r="DV678" s="4">
        <f>HYPERLINK("http://exon.niaid.nih.gov/transcriptome/C_felis/S1/links/cluster/cf-5-36-asb55-50-Id-CLU2.txt", 2)</f>
        <v>2</v>
      </c>
      <c r="DW678">
        <f>HYPERLINK("http://exon.niaid.nih.gov/transcriptome/C_felis/S1/links/cluster/cf-5-36-asb55-50-Id-CLTL2.txt", 4)</f>
        <v>4</v>
      </c>
      <c r="DX678" s="4">
        <f>HYPERLINK("http://exon.niaid.nih.gov/transcriptome/C_felis/S1/links/cluster/cf-5-36-asb60-50-Id-CLU5.txt", 5)</f>
        <v>5</v>
      </c>
      <c r="DY678">
        <f>HYPERLINK("http://exon.niaid.nih.gov/transcriptome/C_felis/S1/links/cluster/cf-5-36-asb60-50-Id-CLTL5.txt", 3)</f>
        <v>3</v>
      </c>
      <c r="DZ678" s="4">
        <v>56</v>
      </c>
      <c r="EA678">
        <v>1</v>
      </c>
      <c r="EB678" s="4">
        <v>55</v>
      </c>
      <c r="EC678">
        <v>1</v>
      </c>
      <c r="ED678" s="4">
        <v>55</v>
      </c>
      <c r="EE678">
        <v>1</v>
      </c>
      <c r="EF678" s="4">
        <v>49</v>
      </c>
      <c r="EG678">
        <v>1</v>
      </c>
      <c r="EH678" s="4">
        <v>37</v>
      </c>
      <c r="EI678">
        <v>1</v>
      </c>
      <c r="EJ678" s="4">
        <v>33</v>
      </c>
      <c r="EK678">
        <v>1</v>
      </c>
    </row>
    <row r="679" spans="1:141" x14ac:dyDescent="0.2">
      <c r="A679" t="str">
        <f>HYPERLINK("http://exon.niaid.nih.gov/transcriptome/C_felis/S1/links/cf/cf-contig_503.txt","cf-contig_503")</f>
        <v>cf-contig_503</v>
      </c>
      <c r="B679">
        <v>1</v>
      </c>
      <c r="C679" s="10" t="s">
        <v>4600</v>
      </c>
      <c r="D679">
        <v>1</v>
      </c>
      <c r="E679" t="str">
        <f>HYPERLINK("http://exon.niaid.nih.gov/transcriptome/C_felis/S1/links/cf/cf-5-36-asb-503.txt","Contig-503")</f>
        <v>Contig-503</v>
      </c>
      <c r="F679" t="str">
        <f>HYPERLINK("http://exon.niaid.nih.gov/transcriptome/C_felis/S1/links/cf/cf-5-36-503-CLU.txt","Contig503")</f>
        <v>Contig503</v>
      </c>
      <c r="G679" t="str">
        <f>HYPERLINK("http://exon.niaid.nih.gov/transcriptome/C_felis/S1/links/cf/cf-5-36-503-qual.txt","57.9")</f>
        <v>57.9</v>
      </c>
      <c r="H679" t="s">
        <v>11</v>
      </c>
      <c r="I679">
        <v>73.5</v>
      </c>
      <c r="J679">
        <v>117</v>
      </c>
      <c r="K679" t="s">
        <v>12</v>
      </c>
      <c r="L679">
        <v>1</v>
      </c>
      <c r="M679" t="s">
        <v>516</v>
      </c>
      <c r="N679">
        <v>117</v>
      </c>
      <c r="O679">
        <v>136</v>
      </c>
      <c r="P679">
        <v>90</v>
      </c>
      <c r="Q679" t="s">
        <v>1322</v>
      </c>
      <c r="R679">
        <v>2</v>
      </c>
      <c r="S679" s="7" t="s">
        <v>4585</v>
      </c>
      <c r="U679">
        <v>1</v>
      </c>
      <c r="V679" s="4">
        <v>411</v>
      </c>
      <c r="W679">
        <v>1</v>
      </c>
      <c r="X679" s="4">
        <v>420</v>
      </c>
      <c r="Y679">
        <v>1</v>
      </c>
      <c r="Z679" s="4">
        <v>425</v>
      </c>
      <c r="AA679">
        <v>1</v>
      </c>
      <c r="AB679" s="4" t="str">
        <f>HYPERLINK("http://exon.niaid.nih.gov/transcriptome/C_felis/S1/links/XC-ASB/cf-contig_503-XC-ASB.txt","XC-contig_241")</f>
        <v>XC-contig_241</v>
      </c>
      <c r="AC679">
        <v>9.9999999999999995E-7</v>
      </c>
      <c r="AD679" s="10" t="s">
        <v>4600</v>
      </c>
      <c r="AE679" t="s">
        <v>4601</v>
      </c>
      <c r="AI679" s="4" t="str">
        <f>HYPERLINK("http://exon.niaid.nih.gov/transcriptome/C_felis/S1/links/NR/cf-contig_503-NR.txt","putative membrane protein")</f>
        <v>putative membrane protein</v>
      </c>
      <c r="AJ679" t="str">
        <f>HYPERLINK("http://www.ncbi.nlm.nih.gov/sutils/blink.cgi?pid=262038046","46")</f>
        <v>46</v>
      </c>
      <c r="AK679" t="str">
        <f>HYPERLINK("http://www.ncbi.nlm.nih.gov/protein/262038046","gi|262038046")</f>
        <v>gi|262038046</v>
      </c>
      <c r="AL679">
        <v>31.6</v>
      </c>
      <c r="AM679">
        <v>32</v>
      </c>
      <c r="AN679">
        <v>588</v>
      </c>
      <c r="AO679">
        <v>44</v>
      </c>
      <c r="AP679">
        <v>6</v>
      </c>
      <c r="AQ679">
        <v>19</v>
      </c>
      <c r="AR679">
        <v>0</v>
      </c>
      <c r="AS679">
        <v>311</v>
      </c>
      <c r="AT679">
        <v>7</v>
      </c>
      <c r="AU679">
        <v>1</v>
      </c>
      <c r="AV679">
        <v>-2</v>
      </c>
      <c r="AW679" t="s">
        <v>12</v>
      </c>
      <c r="AY679" t="s">
        <v>1666</v>
      </c>
      <c r="AZ679" t="s">
        <v>3508</v>
      </c>
      <c r="BA679" s="4" t="str">
        <f>HYPERLINK("http://exon.niaid.nih.gov/transcriptome/C_felis/S1/links/SWISSP/cf-contig_503-SWISSP.txt","(+)-sabinene synthase, chloroplastic")</f>
        <v>(+)-sabinene synthase, chloroplastic</v>
      </c>
      <c r="BB679" t="str">
        <f>HYPERLINK("http://www.uniprot.org/uniprot/O81193","1.6")</f>
        <v>1.6</v>
      </c>
      <c r="BC679" t="s">
        <v>3509</v>
      </c>
      <c r="BD679">
        <v>31.6</v>
      </c>
      <c r="BE679">
        <v>32</v>
      </c>
      <c r="BF679">
        <v>590</v>
      </c>
      <c r="BG679">
        <v>39</v>
      </c>
      <c r="BH679">
        <v>6</v>
      </c>
      <c r="BI679">
        <v>20</v>
      </c>
      <c r="BJ679">
        <v>2</v>
      </c>
      <c r="BK679">
        <v>375</v>
      </c>
      <c r="BL679">
        <v>8</v>
      </c>
      <c r="BM679">
        <v>1</v>
      </c>
      <c r="BN679">
        <v>-1</v>
      </c>
      <c r="BO679" t="s">
        <v>12</v>
      </c>
      <c r="BP679">
        <v>3.125</v>
      </c>
      <c r="BQ679" t="s">
        <v>1666</v>
      </c>
      <c r="BR679" t="s">
        <v>3510</v>
      </c>
      <c r="BS679" s="4" t="str">
        <f>HYPERLINK("http://exon.niaid.nih.gov/transcriptome/C_felis/S1/links/CDD/cf-contig_503-CDD.txt","Ribosomal_P2")</f>
        <v>Ribosomal_P2</v>
      </c>
      <c r="BT679" t="str">
        <f>HYPERLINK("http://www.ncbi.nlm.nih.gov/Structure/cdd/cddsrv.cgi?uid=cd05833&amp;version=v4.0","1.3")</f>
        <v>1.3</v>
      </c>
      <c r="BU679" t="s">
        <v>3511</v>
      </c>
      <c r="BV679" s="4" t="s">
        <v>42</v>
      </c>
      <c r="BW679" t="s">
        <v>42</v>
      </c>
      <c r="BX679" t="s">
        <v>42</v>
      </c>
      <c r="BY679" t="s">
        <v>42</v>
      </c>
      <c r="BZ679" t="s">
        <v>42</v>
      </c>
      <c r="CA679" t="s">
        <v>42</v>
      </c>
      <c r="CB679" t="s">
        <v>42</v>
      </c>
      <c r="CC679" t="s">
        <v>42</v>
      </c>
      <c r="CD679" t="s">
        <v>42</v>
      </c>
      <c r="CE679" t="s">
        <v>42</v>
      </c>
      <c r="CF679" t="s">
        <v>42</v>
      </c>
      <c r="CG679" t="s">
        <v>42</v>
      </c>
      <c r="CH679" t="s">
        <v>42</v>
      </c>
      <c r="CI679" t="s">
        <v>42</v>
      </c>
      <c r="CJ679" t="s">
        <v>42</v>
      </c>
      <c r="CK679" t="s">
        <v>42</v>
      </c>
      <c r="CL679" t="s">
        <v>42</v>
      </c>
      <c r="CM679" t="s">
        <v>42</v>
      </c>
      <c r="CN679" t="s">
        <v>42</v>
      </c>
      <c r="CO679" t="s">
        <v>42</v>
      </c>
      <c r="CP679" t="s">
        <v>42</v>
      </c>
      <c r="CQ679" t="s">
        <v>42</v>
      </c>
      <c r="CR679" t="s">
        <v>42</v>
      </c>
      <c r="CS679" s="4" t="str">
        <f>HYPERLINK("http://exon.niaid.nih.gov/transcriptome/C_felis/S1/links/KOG/cf-contig_503-KOG.txt","60s acidic ribosomal protein P1")</f>
        <v>60s acidic ribosomal protein P1</v>
      </c>
      <c r="CT679" t="str">
        <f>HYPERLINK("http://www.ncbi.nlm.nih.gov/COG/grace/shokog.cgi?KOG1762","1.1")</f>
        <v>1.1</v>
      </c>
      <c r="CU679" t="s">
        <v>1707</v>
      </c>
      <c r="CV679" s="4" t="str">
        <f>HYPERLINK("http://exon.niaid.nih.gov/transcriptome/C_felis/S1/links/PFAM/cf-contig_503-PFAM.txt","Ribosomal_60s")</f>
        <v>Ribosomal_60s</v>
      </c>
      <c r="CW679" t="str">
        <f>HYPERLINK("http://pfam.sanger.ac.uk/family?acc=PF00428","0.62")</f>
        <v>0.62</v>
      </c>
      <c r="CX679" s="4" t="str">
        <f>HYPERLINK("http://exon.niaid.nih.gov/transcriptome/C_felis/S1/links/SMART/cf-contig_503-SMART.txt","KISc")</f>
        <v>KISc</v>
      </c>
      <c r="CY679" t="str">
        <f>HYPERLINK("http://smart.embl-heidelberg.de/smart/do_annotation.pl?DOMAIN=KISc&amp;BLAST=DUMMY","0.50")</f>
        <v>0.50</v>
      </c>
      <c r="CZ679" s="4" t="s">
        <v>42</v>
      </c>
      <c r="DA679" t="s">
        <v>42</v>
      </c>
      <c r="DB679" t="s">
        <v>42</v>
      </c>
      <c r="DC679" t="s">
        <v>42</v>
      </c>
      <c r="DD679" t="s">
        <v>42</v>
      </c>
      <c r="DE679" t="s">
        <v>42</v>
      </c>
      <c r="DF679" t="s">
        <v>42</v>
      </c>
      <c r="DG679" t="s">
        <v>42</v>
      </c>
      <c r="DH679" s="4" t="s">
        <v>42</v>
      </c>
      <c r="DI679" t="s">
        <v>42</v>
      </c>
      <c r="DJ679" s="4" t="s">
        <v>42</v>
      </c>
      <c r="DK679" t="s">
        <v>42</v>
      </c>
      <c r="DL679" s="4">
        <v>411</v>
      </c>
      <c r="DM679">
        <v>1</v>
      </c>
      <c r="DN679" s="4">
        <v>420</v>
      </c>
      <c r="DO679">
        <v>1</v>
      </c>
      <c r="DP679" s="4">
        <v>425</v>
      </c>
      <c r="DQ679">
        <v>1</v>
      </c>
      <c r="DR679" s="4">
        <v>440</v>
      </c>
      <c r="DS679">
        <v>1</v>
      </c>
      <c r="DT679" s="4">
        <v>450</v>
      </c>
      <c r="DU679">
        <v>1</v>
      </c>
      <c r="DV679" s="4">
        <v>464</v>
      </c>
      <c r="DW679">
        <v>1</v>
      </c>
      <c r="DX679" s="4">
        <v>470</v>
      </c>
      <c r="DY679">
        <v>1</v>
      </c>
      <c r="DZ679" s="4">
        <v>477</v>
      </c>
      <c r="EA679">
        <v>1</v>
      </c>
      <c r="EB679" s="4">
        <v>482</v>
      </c>
      <c r="EC679">
        <v>1</v>
      </c>
      <c r="ED679" s="4">
        <v>486</v>
      </c>
      <c r="EE679">
        <v>1</v>
      </c>
      <c r="EF679" s="4">
        <v>491</v>
      </c>
      <c r="EG679">
        <v>1</v>
      </c>
      <c r="EH679" s="4">
        <v>497</v>
      </c>
      <c r="EI679">
        <v>1</v>
      </c>
      <c r="EJ679" s="4">
        <v>503</v>
      </c>
      <c r="EK679">
        <v>1</v>
      </c>
    </row>
    <row r="680" spans="1:141" x14ac:dyDescent="0.2">
      <c r="A680" t="str">
        <f>HYPERLINK("http://exon.niaid.nih.gov/transcriptome/C_felis/S1/links/cf/cf-contig_732.txt","cf-contig_732")</f>
        <v>cf-contig_732</v>
      </c>
      <c r="B680">
        <v>1</v>
      </c>
      <c r="C680" s="10" t="s">
        <v>4600</v>
      </c>
      <c r="D680">
        <v>1</v>
      </c>
      <c r="E680" t="str">
        <f>HYPERLINK("http://exon.niaid.nih.gov/transcriptome/C_felis/S1/links/cf/cf-5-36-asb-732.txt","Contig-732")</f>
        <v>Contig-732</v>
      </c>
      <c r="F680" t="str">
        <f>HYPERLINK("http://exon.niaid.nih.gov/transcriptome/C_felis/S1/links/cf/cf-5-36-732-CLU.txt","Contig732")</f>
        <v>Contig732</v>
      </c>
      <c r="G680" t="str">
        <f>HYPERLINK("http://exon.niaid.nih.gov/transcriptome/C_felis/S1/links/cf/cf-5-36-732-qual.txt","42.2")</f>
        <v>42.2</v>
      </c>
      <c r="H680" t="s">
        <v>11</v>
      </c>
      <c r="I680">
        <v>67.599999999999994</v>
      </c>
      <c r="J680">
        <v>648</v>
      </c>
      <c r="K680" t="s">
        <v>12</v>
      </c>
      <c r="L680">
        <v>1</v>
      </c>
      <c r="M680" t="s">
        <v>745</v>
      </c>
      <c r="N680">
        <v>648</v>
      </c>
      <c r="O680">
        <v>667</v>
      </c>
      <c r="P680">
        <v>258</v>
      </c>
      <c r="Q680" t="s">
        <v>1551</v>
      </c>
      <c r="R680">
        <v>2</v>
      </c>
      <c r="S680" s="7" t="str">
        <f>HYPERLINK("http://exon.niaid.nih.gov/transcriptome/C_felis/S1/links/Sigp/CF-CONTIG_732-SigP.txt","Cyt")</f>
        <v>Cyt</v>
      </c>
      <c r="U680">
        <v>1</v>
      </c>
      <c r="V680" s="4">
        <v>593</v>
      </c>
      <c r="W680">
        <v>1</v>
      </c>
      <c r="X680" s="4">
        <v>609</v>
      </c>
      <c r="Y680">
        <v>1</v>
      </c>
      <c r="Z680" s="4">
        <v>622</v>
      </c>
      <c r="AA680">
        <v>1</v>
      </c>
      <c r="AB680" s="4" t="str">
        <f>HYPERLINK("http://exon.niaid.nih.gov/transcriptome/C_felis/S1/links/XC-ASB/cf-contig_732-XC-ASB.txt","XC-contig_123")</f>
        <v>XC-contig_123</v>
      </c>
      <c r="AC680">
        <v>6.9999999999999999E-4</v>
      </c>
      <c r="AD680" s="10" t="s">
        <v>4600</v>
      </c>
      <c r="AE680" t="s">
        <v>4601</v>
      </c>
      <c r="AI680" s="4" t="str">
        <f>HYPERLINK("http://exon.niaid.nih.gov/transcriptome/C_felis/S1/links/NR/cf-contig_732-NR.txt","hypothetical protein LpseK3_04098")</f>
        <v>hypothetical protein LpseK3_04098</v>
      </c>
      <c r="AJ680" t="str">
        <f>HYPERLINK("http://www.ncbi.nlm.nih.gov/sutils/blink.cgi?pid=339480903","6.9")</f>
        <v>6.9</v>
      </c>
      <c r="AK680" t="str">
        <f>HYPERLINK("http://www.ncbi.nlm.nih.gov/protein/339480903","gi|339480903")</f>
        <v>gi|339480903</v>
      </c>
      <c r="AL680">
        <v>35.4</v>
      </c>
      <c r="AM680">
        <v>56</v>
      </c>
      <c r="AN680">
        <v>513</v>
      </c>
      <c r="AO680">
        <v>35</v>
      </c>
      <c r="AP680">
        <v>11</v>
      </c>
      <c r="AQ680">
        <v>37</v>
      </c>
      <c r="AR680">
        <v>0</v>
      </c>
      <c r="AS680">
        <v>68</v>
      </c>
      <c r="AT680">
        <v>290</v>
      </c>
      <c r="AU680">
        <v>1</v>
      </c>
      <c r="AV680">
        <v>-1</v>
      </c>
      <c r="AW680" t="s">
        <v>12</v>
      </c>
      <c r="AX680">
        <v>1.786</v>
      </c>
      <c r="AY680" t="s">
        <v>1666</v>
      </c>
      <c r="AZ680" t="s">
        <v>4322</v>
      </c>
      <c r="BA680" s="4" t="str">
        <f>HYPERLINK("http://exon.niaid.nih.gov/transcriptome/C_felis/S1/links/SWISSP/cf-contig_732-SWISSP.txt","Orotidine 5'-phosphate decarboxylase")</f>
        <v>Orotidine 5'-phosphate decarboxylase</v>
      </c>
      <c r="BB680" t="str">
        <f>HYPERLINK("http://www.uniprot.org/uniprot/Q89AL6","14")</f>
        <v>14</v>
      </c>
      <c r="BC680" t="s">
        <v>4323</v>
      </c>
      <c r="BD680">
        <v>30</v>
      </c>
      <c r="BE680">
        <v>51</v>
      </c>
      <c r="BF680">
        <v>236</v>
      </c>
      <c r="BG680">
        <v>44</v>
      </c>
      <c r="BH680">
        <v>22</v>
      </c>
      <c r="BI680">
        <v>29</v>
      </c>
      <c r="BJ680">
        <v>3</v>
      </c>
      <c r="BK680">
        <v>122</v>
      </c>
      <c r="BL680">
        <v>314</v>
      </c>
      <c r="BM680">
        <v>1</v>
      </c>
      <c r="BN680">
        <v>-1</v>
      </c>
      <c r="BO680" t="s">
        <v>12</v>
      </c>
      <c r="BQ680" t="s">
        <v>1666</v>
      </c>
      <c r="BR680" t="s">
        <v>2372</v>
      </c>
      <c r="BS680" s="4" t="str">
        <f>HYPERLINK("http://exon.niaid.nih.gov/transcriptome/C_felis/S1/links/CDD/cf-contig_732-CDD.txt","COX2")</f>
        <v>COX2</v>
      </c>
      <c r="BT680" t="str">
        <f>HYPERLINK("http://www.ncbi.nlm.nih.gov/Structure/cdd/cddsrv.cgi?uid=MTH00154&amp;version=v4.0","0.35")</f>
        <v>0.35</v>
      </c>
      <c r="BU680" t="s">
        <v>4324</v>
      </c>
      <c r="BV680" s="4" t="s">
        <v>42</v>
      </c>
      <c r="BW680" t="s">
        <v>42</v>
      </c>
      <c r="BX680" t="s">
        <v>42</v>
      </c>
      <c r="BY680" t="s">
        <v>42</v>
      </c>
      <c r="BZ680" t="s">
        <v>42</v>
      </c>
      <c r="CA680" t="s">
        <v>42</v>
      </c>
      <c r="CB680" t="s">
        <v>42</v>
      </c>
      <c r="CC680" t="s">
        <v>42</v>
      </c>
      <c r="CD680" t="s">
        <v>42</v>
      </c>
      <c r="CE680" t="s">
        <v>42</v>
      </c>
      <c r="CF680" t="s">
        <v>42</v>
      </c>
      <c r="CG680" t="s">
        <v>42</v>
      </c>
      <c r="CH680" t="s">
        <v>42</v>
      </c>
      <c r="CI680" t="s">
        <v>42</v>
      </c>
      <c r="CJ680" t="s">
        <v>42</v>
      </c>
      <c r="CK680" t="s">
        <v>42</v>
      </c>
      <c r="CL680" t="s">
        <v>42</v>
      </c>
      <c r="CM680" t="s">
        <v>42</v>
      </c>
      <c r="CN680" t="s">
        <v>42</v>
      </c>
      <c r="CO680" t="s">
        <v>42</v>
      </c>
      <c r="CP680" t="s">
        <v>42</v>
      </c>
      <c r="CQ680" t="s">
        <v>42</v>
      </c>
      <c r="CR680" t="s">
        <v>42</v>
      </c>
      <c r="CS680" s="4" t="str">
        <f>HYPERLINK("http://exon.niaid.nih.gov/transcriptome/C_felis/S1/links/KOG/cf-contig_732-KOG.txt","GTP-binding protein")</f>
        <v>GTP-binding protein</v>
      </c>
      <c r="CT680" t="str">
        <f>HYPERLINK("http://www.ncbi.nlm.nih.gov/COG/grace/shokog.cgi?KOG3886","1.9")</f>
        <v>1.9</v>
      </c>
      <c r="CU680" t="s">
        <v>1780</v>
      </c>
      <c r="CV680" s="4" t="str">
        <f>HYPERLINK("http://exon.niaid.nih.gov/transcriptome/C_felis/S1/links/PFAM/cf-contig_732-PFAM.txt","7TM_GPCR_Srx")</f>
        <v>7TM_GPCR_Srx</v>
      </c>
      <c r="CW680" t="str">
        <f>HYPERLINK("http://pfam.sanger.ac.uk/family?acc=PF10328","0.12")</f>
        <v>0.12</v>
      </c>
      <c r="CX680" s="4" t="str">
        <f>HYPERLINK("http://exon.niaid.nih.gov/transcriptome/C_felis/S1/links/SMART/cf-contig_732-SMART.txt","MUTSd")</f>
        <v>MUTSd</v>
      </c>
      <c r="CY680" t="str">
        <f>HYPERLINK("http://smart.embl-heidelberg.de/smart/do_annotation.pl?DOMAIN=MUTSd&amp;BLAST=DUMMY","0.013")</f>
        <v>0.013</v>
      </c>
      <c r="CZ680" s="4" t="s">
        <v>42</v>
      </c>
      <c r="DA680" t="s">
        <v>42</v>
      </c>
      <c r="DB680" t="s">
        <v>42</v>
      </c>
      <c r="DC680" t="s">
        <v>42</v>
      </c>
      <c r="DD680" t="s">
        <v>42</v>
      </c>
      <c r="DE680" t="s">
        <v>42</v>
      </c>
      <c r="DF680" t="s">
        <v>42</v>
      </c>
      <c r="DG680" t="s">
        <v>42</v>
      </c>
      <c r="DH680" s="4" t="s">
        <v>42</v>
      </c>
      <c r="DI680" t="s">
        <v>42</v>
      </c>
      <c r="DJ680" s="4" t="s">
        <v>42</v>
      </c>
      <c r="DK680" t="s">
        <v>42</v>
      </c>
      <c r="DL680" s="4">
        <v>593</v>
      </c>
      <c r="DM680">
        <v>1</v>
      </c>
      <c r="DN680" s="4">
        <v>609</v>
      </c>
      <c r="DO680">
        <v>1</v>
      </c>
      <c r="DP680" s="4">
        <v>622</v>
      </c>
      <c r="DQ680">
        <v>1</v>
      </c>
      <c r="DR680" s="4">
        <v>644</v>
      </c>
      <c r="DS680">
        <v>1</v>
      </c>
      <c r="DT680" s="4">
        <v>659</v>
      </c>
      <c r="DU680">
        <v>1</v>
      </c>
      <c r="DV680" s="4">
        <v>674</v>
      </c>
      <c r="DW680">
        <v>1</v>
      </c>
      <c r="DX680" s="4">
        <v>685</v>
      </c>
      <c r="DY680">
        <v>1</v>
      </c>
      <c r="DZ680" s="4">
        <v>695</v>
      </c>
      <c r="EA680">
        <v>1</v>
      </c>
      <c r="EB680" s="4">
        <v>701</v>
      </c>
      <c r="EC680">
        <v>1</v>
      </c>
      <c r="ED680" s="4">
        <v>706</v>
      </c>
      <c r="EE680">
        <v>1</v>
      </c>
      <c r="EF680" s="4">
        <v>712</v>
      </c>
      <c r="EG680">
        <v>1</v>
      </c>
      <c r="EH680" s="4">
        <v>723</v>
      </c>
      <c r="EI680">
        <v>1</v>
      </c>
      <c r="EJ680" s="4">
        <v>732</v>
      </c>
      <c r="EK680">
        <v>1</v>
      </c>
    </row>
    <row r="681" spans="1:141" x14ac:dyDescent="0.2">
      <c r="A681" t="str">
        <f>HYPERLINK("http://exon.niaid.nih.gov/transcriptome/C_felis/S1/links/cf/cf-contig_26.txt","cf-contig_26")</f>
        <v>cf-contig_26</v>
      </c>
      <c r="B681">
        <v>4</v>
      </c>
      <c r="C681" s="10" t="s">
        <v>4600</v>
      </c>
      <c r="D681">
        <v>4</v>
      </c>
      <c r="E681" t="str">
        <f>HYPERLINK("http://exon.niaid.nih.gov/transcriptome/C_felis/S1/links/cf/cf-5-36-asb-26.txt","Contig-26")</f>
        <v>Contig-26</v>
      </c>
      <c r="F681" t="str">
        <f>HYPERLINK("http://exon.niaid.nih.gov/transcriptome/C_felis/S1/links/cf/cf-5-36-26-CLU.txt","Contig26")</f>
        <v>Contig26</v>
      </c>
      <c r="G681" t="str">
        <f>HYPERLINK("http://exon.niaid.nih.gov/transcriptome/C_felis/S1/links/cf/cf-5-36-26-qual.txt","88.2")</f>
        <v>88.2</v>
      </c>
      <c r="H681" t="s">
        <v>11</v>
      </c>
      <c r="I681">
        <v>71.900000000000006</v>
      </c>
      <c r="J681">
        <v>254</v>
      </c>
      <c r="K681" t="s">
        <v>12</v>
      </c>
      <c r="L681">
        <v>4</v>
      </c>
      <c r="M681" t="s">
        <v>38</v>
      </c>
      <c r="N681">
        <v>278</v>
      </c>
      <c r="O681">
        <v>274</v>
      </c>
      <c r="P681">
        <v>126</v>
      </c>
      <c r="Q681" t="s">
        <v>848</v>
      </c>
      <c r="R681">
        <v>1</v>
      </c>
      <c r="S681" s="7" t="s">
        <v>4585</v>
      </c>
      <c r="U681">
        <v>4</v>
      </c>
      <c r="V681" s="4">
        <f>HYPERLINK("http://exon.niaid.nih.gov/transcriptome/C_felis/S1/links/cluster/cf-5-36-asb30-50-Id-CLU6.txt", 6)</f>
        <v>6</v>
      </c>
      <c r="W681">
        <f>HYPERLINK("http://exon.niaid.nih.gov/transcriptome/C_felis/S1/links/cluster/cf-5-36-asb30-50-Id-CLTL6.txt", 4)</f>
        <v>4</v>
      </c>
      <c r="X681" s="4">
        <f>HYPERLINK("http://exon.niaid.nih.gov/transcriptome/C_felis/S1/links/cluster/cf-5-36-asb35-50-Id-CLU6.txt", 6)</f>
        <v>6</v>
      </c>
      <c r="Y681">
        <f>HYPERLINK("http://exon.niaid.nih.gov/transcriptome/C_felis/S1/links/cluster/cf-5-36-asb35-50-Id-CLTL6.txt", 4)</f>
        <v>4</v>
      </c>
      <c r="Z681" s="4">
        <v>85</v>
      </c>
      <c r="AA681">
        <v>1</v>
      </c>
      <c r="AB681" s="4" t="str">
        <f>HYPERLINK("http://exon.niaid.nih.gov/transcriptome/C_felis/S1/links/XC-ASB/cf-contig_26-XC-ASB.txt","XC-contig_132")</f>
        <v>XC-contig_132</v>
      </c>
      <c r="AC681">
        <v>1.4E-2</v>
      </c>
      <c r="AD681" s="10" t="s">
        <v>4600</v>
      </c>
      <c r="AE681" t="s">
        <v>4601</v>
      </c>
      <c r="AI681" s="4" t="str">
        <f>HYPERLINK("http://exon.niaid.nih.gov/transcriptome/C_felis/S1/links/NR/cf-contig_26-NR.txt","hypothetical protein LOAG_05167")</f>
        <v>hypothetical protein LOAG_05167</v>
      </c>
      <c r="AJ681" t="str">
        <f>HYPERLINK("http://www.ncbi.nlm.nih.gov/sutils/blink.cgi?pid=312076194","1.1")</f>
        <v>1.1</v>
      </c>
      <c r="AK681" t="str">
        <f>HYPERLINK("http://www.ncbi.nlm.nih.gov/protein/312076194","gi|312076194")</f>
        <v>gi|312076194</v>
      </c>
      <c r="AL681">
        <v>37</v>
      </c>
      <c r="AM681">
        <v>50</v>
      </c>
      <c r="AN681">
        <v>261</v>
      </c>
      <c r="AO681">
        <v>37</v>
      </c>
      <c r="AP681">
        <v>20</v>
      </c>
      <c r="AQ681">
        <v>32</v>
      </c>
      <c r="AR681">
        <v>0</v>
      </c>
      <c r="AS681">
        <v>156</v>
      </c>
      <c r="AT681">
        <v>99</v>
      </c>
      <c r="AU681">
        <v>1</v>
      </c>
      <c r="AV681">
        <v>-3</v>
      </c>
      <c r="AW681" t="s">
        <v>12</v>
      </c>
      <c r="AY681" t="s">
        <v>1666</v>
      </c>
      <c r="AZ681" t="s">
        <v>1765</v>
      </c>
      <c r="BA681" s="4" t="str">
        <f>HYPERLINK("http://exon.niaid.nih.gov/transcriptome/C_felis/S1/links/SWISSP/cf-contig_26-SWISSP.txt","Olfactory receptor 8J2")</f>
        <v>Olfactory receptor 8J2</v>
      </c>
      <c r="BB681" t="str">
        <f>HYPERLINK("http://www.uniprot.org/uniprot/Q8NGG1","2.8")</f>
        <v>2.8</v>
      </c>
      <c r="BC681" t="s">
        <v>1766</v>
      </c>
      <c r="BD681">
        <v>30.8</v>
      </c>
      <c r="BE681">
        <v>74</v>
      </c>
      <c r="BF681">
        <v>315</v>
      </c>
      <c r="BG681">
        <v>25</v>
      </c>
      <c r="BH681">
        <v>24</v>
      </c>
      <c r="BI681">
        <v>57</v>
      </c>
      <c r="BJ681">
        <v>5</v>
      </c>
      <c r="BK681">
        <v>210</v>
      </c>
      <c r="BL681">
        <v>30</v>
      </c>
      <c r="BM681">
        <v>1</v>
      </c>
      <c r="BN681">
        <v>-3</v>
      </c>
      <c r="BO681" t="s">
        <v>12</v>
      </c>
      <c r="BQ681" t="s">
        <v>1666</v>
      </c>
      <c r="BR681" t="s">
        <v>1690</v>
      </c>
      <c r="BS681" s="4" t="str">
        <f>HYPERLINK("http://exon.niaid.nih.gov/transcriptome/C_felis/S1/links/CDD/cf-contig_26-CDD.txt","PHA03087")</f>
        <v>PHA03087</v>
      </c>
      <c r="BT681" t="str">
        <f>HYPERLINK("http://www.ncbi.nlm.nih.gov/Structure/cdd/cddsrv.cgi?uid=PHA03087&amp;version=v4.0","0.016")</f>
        <v>0.016</v>
      </c>
      <c r="BU681" t="s">
        <v>1767</v>
      </c>
      <c r="BV681" s="4" t="s">
        <v>42</v>
      </c>
      <c r="BW681" t="s">
        <v>42</v>
      </c>
      <c r="BX681" t="s">
        <v>42</v>
      </c>
      <c r="BY681" t="s">
        <v>42</v>
      </c>
      <c r="BZ681" t="s">
        <v>42</v>
      </c>
      <c r="CA681" t="s">
        <v>42</v>
      </c>
      <c r="CB681" t="s">
        <v>42</v>
      </c>
      <c r="CC681" t="s">
        <v>42</v>
      </c>
      <c r="CD681" t="s">
        <v>42</v>
      </c>
      <c r="CE681" t="s">
        <v>42</v>
      </c>
      <c r="CF681" t="s">
        <v>42</v>
      </c>
      <c r="CG681" t="s">
        <v>42</v>
      </c>
      <c r="CH681" t="s">
        <v>42</v>
      </c>
      <c r="CI681" t="s">
        <v>42</v>
      </c>
      <c r="CJ681" t="s">
        <v>42</v>
      </c>
      <c r="CK681" t="s">
        <v>42</v>
      </c>
      <c r="CL681" t="s">
        <v>42</v>
      </c>
      <c r="CM681" t="s">
        <v>42</v>
      </c>
      <c r="CN681" t="s">
        <v>42</v>
      </c>
      <c r="CO681" t="s">
        <v>42</v>
      </c>
      <c r="CP681" t="s">
        <v>42</v>
      </c>
      <c r="CQ681" t="s">
        <v>42</v>
      </c>
      <c r="CR681" t="s">
        <v>42</v>
      </c>
      <c r="CS681" s="4" t="str">
        <f>HYPERLINK("http://exon.niaid.nih.gov/transcriptome/C_felis/S1/links/KOG/cf-contig_26-KOG.txt","Lipid exporter ABCA1 and related proteins, ABC superfamily")</f>
        <v>Lipid exporter ABCA1 and related proteins, ABC superfamily</v>
      </c>
      <c r="CT681" t="str">
        <f>HYPERLINK("http://www.ncbi.nlm.nih.gov/COG/grace/shokog.cgi?KOG0059","0.093")</f>
        <v>0.093</v>
      </c>
      <c r="CU681" t="s">
        <v>1768</v>
      </c>
      <c r="CV681" s="4" t="str">
        <f>HYPERLINK("http://exon.niaid.nih.gov/transcriptome/C_felis/S1/links/PFAM/cf-contig_26-PFAM.txt","DUF1461")</f>
        <v>DUF1461</v>
      </c>
      <c r="CW681" t="str">
        <f>HYPERLINK("http://pfam.sanger.ac.uk/family?acc=PF07314","0.009")</f>
        <v>0.009</v>
      </c>
      <c r="CX681" s="4" t="str">
        <f>HYPERLINK("http://exon.niaid.nih.gov/transcriptome/C_felis/S1/links/SMART/cf-contig_26-SMART.txt","Cog4")</f>
        <v>Cog4</v>
      </c>
      <c r="CY681" t="str">
        <f>HYPERLINK("http://smart.embl-heidelberg.de/smart/do_annotation.pl?DOMAIN=Cog4&amp;BLAST=DUMMY","0.010")</f>
        <v>0.010</v>
      </c>
      <c r="CZ681" s="4" t="s">
        <v>42</v>
      </c>
      <c r="DA681" t="s">
        <v>42</v>
      </c>
      <c r="DB681" t="s">
        <v>42</v>
      </c>
      <c r="DC681" t="s">
        <v>42</v>
      </c>
      <c r="DD681" t="s">
        <v>42</v>
      </c>
      <c r="DE681" t="s">
        <v>42</v>
      </c>
      <c r="DF681" t="s">
        <v>42</v>
      </c>
      <c r="DG681" t="s">
        <v>42</v>
      </c>
      <c r="DH681" s="4" t="s">
        <v>42</v>
      </c>
      <c r="DI681" t="s">
        <v>42</v>
      </c>
      <c r="DJ681" s="4" t="s">
        <v>42</v>
      </c>
      <c r="DK681" t="s">
        <v>42</v>
      </c>
      <c r="DL681" s="4">
        <f>HYPERLINK("http://exon.niaid.nih.gov/transcriptome/C_felis/S1/links/cluster/cf-5-36-asb30-50-Id-CLU6.txt", 6)</f>
        <v>6</v>
      </c>
      <c r="DM681">
        <f>HYPERLINK("http://exon.niaid.nih.gov/transcriptome/C_felis/S1/links/cluster/cf-5-36-asb30-50-Id-CLTL6.txt", 4)</f>
        <v>4</v>
      </c>
      <c r="DN681" s="4">
        <f>HYPERLINK("http://exon.niaid.nih.gov/transcriptome/C_felis/S1/links/cluster/cf-5-36-asb35-50-Id-CLU6.txt", 6)</f>
        <v>6</v>
      </c>
      <c r="DO681">
        <f>HYPERLINK("http://exon.niaid.nih.gov/transcriptome/C_felis/S1/links/cluster/cf-5-36-asb35-50-Id-CLTL6.txt", 4)</f>
        <v>4</v>
      </c>
      <c r="DP681" s="4">
        <v>85</v>
      </c>
      <c r="DQ681">
        <v>1</v>
      </c>
      <c r="DR681" s="4">
        <v>75</v>
      </c>
      <c r="DS681">
        <v>1</v>
      </c>
      <c r="DT681" s="4">
        <v>67</v>
      </c>
      <c r="DU681">
        <v>1</v>
      </c>
      <c r="DV681" s="4">
        <v>62</v>
      </c>
      <c r="DW681">
        <v>1</v>
      </c>
      <c r="DX681" s="4">
        <v>56</v>
      </c>
      <c r="DY681">
        <v>1</v>
      </c>
      <c r="DZ681" s="4">
        <v>51</v>
      </c>
      <c r="EA681">
        <v>1</v>
      </c>
      <c r="EB681" s="4">
        <v>49</v>
      </c>
      <c r="EC681">
        <v>1</v>
      </c>
      <c r="ED681" s="4">
        <v>49</v>
      </c>
      <c r="EE681">
        <v>1</v>
      </c>
      <c r="EF681" s="4">
        <v>43</v>
      </c>
      <c r="EG681">
        <v>1</v>
      </c>
      <c r="EH681" s="4">
        <v>31</v>
      </c>
      <c r="EI681">
        <v>1</v>
      </c>
      <c r="EJ681" s="4">
        <v>26</v>
      </c>
      <c r="EK681">
        <v>1</v>
      </c>
    </row>
    <row r="682" spans="1:141" x14ac:dyDescent="0.2">
      <c r="A682" t="str">
        <f>HYPERLINK("http://exon.niaid.nih.gov/transcriptome/C_felis/S1/links/cf/cf-contig_401.txt","cf-contig_401")</f>
        <v>cf-contig_401</v>
      </c>
      <c r="B682">
        <v>1</v>
      </c>
      <c r="C682" s="10" t="s">
        <v>4600</v>
      </c>
      <c r="D682">
        <v>1</v>
      </c>
      <c r="E682" t="str">
        <f>HYPERLINK("http://exon.niaid.nih.gov/transcriptome/C_felis/S1/links/cf/cf-5-36-asb-401.txt","Contig-401")</f>
        <v>Contig-401</v>
      </c>
      <c r="F682" t="str">
        <f>HYPERLINK("http://exon.niaid.nih.gov/transcriptome/C_felis/S1/links/cf/cf-5-36-401-CLU.txt","Contig401")</f>
        <v>Contig401</v>
      </c>
      <c r="G682" t="str">
        <f>HYPERLINK("http://exon.niaid.nih.gov/transcriptome/C_felis/S1/links/cf/cf-5-36-401-qual.txt","64.")</f>
        <v>64.</v>
      </c>
      <c r="H682" t="s">
        <v>11</v>
      </c>
      <c r="I682">
        <v>73.099999999999994</v>
      </c>
      <c r="J682">
        <v>282</v>
      </c>
      <c r="K682" t="s">
        <v>12</v>
      </c>
      <c r="L682">
        <v>1</v>
      </c>
      <c r="M682" t="s">
        <v>414</v>
      </c>
      <c r="N682">
        <v>282</v>
      </c>
      <c r="O682">
        <v>301</v>
      </c>
      <c r="P682">
        <v>192</v>
      </c>
      <c r="Q682" t="s">
        <v>1221</v>
      </c>
      <c r="R682">
        <v>3</v>
      </c>
      <c r="S682" s="7" t="s">
        <v>4585</v>
      </c>
      <c r="U682">
        <v>1</v>
      </c>
      <c r="V682" s="4">
        <v>327</v>
      </c>
      <c r="W682">
        <v>1</v>
      </c>
      <c r="X682" s="4">
        <v>335</v>
      </c>
      <c r="Y682">
        <v>1</v>
      </c>
      <c r="Z682" s="4">
        <v>336</v>
      </c>
      <c r="AA682">
        <v>1</v>
      </c>
      <c r="AB682" s="4" t="str">
        <f>HYPERLINK("http://exon.niaid.nih.gov/transcriptome/C_felis/S1/links/XC-ASB/cf-contig_401-XC-ASB.txt","XC-contig_174")</f>
        <v>XC-contig_174</v>
      </c>
      <c r="AC682">
        <v>0.15</v>
      </c>
      <c r="AD682" s="10" t="s">
        <v>4600</v>
      </c>
      <c r="AE682" t="s">
        <v>4601</v>
      </c>
      <c r="AI682" s="4" t="str">
        <f>HYPERLINK("http://exon.niaid.nih.gov/transcriptome/C_felis/S1/links/NR/cf-contig_401-NR.txt","hypothetical protein LOAG_05167")</f>
        <v>hypothetical protein LOAG_05167</v>
      </c>
      <c r="AJ682" t="str">
        <f>HYPERLINK("http://www.ncbi.nlm.nih.gov/sutils/blink.cgi?pid=312076194","1.9")</f>
        <v>1.9</v>
      </c>
      <c r="AK682" t="str">
        <f>HYPERLINK("http://www.ncbi.nlm.nih.gov/protein/312076194","gi|312076194")</f>
        <v>gi|312076194</v>
      </c>
      <c r="AL682">
        <v>36.200000000000003</v>
      </c>
      <c r="AM682">
        <v>127</v>
      </c>
      <c r="AN682">
        <v>261</v>
      </c>
      <c r="AO682">
        <v>26</v>
      </c>
      <c r="AP682">
        <v>49</v>
      </c>
      <c r="AQ682">
        <v>76</v>
      </c>
      <c r="AR682">
        <v>12</v>
      </c>
      <c r="AS682">
        <v>63</v>
      </c>
      <c r="AT682">
        <v>4</v>
      </c>
      <c r="AU682">
        <v>2</v>
      </c>
      <c r="AV682">
        <v>-2</v>
      </c>
      <c r="AW682" t="s">
        <v>12</v>
      </c>
      <c r="AX682">
        <v>1.575</v>
      </c>
      <c r="AY682" t="s">
        <v>1666</v>
      </c>
      <c r="AZ682" t="s">
        <v>1765</v>
      </c>
      <c r="BA682" s="4" t="str">
        <f>HYPERLINK("http://exon.niaid.nih.gov/transcriptome/C_felis/S1/links/SWISSP/cf-contig_401-SWISSP.txt","Serine palmitoyltransferase small subunit B")</f>
        <v>Serine palmitoyltransferase small subunit B</v>
      </c>
      <c r="BB682" t="str">
        <f>HYPERLINK("http://www.uniprot.org/uniprot/Q66J05","4.8")</f>
        <v>4.8</v>
      </c>
      <c r="BC682" t="s">
        <v>3088</v>
      </c>
      <c r="BD682">
        <v>30</v>
      </c>
      <c r="BE682">
        <v>52</v>
      </c>
      <c r="BF682">
        <v>80</v>
      </c>
      <c r="BG682">
        <v>28</v>
      </c>
      <c r="BH682">
        <v>66</v>
      </c>
      <c r="BI682">
        <v>38</v>
      </c>
      <c r="BJ682">
        <v>1</v>
      </c>
      <c r="BK682">
        <v>15</v>
      </c>
      <c r="BL682">
        <v>99</v>
      </c>
      <c r="BM682">
        <v>1</v>
      </c>
      <c r="BN682">
        <v>-3</v>
      </c>
      <c r="BO682" t="s">
        <v>12</v>
      </c>
      <c r="BP682">
        <v>3.8460000000000001</v>
      </c>
      <c r="BQ682" t="s">
        <v>1666</v>
      </c>
      <c r="BR682" t="s">
        <v>1832</v>
      </c>
      <c r="BS682" s="4" t="str">
        <f>HYPERLINK("http://exon.niaid.nih.gov/transcriptome/C_felis/S1/links/CDD/cf-contig_401-CDD.txt","PRK12313")</f>
        <v>PRK12313</v>
      </c>
      <c r="BT682" t="str">
        <f>HYPERLINK("http://www.ncbi.nlm.nih.gov/Structure/cdd/cddsrv.cgi?uid=PRK12313&amp;version=v4.0","0.077")</f>
        <v>0.077</v>
      </c>
      <c r="BU682" t="s">
        <v>3089</v>
      </c>
      <c r="BV682" s="4" t="s">
        <v>42</v>
      </c>
      <c r="BW682" t="s">
        <v>42</v>
      </c>
      <c r="BX682" t="s">
        <v>42</v>
      </c>
      <c r="BY682" t="s">
        <v>42</v>
      </c>
      <c r="BZ682" t="s">
        <v>42</v>
      </c>
      <c r="CA682" t="s">
        <v>42</v>
      </c>
      <c r="CB682" t="s">
        <v>42</v>
      </c>
      <c r="CC682" t="s">
        <v>42</v>
      </c>
      <c r="CD682" t="s">
        <v>42</v>
      </c>
      <c r="CE682" t="s">
        <v>42</v>
      </c>
      <c r="CF682" t="s">
        <v>42</v>
      </c>
      <c r="CG682" t="s">
        <v>42</v>
      </c>
      <c r="CH682" t="s">
        <v>42</v>
      </c>
      <c r="CI682" t="s">
        <v>42</v>
      </c>
      <c r="CJ682" t="s">
        <v>42</v>
      </c>
      <c r="CK682" t="s">
        <v>42</v>
      </c>
      <c r="CL682" t="s">
        <v>42</v>
      </c>
      <c r="CM682" t="s">
        <v>42</v>
      </c>
      <c r="CN682" t="s">
        <v>42</v>
      </c>
      <c r="CO682" t="s">
        <v>42</v>
      </c>
      <c r="CP682" t="s">
        <v>42</v>
      </c>
      <c r="CQ682" t="s">
        <v>42</v>
      </c>
      <c r="CR682" t="s">
        <v>42</v>
      </c>
      <c r="CS682" s="4" t="str">
        <f>HYPERLINK("http://exon.niaid.nih.gov/transcriptome/C_felis/S1/links/KOG/cf-contig_401-KOG.txt","Uncharacterized conserved protein")</f>
        <v>Uncharacterized conserved protein</v>
      </c>
      <c r="CT682" t="str">
        <f>HYPERLINK("http://www.ncbi.nlm.nih.gov/COG/grace/shokog.cgi?KOG1893","0.050")</f>
        <v>0.050</v>
      </c>
      <c r="CU682" t="s">
        <v>1711</v>
      </c>
      <c r="CV682" s="4" t="str">
        <f>HYPERLINK("http://exon.niaid.nih.gov/transcriptome/C_felis/S1/links/PFAM/cf-contig_401-PFAM.txt","7TM_GPCR_Srh")</f>
        <v>7TM_GPCR_Srh</v>
      </c>
      <c r="CW682" t="str">
        <f>HYPERLINK("http://pfam.sanger.ac.uk/family?acc=PF10318","0.085")</f>
        <v>0.085</v>
      </c>
      <c r="CX682" s="4" t="str">
        <f>HYPERLINK("http://exon.niaid.nih.gov/transcriptome/C_felis/S1/links/SMART/cf-contig_401-SMART.txt","Knot1")</f>
        <v>Knot1</v>
      </c>
      <c r="CY682" t="str">
        <f>HYPERLINK("http://smart.embl-heidelberg.de/smart/do_annotation.pl?DOMAIN=Knot1&amp;BLAST=DUMMY","0.039")</f>
        <v>0.039</v>
      </c>
      <c r="CZ682" s="4" t="s">
        <v>42</v>
      </c>
      <c r="DA682" t="s">
        <v>42</v>
      </c>
      <c r="DB682" t="s">
        <v>42</v>
      </c>
      <c r="DC682" t="s">
        <v>42</v>
      </c>
      <c r="DD682" t="s">
        <v>42</v>
      </c>
      <c r="DE682" t="s">
        <v>42</v>
      </c>
      <c r="DF682" t="s">
        <v>42</v>
      </c>
      <c r="DG682" t="s">
        <v>42</v>
      </c>
      <c r="DH682" s="4" t="s">
        <v>42</v>
      </c>
      <c r="DI682" t="s">
        <v>42</v>
      </c>
      <c r="DJ682" s="4" t="s">
        <v>42</v>
      </c>
      <c r="DK682" t="s">
        <v>42</v>
      </c>
      <c r="DL682" s="4">
        <v>327</v>
      </c>
      <c r="DM682">
        <v>1</v>
      </c>
      <c r="DN682" s="4">
        <v>335</v>
      </c>
      <c r="DO682">
        <v>1</v>
      </c>
      <c r="DP682" s="4">
        <v>336</v>
      </c>
      <c r="DQ682">
        <v>1</v>
      </c>
      <c r="DR682" s="4">
        <v>347</v>
      </c>
      <c r="DS682">
        <v>1</v>
      </c>
      <c r="DT682" s="4">
        <v>357</v>
      </c>
      <c r="DU682">
        <v>1</v>
      </c>
      <c r="DV682" s="4">
        <v>370</v>
      </c>
      <c r="DW682">
        <v>1</v>
      </c>
      <c r="DX682" s="4">
        <v>373</v>
      </c>
      <c r="DY682">
        <v>1</v>
      </c>
      <c r="DZ682" s="4">
        <v>378</v>
      </c>
      <c r="EA682">
        <v>1</v>
      </c>
      <c r="EB682" s="4">
        <v>383</v>
      </c>
      <c r="EC682">
        <v>1</v>
      </c>
      <c r="ED682" s="4">
        <v>387</v>
      </c>
      <c r="EE682">
        <v>1</v>
      </c>
      <c r="EF682" s="4">
        <v>392</v>
      </c>
      <c r="EG682">
        <v>1</v>
      </c>
      <c r="EH682" s="4">
        <v>395</v>
      </c>
      <c r="EI682">
        <v>1</v>
      </c>
      <c r="EJ682" s="4">
        <v>401</v>
      </c>
      <c r="EK682">
        <v>1</v>
      </c>
    </row>
    <row r="683" spans="1:141" x14ac:dyDescent="0.2">
      <c r="A683" t="str">
        <f>HYPERLINK("http://exon.niaid.nih.gov/transcriptome/C_felis/S1/links/cf/cf-contig_479.txt","cf-contig_479")</f>
        <v>cf-contig_479</v>
      </c>
      <c r="B683">
        <v>1</v>
      </c>
      <c r="C683" s="10" t="s">
        <v>4600</v>
      </c>
      <c r="D683">
        <v>1</v>
      </c>
      <c r="E683" t="str">
        <f>HYPERLINK("http://exon.niaid.nih.gov/transcriptome/C_felis/S1/links/cf/cf-5-36-asb-479.txt","Contig-479")</f>
        <v>Contig-479</v>
      </c>
      <c r="F683" t="str">
        <f>HYPERLINK("http://exon.niaid.nih.gov/transcriptome/C_felis/S1/links/cf/cf-5-36-479-CLU.txt","Contig479")</f>
        <v>Contig479</v>
      </c>
      <c r="G683" t="str">
        <f>HYPERLINK("http://exon.niaid.nih.gov/transcriptome/C_felis/S1/links/cf/cf-5-36-479-qual.txt","58.1")</f>
        <v>58.1</v>
      </c>
      <c r="H683" t="s">
        <v>11</v>
      </c>
      <c r="I683">
        <v>73.3</v>
      </c>
      <c r="J683">
        <v>412</v>
      </c>
      <c r="K683" t="s">
        <v>12</v>
      </c>
      <c r="L683">
        <v>1</v>
      </c>
      <c r="M683" t="s">
        <v>492</v>
      </c>
      <c r="N683">
        <v>412</v>
      </c>
      <c r="O683">
        <v>431</v>
      </c>
      <c r="P683">
        <v>144</v>
      </c>
      <c r="Q683" t="s">
        <v>1298</v>
      </c>
      <c r="R683">
        <v>2</v>
      </c>
      <c r="S683" s="7" t="s">
        <v>4585</v>
      </c>
      <c r="U683">
        <v>1</v>
      </c>
      <c r="V683" s="4">
        <v>389</v>
      </c>
      <c r="W683">
        <v>1</v>
      </c>
      <c r="X683" s="4">
        <v>398</v>
      </c>
      <c r="Y683">
        <v>1</v>
      </c>
      <c r="Z683" s="4">
        <v>403</v>
      </c>
      <c r="AA683">
        <v>1</v>
      </c>
      <c r="AB683" s="4" t="str">
        <f>HYPERLINK("http://exon.niaid.nih.gov/transcriptome/C_felis/S1/links/XC-ASB/cf-contig_479-XC-ASB.txt","XC-contig_178")</f>
        <v>XC-contig_178</v>
      </c>
      <c r="AC683">
        <v>2.5000000000000001E-2</v>
      </c>
      <c r="AD683" s="10" t="s">
        <v>4600</v>
      </c>
      <c r="AE683" t="s">
        <v>4601</v>
      </c>
      <c r="AI683" s="4" t="str">
        <f>HYPERLINK("http://exon.niaid.nih.gov/transcriptome/C_felis/S1/links/NR/cf-contig_479-NR.txt","hypothetical protein LOAG_12322")</f>
        <v>hypothetical protein LOAG_12322</v>
      </c>
      <c r="AJ683" t="str">
        <f>HYPERLINK("http://www.ncbi.nlm.nih.gov/sutils/blink.cgi?pid=312094022","0.85")</f>
        <v>0.85</v>
      </c>
      <c r="AK683" t="str">
        <f>HYPERLINK("http://www.ncbi.nlm.nih.gov/protein/312094022","gi|312094022")</f>
        <v>gi|312094022</v>
      </c>
      <c r="AL683">
        <v>37.4</v>
      </c>
      <c r="AM683">
        <v>62</v>
      </c>
      <c r="AN683">
        <v>112</v>
      </c>
      <c r="AO683">
        <v>32</v>
      </c>
      <c r="AP683">
        <v>56</v>
      </c>
      <c r="AQ683">
        <v>45</v>
      </c>
      <c r="AR683">
        <v>0</v>
      </c>
      <c r="AS683">
        <v>36</v>
      </c>
      <c r="AT683">
        <v>207</v>
      </c>
      <c r="AU683">
        <v>1</v>
      </c>
      <c r="AV683">
        <v>3</v>
      </c>
      <c r="AW683" t="s">
        <v>12</v>
      </c>
      <c r="AX683">
        <v>6.452</v>
      </c>
      <c r="AY683" t="s">
        <v>1676</v>
      </c>
      <c r="AZ683" t="s">
        <v>1765</v>
      </c>
      <c r="BA683" s="4" t="str">
        <f>HYPERLINK("http://exon.niaid.nih.gov/transcriptome/C_felis/S1/links/SWISSP/cf-contig_479-SWISSP.txt","Glutamate--cysteine ligase")</f>
        <v>Glutamate--cysteine ligase</v>
      </c>
      <c r="BB683" t="str">
        <f>HYPERLINK("http://www.uniprot.org/uniprot/Q8D2V5","2.9")</f>
        <v>2.9</v>
      </c>
      <c r="BC683" t="s">
        <v>3415</v>
      </c>
      <c r="BD683">
        <v>30.8</v>
      </c>
      <c r="BE683">
        <v>44</v>
      </c>
      <c r="BF683">
        <v>505</v>
      </c>
      <c r="BG683">
        <v>42</v>
      </c>
      <c r="BH683">
        <v>9</v>
      </c>
      <c r="BI683">
        <v>27</v>
      </c>
      <c r="BJ683">
        <v>0</v>
      </c>
      <c r="BK683">
        <v>387</v>
      </c>
      <c r="BL683">
        <v>118</v>
      </c>
      <c r="BM683">
        <v>1</v>
      </c>
      <c r="BN683">
        <v>-3</v>
      </c>
      <c r="BO683" t="s">
        <v>12</v>
      </c>
      <c r="BP683">
        <v>4.5449999999999999</v>
      </c>
      <c r="BQ683" t="s">
        <v>1666</v>
      </c>
      <c r="BR683" t="s">
        <v>1988</v>
      </c>
      <c r="BS683" s="4" t="str">
        <f>HYPERLINK("http://exon.niaid.nih.gov/transcriptome/C_felis/S1/links/CDD/cf-contig_479-CDD.txt","ndhG")</f>
        <v>ndhG</v>
      </c>
      <c r="BT683" t="str">
        <f>HYPERLINK("http://www.ncbi.nlm.nih.gov/Structure/cdd/cddsrv.cgi?uid=CHL00016&amp;version=v4.0","0.063")</f>
        <v>0.063</v>
      </c>
      <c r="BU683" t="s">
        <v>3416</v>
      </c>
      <c r="BV683" s="4" t="s">
        <v>42</v>
      </c>
      <c r="BW683" t="s">
        <v>42</v>
      </c>
      <c r="BX683" t="s">
        <v>42</v>
      </c>
      <c r="BY683" t="s">
        <v>42</v>
      </c>
      <c r="BZ683" t="s">
        <v>42</v>
      </c>
      <c r="CA683" t="s">
        <v>42</v>
      </c>
      <c r="CB683" t="s">
        <v>42</v>
      </c>
      <c r="CC683" t="s">
        <v>42</v>
      </c>
      <c r="CD683" t="s">
        <v>42</v>
      </c>
      <c r="CE683" t="s">
        <v>42</v>
      </c>
      <c r="CF683" t="s">
        <v>42</v>
      </c>
      <c r="CG683" t="s">
        <v>42</v>
      </c>
      <c r="CH683" t="s">
        <v>42</v>
      </c>
      <c r="CI683" t="s">
        <v>42</v>
      </c>
      <c r="CJ683" t="s">
        <v>42</v>
      </c>
      <c r="CK683" t="s">
        <v>42</v>
      </c>
      <c r="CL683" t="s">
        <v>42</v>
      </c>
      <c r="CM683" t="s">
        <v>42</v>
      </c>
      <c r="CN683" t="s">
        <v>42</v>
      </c>
      <c r="CO683" t="s">
        <v>42</v>
      </c>
      <c r="CP683" t="s">
        <v>42</v>
      </c>
      <c r="CQ683" t="s">
        <v>42</v>
      </c>
      <c r="CR683" t="s">
        <v>42</v>
      </c>
      <c r="CS683" s="4" t="str">
        <f>HYPERLINK("http://exon.niaid.nih.gov/transcriptome/C_felis/S1/links/KOG/cf-contig_479-KOG.txt","K+-dependent Na+:Ca2+ antiporter")</f>
        <v>K+-dependent Na+:Ca2+ antiporter</v>
      </c>
      <c r="CT683" t="str">
        <f>HYPERLINK("http://www.ncbi.nlm.nih.gov/COG/grace/shokog.cgi?KOG2399","0.35")</f>
        <v>0.35</v>
      </c>
      <c r="CU683" t="s">
        <v>1681</v>
      </c>
      <c r="CV683" s="4" t="str">
        <f>HYPERLINK("http://exon.niaid.nih.gov/transcriptome/C_felis/S1/links/PFAM/cf-contig_479-PFAM.txt","7TM_GPCR_Srsx")</f>
        <v>7TM_GPCR_Srsx</v>
      </c>
      <c r="CW683" t="str">
        <f>HYPERLINK("http://pfam.sanger.ac.uk/family?acc=PF10320","0.092")</f>
        <v>0.092</v>
      </c>
      <c r="CX683" s="4" t="str">
        <f>HYPERLINK("http://exon.niaid.nih.gov/transcriptome/C_felis/S1/links/SMART/cf-contig_479-SMART.txt","SET")</f>
        <v>SET</v>
      </c>
      <c r="CY683" t="str">
        <f>HYPERLINK("http://smart.embl-heidelberg.de/smart/do_annotation.pl?DOMAIN=SET&amp;BLAST=DUMMY","0.020")</f>
        <v>0.020</v>
      </c>
      <c r="CZ683" s="4" t="s">
        <v>42</v>
      </c>
      <c r="DA683" t="s">
        <v>42</v>
      </c>
      <c r="DB683" t="s">
        <v>42</v>
      </c>
      <c r="DC683" t="s">
        <v>42</v>
      </c>
      <c r="DD683" t="s">
        <v>42</v>
      </c>
      <c r="DE683" t="s">
        <v>42</v>
      </c>
      <c r="DF683" t="s">
        <v>42</v>
      </c>
      <c r="DG683" t="s">
        <v>42</v>
      </c>
      <c r="DH683" s="4" t="s">
        <v>42</v>
      </c>
      <c r="DI683" t="s">
        <v>42</v>
      </c>
      <c r="DJ683" s="4" t="s">
        <v>42</v>
      </c>
      <c r="DK683" t="s">
        <v>42</v>
      </c>
      <c r="DL683" s="4">
        <v>389</v>
      </c>
      <c r="DM683">
        <v>1</v>
      </c>
      <c r="DN683" s="4">
        <v>398</v>
      </c>
      <c r="DO683">
        <v>1</v>
      </c>
      <c r="DP683" s="4">
        <v>403</v>
      </c>
      <c r="DQ683">
        <v>1</v>
      </c>
      <c r="DR683" s="4">
        <v>418</v>
      </c>
      <c r="DS683">
        <v>1</v>
      </c>
      <c r="DT683" s="4">
        <v>428</v>
      </c>
      <c r="DU683">
        <v>1</v>
      </c>
      <c r="DV683" s="4">
        <v>442</v>
      </c>
      <c r="DW683">
        <v>1</v>
      </c>
      <c r="DX683" s="4">
        <v>446</v>
      </c>
      <c r="DY683">
        <v>1</v>
      </c>
      <c r="DZ683" s="4">
        <v>453</v>
      </c>
      <c r="EA683">
        <v>1</v>
      </c>
      <c r="EB683" s="4">
        <v>458</v>
      </c>
      <c r="EC683">
        <v>1</v>
      </c>
      <c r="ED683" s="4">
        <v>462</v>
      </c>
      <c r="EE683">
        <v>1</v>
      </c>
      <c r="EF683" s="4">
        <v>467</v>
      </c>
      <c r="EG683">
        <v>1</v>
      </c>
      <c r="EH683" s="4">
        <v>473</v>
      </c>
      <c r="EI683">
        <v>1</v>
      </c>
      <c r="EJ683" s="4">
        <v>479</v>
      </c>
      <c r="EK683">
        <v>1</v>
      </c>
    </row>
    <row r="684" spans="1:141" x14ac:dyDescent="0.2">
      <c r="A684" t="str">
        <f>HYPERLINK("http://exon.niaid.nih.gov/transcriptome/C_felis/S1/links/cf/cf-contig_768.txt","cf-contig_768")</f>
        <v>cf-contig_768</v>
      </c>
      <c r="B684">
        <v>1</v>
      </c>
      <c r="C684" s="10" t="s">
        <v>4600</v>
      </c>
      <c r="D684">
        <v>1</v>
      </c>
      <c r="E684" t="str">
        <f>HYPERLINK("http://exon.niaid.nih.gov/transcriptome/C_felis/S1/links/cf/cf-5-36-asb-768.txt","Contig-768")</f>
        <v>Contig-768</v>
      </c>
      <c r="F684" t="str">
        <f>HYPERLINK("http://exon.niaid.nih.gov/transcriptome/C_felis/S1/links/cf/cf-5-36-768-CLU.txt","Contig768")</f>
        <v>Contig768</v>
      </c>
      <c r="G684" t="str">
        <f>HYPERLINK("http://exon.niaid.nih.gov/transcriptome/C_felis/S1/links/cf/cf-5-36-768-qual.txt","55.2")</f>
        <v>55.2</v>
      </c>
      <c r="H684" t="s">
        <v>11</v>
      </c>
      <c r="I684">
        <v>72.2</v>
      </c>
      <c r="J684" t="s">
        <v>42</v>
      </c>
      <c r="K684" t="s">
        <v>12</v>
      </c>
      <c r="L684">
        <v>1</v>
      </c>
      <c r="M684" t="s">
        <v>781</v>
      </c>
      <c r="N684" t="s">
        <v>42</v>
      </c>
      <c r="O684">
        <v>187</v>
      </c>
      <c r="P684">
        <v>108</v>
      </c>
      <c r="Q684" t="s">
        <v>1587</v>
      </c>
      <c r="R684">
        <v>3</v>
      </c>
      <c r="S684" s="7" t="s">
        <v>4585</v>
      </c>
      <c r="U684">
        <v>1</v>
      </c>
      <c r="V684" s="4">
        <f>HYPERLINK("http://exon.niaid.nih.gov/transcriptome/C_felis/S1/links/cluster/cf-5-36-asb30-50-Id-CLU76.txt", 76)</f>
        <v>76</v>
      </c>
      <c r="W684">
        <f>HYPERLINK("http://exon.niaid.nih.gov/transcriptome/C_felis/S1/links/cluster/cf-5-36-asb30-50-Id-CLTL76.txt", 2)</f>
        <v>2</v>
      </c>
      <c r="X684" s="4">
        <f>HYPERLINK("http://exon.niaid.nih.gov/transcriptome/C_felis/S1/links/cluster/cf-5-36-asb35-50-Id-CLU68.txt", 68)</f>
        <v>68</v>
      </c>
      <c r="Y684">
        <f>HYPERLINK("http://exon.niaid.nih.gov/transcriptome/C_felis/S1/links/cluster/cf-5-36-asb35-50-Id-CLTL68.txt", 2)</f>
        <v>2</v>
      </c>
      <c r="Z684" s="4">
        <f>HYPERLINK("http://exon.niaid.nih.gov/transcriptome/C_felis/S1/links/cluster/cf-5-36-asb40-50-Id-CLU63.txt", 63)</f>
        <v>63</v>
      </c>
      <c r="AA684">
        <f>HYPERLINK("http://exon.niaid.nih.gov/transcriptome/C_felis/S1/links/cluster/cf-5-36-asb40-50-Id-CLTL63.txt", 2)</f>
        <v>2</v>
      </c>
      <c r="AB684" s="4" t="str">
        <f>HYPERLINK("http://exon.niaid.nih.gov/transcriptome/C_felis/S1/links/XC-ASB/cf-contig_768-XC-ASB.txt","XC-contig_217")</f>
        <v>XC-contig_217</v>
      </c>
      <c r="AC684">
        <v>3.0000000000000001E-3</v>
      </c>
      <c r="AD684" s="10" t="s">
        <v>4600</v>
      </c>
      <c r="AE684" t="s">
        <v>4601</v>
      </c>
      <c r="AI684" s="4" t="str">
        <f>HYPERLINK("http://exon.niaid.nih.gov/transcriptome/C_felis/S1/links/NR/cf-contig_768-NR.txt","hypothetical protein LOAG_12951")</f>
        <v>hypothetical protein LOAG_12951</v>
      </c>
      <c r="AJ684" t="str">
        <f>HYPERLINK("http://www.ncbi.nlm.nih.gov/sutils/blink.cgi?pid=312095926","1.1")</f>
        <v>1.1</v>
      </c>
      <c r="AK684" t="str">
        <f>HYPERLINK("http://www.ncbi.nlm.nih.gov/protein/312095926","gi|312095926")</f>
        <v>gi|312095926</v>
      </c>
      <c r="AL684">
        <v>37</v>
      </c>
      <c r="AM684">
        <v>51</v>
      </c>
      <c r="AN684">
        <v>120</v>
      </c>
      <c r="AO684">
        <v>32</v>
      </c>
      <c r="AP684">
        <v>43</v>
      </c>
      <c r="AQ684">
        <v>35</v>
      </c>
      <c r="AR684">
        <v>0</v>
      </c>
      <c r="AS684">
        <v>52</v>
      </c>
      <c r="AT684">
        <v>32</v>
      </c>
      <c r="AU684">
        <v>1</v>
      </c>
      <c r="AV684">
        <v>-1</v>
      </c>
      <c r="AW684" t="s">
        <v>12</v>
      </c>
      <c r="AX684">
        <v>3.9220000000000002</v>
      </c>
      <c r="AY684" t="s">
        <v>1666</v>
      </c>
      <c r="AZ684" t="s">
        <v>1765</v>
      </c>
      <c r="BA684" s="4" t="str">
        <f>HYPERLINK("http://exon.niaid.nih.gov/transcriptome/C_felis/S1/links/SWISSP/cf-contig_768-SWISSP.txt","Ribosomal operon-associated A protein")</f>
        <v>Ribosomal operon-associated A protein</v>
      </c>
      <c r="BB684" t="str">
        <f>HYPERLINK("http://www.uniprot.org/uniprot/P30397","6.1")</f>
        <v>6.1</v>
      </c>
      <c r="BC684" t="s">
        <v>4463</v>
      </c>
      <c r="BD684">
        <v>29.6</v>
      </c>
      <c r="BE684">
        <v>37</v>
      </c>
      <c r="BF684">
        <v>516</v>
      </c>
      <c r="BG684">
        <v>34</v>
      </c>
      <c r="BH684">
        <v>7</v>
      </c>
      <c r="BI684">
        <v>25</v>
      </c>
      <c r="BJ684">
        <v>0</v>
      </c>
      <c r="BK684">
        <v>230</v>
      </c>
      <c r="BL684">
        <v>72</v>
      </c>
      <c r="BM684">
        <v>1</v>
      </c>
      <c r="BN684">
        <v>-3</v>
      </c>
      <c r="BO684" t="s">
        <v>12</v>
      </c>
      <c r="BP684">
        <v>2.7029999999999998</v>
      </c>
      <c r="BQ684" t="s">
        <v>1666</v>
      </c>
      <c r="BR684" t="s">
        <v>4464</v>
      </c>
      <c r="BS684" s="4" t="str">
        <f>HYPERLINK("http://exon.niaid.nih.gov/transcriptome/C_felis/S1/links/CDD/cf-contig_768-CDD.txt","7TM_GPCR_Srz")</f>
        <v>7TM_GPCR_Srz</v>
      </c>
      <c r="BT684" t="str">
        <f>HYPERLINK("http://www.ncbi.nlm.nih.gov/Structure/cdd/cddsrv.cgi?uid=pfam10325&amp;version=v4.0","0.086")</f>
        <v>0.086</v>
      </c>
      <c r="BU684" t="s">
        <v>4465</v>
      </c>
      <c r="BV684" s="4" t="s">
        <v>42</v>
      </c>
      <c r="BW684" t="s">
        <v>42</v>
      </c>
      <c r="BX684" t="s">
        <v>42</v>
      </c>
      <c r="BY684" t="s">
        <v>42</v>
      </c>
      <c r="BZ684" t="s">
        <v>42</v>
      </c>
      <c r="CA684" t="s">
        <v>42</v>
      </c>
      <c r="CB684" t="s">
        <v>42</v>
      </c>
      <c r="CC684" t="s">
        <v>42</v>
      </c>
      <c r="CD684" t="s">
        <v>42</v>
      </c>
      <c r="CE684" t="s">
        <v>42</v>
      </c>
      <c r="CF684" t="s">
        <v>42</v>
      </c>
      <c r="CG684" t="s">
        <v>42</v>
      </c>
      <c r="CH684" t="s">
        <v>42</v>
      </c>
      <c r="CI684" t="s">
        <v>42</v>
      </c>
      <c r="CJ684" t="s">
        <v>42</v>
      </c>
      <c r="CK684" t="s">
        <v>42</v>
      </c>
      <c r="CL684" t="s">
        <v>42</v>
      </c>
      <c r="CM684" t="s">
        <v>42</v>
      </c>
      <c r="CN684" t="s">
        <v>42</v>
      </c>
      <c r="CO684" t="s">
        <v>42</v>
      </c>
      <c r="CP684" t="s">
        <v>42</v>
      </c>
      <c r="CQ684" t="s">
        <v>42</v>
      </c>
      <c r="CR684" t="s">
        <v>42</v>
      </c>
      <c r="CS684" s="4" t="str">
        <f>HYPERLINK("http://exon.niaid.nih.gov/transcriptome/C_felis/S1/links/KOG/cf-contig_768-KOG.txt","Tumor differentially expressed (TDE) protein")</f>
        <v>Tumor differentially expressed (TDE) protein</v>
      </c>
      <c r="CT684" t="str">
        <f>HYPERLINK("http://www.ncbi.nlm.nih.gov/COG/grace/shokog.cgi?KOG2592","0.16")</f>
        <v>0.16</v>
      </c>
      <c r="CU684" t="s">
        <v>1711</v>
      </c>
      <c r="CV684" s="4" t="str">
        <f>HYPERLINK("http://exon.niaid.nih.gov/transcriptome/C_felis/S1/links/PFAM/cf-contig_768-PFAM.txt","7TM_GPCR_Srz")</f>
        <v>7TM_GPCR_Srz</v>
      </c>
      <c r="CW684" t="str">
        <f>HYPERLINK("http://pfam.sanger.ac.uk/family?acc=PF10325","0.018")</f>
        <v>0.018</v>
      </c>
      <c r="CX684" s="4" t="str">
        <f>HYPERLINK("http://exon.niaid.nih.gov/transcriptome/C_felis/S1/links/SMART/cf-contig_768-SMART.txt","AgrB")</f>
        <v>AgrB</v>
      </c>
      <c r="CY684" t="str">
        <f>HYPERLINK("http://smart.embl-heidelberg.de/smart/do_annotation.pl?DOMAIN=AgrB&amp;BLAST=DUMMY","0.079")</f>
        <v>0.079</v>
      </c>
      <c r="CZ684" s="4" t="s">
        <v>42</v>
      </c>
      <c r="DA684" t="s">
        <v>42</v>
      </c>
      <c r="DB684" t="s">
        <v>42</v>
      </c>
      <c r="DC684" t="s">
        <v>42</v>
      </c>
      <c r="DD684" t="s">
        <v>42</v>
      </c>
      <c r="DE684" t="s">
        <v>42</v>
      </c>
      <c r="DF684" t="s">
        <v>42</v>
      </c>
      <c r="DG684" t="s">
        <v>42</v>
      </c>
      <c r="DH684" s="4" t="s">
        <v>42</v>
      </c>
      <c r="DI684" t="s">
        <v>42</v>
      </c>
      <c r="DJ684" s="4" t="s">
        <v>42</v>
      </c>
      <c r="DK684" t="s">
        <v>42</v>
      </c>
      <c r="DL684" s="4">
        <f>HYPERLINK("http://exon.niaid.nih.gov/transcriptome/C_felis/S1/links/cluster/cf-5-36-asb30-50-Id-CLU76.txt", 76)</f>
        <v>76</v>
      </c>
      <c r="DM684">
        <f>HYPERLINK("http://exon.niaid.nih.gov/transcriptome/C_felis/S1/links/cluster/cf-5-36-asb30-50-Id-CLTL76.txt", 2)</f>
        <v>2</v>
      </c>
      <c r="DN684" s="4">
        <f>HYPERLINK("http://exon.niaid.nih.gov/transcriptome/C_felis/S1/links/cluster/cf-5-36-asb35-50-Id-CLU68.txt", 68)</f>
        <v>68</v>
      </c>
      <c r="DO684">
        <f>HYPERLINK("http://exon.niaid.nih.gov/transcriptome/C_felis/S1/links/cluster/cf-5-36-asb35-50-Id-CLTL68.txt", 2)</f>
        <v>2</v>
      </c>
      <c r="DP684" s="4">
        <f>HYPERLINK("http://exon.niaid.nih.gov/transcriptome/C_felis/S1/links/cluster/cf-5-36-asb40-50-Id-CLU63.txt", 63)</f>
        <v>63</v>
      </c>
      <c r="DQ684">
        <f>HYPERLINK("http://exon.niaid.nih.gov/transcriptome/C_felis/S1/links/cluster/cf-5-36-asb40-50-Id-CLTL63.txt", 2)</f>
        <v>2</v>
      </c>
      <c r="DR684" s="4">
        <f>HYPERLINK("http://exon.niaid.nih.gov/transcriptome/C_felis/S1/links/cluster/cf-5-36-asb45-50-Id-CLU66.txt", 66)</f>
        <v>66</v>
      </c>
      <c r="DS684">
        <f>HYPERLINK("http://exon.niaid.nih.gov/transcriptome/C_felis/S1/links/cluster/cf-5-36-asb45-50-Id-CLTL66.txt", 2)</f>
        <v>2</v>
      </c>
      <c r="DT684" s="4">
        <v>690</v>
      </c>
      <c r="DU684">
        <v>1</v>
      </c>
      <c r="DV684" s="4">
        <v>705</v>
      </c>
      <c r="DW684">
        <v>1</v>
      </c>
      <c r="DX684" s="4">
        <v>719</v>
      </c>
      <c r="DY684">
        <v>1</v>
      </c>
      <c r="DZ684" s="4">
        <v>730</v>
      </c>
      <c r="EA684">
        <v>1</v>
      </c>
      <c r="EB684" s="4">
        <v>736</v>
      </c>
      <c r="EC684">
        <v>1</v>
      </c>
      <c r="ED684" s="4">
        <v>741</v>
      </c>
      <c r="EE684">
        <v>1</v>
      </c>
      <c r="EF684" s="4">
        <v>747</v>
      </c>
      <c r="EG684">
        <v>1</v>
      </c>
      <c r="EH684" s="4">
        <v>759</v>
      </c>
      <c r="EI684">
        <v>1</v>
      </c>
      <c r="EJ684" s="4">
        <v>768</v>
      </c>
      <c r="EK684">
        <v>1</v>
      </c>
    </row>
    <row r="685" spans="1:141" x14ac:dyDescent="0.2">
      <c r="A685" t="str">
        <f>HYPERLINK("http://exon.niaid.nih.gov/transcriptome/C_felis/S1/links/cf/cf-contig_43.txt","cf-contig_43")</f>
        <v>cf-contig_43</v>
      </c>
      <c r="B685">
        <v>1</v>
      </c>
      <c r="C685" s="10" t="s">
        <v>4600</v>
      </c>
      <c r="D685">
        <v>1</v>
      </c>
      <c r="E685" t="str">
        <f>HYPERLINK("http://exon.niaid.nih.gov/transcriptome/C_felis/S1/links/cf/cf-5-36-asb-43.txt","Contig-43")</f>
        <v>Contig-43</v>
      </c>
      <c r="F685" t="str">
        <f>HYPERLINK("http://exon.niaid.nih.gov/transcriptome/C_felis/S1/links/cf/cf-5-36-43-CLU.txt","Contig43")</f>
        <v>Contig43</v>
      </c>
      <c r="G685" t="str">
        <f>HYPERLINK("http://exon.niaid.nih.gov/transcriptome/C_felis/S1/links/cf/cf-5-36-43-qual.txt","62.2")</f>
        <v>62.2</v>
      </c>
      <c r="H685" t="s">
        <v>11</v>
      </c>
      <c r="I685">
        <v>76.2</v>
      </c>
      <c r="J685">
        <v>225</v>
      </c>
      <c r="K685" t="s">
        <v>12</v>
      </c>
      <c r="L685">
        <v>1</v>
      </c>
      <c r="M685" t="s">
        <v>56</v>
      </c>
      <c r="N685">
        <v>225</v>
      </c>
      <c r="O685">
        <v>244</v>
      </c>
      <c r="P685">
        <v>114</v>
      </c>
      <c r="Q685" t="s">
        <v>865</v>
      </c>
      <c r="R685">
        <v>1</v>
      </c>
      <c r="S685" s="7" t="s">
        <v>4585</v>
      </c>
      <c r="U685">
        <v>1</v>
      </c>
      <c r="V685" s="4">
        <f>HYPERLINK("http://exon.niaid.nih.gov/transcriptome/C_felis/S1/links/cluster/cf-5-36-asb30-50-Id-CLU1.txt", 1)</f>
        <v>1</v>
      </c>
      <c r="W685">
        <f>HYPERLINK("http://exon.niaid.nih.gov/transcriptome/C_felis/S1/links/cluster/cf-5-36-asb30-50-Id-CLTL1.txt", 14)</f>
        <v>14</v>
      </c>
      <c r="X685" s="4">
        <f>HYPERLINK("http://exon.niaid.nih.gov/transcriptome/C_felis/S1/links/cluster/cf-5-36-asb35-50-Id-CLU2.txt", 2)</f>
        <v>2</v>
      </c>
      <c r="Y685">
        <f>HYPERLINK("http://exon.niaid.nih.gov/transcriptome/C_felis/S1/links/cluster/cf-5-36-asb35-50-Id-CLTL2.txt", 9)</f>
        <v>9</v>
      </c>
      <c r="Z685" s="4">
        <f>HYPERLINK("http://exon.niaid.nih.gov/transcriptome/C_felis/S1/links/cluster/cf-5-36-asb40-50-Id-CLU2.txt", 2)</f>
        <v>2</v>
      </c>
      <c r="AA685">
        <f>HYPERLINK("http://exon.niaid.nih.gov/transcriptome/C_felis/S1/links/cluster/cf-5-36-asb40-50-Id-CLTL2.txt", 7)</f>
        <v>7</v>
      </c>
      <c r="AB685" s="4" t="str">
        <f>HYPERLINK("http://exon.niaid.nih.gov/transcriptome/C_felis/S1/links/XC-ASB/cf-contig_43-XC-ASB.txt","XC-contig_209")</f>
        <v>XC-contig_209</v>
      </c>
      <c r="AC685">
        <v>0.15</v>
      </c>
      <c r="AD685" s="10" t="s">
        <v>4600</v>
      </c>
      <c r="AE685" t="s">
        <v>4601</v>
      </c>
      <c r="AI685" s="4" t="str">
        <f>HYPERLINK("http://exon.niaid.nih.gov/transcriptome/C_felis/S1/links/NR/cf-contig_43-NR.txt","hypothetical protein LOAG_15386")</f>
        <v>hypothetical protein LOAG_15386</v>
      </c>
      <c r="AJ685" t="str">
        <f>HYPERLINK("http://www.ncbi.nlm.nih.gov/sutils/blink.cgi?pid=312107477","16")</f>
        <v>16</v>
      </c>
      <c r="AK685" t="str">
        <f>HYPERLINK("http://www.ncbi.nlm.nih.gov/protein/312107477","gi|312107477")</f>
        <v>gi|312107477</v>
      </c>
      <c r="AL685">
        <v>33.1</v>
      </c>
      <c r="AM685">
        <v>57</v>
      </c>
      <c r="AN685">
        <v>157</v>
      </c>
      <c r="AO685">
        <v>34</v>
      </c>
      <c r="AP685">
        <v>37</v>
      </c>
      <c r="AQ685">
        <v>41</v>
      </c>
      <c r="AR685">
        <v>0</v>
      </c>
      <c r="AS685">
        <v>77</v>
      </c>
      <c r="AT685">
        <v>25</v>
      </c>
      <c r="AU685">
        <v>1</v>
      </c>
      <c r="AV685">
        <v>-2</v>
      </c>
      <c r="AW685" t="s">
        <v>12</v>
      </c>
      <c r="AX685">
        <v>3.5089999999999999</v>
      </c>
      <c r="AY685" t="s">
        <v>1666</v>
      </c>
      <c r="AZ685" t="s">
        <v>1765</v>
      </c>
      <c r="BA685" s="4" t="str">
        <f>HYPERLINK("http://exon.niaid.nih.gov/transcriptome/C_felis/S1/links/SWISSP/cf-contig_43-SWISSP.txt","MATH and LRR domain-containing protein PFE0570w")</f>
        <v>MATH and LRR domain-containing protein PFE0570w</v>
      </c>
      <c r="BB685" t="str">
        <f>HYPERLINK("http://www.uniprot.org/uniprot/Q8I3Z1","14")</f>
        <v>14</v>
      </c>
      <c r="BC685" t="s">
        <v>1818</v>
      </c>
      <c r="BD685">
        <v>28.5</v>
      </c>
      <c r="BE685">
        <v>29</v>
      </c>
      <c r="BF685">
        <v>10061</v>
      </c>
      <c r="BG685">
        <v>46</v>
      </c>
      <c r="BI685">
        <v>16</v>
      </c>
      <c r="BJ685">
        <v>0</v>
      </c>
      <c r="BK685">
        <v>3295</v>
      </c>
      <c r="BL685">
        <v>104</v>
      </c>
      <c r="BM685">
        <v>1</v>
      </c>
      <c r="BN685">
        <v>2</v>
      </c>
      <c r="BO685" t="s">
        <v>12</v>
      </c>
      <c r="BP685">
        <v>3.448</v>
      </c>
      <c r="BQ685" t="s">
        <v>1676</v>
      </c>
      <c r="BR685" t="s">
        <v>1724</v>
      </c>
      <c r="BS685" s="4" t="str">
        <f>HYPERLINK("http://exon.niaid.nih.gov/transcriptome/C_felis/S1/links/CDD/cf-contig_43-CDD.txt","7TM_GPCR_Srz")</f>
        <v>7TM_GPCR_Srz</v>
      </c>
      <c r="BT685" t="str">
        <f>HYPERLINK("http://www.ncbi.nlm.nih.gov/Structure/cdd/cddsrv.cgi?uid=pfam10325&amp;version=v4.0","0.005")</f>
        <v>0.005</v>
      </c>
      <c r="BU685" t="s">
        <v>1819</v>
      </c>
      <c r="BV685" s="4" t="s">
        <v>42</v>
      </c>
      <c r="BW685" t="s">
        <v>42</v>
      </c>
      <c r="BX685" t="s">
        <v>42</v>
      </c>
      <c r="BY685" t="s">
        <v>42</v>
      </c>
      <c r="BZ685" t="s">
        <v>42</v>
      </c>
      <c r="CA685" t="s">
        <v>42</v>
      </c>
      <c r="CB685" t="s">
        <v>42</v>
      </c>
      <c r="CC685" t="s">
        <v>42</v>
      </c>
      <c r="CD685" t="s">
        <v>42</v>
      </c>
      <c r="CE685" t="s">
        <v>42</v>
      </c>
      <c r="CF685" t="s">
        <v>42</v>
      </c>
      <c r="CG685" t="s">
        <v>42</v>
      </c>
      <c r="CH685" t="s">
        <v>42</v>
      </c>
      <c r="CI685" t="s">
        <v>42</v>
      </c>
      <c r="CJ685" t="s">
        <v>42</v>
      </c>
      <c r="CK685" t="s">
        <v>42</v>
      </c>
      <c r="CL685" t="s">
        <v>42</v>
      </c>
      <c r="CM685" t="s">
        <v>42</v>
      </c>
      <c r="CN685" t="s">
        <v>42</v>
      </c>
      <c r="CO685" t="s">
        <v>42</v>
      </c>
      <c r="CP685" t="s">
        <v>42</v>
      </c>
      <c r="CQ685" t="s">
        <v>42</v>
      </c>
      <c r="CR685" t="s">
        <v>42</v>
      </c>
      <c r="CS685" s="4" t="str">
        <f>HYPERLINK("http://exon.niaid.nih.gov/transcriptome/C_felis/S1/links/KOG/cf-contig_43-KOG.txt","Plasma membrane H+-transporting ATPase")</f>
        <v>Plasma membrane H+-transporting ATPase</v>
      </c>
      <c r="CT685" t="str">
        <f>HYPERLINK("http://www.ncbi.nlm.nih.gov/COG/grace/shokog.cgi?KOG0205","0.33")</f>
        <v>0.33</v>
      </c>
      <c r="CU685" t="s">
        <v>1681</v>
      </c>
      <c r="CV685" s="4" t="str">
        <f>HYPERLINK("http://exon.niaid.nih.gov/transcriptome/C_felis/S1/links/PFAM/cf-contig_43-PFAM.txt","7TM_GPCR_Srz")</f>
        <v>7TM_GPCR_Srz</v>
      </c>
      <c r="CW685" t="str">
        <f>HYPERLINK("http://pfam.sanger.ac.uk/family?acc=PF10325","0.001")</f>
        <v>0.001</v>
      </c>
      <c r="CX685" s="4" t="str">
        <f>HYPERLINK("http://exon.niaid.nih.gov/transcriptome/C_felis/S1/links/SMART/cf-contig_43-SMART.txt","Brr6_like_C_C")</f>
        <v>Brr6_like_C_C</v>
      </c>
      <c r="CY685" t="str">
        <f>HYPERLINK("http://smart.embl-heidelberg.de/smart/do_annotation.pl?DOMAIN=Brr6_like_C_C&amp;BLAST=DUMMY","0.037")</f>
        <v>0.037</v>
      </c>
      <c r="CZ685" s="4" t="s">
        <v>42</v>
      </c>
      <c r="DA685" t="s">
        <v>42</v>
      </c>
      <c r="DB685" t="s">
        <v>42</v>
      </c>
      <c r="DC685" t="s">
        <v>42</v>
      </c>
      <c r="DD685" t="s">
        <v>42</v>
      </c>
      <c r="DE685" t="s">
        <v>42</v>
      </c>
      <c r="DF685" t="s">
        <v>42</v>
      </c>
      <c r="DG685" t="s">
        <v>42</v>
      </c>
      <c r="DH685" s="4" t="s">
        <v>42</v>
      </c>
      <c r="DI685" t="s">
        <v>42</v>
      </c>
      <c r="DJ685" s="4" t="s">
        <v>42</v>
      </c>
      <c r="DK685" t="s">
        <v>42</v>
      </c>
      <c r="DL685" s="4">
        <f>HYPERLINK("http://exon.niaid.nih.gov/transcriptome/C_felis/S1/links/cluster/cf-5-36-asb30-50-Id-CLU1.txt", 1)</f>
        <v>1</v>
      </c>
      <c r="DM685">
        <f>HYPERLINK("http://exon.niaid.nih.gov/transcriptome/C_felis/S1/links/cluster/cf-5-36-asb30-50-Id-CLTL1.txt", 14)</f>
        <v>14</v>
      </c>
      <c r="DN685" s="4">
        <f>HYPERLINK("http://exon.niaid.nih.gov/transcriptome/C_felis/S1/links/cluster/cf-5-36-asb35-50-Id-CLU2.txt", 2)</f>
        <v>2</v>
      </c>
      <c r="DO685">
        <f>HYPERLINK("http://exon.niaid.nih.gov/transcriptome/C_felis/S1/links/cluster/cf-5-36-asb35-50-Id-CLTL2.txt", 9)</f>
        <v>9</v>
      </c>
      <c r="DP685" s="4">
        <f>HYPERLINK("http://exon.niaid.nih.gov/transcriptome/C_felis/S1/links/cluster/cf-5-36-asb40-50-Id-CLU2.txt", 2)</f>
        <v>2</v>
      </c>
      <c r="DQ685">
        <f>HYPERLINK("http://exon.niaid.nih.gov/transcriptome/C_felis/S1/links/cluster/cf-5-36-asb40-50-Id-CLTL2.txt", 7)</f>
        <v>7</v>
      </c>
      <c r="DR685" s="4">
        <f>HYPERLINK("http://exon.niaid.nih.gov/transcriptome/C_felis/S1/links/cluster/cf-5-36-asb45-50-Id-CLU2.txt", 2)</f>
        <v>2</v>
      </c>
      <c r="DS685">
        <f>HYPERLINK("http://exon.niaid.nih.gov/transcriptome/C_felis/S1/links/cluster/cf-5-36-asb45-50-Id-CLTL2.txt", 6)</f>
        <v>6</v>
      </c>
      <c r="DT685" s="4">
        <f>HYPERLINK("http://exon.niaid.nih.gov/transcriptome/C_felis/S1/links/cluster/cf-5-36-asb50-50-Id-CLU2.txt", 2)</f>
        <v>2</v>
      </c>
      <c r="DU685">
        <f>HYPERLINK("http://exon.niaid.nih.gov/transcriptome/C_felis/S1/links/cluster/cf-5-36-asb50-50-Id-CLTL2.txt", 6)</f>
        <v>6</v>
      </c>
      <c r="DV685" s="4">
        <f>HYPERLINK("http://exon.niaid.nih.gov/transcriptome/C_felis/S1/links/cluster/cf-5-36-asb55-50-Id-CLU2.txt", 2)</f>
        <v>2</v>
      </c>
      <c r="DW685">
        <f>HYPERLINK("http://exon.niaid.nih.gov/transcriptome/C_felis/S1/links/cluster/cf-5-36-asb55-50-Id-CLTL2.txt", 4)</f>
        <v>4</v>
      </c>
      <c r="DX685" s="4">
        <f>HYPERLINK("http://exon.niaid.nih.gov/transcriptome/C_felis/S1/links/cluster/cf-5-36-asb60-50-Id-CLU5.txt", 5)</f>
        <v>5</v>
      </c>
      <c r="DY685">
        <f>HYPERLINK("http://exon.niaid.nih.gov/transcriptome/C_felis/S1/links/cluster/cf-5-36-asb60-50-Id-CLTL5.txt", 3)</f>
        <v>3</v>
      </c>
      <c r="DZ685" s="4">
        <f>HYPERLINK("http://exon.niaid.nih.gov/transcriptome/C_felis/S1/links/cluster/cf-5-36-asb65-50-Id-CLU12.txt", 12)</f>
        <v>12</v>
      </c>
      <c r="EA685">
        <f>HYPERLINK("http://exon.niaid.nih.gov/transcriptome/C_felis/S1/links/cluster/cf-5-36-asb65-50-Id-CLTL12.txt", 2)</f>
        <v>2</v>
      </c>
      <c r="EB685" s="4">
        <f>HYPERLINK("http://exon.niaid.nih.gov/transcriptome/C_felis/S1/links/cluster/cf-5-36-asb70-50-Id-CLU8.txt", 8)</f>
        <v>8</v>
      </c>
      <c r="EC685">
        <f>HYPERLINK("http://exon.niaid.nih.gov/transcriptome/C_felis/S1/links/cluster/cf-5-36-asb70-50-Id-CLTL8.txt", 2)</f>
        <v>2</v>
      </c>
      <c r="ED685" s="4">
        <f>HYPERLINK("http://exon.niaid.nih.gov/transcriptome/C_felis/S1/links/cluster/cf-5-36-asb75-50-Id-CLU6.txt", 6)</f>
        <v>6</v>
      </c>
      <c r="EE685">
        <f>HYPERLINK("http://exon.niaid.nih.gov/transcriptome/C_felis/S1/links/cluster/cf-5-36-asb75-50-Id-CLTL6.txt", 2)</f>
        <v>2</v>
      </c>
      <c r="EF685" s="4">
        <v>57</v>
      </c>
      <c r="EG685">
        <v>1</v>
      </c>
      <c r="EH685" s="4">
        <v>45</v>
      </c>
      <c r="EI685">
        <v>1</v>
      </c>
      <c r="EJ685" s="4">
        <v>43</v>
      </c>
      <c r="EK685">
        <v>1</v>
      </c>
    </row>
    <row r="686" spans="1:141" x14ac:dyDescent="0.2">
      <c r="A686" t="str">
        <f>HYPERLINK("http://exon.niaid.nih.gov/transcriptome/C_felis/S1/links/cf/cf-contig_85.txt","cf-contig_85")</f>
        <v>cf-contig_85</v>
      </c>
      <c r="B686">
        <v>1</v>
      </c>
      <c r="C686" s="10" t="s">
        <v>4600</v>
      </c>
      <c r="D686">
        <v>1</v>
      </c>
      <c r="E686" t="str">
        <f>HYPERLINK("http://exon.niaid.nih.gov/transcriptome/C_felis/S1/links/cf/cf-5-36-asb-85.txt","Contig-85")</f>
        <v>Contig-85</v>
      </c>
      <c r="F686" t="str">
        <f>HYPERLINK("http://exon.niaid.nih.gov/transcriptome/C_felis/S1/links/cf/cf-5-36-85-CLU.txt","Contig85")</f>
        <v>Contig85</v>
      </c>
      <c r="G686" t="str">
        <f>HYPERLINK("http://exon.niaid.nih.gov/transcriptome/C_felis/S1/links/cf/cf-5-36-85-qual.txt","61.7")</f>
        <v>61.7</v>
      </c>
      <c r="H686" t="s">
        <v>11</v>
      </c>
      <c r="I686">
        <v>73.7</v>
      </c>
      <c r="J686">
        <v>148</v>
      </c>
      <c r="K686" t="s">
        <v>12</v>
      </c>
      <c r="L686">
        <v>1</v>
      </c>
      <c r="M686" t="s">
        <v>98</v>
      </c>
      <c r="N686">
        <v>148</v>
      </c>
      <c r="O686">
        <v>167</v>
      </c>
      <c r="P686">
        <v>120</v>
      </c>
      <c r="Q686" t="s">
        <v>905</v>
      </c>
      <c r="R686">
        <v>2</v>
      </c>
      <c r="S686" s="7" t="s">
        <v>4585</v>
      </c>
      <c r="U686">
        <v>1</v>
      </c>
      <c r="V686" s="4">
        <f>HYPERLINK("http://exon.niaid.nih.gov/transcriptome/C_felis/S1/links/cluster/cf-5-36-asb30-50-Id-CLU35.txt", 35)</f>
        <v>35</v>
      </c>
      <c r="W686">
        <f>HYPERLINK("http://exon.niaid.nih.gov/transcriptome/C_felis/S1/links/cluster/cf-5-36-asb30-50-Id-CLTL35.txt", 2)</f>
        <v>2</v>
      </c>
      <c r="X686" s="4">
        <f>HYPERLINK("http://exon.niaid.nih.gov/transcriptome/C_felis/S1/links/cluster/cf-5-36-asb35-50-Id-CLU28.txt", 28)</f>
        <v>28</v>
      </c>
      <c r="Y686">
        <f>HYPERLINK("http://exon.niaid.nih.gov/transcriptome/C_felis/S1/links/cluster/cf-5-36-asb35-50-Id-CLTL28.txt", 2)</f>
        <v>2</v>
      </c>
      <c r="Z686" s="4">
        <f>HYPERLINK("http://exon.niaid.nih.gov/transcriptome/C_felis/S1/links/cluster/cf-5-36-asb40-50-Id-CLU26.txt", 26)</f>
        <v>26</v>
      </c>
      <c r="AA686">
        <f>HYPERLINK("http://exon.niaid.nih.gov/transcriptome/C_felis/S1/links/cluster/cf-5-36-asb40-50-Id-CLTL26.txt", 2)</f>
        <v>2</v>
      </c>
      <c r="AB686" s="4" t="str">
        <f>HYPERLINK("http://exon.niaid.nih.gov/transcriptome/C_felis/S1/links/XC-ASB/cf-contig_85-XC-ASB.txt","XC-contig_191")</f>
        <v>XC-contig_191</v>
      </c>
      <c r="AC686">
        <v>0.38</v>
      </c>
      <c r="AD686" s="10" t="s">
        <v>4600</v>
      </c>
      <c r="AE686" t="s">
        <v>4601</v>
      </c>
      <c r="AI686" s="4" t="str">
        <f>HYPERLINK("http://exon.niaid.nih.gov/transcriptome/C_felis/S1/links/NR/cf-contig_85-NR.txt","glycoprotein 1")</f>
        <v>glycoprotein 1</v>
      </c>
      <c r="AJ686" t="str">
        <f>HYPERLINK("http://www.ncbi.nlm.nih.gov/sutils/blink.cgi?pid=3860432","16")</f>
        <v>16</v>
      </c>
      <c r="AK686" t="str">
        <f>HYPERLINK("http://www.ncbi.nlm.nih.gov/protein/3860432","gi|3860432")</f>
        <v>gi|3860432</v>
      </c>
      <c r="AL686">
        <v>33.1</v>
      </c>
      <c r="AM686">
        <v>22</v>
      </c>
      <c r="AN686">
        <v>309</v>
      </c>
      <c r="AO686">
        <v>56</v>
      </c>
      <c r="AP686">
        <v>7</v>
      </c>
      <c r="AQ686">
        <v>10</v>
      </c>
      <c r="AR686">
        <v>0</v>
      </c>
      <c r="AS686">
        <v>114</v>
      </c>
      <c r="AT686">
        <v>11</v>
      </c>
      <c r="AU686">
        <v>1</v>
      </c>
      <c r="AV686">
        <v>2</v>
      </c>
      <c r="AW686" t="s">
        <v>12</v>
      </c>
      <c r="AY686" t="s">
        <v>1676</v>
      </c>
      <c r="AZ686" t="s">
        <v>1978</v>
      </c>
      <c r="BA686" s="4" t="str">
        <f>HYPERLINK("http://exon.niaid.nih.gov/transcriptome/C_felis/S1/links/SWISSP/cf-contig_85-SWISSP.txt","Pre-glycoprotein polyprotein GP complex")</f>
        <v>Pre-glycoprotein polyprotein GP complex</v>
      </c>
      <c r="BB686" t="str">
        <f>HYPERLINK("http://www.uniprot.org/uniprot/P09991","3.6")</f>
        <v>3.6</v>
      </c>
      <c r="BC686" t="s">
        <v>1979</v>
      </c>
      <c r="BD686">
        <v>30.4</v>
      </c>
      <c r="BE686">
        <v>22</v>
      </c>
      <c r="BF686">
        <v>498</v>
      </c>
      <c r="BG686">
        <v>47</v>
      </c>
      <c r="BH686">
        <v>5</v>
      </c>
      <c r="BI686">
        <v>12</v>
      </c>
      <c r="BJ686">
        <v>0</v>
      </c>
      <c r="BK686">
        <v>109</v>
      </c>
      <c r="BL686">
        <v>11</v>
      </c>
      <c r="BM686">
        <v>1</v>
      </c>
      <c r="BN686">
        <v>2</v>
      </c>
      <c r="BO686" t="s">
        <v>12</v>
      </c>
      <c r="BQ686" t="s">
        <v>1676</v>
      </c>
      <c r="BR686" t="s">
        <v>1980</v>
      </c>
      <c r="BS686" s="4" t="str">
        <f>HYPERLINK("http://exon.niaid.nih.gov/transcriptome/C_felis/S1/links/CDD/cf-contig_85-CDD.txt","Nodulin_late")</f>
        <v>Nodulin_late</v>
      </c>
      <c r="BT686" t="str">
        <f>HYPERLINK("http://www.ncbi.nlm.nih.gov/Structure/cdd/cddsrv.cgi?uid=pfam07127&amp;version=v4.0","0.50")</f>
        <v>0.50</v>
      </c>
      <c r="BU686" t="s">
        <v>1981</v>
      </c>
      <c r="BV686" s="4" t="s">
        <v>42</v>
      </c>
      <c r="BW686" t="s">
        <v>42</v>
      </c>
      <c r="BX686" t="s">
        <v>42</v>
      </c>
      <c r="BY686" t="s">
        <v>42</v>
      </c>
      <c r="BZ686" t="s">
        <v>42</v>
      </c>
      <c r="CA686" t="s">
        <v>42</v>
      </c>
      <c r="CB686" t="s">
        <v>42</v>
      </c>
      <c r="CC686" t="s">
        <v>42</v>
      </c>
      <c r="CD686" t="s">
        <v>42</v>
      </c>
      <c r="CE686" t="s">
        <v>42</v>
      </c>
      <c r="CF686" t="s">
        <v>42</v>
      </c>
      <c r="CG686" t="s">
        <v>42</v>
      </c>
      <c r="CH686" t="s">
        <v>42</v>
      </c>
      <c r="CI686" t="s">
        <v>42</v>
      </c>
      <c r="CJ686" t="s">
        <v>42</v>
      </c>
      <c r="CK686" t="s">
        <v>42</v>
      </c>
      <c r="CL686" t="s">
        <v>42</v>
      </c>
      <c r="CM686" t="s">
        <v>42</v>
      </c>
      <c r="CN686" t="s">
        <v>42</v>
      </c>
      <c r="CO686" t="s">
        <v>42</v>
      </c>
      <c r="CP686" t="s">
        <v>42</v>
      </c>
      <c r="CQ686" t="s">
        <v>42</v>
      </c>
      <c r="CR686" t="s">
        <v>42</v>
      </c>
      <c r="CS686" s="4" t="str">
        <f>HYPERLINK("http://exon.niaid.nih.gov/transcriptome/C_felis/S1/links/KOG/cf-contig_85-KOG.txt","Sulfate/bicarbonate/oxalate exchanger SAT-1 and related transporters (SLC26 family)")</f>
        <v>Sulfate/bicarbonate/oxalate exchanger SAT-1 and related transporters (SLC26 family)</v>
      </c>
      <c r="CT686" t="str">
        <f>HYPERLINK("http://www.ncbi.nlm.nih.gov/COG/grace/shokog.cgi?KOG0236","0.91")</f>
        <v>0.91</v>
      </c>
      <c r="CU686" t="s">
        <v>1681</v>
      </c>
      <c r="CV686" s="4" t="str">
        <f>HYPERLINK("http://exon.niaid.nih.gov/transcriptome/C_felis/S1/links/PFAM/cf-contig_85-PFAM.txt","Nodulin_late")</f>
        <v>Nodulin_late</v>
      </c>
      <c r="CW686" t="str">
        <f>HYPERLINK("http://pfam.sanger.ac.uk/family?acc=PF07127","0.10")</f>
        <v>0.10</v>
      </c>
      <c r="CX686" s="4" t="str">
        <f>HYPERLINK("http://exon.niaid.nih.gov/transcriptome/C_felis/S1/links/SMART/cf-contig_85-SMART.txt","EXOIII")</f>
        <v>EXOIII</v>
      </c>
      <c r="CY686" t="str">
        <f>HYPERLINK("http://smart.embl-heidelberg.de/smart/do_annotation.pl?DOMAIN=EXOIII&amp;BLAST=DUMMY","1.1")</f>
        <v>1.1</v>
      </c>
      <c r="CZ686" s="4" t="s">
        <v>42</v>
      </c>
      <c r="DA686" t="s">
        <v>42</v>
      </c>
      <c r="DB686" t="s">
        <v>42</v>
      </c>
      <c r="DC686" t="s">
        <v>42</v>
      </c>
      <c r="DD686" t="s">
        <v>42</v>
      </c>
      <c r="DE686" t="s">
        <v>42</v>
      </c>
      <c r="DF686" t="s">
        <v>42</v>
      </c>
      <c r="DG686" t="s">
        <v>42</v>
      </c>
      <c r="DH686" s="4" t="s">
        <v>42</v>
      </c>
      <c r="DI686" t="s">
        <v>42</v>
      </c>
      <c r="DJ686" s="4" t="s">
        <v>42</v>
      </c>
      <c r="DK686" t="s">
        <v>42</v>
      </c>
      <c r="DL686" s="4">
        <f>HYPERLINK("http://exon.niaid.nih.gov/transcriptome/C_felis/S1/links/cluster/cf-5-36-asb30-50-Id-CLU35.txt", 35)</f>
        <v>35</v>
      </c>
      <c r="DM686">
        <f>HYPERLINK("http://exon.niaid.nih.gov/transcriptome/C_felis/S1/links/cluster/cf-5-36-asb30-50-Id-CLTL35.txt", 2)</f>
        <v>2</v>
      </c>
      <c r="DN686" s="4">
        <f>HYPERLINK("http://exon.niaid.nih.gov/transcriptome/C_felis/S1/links/cluster/cf-5-36-asb35-50-Id-CLU28.txt", 28)</f>
        <v>28</v>
      </c>
      <c r="DO686">
        <f>HYPERLINK("http://exon.niaid.nih.gov/transcriptome/C_felis/S1/links/cluster/cf-5-36-asb35-50-Id-CLTL28.txt", 2)</f>
        <v>2</v>
      </c>
      <c r="DP686" s="4">
        <f>HYPERLINK("http://exon.niaid.nih.gov/transcriptome/C_felis/S1/links/cluster/cf-5-36-asb40-50-Id-CLU26.txt", 26)</f>
        <v>26</v>
      </c>
      <c r="DQ686">
        <f>HYPERLINK("http://exon.niaid.nih.gov/transcriptome/C_felis/S1/links/cluster/cf-5-36-asb40-50-Id-CLTL26.txt", 2)</f>
        <v>2</v>
      </c>
      <c r="DR686" s="4">
        <f>HYPERLINK("http://exon.niaid.nih.gov/transcriptome/C_felis/S1/links/cluster/cf-5-36-asb45-50-Id-CLU24.txt", 24)</f>
        <v>24</v>
      </c>
      <c r="DS686">
        <f>HYPERLINK("http://exon.niaid.nih.gov/transcriptome/C_felis/S1/links/cluster/cf-5-36-asb45-50-Id-CLTL24.txt", 2)</f>
        <v>2</v>
      </c>
      <c r="DT686" s="4">
        <v>92</v>
      </c>
      <c r="DU686">
        <v>1</v>
      </c>
      <c r="DV686" s="4">
        <v>97</v>
      </c>
      <c r="DW686">
        <v>1</v>
      </c>
      <c r="DX686" s="4">
        <v>96</v>
      </c>
      <c r="DY686">
        <v>1</v>
      </c>
      <c r="DZ686" s="4">
        <v>94</v>
      </c>
      <c r="EA686">
        <v>1</v>
      </c>
      <c r="EB686" s="4">
        <v>94</v>
      </c>
      <c r="EC686">
        <v>1</v>
      </c>
      <c r="ED686" s="4">
        <v>95</v>
      </c>
      <c r="EE686">
        <v>1</v>
      </c>
      <c r="EF686" s="4">
        <v>92</v>
      </c>
      <c r="EG686">
        <v>1</v>
      </c>
      <c r="EH686" s="4">
        <v>87</v>
      </c>
      <c r="EI686">
        <v>1</v>
      </c>
      <c r="EJ686" s="4">
        <v>85</v>
      </c>
      <c r="EK686">
        <v>1</v>
      </c>
    </row>
    <row r="687" spans="1:141" x14ac:dyDescent="0.2">
      <c r="A687" t="str">
        <f>HYPERLINK("http://exon.niaid.nih.gov/transcriptome/C_felis/S1/links/cf/cf-contig_314.txt","cf-contig_314")</f>
        <v>cf-contig_314</v>
      </c>
      <c r="B687">
        <v>1</v>
      </c>
      <c r="C687" s="10" t="s">
        <v>4600</v>
      </c>
      <c r="D687">
        <v>1</v>
      </c>
      <c r="E687" t="str">
        <f>HYPERLINK("http://exon.niaid.nih.gov/transcriptome/C_felis/S1/links/cf/cf-5-36-asb-314.txt","Contig-314")</f>
        <v>Contig-314</v>
      </c>
      <c r="F687" t="str">
        <f>HYPERLINK("http://exon.niaid.nih.gov/transcriptome/C_felis/S1/links/cf/cf-5-36-314-CLU.txt","Contig314")</f>
        <v>Contig314</v>
      </c>
      <c r="G687" t="str">
        <f>HYPERLINK("http://exon.niaid.nih.gov/transcriptome/C_felis/S1/links/cf/cf-5-36-314-qual.txt","60.9")</f>
        <v>60.9</v>
      </c>
      <c r="H687" t="s">
        <v>11</v>
      </c>
      <c r="I687">
        <v>77.7</v>
      </c>
      <c r="J687">
        <v>326</v>
      </c>
      <c r="K687" t="s">
        <v>12</v>
      </c>
      <c r="L687">
        <v>1</v>
      </c>
      <c r="M687" t="s">
        <v>327</v>
      </c>
      <c r="N687">
        <v>326</v>
      </c>
      <c r="O687">
        <v>345</v>
      </c>
      <c r="P687">
        <v>114</v>
      </c>
      <c r="Q687" t="s">
        <v>1134</v>
      </c>
      <c r="R687">
        <v>2</v>
      </c>
      <c r="S687" s="7" t="s">
        <v>4585</v>
      </c>
      <c r="U687">
        <v>1</v>
      </c>
      <c r="V687" s="4">
        <f>HYPERLINK("http://exon.niaid.nih.gov/transcriptome/C_felis/S1/links/cluster/cf-5-36-asb30-50-Id-CLU64.txt", 64)</f>
        <v>64</v>
      </c>
      <c r="W687">
        <f>HYPERLINK("http://exon.niaid.nih.gov/transcriptome/C_felis/S1/links/cluster/cf-5-36-asb30-50-Id-CLTL64.txt", 2)</f>
        <v>2</v>
      </c>
      <c r="X687" s="4">
        <f>HYPERLINK("http://exon.niaid.nih.gov/transcriptome/C_felis/S1/links/cluster/cf-5-36-asb35-50-Id-CLU57.txt", 57)</f>
        <v>57</v>
      </c>
      <c r="Y687">
        <f>HYPERLINK("http://exon.niaid.nih.gov/transcriptome/C_felis/S1/links/cluster/cf-5-36-asb35-50-Id-CLTL57.txt", 2)</f>
        <v>2</v>
      </c>
      <c r="Z687" s="4">
        <f>HYPERLINK("http://exon.niaid.nih.gov/transcriptome/C_felis/S1/links/cluster/cf-5-36-asb40-50-Id-CLU54.txt", 54)</f>
        <v>54</v>
      </c>
      <c r="AA687">
        <f>HYPERLINK("http://exon.niaid.nih.gov/transcriptome/C_felis/S1/links/cluster/cf-5-36-asb40-50-Id-CLTL54.txt", 2)</f>
        <v>2</v>
      </c>
      <c r="AB687" s="4" t="str">
        <f>HYPERLINK("http://exon.niaid.nih.gov/transcriptome/C_felis/S1/links/XC-ASB/cf-contig_314-XC-ASB.txt","XC-contig_64")</f>
        <v>XC-contig_64</v>
      </c>
      <c r="AC687">
        <v>0.01</v>
      </c>
      <c r="AD687" s="10" t="s">
        <v>4600</v>
      </c>
      <c r="AE687" t="s">
        <v>4601</v>
      </c>
      <c r="AI687" s="4" t="str">
        <f>HYPERLINK("http://exon.niaid.nih.gov/transcriptome/C_felis/S1/links/NR/cf-contig_314-NR.txt","NADH dehydrogenase subunit 1")</f>
        <v>NADH dehydrogenase subunit 1</v>
      </c>
      <c r="AJ687" t="str">
        <f>HYPERLINK("http://www.ncbi.nlm.nih.gov/sutils/blink.cgi?pid=56714992","1.5")</f>
        <v>1.5</v>
      </c>
      <c r="AK687" t="str">
        <f>HYPERLINK("http://www.ncbi.nlm.nih.gov/protein/56714992","gi|56714992")</f>
        <v>gi|56714992</v>
      </c>
      <c r="AL687">
        <v>36.6</v>
      </c>
      <c r="AM687">
        <v>94</v>
      </c>
      <c r="AN687">
        <v>306</v>
      </c>
      <c r="AO687">
        <v>32</v>
      </c>
      <c r="AP687">
        <v>31</v>
      </c>
      <c r="AQ687">
        <v>67</v>
      </c>
      <c r="AR687">
        <v>3</v>
      </c>
      <c r="AS687">
        <v>40</v>
      </c>
      <c r="AT687">
        <v>2</v>
      </c>
      <c r="AU687">
        <v>1</v>
      </c>
      <c r="AV687">
        <v>-3</v>
      </c>
      <c r="AW687" t="s">
        <v>12</v>
      </c>
      <c r="AX687">
        <v>6.383</v>
      </c>
      <c r="AY687" t="s">
        <v>1666</v>
      </c>
      <c r="AZ687" t="s">
        <v>2604</v>
      </c>
      <c r="BA687" s="4" t="str">
        <f>HYPERLINK("http://exon.niaid.nih.gov/transcriptome/C_felis/S1/links/SWISSP/cf-contig_314-SWISSP.txt","Uncharacterized protein RP612")</f>
        <v>Uncharacterized protein RP612</v>
      </c>
      <c r="BB687" t="str">
        <f>HYPERLINK("http://www.uniprot.org/uniprot/P50938","6.1")</f>
        <v>6.1</v>
      </c>
      <c r="BC687" t="s">
        <v>2792</v>
      </c>
      <c r="BD687">
        <v>29.6</v>
      </c>
      <c r="BE687">
        <v>58</v>
      </c>
      <c r="BF687">
        <v>568</v>
      </c>
      <c r="BG687">
        <v>33</v>
      </c>
      <c r="BH687">
        <v>10</v>
      </c>
      <c r="BI687">
        <v>40</v>
      </c>
      <c r="BJ687">
        <v>0</v>
      </c>
      <c r="BK687">
        <v>289</v>
      </c>
      <c r="BL687">
        <v>18</v>
      </c>
      <c r="BM687">
        <v>1</v>
      </c>
      <c r="BN687">
        <v>-2</v>
      </c>
      <c r="BO687" t="s">
        <v>12</v>
      </c>
      <c r="BP687">
        <v>5.1719999999999997</v>
      </c>
      <c r="BQ687" t="s">
        <v>1666</v>
      </c>
      <c r="BR687" t="s">
        <v>2793</v>
      </c>
      <c r="BS687" s="4" t="str">
        <f>HYPERLINK("http://exon.niaid.nih.gov/transcriptome/C_felis/S1/links/CDD/cf-contig_314-CDD.txt","7TM_GPCR_Srz")</f>
        <v>7TM_GPCR_Srz</v>
      </c>
      <c r="BT687" t="str">
        <f>HYPERLINK("http://www.ncbi.nlm.nih.gov/Structure/cdd/cddsrv.cgi?uid=pfam10325&amp;version=v4.0","0.83")</f>
        <v>0.83</v>
      </c>
      <c r="BU687" t="s">
        <v>2794</v>
      </c>
      <c r="BV687" s="4" t="s">
        <v>42</v>
      </c>
      <c r="BW687" t="s">
        <v>42</v>
      </c>
      <c r="BX687" t="s">
        <v>42</v>
      </c>
      <c r="BY687" t="s">
        <v>42</v>
      </c>
      <c r="BZ687" t="s">
        <v>42</v>
      </c>
      <c r="CA687" t="s">
        <v>42</v>
      </c>
      <c r="CB687" t="s">
        <v>42</v>
      </c>
      <c r="CC687" t="s">
        <v>42</v>
      </c>
      <c r="CD687" t="s">
        <v>42</v>
      </c>
      <c r="CE687" t="s">
        <v>42</v>
      </c>
      <c r="CF687" t="s">
        <v>42</v>
      </c>
      <c r="CG687" t="s">
        <v>42</v>
      </c>
      <c r="CH687" t="s">
        <v>42</v>
      </c>
      <c r="CI687" t="s">
        <v>42</v>
      </c>
      <c r="CJ687" t="s">
        <v>42</v>
      </c>
      <c r="CK687" t="s">
        <v>42</v>
      </c>
      <c r="CL687" t="s">
        <v>42</v>
      </c>
      <c r="CM687" t="s">
        <v>42</v>
      </c>
      <c r="CN687" t="s">
        <v>42</v>
      </c>
      <c r="CO687" t="s">
        <v>42</v>
      </c>
      <c r="CP687" t="s">
        <v>42</v>
      </c>
      <c r="CQ687" t="s">
        <v>42</v>
      </c>
      <c r="CR687" t="s">
        <v>42</v>
      </c>
      <c r="CS687" s="4" t="str">
        <f>HYPERLINK("http://exon.niaid.nih.gov/transcriptome/C_felis/S1/links/KOG/cf-contig_314-KOG.txt","Integral membrane protein")</f>
        <v>Integral membrane protein</v>
      </c>
      <c r="CT687" t="str">
        <f>HYPERLINK("http://www.ncbi.nlm.nih.gov/COG/grace/shokog.cgi?KOG2173","0.22")</f>
        <v>0.22</v>
      </c>
      <c r="CU687" t="s">
        <v>1721</v>
      </c>
      <c r="CV687" s="4" t="str">
        <f>HYPERLINK("http://exon.niaid.nih.gov/transcriptome/C_felis/S1/links/PFAM/cf-contig_314-PFAM.txt","7TM_GPCR_Srz")</f>
        <v>7TM_GPCR_Srz</v>
      </c>
      <c r="CW687" t="str">
        <f>HYPERLINK("http://pfam.sanger.ac.uk/family?acc=PF10325","0.18")</f>
        <v>0.18</v>
      </c>
      <c r="CX687" s="4" t="str">
        <f>HYPERLINK("http://exon.niaid.nih.gov/transcriptome/C_felis/S1/links/SMART/cf-contig_314-SMART.txt","Inhibitor_I29")</f>
        <v>Inhibitor_I29</v>
      </c>
      <c r="CY687" t="str">
        <f>HYPERLINK("http://smart.embl-heidelberg.de/smart/do_annotation.pl?DOMAIN=Inhibitor_I29&amp;BLAST=DUMMY","0.18")</f>
        <v>0.18</v>
      </c>
      <c r="CZ687" s="4" t="s">
        <v>42</v>
      </c>
      <c r="DA687" t="s">
        <v>42</v>
      </c>
      <c r="DB687" t="s">
        <v>42</v>
      </c>
      <c r="DC687" t="s">
        <v>42</v>
      </c>
      <c r="DD687" t="s">
        <v>42</v>
      </c>
      <c r="DE687" t="s">
        <v>42</v>
      </c>
      <c r="DF687" t="s">
        <v>42</v>
      </c>
      <c r="DG687" t="s">
        <v>42</v>
      </c>
      <c r="DH687" s="4" t="s">
        <v>42</v>
      </c>
      <c r="DI687" t="s">
        <v>42</v>
      </c>
      <c r="DJ687" s="4" t="s">
        <v>42</v>
      </c>
      <c r="DK687" t="s">
        <v>42</v>
      </c>
      <c r="DL687" s="4">
        <f>HYPERLINK("http://exon.niaid.nih.gov/transcriptome/C_felis/S1/links/cluster/cf-5-36-asb30-50-Id-CLU64.txt", 64)</f>
        <v>64</v>
      </c>
      <c r="DM687">
        <f>HYPERLINK("http://exon.niaid.nih.gov/transcriptome/C_felis/S1/links/cluster/cf-5-36-asb30-50-Id-CLTL64.txt", 2)</f>
        <v>2</v>
      </c>
      <c r="DN687" s="4">
        <f>HYPERLINK("http://exon.niaid.nih.gov/transcriptome/C_felis/S1/links/cluster/cf-5-36-asb35-50-Id-CLU57.txt", 57)</f>
        <v>57</v>
      </c>
      <c r="DO687">
        <f>HYPERLINK("http://exon.niaid.nih.gov/transcriptome/C_felis/S1/links/cluster/cf-5-36-asb35-50-Id-CLTL57.txt", 2)</f>
        <v>2</v>
      </c>
      <c r="DP687" s="4">
        <f>HYPERLINK("http://exon.niaid.nih.gov/transcriptome/C_felis/S1/links/cluster/cf-5-36-asb40-50-Id-CLU54.txt", 54)</f>
        <v>54</v>
      </c>
      <c r="DQ687">
        <f>HYPERLINK("http://exon.niaid.nih.gov/transcriptome/C_felis/S1/links/cluster/cf-5-36-asb40-50-Id-CLTL54.txt", 2)</f>
        <v>2</v>
      </c>
      <c r="DR687" s="4">
        <f>HYPERLINK("http://exon.niaid.nih.gov/transcriptome/C_felis/S1/links/cluster/cf-5-36-asb45-50-Id-CLU45.txt", 45)</f>
        <v>45</v>
      </c>
      <c r="DS687">
        <f>HYPERLINK("http://exon.niaid.nih.gov/transcriptome/C_felis/S1/links/cluster/cf-5-36-asb45-50-Id-CLTL45.txt", 2)</f>
        <v>2</v>
      </c>
      <c r="DT687" s="4">
        <v>276</v>
      </c>
      <c r="DU687">
        <v>1</v>
      </c>
      <c r="DV687" s="4">
        <v>288</v>
      </c>
      <c r="DW687">
        <v>1</v>
      </c>
      <c r="DX687" s="4">
        <v>290</v>
      </c>
      <c r="DY687">
        <v>1</v>
      </c>
      <c r="DZ687" s="4">
        <v>295</v>
      </c>
      <c r="EA687">
        <v>1</v>
      </c>
      <c r="EB687" s="4">
        <v>300</v>
      </c>
      <c r="EC687">
        <v>1</v>
      </c>
      <c r="ED687" s="4">
        <v>303</v>
      </c>
      <c r="EE687">
        <v>1</v>
      </c>
      <c r="EF687" s="4">
        <v>307</v>
      </c>
      <c r="EG687">
        <v>1</v>
      </c>
      <c r="EH687" s="4">
        <v>309</v>
      </c>
      <c r="EI687">
        <v>1</v>
      </c>
      <c r="EJ687" s="4">
        <v>314</v>
      </c>
      <c r="EK687">
        <v>1</v>
      </c>
    </row>
    <row r="688" spans="1:141" x14ac:dyDescent="0.2">
      <c r="A688" t="str">
        <f>HYPERLINK("http://exon.niaid.nih.gov/transcriptome/C_felis/S1/links/cf/cf-contig_58.txt","cf-contig_58")</f>
        <v>cf-contig_58</v>
      </c>
      <c r="B688">
        <v>1</v>
      </c>
      <c r="C688" s="10" t="s">
        <v>4600</v>
      </c>
      <c r="D688">
        <v>1</v>
      </c>
      <c r="E688" t="str">
        <f>HYPERLINK("http://exon.niaid.nih.gov/transcriptome/C_felis/S1/links/cf/cf-5-36-asb-58.txt","Contig-58")</f>
        <v>Contig-58</v>
      </c>
      <c r="F688" t="str">
        <f>HYPERLINK("http://exon.niaid.nih.gov/transcriptome/C_felis/S1/links/cf/cf-5-36-58-CLU.txt","Contig58")</f>
        <v>Contig58</v>
      </c>
      <c r="G688" t="str">
        <f>HYPERLINK("http://exon.niaid.nih.gov/transcriptome/C_felis/S1/links/cf/cf-5-36-58-qual.txt","61.")</f>
        <v>61.</v>
      </c>
      <c r="H688" t="s">
        <v>11</v>
      </c>
      <c r="I688">
        <v>71.7</v>
      </c>
      <c r="J688">
        <v>193</v>
      </c>
      <c r="K688" t="s">
        <v>12</v>
      </c>
      <c r="L688">
        <v>1</v>
      </c>
      <c r="M688" t="s">
        <v>71</v>
      </c>
      <c r="N688">
        <v>193</v>
      </c>
      <c r="O688">
        <v>212</v>
      </c>
      <c r="P688">
        <v>159</v>
      </c>
      <c r="Q688" t="s">
        <v>880</v>
      </c>
      <c r="R688">
        <v>3</v>
      </c>
      <c r="S688" s="7" t="str">
        <f>HYPERLINK("http://exon.niaid.nih.gov/transcriptome/C_felis/S1/links/Sigp/CF-CONTIG_58-SigP.txt","Cyt")</f>
        <v>Cyt</v>
      </c>
      <c r="U688">
        <v>1</v>
      </c>
      <c r="V688" s="4">
        <v>107</v>
      </c>
      <c r="W688">
        <v>1</v>
      </c>
      <c r="X688" s="4">
        <v>101</v>
      </c>
      <c r="Y688">
        <v>1</v>
      </c>
      <c r="Z688" s="4">
        <v>96</v>
      </c>
      <c r="AA688">
        <v>1</v>
      </c>
      <c r="AB688" s="4" t="str">
        <f>HYPERLINK("http://exon.niaid.nih.gov/transcriptome/C_felis/S1/links/XC-ASB/cf-contig_58-XC-ASB.txt","XC-contig_175")</f>
        <v>XC-contig_175</v>
      </c>
      <c r="AC688">
        <v>0.12</v>
      </c>
      <c r="AD688" s="10" t="s">
        <v>4600</v>
      </c>
      <c r="AE688" t="s">
        <v>4601</v>
      </c>
      <c r="AI688" s="4" t="str">
        <f>HYPERLINK("http://exon.niaid.nih.gov/transcriptome/C_felis/S1/links/NR/cf-contig_58-NR.txt","NADH dehydrogenase subunit 4")</f>
        <v>NADH dehydrogenase subunit 4</v>
      </c>
      <c r="AJ688" t="str">
        <f>HYPERLINK("http://www.ncbi.nlm.nih.gov/sutils/blink.cgi?pid=129566162","3.2")</f>
        <v>3.2</v>
      </c>
      <c r="AK688" t="str">
        <f>HYPERLINK("http://www.ncbi.nlm.nih.gov/protein/129566162","gi|129566162")</f>
        <v>gi|129566162</v>
      </c>
      <c r="AL688">
        <v>35.4</v>
      </c>
      <c r="AM688">
        <v>48</v>
      </c>
      <c r="AN688">
        <v>437</v>
      </c>
      <c r="AO688">
        <v>34</v>
      </c>
      <c r="AP688">
        <v>11</v>
      </c>
      <c r="AQ688">
        <v>32</v>
      </c>
      <c r="AR688">
        <v>2</v>
      </c>
      <c r="AS688">
        <v>56</v>
      </c>
      <c r="AT688">
        <v>52</v>
      </c>
      <c r="AU688">
        <v>1</v>
      </c>
      <c r="AV688">
        <v>-3</v>
      </c>
      <c r="AW688" t="s">
        <v>12</v>
      </c>
      <c r="AY688" t="s">
        <v>1666</v>
      </c>
      <c r="AZ688" t="s">
        <v>1880</v>
      </c>
      <c r="BA688" s="4" t="str">
        <f>HYPERLINK("http://exon.niaid.nih.gov/transcriptome/C_felis/S1/links/SWISSP/cf-contig_58-SWISSP.txt","Uncharacterized protein C6")</f>
        <v>Uncharacterized protein C6</v>
      </c>
      <c r="BB688" t="str">
        <f>HYPERLINK("http://www.uniprot.org/uniprot/P32226","18")</f>
        <v>18</v>
      </c>
      <c r="BC688" t="s">
        <v>1881</v>
      </c>
      <c r="BD688">
        <v>28.1</v>
      </c>
      <c r="BE688">
        <v>44</v>
      </c>
      <c r="BF688">
        <v>274</v>
      </c>
      <c r="BG688">
        <v>31</v>
      </c>
      <c r="BH688">
        <v>16</v>
      </c>
      <c r="BI688">
        <v>31</v>
      </c>
      <c r="BJ688">
        <v>4</v>
      </c>
      <c r="BK688">
        <v>150</v>
      </c>
      <c r="BL688">
        <v>49</v>
      </c>
      <c r="BM688">
        <v>1</v>
      </c>
      <c r="BN688">
        <v>-3</v>
      </c>
      <c r="BO688" t="s">
        <v>12</v>
      </c>
      <c r="BQ688" t="s">
        <v>1666</v>
      </c>
      <c r="BR688" t="s">
        <v>1882</v>
      </c>
      <c r="BS688" s="4" t="str">
        <f>HYPERLINK("http://exon.niaid.nih.gov/transcriptome/C_felis/S1/links/CDD/cf-contig_58-CDD.txt","DUF3671")</f>
        <v>DUF3671</v>
      </c>
      <c r="BT688" t="str">
        <f>HYPERLINK("http://www.ncbi.nlm.nih.gov/Structure/cdd/cddsrv.cgi?uid=pfam12420&amp;version=v4.0","0.27")</f>
        <v>0.27</v>
      </c>
      <c r="BU688" t="s">
        <v>1883</v>
      </c>
      <c r="BV688" s="4" t="s">
        <v>42</v>
      </c>
      <c r="BW688" t="s">
        <v>42</v>
      </c>
      <c r="BX688" t="s">
        <v>42</v>
      </c>
      <c r="BY688" t="s">
        <v>42</v>
      </c>
      <c r="BZ688" t="s">
        <v>42</v>
      </c>
      <c r="CA688" t="s">
        <v>42</v>
      </c>
      <c r="CB688" t="s">
        <v>42</v>
      </c>
      <c r="CC688" t="s">
        <v>42</v>
      </c>
      <c r="CD688" t="s">
        <v>42</v>
      </c>
      <c r="CE688" t="s">
        <v>42</v>
      </c>
      <c r="CF688" t="s">
        <v>42</v>
      </c>
      <c r="CG688" t="s">
        <v>42</v>
      </c>
      <c r="CH688" t="s">
        <v>42</v>
      </c>
      <c r="CI688" t="s">
        <v>42</v>
      </c>
      <c r="CJ688" t="s">
        <v>42</v>
      </c>
      <c r="CK688" t="s">
        <v>42</v>
      </c>
      <c r="CL688" t="s">
        <v>42</v>
      </c>
      <c r="CM688" t="s">
        <v>42</v>
      </c>
      <c r="CN688" t="s">
        <v>42</v>
      </c>
      <c r="CO688" t="s">
        <v>42</v>
      </c>
      <c r="CP688" t="s">
        <v>42</v>
      </c>
      <c r="CQ688" t="s">
        <v>42</v>
      </c>
      <c r="CR688" t="s">
        <v>42</v>
      </c>
      <c r="CS688" s="4" t="str">
        <f>HYPERLINK("http://exon.niaid.nih.gov/transcriptome/C_felis/S1/links/KOG/cf-contig_58-KOG.txt","G protein-coupled receptors")</f>
        <v>G protein-coupled receptors</v>
      </c>
      <c r="CT688" t="str">
        <f>HYPERLINK("http://www.ncbi.nlm.nih.gov/COG/grace/shokog.cgi?KOG4193","0.79")</f>
        <v>0.79</v>
      </c>
      <c r="CU688" t="s">
        <v>1780</v>
      </c>
      <c r="CV688" s="4" t="str">
        <f>HYPERLINK("http://exon.niaid.nih.gov/transcriptome/C_felis/S1/links/PFAM/cf-contig_58-PFAM.txt","DUF3671")</f>
        <v>DUF3671</v>
      </c>
      <c r="CW688" t="str">
        <f>HYPERLINK("http://pfam.sanger.ac.uk/family?acc=PF12420","0.056")</f>
        <v>0.056</v>
      </c>
      <c r="CX688" s="4" t="str">
        <f>HYPERLINK("http://exon.niaid.nih.gov/transcriptome/C_felis/S1/links/SMART/cf-contig_58-SMART.txt","TLC")</f>
        <v>TLC</v>
      </c>
      <c r="CY688" t="str">
        <f>HYPERLINK("http://smart.embl-heidelberg.de/smart/do_annotation.pl?DOMAIN=TLC&amp;BLAST=DUMMY","0.031")</f>
        <v>0.031</v>
      </c>
      <c r="CZ688" s="4" t="s">
        <v>42</v>
      </c>
      <c r="DA688" t="s">
        <v>42</v>
      </c>
      <c r="DB688" t="s">
        <v>42</v>
      </c>
      <c r="DC688" t="s">
        <v>42</v>
      </c>
      <c r="DD688" t="s">
        <v>42</v>
      </c>
      <c r="DE688" t="s">
        <v>42</v>
      </c>
      <c r="DF688" t="s">
        <v>42</v>
      </c>
      <c r="DG688" t="s">
        <v>42</v>
      </c>
      <c r="DH688" s="4" t="s">
        <v>42</v>
      </c>
      <c r="DI688" t="s">
        <v>42</v>
      </c>
      <c r="DJ688" s="4" t="s">
        <v>42</v>
      </c>
      <c r="DK688" t="s">
        <v>42</v>
      </c>
      <c r="DL688" s="4">
        <v>107</v>
      </c>
      <c r="DM688">
        <v>1</v>
      </c>
      <c r="DN688" s="4">
        <v>101</v>
      </c>
      <c r="DO688">
        <v>1</v>
      </c>
      <c r="DP688" s="4">
        <v>96</v>
      </c>
      <c r="DQ688">
        <v>1</v>
      </c>
      <c r="DR688" s="4">
        <v>87</v>
      </c>
      <c r="DS688">
        <v>1</v>
      </c>
      <c r="DT688" s="4">
        <v>80</v>
      </c>
      <c r="DU688">
        <v>1</v>
      </c>
      <c r="DV688" s="4">
        <v>81</v>
      </c>
      <c r="DW688">
        <v>1</v>
      </c>
      <c r="DX688" s="4">
        <v>76</v>
      </c>
      <c r="DY688">
        <v>1</v>
      </c>
      <c r="DZ688" s="4">
        <v>74</v>
      </c>
      <c r="EA688">
        <v>1</v>
      </c>
      <c r="EB688" s="4">
        <v>74</v>
      </c>
      <c r="EC688">
        <v>1</v>
      </c>
      <c r="ED688" s="4">
        <v>75</v>
      </c>
      <c r="EE688">
        <v>1</v>
      </c>
      <c r="EF688" s="4">
        <v>70</v>
      </c>
      <c r="EG688">
        <v>1</v>
      </c>
      <c r="EH688" s="4">
        <v>60</v>
      </c>
      <c r="EI688">
        <v>1</v>
      </c>
      <c r="EJ688" s="4">
        <v>58</v>
      </c>
      <c r="EK688">
        <v>1</v>
      </c>
    </row>
    <row r="689" spans="1:141" x14ac:dyDescent="0.2">
      <c r="A689" t="str">
        <f>HYPERLINK("http://exon.niaid.nih.gov/transcriptome/C_felis/S1/links/cf/cf-contig_425.txt","cf-contig_425")</f>
        <v>cf-contig_425</v>
      </c>
      <c r="B689">
        <v>1</v>
      </c>
      <c r="C689" s="10" t="s">
        <v>4600</v>
      </c>
      <c r="D689">
        <v>1</v>
      </c>
      <c r="E689" t="str">
        <f>HYPERLINK("http://exon.niaid.nih.gov/transcriptome/C_felis/S1/links/cf/cf-5-36-asb-425.txt","Contig-425")</f>
        <v>Contig-425</v>
      </c>
      <c r="F689" t="str">
        <f>HYPERLINK("http://exon.niaid.nih.gov/transcriptome/C_felis/S1/links/cf/cf-5-36-425-CLU.txt","Contig425")</f>
        <v>Contig425</v>
      </c>
      <c r="G689" t="str">
        <f>HYPERLINK("http://exon.niaid.nih.gov/transcriptome/C_felis/S1/links/cf/cf-5-36-425-qual.txt","61.4")</f>
        <v>61.4</v>
      </c>
      <c r="H689" t="s">
        <v>11</v>
      </c>
      <c r="I689">
        <v>76.5</v>
      </c>
      <c r="J689">
        <v>130</v>
      </c>
      <c r="K689" t="s">
        <v>12</v>
      </c>
      <c r="L689">
        <v>1</v>
      </c>
      <c r="M689" t="s">
        <v>438</v>
      </c>
      <c r="N689">
        <v>130</v>
      </c>
      <c r="O689">
        <v>149</v>
      </c>
      <c r="P689">
        <v>111</v>
      </c>
      <c r="Q689" t="s">
        <v>1245</v>
      </c>
      <c r="R689">
        <v>1</v>
      </c>
      <c r="S689" s="7" t="s">
        <v>4585</v>
      </c>
      <c r="U689">
        <v>1</v>
      </c>
      <c r="V689" s="4">
        <v>346</v>
      </c>
      <c r="W689">
        <v>1</v>
      </c>
      <c r="X689" s="4">
        <v>355</v>
      </c>
      <c r="Y689">
        <v>1</v>
      </c>
      <c r="Z689" s="4">
        <v>358</v>
      </c>
      <c r="AA689">
        <v>1</v>
      </c>
      <c r="AB689" s="4" t="str">
        <f>HYPERLINK("http://exon.niaid.nih.gov/transcriptome/C_felis/S1/links/XC-ASB/cf-contig_425-XC-ASB.txt","XC-contig_66")</f>
        <v>XC-contig_66</v>
      </c>
      <c r="AC689">
        <v>3.1E-2</v>
      </c>
      <c r="AD689" s="10" t="s">
        <v>4600</v>
      </c>
      <c r="AE689" t="s">
        <v>4601</v>
      </c>
      <c r="AI689" s="4" t="str">
        <f>HYPERLINK("http://exon.niaid.nih.gov/transcriptome/C_felis/S1/links/NR/cf-contig_425-NR.txt","NADH dehydrogenase subunit 4")</f>
        <v>NADH dehydrogenase subunit 4</v>
      </c>
      <c r="AJ689" t="str">
        <f>HYPERLINK("http://www.ncbi.nlm.nih.gov/sutils/blink.cgi?pid=129566162","28")</f>
        <v>28</v>
      </c>
      <c r="AK689" t="str">
        <f>HYPERLINK("http://www.ncbi.nlm.nih.gov/protein/129566162","gi|129566162")</f>
        <v>gi|129566162</v>
      </c>
      <c r="AL689">
        <v>32.299999999999997</v>
      </c>
      <c r="AM689">
        <v>28</v>
      </c>
      <c r="AN689">
        <v>437</v>
      </c>
      <c r="AO689">
        <v>37</v>
      </c>
      <c r="AP689">
        <v>7</v>
      </c>
      <c r="AQ689">
        <v>18</v>
      </c>
      <c r="AR689">
        <v>0</v>
      </c>
      <c r="AS689">
        <v>79</v>
      </c>
      <c r="AT689">
        <v>17</v>
      </c>
      <c r="AU689">
        <v>1</v>
      </c>
      <c r="AV689">
        <v>2</v>
      </c>
      <c r="AW689" t="s">
        <v>12</v>
      </c>
      <c r="AX689">
        <v>3.5710000000000002</v>
      </c>
      <c r="AY689" t="s">
        <v>1676</v>
      </c>
      <c r="AZ689" t="s">
        <v>1880</v>
      </c>
      <c r="BA689" s="4" t="str">
        <f>HYPERLINK("http://exon.niaid.nih.gov/transcriptome/C_felis/S1/links/SWISSP/cf-contig_425-SWISSP.txt","ATP synthase subunit a")</f>
        <v>ATP synthase subunit a</v>
      </c>
      <c r="BB689" t="str">
        <f>HYPERLINK("http://www.uniprot.org/uniprot/P24499","1.3")</f>
        <v>1.3</v>
      </c>
      <c r="BC689" t="s">
        <v>3188</v>
      </c>
      <c r="BD689">
        <v>32</v>
      </c>
      <c r="BE689">
        <v>26</v>
      </c>
      <c r="BF689">
        <v>229</v>
      </c>
      <c r="BG689">
        <v>44</v>
      </c>
      <c r="BH689">
        <v>12</v>
      </c>
      <c r="BI689">
        <v>15</v>
      </c>
      <c r="BJ689">
        <v>1</v>
      </c>
      <c r="BK689">
        <v>65</v>
      </c>
      <c r="BL689">
        <v>32</v>
      </c>
      <c r="BM689">
        <v>1</v>
      </c>
      <c r="BN689">
        <v>2</v>
      </c>
      <c r="BO689" t="s">
        <v>12</v>
      </c>
      <c r="BP689">
        <v>3.8460000000000001</v>
      </c>
      <c r="BQ689" t="s">
        <v>1676</v>
      </c>
      <c r="BR689" t="s">
        <v>2999</v>
      </c>
      <c r="BS689" s="4" t="str">
        <f>HYPERLINK("http://exon.niaid.nih.gov/transcriptome/C_felis/S1/links/CDD/cf-contig_425-CDD.txt","ND1")</f>
        <v>ND1</v>
      </c>
      <c r="BT689" t="str">
        <f>HYPERLINK("http://www.ncbi.nlm.nih.gov/Structure/cdd/cddsrv.cgi?uid=MTH00193&amp;version=v4.0","0.35")</f>
        <v>0.35</v>
      </c>
      <c r="BU689" t="s">
        <v>3189</v>
      </c>
      <c r="BV689" s="4" t="s">
        <v>42</v>
      </c>
      <c r="BW689" t="s">
        <v>42</v>
      </c>
      <c r="BX689" t="s">
        <v>42</v>
      </c>
      <c r="BY689" t="s">
        <v>42</v>
      </c>
      <c r="BZ689" t="s">
        <v>42</v>
      </c>
      <c r="CA689" t="s">
        <v>42</v>
      </c>
      <c r="CB689" t="s">
        <v>42</v>
      </c>
      <c r="CC689" t="s">
        <v>42</v>
      </c>
      <c r="CD689" t="s">
        <v>42</v>
      </c>
      <c r="CE689" t="s">
        <v>42</v>
      </c>
      <c r="CF689" t="s">
        <v>42</v>
      </c>
      <c r="CG689" t="s">
        <v>42</v>
      </c>
      <c r="CH689" t="s">
        <v>42</v>
      </c>
      <c r="CI689" t="s">
        <v>42</v>
      </c>
      <c r="CJ689" t="s">
        <v>42</v>
      </c>
      <c r="CK689" t="s">
        <v>42</v>
      </c>
      <c r="CL689" t="s">
        <v>42</v>
      </c>
      <c r="CM689" t="s">
        <v>42</v>
      </c>
      <c r="CN689" t="s">
        <v>42</v>
      </c>
      <c r="CO689" t="s">
        <v>42</v>
      </c>
      <c r="CP689" t="s">
        <v>42</v>
      </c>
      <c r="CQ689" t="s">
        <v>42</v>
      </c>
      <c r="CR689" t="s">
        <v>42</v>
      </c>
      <c r="CS689" s="4" t="str">
        <f>HYPERLINK("http://exon.niaid.nih.gov/transcriptome/C_felis/S1/links/KOG/cf-contig_425-KOG.txt","Ankyrin repeat and DHHC-type Zn-finger domain containing proteins")</f>
        <v>Ankyrin repeat and DHHC-type Zn-finger domain containing proteins</v>
      </c>
      <c r="CT689" t="str">
        <f>HYPERLINK("http://www.ncbi.nlm.nih.gov/COG/grace/shokog.cgi?KOG0509","0.43")</f>
        <v>0.43</v>
      </c>
      <c r="CU689" t="s">
        <v>1721</v>
      </c>
      <c r="CV689" s="4" t="str">
        <f>HYPERLINK("http://exon.niaid.nih.gov/transcriptome/C_felis/S1/links/PFAM/cf-contig_425-PFAM.txt","PRA1")</f>
        <v>PRA1</v>
      </c>
      <c r="CW689" t="str">
        <f>HYPERLINK("http://pfam.sanger.ac.uk/family?acc=PF03208","0.43")</f>
        <v>0.43</v>
      </c>
      <c r="CX689" s="4" t="str">
        <f>HYPERLINK("http://exon.niaid.nih.gov/transcriptome/C_felis/S1/links/SMART/cf-contig_425-SMART.txt","PSN")</f>
        <v>PSN</v>
      </c>
      <c r="CY689" t="str">
        <f>HYPERLINK("http://smart.embl-heidelberg.de/smart/do_annotation.pl?DOMAIN=PSN&amp;BLAST=DUMMY","0.16")</f>
        <v>0.16</v>
      </c>
      <c r="CZ689" s="4" t="s">
        <v>42</v>
      </c>
      <c r="DA689" t="s">
        <v>42</v>
      </c>
      <c r="DB689" t="s">
        <v>42</v>
      </c>
      <c r="DC689" t="s">
        <v>42</v>
      </c>
      <c r="DD689" t="s">
        <v>42</v>
      </c>
      <c r="DE689" t="s">
        <v>42</v>
      </c>
      <c r="DF689" t="s">
        <v>42</v>
      </c>
      <c r="DG689" t="s">
        <v>42</v>
      </c>
      <c r="DH689" s="4" t="s">
        <v>42</v>
      </c>
      <c r="DI689" t="s">
        <v>42</v>
      </c>
      <c r="DJ689" s="4" t="s">
        <v>42</v>
      </c>
      <c r="DK689" t="s">
        <v>42</v>
      </c>
      <c r="DL689" s="4">
        <v>346</v>
      </c>
      <c r="DM689">
        <v>1</v>
      </c>
      <c r="DN689" s="4">
        <v>355</v>
      </c>
      <c r="DO689">
        <v>1</v>
      </c>
      <c r="DP689" s="4">
        <v>358</v>
      </c>
      <c r="DQ689">
        <v>1</v>
      </c>
      <c r="DR689" s="4">
        <v>370</v>
      </c>
      <c r="DS689">
        <v>1</v>
      </c>
      <c r="DT689" s="4">
        <v>380</v>
      </c>
      <c r="DU689">
        <v>1</v>
      </c>
      <c r="DV689" s="4">
        <v>393</v>
      </c>
      <c r="DW689">
        <v>1</v>
      </c>
      <c r="DX689" s="4">
        <v>396</v>
      </c>
      <c r="DY689">
        <v>1</v>
      </c>
      <c r="DZ689" s="4">
        <v>401</v>
      </c>
      <c r="EA689">
        <v>1</v>
      </c>
      <c r="EB689" s="4">
        <v>406</v>
      </c>
      <c r="EC689">
        <v>1</v>
      </c>
      <c r="ED689" s="4">
        <v>410</v>
      </c>
      <c r="EE689">
        <v>1</v>
      </c>
      <c r="EF689" s="4">
        <v>415</v>
      </c>
      <c r="EG689">
        <v>1</v>
      </c>
      <c r="EH689" s="4">
        <v>419</v>
      </c>
      <c r="EI689">
        <v>1</v>
      </c>
      <c r="EJ689" s="4">
        <v>425</v>
      </c>
      <c r="EK689">
        <v>1</v>
      </c>
    </row>
    <row r="690" spans="1:141" x14ac:dyDescent="0.2">
      <c r="A690" t="str">
        <f>HYPERLINK("http://exon.niaid.nih.gov/transcriptome/C_felis/S1/links/cf/cf-contig_578.txt","cf-contig_578")</f>
        <v>cf-contig_578</v>
      </c>
      <c r="B690">
        <v>1</v>
      </c>
      <c r="C690" s="10" t="s">
        <v>4600</v>
      </c>
      <c r="D690">
        <v>1</v>
      </c>
      <c r="E690" t="str">
        <f>HYPERLINK("http://exon.niaid.nih.gov/transcriptome/C_felis/S1/links/cf/cf-5-36-asb-578.txt","Contig-578")</f>
        <v>Contig-578</v>
      </c>
      <c r="F690" t="str">
        <f>HYPERLINK("http://exon.niaid.nih.gov/transcriptome/C_felis/S1/links/cf/cf-5-36-578-CLU.txt","Contig578")</f>
        <v>Contig578</v>
      </c>
      <c r="G690" t="str">
        <f>HYPERLINK("http://exon.niaid.nih.gov/transcriptome/C_felis/S1/links/cf/cf-5-36-578-qual.txt","51.")</f>
        <v>51.</v>
      </c>
      <c r="H690" t="s">
        <v>11</v>
      </c>
      <c r="I690">
        <v>77.7</v>
      </c>
      <c r="J690">
        <v>282</v>
      </c>
      <c r="K690" t="s">
        <v>12</v>
      </c>
      <c r="L690">
        <v>1</v>
      </c>
      <c r="M690" t="s">
        <v>591</v>
      </c>
      <c r="N690">
        <v>282</v>
      </c>
      <c r="O690">
        <v>301</v>
      </c>
      <c r="P690">
        <v>69</v>
      </c>
      <c r="Q690" t="s">
        <v>1397</v>
      </c>
      <c r="R690">
        <v>1</v>
      </c>
      <c r="S690" s="7" t="s">
        <v>4585</v>
      </c>
      <c r="U690">
        <v>1</v>
      </c>
      <c r="V690" s="4">
        <v>471</v>
      </c>
      <c r="W690">
        <v>1</v>
      </c>
      <c r="X690" s="4">
        <v>481</v>
      </c>
      <c r="Y690">
        <v>1</v>
      </c>
      <c r="Z690" s="4">
        <v>490</v>
      </c>
      <c r="AA690">
        <v>1</v>
      </c>
      <c r="AB690" s="4" t="str">
        <f>HYPERLINK("http://exon.niaid.nih.gov/transcriptome/C_felis/S1/links/XC-ASB/cf-contig_578-XC-ASB.txt","XC-contig_63")</f>
        <v>XC-contig_63</v>
      </c>
      <c r="AC690">
        <v>0.2</v>
      </c>
      <c r="AD690" s="10" t="s">
        <v>4600</v>
      </c>
      <c r="AE690" t="s">
        <v>4601</v>
      </c>
      <c r="AI690" s="4" t="str">
        <f>HYPERLINK("http://exon.niaid.nih.gov/transcriptome/C_felis/S1/links/NR/cf-contig_578-NR.txt","hypothetical protein Metbo_0853")</f>
        <v>hypothetical protein Metbo_0853</v>
      </c>
      <c r="AJ690" t="str">
        <f>HYPERLINK("http://www.ncbi.nlm.nih.gov/sutils/blink.cgi?pid=325958609","3.2")</f>
        <v>3.2</v>
      </c>
      <c r="AK690" t="str">
        <f>HYPERLINK("http://www.ncbi.nlm.nih.gov/protein/325958609","gi|325958609")</f>
        <v>gi|325958609</v>
      </c>
      <c r="AL690">
        <v>35.4</v>
      </c>
      <c r="AM690">
        <v>68</v>
      </c>
      <c r="AN690">
        <v>383</v>
      </c>
      <c r="AO690">
        <v>27</v>
      </c>
      <c r="AP690">
        <v>18</v>
      </c>
      <c r="AQ690">
        <v>50</v>
      </c>
      <c r="AR690">
        <v>0</v>
      </c>
      <c r="AS690">
        <v>43</v>
      </c>
      <c r="AT690">
        <v>56</v>
      </c>
      <c r="AU690">
        <v>1</v>
      </c>
      <c r="AV690">
        <v>-1</v>
      </c>
      <c r="AW690" t="s">
        <v>12</v>
      </c>
      <c r="AX690">
        <v>1.4710000000000001</v>
      </c>
      <c r="AY690" t="s">
        <v>1666</v>
      </c>
      <c r="AZ690" t="s">
        <v>3770</v>
      </c>
      <c r="BA690" s="4" t="str">
        <f>HYPERLINK("http://exon.niaid.nih.gov/transcriptome/C_felis/S1/links/SWISSP/cf-contig_578-SWISSP.txt","DNA-directed RNA polymerase subunit beta''")</f>
        <v>DNA-directed RNA polymerase subunit beta''</v>
      </c>
      <c r="BB690" t="str">
        <f>HYPERLINK("http://www.uniprot.org/uniprot/A4GYP8","11")</f>
        <v>11</v>
      </c>
      <c r="BC690" t="s">
        <v>3771</v>
      </c>
      <c r="BD690">
        <v>28.9</v>
      </c>
      <c r="BE690">
        <v>40</v>
      </c>
      <c r="BF690">
        <v>1390</v>
      </c>
      <c r="BG690">
        <v>34</v>
      </c>
      <c r="BH690">
        <v>3</v>
      </c>
      <c r="BI690">
        <v>27</v>
      </c>
      <c r="BJ690">
        <v>2</v>
      </c>
      <c r="BK690">
        <v>1012</v>
      </c>
      <c r="BL690">
        <v>137</v>
      </c>
      <c r="BM690">
        <v>1</v>
      </c>
      <c r="BN690">
        <v>-1</v>
      </c>
      <c r="BO690" t="s">
        <v>12</v>
      </c>
      <c r="BQ690" t="s">
        <v>1666</v>
      </c>
      <c r="BR690" t="s">
        <v>3304</v>
      </c>
      <c r="BS690" s="4" t="str">
        <f>HYPERLINK("http://exon.niaid.nih.gov/transcriptome/C_felis/S1/links/CDD/cf-contig_578-CDD.txt","dnaE")</f>
        <v>dnaE</v>
      </c>
      <c r="BT690" t="str">
        <f>HYPERLINK("http://www.ncbi.nlm.nih.gov/Structure/cdd/cddsrv.cgi?uid=PRK07135&amp;version=v4.0","0.003")</f>
        <v>0.003</v>
      </c>
      <c r="BU690" t="s">
        <v>3772</v>
      </c>
      <c r="BV690" s="4" t="s">
        <v>42</v>
      </c>
      <c r="BW690" t="s">
        <v>42</v>
      </c>
      <c r="BX690" t="s">
        <v>42</v>
      </c>
      <c r="BY690" t="s">
        <v>42</v>
      </c>
      <c r="BZ690" t="s">
        <v>42</v>
      </c>
      <c r="CA690" t="s">
        <v>42</v>
      </c>
      <c r="CB690" t="s">
        <v>42</v>
      </c>
      <c r="CC690" t="s">
        <v>42</v>
      </c>
      <c r="CD690" t="s">
        <v>42</v>
      </c>
      <c r="CE690" t="s">
        <v>42</v>
      </c>
      <c r="CF690" t="s">
        <v>42</v>
      </c>
      <c r="CG690" t="s">
        <v>42</v>
      </c>
      <c r="CH690" t="s">
        <v>42</v>
      </c>
      <c r="CI690" t="s">
        <v>42</v>
      </c>
      <c r="CJ690" t="s">
        <v>42</v>
      </c>
      <c r="CK690" t="s">
        <v>42</v>
      </c>
      <c r="CL690" t="s">
        <v>42</v>
      </c>
      <c r="CM690" t="s">
        <v>42</v>
      </c>
      <c r="CN690" t="s">
        <v>42</v>
      </c>
      <c r="CO690" t="s">
        <v>42</v>
      </c>
      <c r="CP690" t="s">
        <v>42</v>
      </c>
      <c r="CQ690" t="s">
        <v>42</v>
      </c>
      <c r="CR690" t="s">
        <v>42</v>
      </c>
      <c r="CS690" s="4" t="str">
        <f>HYPERLINK("http://exon.niaid.nih.gov/transcriptome/C_felis/S1/links/KOG/cf-contig_578-KOG.txt","Uncharacterized conserved protein")</f>
        <v>Uncharacterized conserved protein</v>
      </c>
      <c r="CT690" t="str">
        <f>HYPERLINK("http://www.ncbi.nlm.nih.gov/COG/grace/shokog.cgi?KOG1134","1.1")</f>
        <v>1.1</v>
      </c>
      <c r="CU690" t="s">
        <v>1721</v>
      </c>
      <c r="CV690" s="4" t="str">
        <f>HYPERLINK("http://exon.niaid.nih.gov/transcriptome/C_felis/S1/links/PFAM/cf-contig_578-PFAM.txt","NADH5_C")</f>
        <v>NADH5_C</v>
      </c>
      <c r="CW690" t="str">
        <f>HYPERLINK("http://pfam.sanger.ac.uk/family?acc=PF06455","0.58")</f>
        <v>0.58</v>
      </c>
      <c r="CX690" s="4" t="str">
        <f>HYPERLINK("http://exon.niaid.nih.gov/transcriptome/C_felis/S1/links/SMART/cf-contig_578-SMART.txt","s48_45")</f>
        <v>s48_45</v>
      </c>
      <c r="CY690" t="str">
        <f>HYPERLINK("http://smart.embl-heidelberg.de/smart/do_annotation.pl?DOMAIN=s48_45&amp;BLAST=DUMMY","0.089")</f>
        <v>0.089</v>
      </c>
      <c r="CZ690" s="4" t="s">
        <v>42</v>
      </c>
      <c r="DA690" t="s">
        <v>42</v>
      </c>
      <c r="DB690" t="s">
        <v>42</v>
      </c>
      <c r="DC690" t="s">
        <v>42</v>
      </c>
      <c r="DD690" t="s">
        <v>42</v>
      </c>
      <c r="DE690" t="s">
        <v>42</v>
      </c>
      <c r="DF690" t="s">
        <v>42</v>
      </c>
      <c r="DG690" t="s">
        <v>42</v>
      </c>
      <c r="DH690" s="4" t="s">
        <v>42</v>
      </c>
      <c r="DI690" t="s">
        <v>42</v>
      </c>
      <c r="DJ690" s="4" t="s">
        <v>42</v>
      </c>
      <c r="DK690" t="s">
        <v>42</v>
      </c>
      <c r="DL690" s="4">
        <v>471</v>
      </c>
      <c r="DM690">
        <v>1</v>
      </c>
      <c r="DN690" s="4">
        <v>481</v>
      </c>
      <c r="DO690">
        <v>1</v>
      </c>
      <c r="DP690" s="4">
        <v>490</v>
      </c>
      <c r="DQ690">
        <v>1</v>
      </c>
      <c r="DR690" s="4">
        <v>508</v>
      </c>
      <c r="DS690">
        <v>1</v>
      </c>
      <c r="DT690" s="4">
        <v>520</v>
      </c>
      <c r="DU690">
        <v>1</v>
      </c>
      <c r="DV690" s="4">
        <v>534</v>
      </c>
      <c r="DW690">
        <v>1</v>
      </c>
      <c r="DX690" s="4">
        <v>542</v>
      </c>
      <c r="DY690">
        <v>1</v>
      </c>
      <c r="DZ690" s="4">
        <v>550</v>
      </c>
      <c r="EA690">
        <v>1</v>
      </c>
      <c r="EB690" s="4">
        <v>555</v>
      </c>
      <c r="EC690">
        <v>1</v>
      </c>
      <c r="ED690" s="4">
        <v>559</v>
      </c>
      <c r="EE690">
        <v>1</v>
      </c>
      <c r="EF690" s="4">
        <v>564</v>
      </c>
      <c r="EG690">
        <v>1</v>
      </c>
      <c r="EH690" s="4">
        <v>571</v>
      </c>
      <c r="EI690">
        <v>1</v>
      </c>
      <c r="EJ690" s="4">
        <v>578</v>
      </c>
      <c r="EK690">
        <v>1</v>
      </c>
    </row>
    <row r="691" spans="1:141" x14ac:dyDescent="0.2">
      <c r="A691" t="str">
        <f>HYPERLINK("http://exon.niaid.nih.gov/transcriptome/C_felis/S1/links/cf/cf-contig_672.txt","cf-contig_672")</f>
        <v>cf-contig_672</v>
      </c>
      <c r="B691">
        <v>1</v>
      </c>
      <c r="C691" s="10" t="s">
        <v>4600</v>
      </c>
      <c r="D691">
        <v>1</v>
      </c>
      <c r="E691" t="str">
        <f>HYPERLINK("http://exon.niaid.nih.gov/transcriptome/C_felis/S1/links/cf/cf-5-36-asb-672.txt","Contig-672")</f>
        <v>Contig-672</v>
      </c>
      <c r="F691" t="str">
        <f>HYPERLINK("http://exon.niaid.nih.gov/transcriptome/C_felis/S1/links/cf/cf-5-36-672-CLU.txt","Contig672")</f>
        <v>Contig672</v>
      </c>
      <c r="G691" t="str">
        <f>HYPERLINK("http://exon.niaid.nih.gov/transcriptome/C_felis/S1/links/cf/cf-5-36-672-qual.txt","62.8")</f>
        <v>62.8</v>
      </c>
      <c r="H691" t="s">
        <v>11</v>
      </c>
      <c r="I691">
        <v>80.8</v>
      </c>
      <c r="J691">
        <v>189</v>
      </c>
      <c r="K691" t="s">
        <v>12</v>
      </c>
      <c r="L691">
        <v>1</v>
      </c>
      <c r="M691" t="s">
        <v>685</v>
      </c>
      <c r="N691">
        <v>189</v>
      </c>
      <c r="O691">
        <v>208</v>
      </c>
      <c r="P691">
        <v>120</v>
      </c>
      <c r="Q691" t="s">
        <v>1491</v>
      </c>
      <c r="R691">
        <v>1</v>
      </c>
      <c r="S691" s="7" t="s">
        <v>4585</v>
      </c>
      <c r="U691">
        <v>1</v>
      </c>
      <c r="V691" s="4">
        <v>549</v>
      </c>
      <c r="W691">
        <v>1</v>
      </c>
      <c r="X691" s="4">
        <v>561</v>
      </c>
      <c r="Y691">
        <v>1</v>
      </c>
      <c r="Z691" s="4">
        <v>573</v>
      </c>
      <c r="AA691">
        <v>1</v>
      </c>
      <c r="AB691" s="4" t="str">
        <f>HYPERLINK("http://exon.niaid.nih.gov/transcriptome/C_felis/S1/links/XC-ASB/cf-contig_672-XC-ASB.txt","XC-contig_44")</f>
        <v>XC-contig_44</v>
      </c>
      <c r="AC691">
        <v>3.4000000000000002E-2</v>
      </c>
      <c r="AD691" s="10" t="s">
        <v>4600</v>
      </c>
      <c r="AE691" t="s">
        <v>4601</v>
      </c>
      <c r="AI691" s="4" t="str">
        <f>HYPERLINK("http://exon.niaid.nih.gov/transcriptome/C_felis/S1/links/NR/cf-contig_672-NR.txt","carbamoyl-phosphate synthase large subunit")</f>
        <v>carbamoyl-phosphate synthase large subunit</v>
      </c>
      <c r="AJ691" t="str">
        <f>HYPERLINK("http://www.ncbi.nlm.nih.gov/sutils/blink.cgi?pid=333986649","36")</f>
        <v>36</v>
      </c>
      <c r="AK691" t="str">
        <f>HYPERLINK("http://www.ncbi.nlm.nih.gov/protein/333986649","gi|333986649")</f>
        <v>gi|333986649</v>
      </c>
      <c r="AL691">
        <v>32</v>
      </c>
      <c r="AM691">
        <v>31</v>
      </c>
      <c r="AN691">
        <v>1062</v>
      </c>
      <c r="AO691">
        <v>46</v>
      </c>
      <c r="AP691">
        <v>3</v>
      </c>
      <c r="AQ691">
        <v>17</v>
      </c>
      <c r="AR691">
        <v>0</v>
      </c>
      <c r="AS691">
        <v>432</v>
      </c>
      <c r="AT691">
        <v>13</v>
      </c>
      <c r="AU691">
        <v>1</v>
      </c>
      <c r="AV691">
        <v>1</v>
      </c>
      <c r="AW691" t="s">
        <v>12</v>
      </c>
      <c r="AY691" t="s">
        <v>1676</v>
      </c>
      <c r="AZ691" t="s">
        <v>4117</v>
      </c>
      <c r="BA691" s="4" t="str">
        <f>HYPERLINK("http://exon.niaid.nih.gov/transcriptome/C_felis/S1/links/SWISSP/cf-contig_672-SWISSP.txt","Cysteine-rich repeat secretory protein 38")</f>
        <v>Cysteine-rich repeat secretory protein 38</v>
      </c>
      <c r="BB691" t="str">
        <f>HYPERLINK("http://www.uniprot.org/uniprot/Q9LRJ9","3.6")</f>
        <v>3.6</v>
      </c>
      <c r="BC691" t="s">
        <v>4118</v>
      </c>
      <c r="BD691">
        <v>30.4</v>
      </c>
      <c r="BE691">
        <v>30</v>
      </c>
      <c r="BF691">
        <v>252</v>
      </c>
      <c r="BG691">
        <v>38</v>
      </c>
      <c r="BH691">
        <v>12</v>
      </c>
      <c r="BI691">
        <v>19</v>
      </c>
      <c r="BJ691">
        <v>0</v>
      </c>
      <c r="BK691">
        <v>122</v>
      </c>
      <c r="BL691">
        <v>34</v>
      </c>
      <c r="BM691">
        <v>1</v>
      </c>
      <c r="BN691">
        <v>1</v>
      </c>
      <c r="BO691" t="s">
        <v>12</v>
      </c>
      <c r="BQ691" t="s">
        <v>1676</v>
      </c>
      <c r="BR691" t="s">
        <v>1714</v>
      </c>
      <c r="BS691" s="4" t="str">
        <f>HYPERLINK("http://exon.niaid.nih.gov/transcriptome/C_felis/S1/links/CDD/cf-contig_672-CDD.txt","PalH")</f>
        <v>PalH</v>
      </c>
      <c r="BT691" t="str">
        <f>HYPERLINK("http://www.ncbi.nlm.nih.gov/Structure/cdd/cddsrv.cgi?uid=pfam08733&amp;version=v4.0","0.021")</f>
        <v>0.021</v>
      </c>
      <c r="BU691" t="s">
        <v>4119</v>
      </c>
      <c r="BV691" s="4" t="s">
        <v>42</v>
      </c>
      <c r="BW691" t="s">
        <v>42</v>
      </c>
      <c r="BX691" t="s">
        <v>42</v>
      </c>
      <c r="BY691" t="s">
        <v>42</v>
      </c>
      <c r="BZ691" t="s">
        <v>42</v>
      </c>
      <c r="CA691" t="s">
        <v>42</v>
      </c>
      <c r="CB691" t="s">
        <v>42</v>
      </c>
      <c r="CC691" t="s">
        <v>42</v>
      </c>
      <c r="CD691" t="s">
        <v>42</v>
      </c>
      <c r="CE691" t="s">
        <v>42</v>
      </c>
      <c r="CF691" t="s">
        <v>42</v>
      </c>
      <c r="CG691" t="s">
        <v>42</v>
      </c>
      <c r="CH691" t="s">
        <v>42</v>
      </c>
      <c r="CI691" t="s">
        <v>42</v>
      </c>
      <c r="CJ691" t="s">
        <v>42</v>
      </c>
      <c r="CK691" t="s">
        <v>42</v>
      </c>
      <c r="CL691" t="s">
        <v>42</v>
      </c>
      <c r="CM691" t="s">
        <v>42</v>
      </c>
      <c r="CN691" t="s">
        <v>42</v>
      </c>
      <c r="CO691" t="s">
        <v>42</v>
      </c>
      <c r="CP691" t="s">
        <v>42</v>
      </c>
      <c r="CQ691" t="s">
        <v>42</v>
      </c>
      <c r="CR691" t="s">
        <v>42</v>
      </c>
      <c r="CS691" s="4" t="str">
        <f>HYPERLINK("http://exon.niaid.nih.gov/transcriptome/C_felis/S1/links/KOG/cf-contig_672-KOG.txt","Uncharacterized conserved protein")</f>
        <v>Uncharacterized conserved protein</v>
      </c>
      <c r="CT691" t="str">
        <f>HYPERLINK("http://www.ncbi.nlm.nih.gov/COG/grace/shokog.cgi?KOG2514","1.6")</f>
        <v>1.6</v>
      </c>
      <c r="CU691" t="s">
        <v>1711</v>
      </c>
      <c r="CV691" s="4" t="str">
        <f>HYPERLINK("http://exon.niaid.nih.gov/transcriptome/C_felis/S1/links/PFAM/cf-contig_672-PFAM.txt","PalH")</f>
        <v>PalH</v>
      </c>
      <c r="CW691" t="str">
        <f>HYPERLINK("http://pfam.sanger.ac.uk/family?acc=PF08733","0.004")</f>
        <v>0.004</v>
      </c>
      <c r="CX691" s="4" t="str">
        <f>HYPERLINK("http://exon.niaid.nih.gov/transcriptome/C_felis/S1/links/SMART/cf-contig_672-SMART.txt","PSN")</f>
        <v>PSN</v>
      </c>
      <c r="CY691" t="str">
        <f>HYPERLINK("http://smart.embl-heidelberg.de/smart/do_annotation.pl?DOMAIN=PSN&amp;BLAST=DUMMY","0.096")</f>
        <v>0.096</v>
      </c>
      <c r="CZ691" s="4" t="s">
        <v>42</v>
      </c>
      <c r="DA691" t="s">
        <v>42</v>
      </c>
      <c r="DB691" t="s">
        <v>42</v>
      </c>
      <c r="DC691" t="s">
        <v>42</v>
      </c>
      <c r="DD691" t="s">
        <v>42</v>
      </c>
      <c r="DE691" t="s">
        <v>42</v>
      </c>
      <c r="DF691" t="s">
        <v>42</v>
      </c>
      <c r="DG691" t="s">
        <v>42</v>
      </c>
      <c r="DH691" s="4" t="s">
        <v>42</v>
      </c>
      <c r="DI691" t="s">
        <v>42</v>
      </c>
      <c r="DJ691" s="4" t="s">
        <v>42</v>
      </c>
      <c r="DK691" t="s">
        <v>42</v>
      </c>
      <c r="DL691" s="4">
        <v>549</v>
      </c>
      <c r="DM691">
        <v>1</v>
      </c>
      <c r="DN691" s="4">
        <v>561</v>
      </c>
      <c r="DO691">
        <v>1</v>
      </c>
      <c r="DP691" s="4">
        <v>573</v>
      </c>
      <c r="DQ691">
        <v>1</v>
      </c>
      <c r="DR691" s="4">
        <v>594</v>
      </c>
      <c r="DS691">
        <v>1</v>
      </c>
      <c r="DT691" s="4">
        <v>608</v>
      </c>
      <c r="DU691">
        <v>1</v>
      </c>
      <c r="DV691" s="4">
        <v>622</v>
      </c>
      <c r="DW691">
        <v>1</v>
      </c>
      <c r="DX691" s="4">
        <v>631</v>
      </c>
      <c r="DY691">
        <v>1</v>
      </c>
      <c r="DZ691" s="4">
        <v>641</v>
      </c>
      <c r="EA691">
        <v>1</v>
      </c>
      <c r="EB691" s="4">
        <v>646</v>
      </c>
      <c r="EC691">
        <v>1</v>
      </c>
      <c r="ED691" s="4">
        <v>650</v>
      </c>
      <c r="EE691">
        <v>1</v>
      </c>
      <c r="EF691" s="4">
        <v>656</v>
      </c>
      <c r="EG691">
        <v>1</v>
      </c>
      <c r="EH691" s="4">
        <v>664</v>
      </c>
      <c r="EI691">
        <v>1</v>
      </c>
      <c r="EJ691" s="4">
        <v>672</v>
      </c>
      <c r="EK691">
        <v>1</v>
      </c>
    </row>
    <row r="692" spans="1:141" x14ac:dyDescent="0.2">
      <c r="A692" t="str">
        <f>HYPERLINK("http://exon.niaid.nih.gov/transcriptome/C_felis/S1/links/cf/cf-contig_295.txt","cf-contig_295")</f>
        <v>cf-contig_295</v>
      </c>
      <c r="B692">
        <v>1</v>
      </c>
      <c r="C692" s="10" t="s">
        <v>4600</v>
      </c>
      <c r="D692">
        <v>1</v>
      </c>
      <c r="E692" t="str">
        <f>HYPERLINK("http://exon.niaid.nih.gov/transcriptome/C_felis/S1/links/cf/cf-5-36-asb-295.txt","Contig-295")</f>
        <v>Contig-295</v>
      </c>
      <c r="F692" t="str">
        <f>HYPERLINK("http://exon.niaid.nih.gov/transcriptome/C_felis/S1/links/cf/cf-5-36-295-CLU.txt","Contig295")</f>
        <v>Contig295</v>
      </c>
      <c r="G692" t="str">
        <f>HYPERLINK("http://exon.niaid.nih.gov/transcriptome/C_felis/S1/links/cf/cf-5-36-295-qual.txt","65.2")</f>
        <v>65.2</v>
      </c>
      <c r="H692" t="s">
        <v>11</v>
      </c>
      <c r="I692">
        <v>68.5</v>
      </c>
      <c r="J692">
        <v>635</v>
      </c>
      <c r="K692" t="s">
        <v>12</v>
      </c>
      <c r="L692">
        <v>1</v>
      </c>
      <c r="M692" t="s">
        <v>308</v>
      </c>
      <c r="N692">
        <v>635</v>
      </c>
      <c r="O692">
        <v>654</v>
      </c>
      <c r="P692">
        <v>159</v>
      </c>
      <c r="Q692" t="s">
        <v>1115</v>
      </c>
      <c r="R692">
        <v>2</v>
      </c>
      <c r="S692" s="7" t="s">
        <v>4585</v>
      </c>
      <c r="U692">
        <v>1</v>
      </c>
      <c r="V692" s="4">
        <v>237</v>
      </c>
      <c r="W692">
        <v>1</v>
      </c>
      <c r="X692" s="4">
        <v>242</v>
      </c>
      <c r="Y692">
        <v>1</v>
      </c>
      <c r="Z692" s="4">
        <v>241</v>
      </c>
      <c r="AA692">
        <v>1</v>
      </c>
      <c r="AB692" s="4" t="str">
        <f>HYPERLINK("http://exon.niaid.nih.gov/transcriptome/C_felis/S1/links/XC-ASB/cf-contig_295-XC-ASB.txt","XC-contig_96")</f>
        <v>XC-contig_96</v>
      </c>
      <c r="AC692">
        <v>5.7000000000000002E-2</v>
      </c>
      <c r="AD692" s="10" t="s">
        <v>4600</v>
      </c>
      <c r="AE692" t="s">
        <v>4601</v>
      </c>
      <c r="AI692" s="4" t="str">
        <f>HYPERLINK("http://exon.niaid.nih.gov/transcriptome/C_felis/S1/links/NR/cf-contig_295-NR.txt","glycosyltransferase")</f>
        <v>glycosyltransferase</v>
      </c>
      <c r="AJ692" t="str">
        <f>HYPERLINK("http://www.ncbi.nlm.nih.gov/sutils/blink.cgi?pid=84489048","0.092")</f>
        <v>0.092</v>
      </c>
      <c r="AK692" t="str">
        <f>HYPERLINK("http://www.ncbi.nlm.nih.gov/protein/84489048","gi|84489048")</f>
        <v>gi|84489048</v>
      </c>
      <c r="AL692">
        <v>41.6</v>
      </c>
      <c r="AM692">
        <v>117</v>
      </c>
      <c r="AN692">
        <v>915</v>
      </c>
      <c r="AO692">
        <v>28</v>
      </c>
      <c r="AP692">
        <v>13</v>
      </c>
      <c r="AQ692">
        <v>90</v>
      </c>
      <c r="AR692">
        <v>6</v>
      </c>
      <c r="AS692">
        <v>335</v>
      </c>
      <c r="AT692">
        <v>192</v>
      </c>
      <c r="AU692">
        <v>1</v>
      </c>
      <c r="AV692">
        <v>3</v>
      </c>
      <c r="AW692" t="s">
        <v>12</v>
      </c>
      <c r="AX692">
        <v>5.9829999999999997</v>
      </c>
      <c r="AY692" t="s">
        <v>1676</v>
      </c>
      <c r="AZ692" t="s">
        <v>2711</v>
      </c>
      <c r="BA692" s="4" t="str">
        <f>HYPERLINK("http://exon.niaid.nih.gov/transcriptome/C_felis/S1/links/SWISSP/cf-contig_295-SWISSP.txt","Probable serine/threonine-protein kinase DDB_G0283065")</f>
        <v>Probable serine/threonine-protein kinase DDB_G0283065</v>
      </c>
      <c r="BB692" t="str">
        <f>HYPERLINK("http://www.uniprot.org/uniprot/Q54RP7","2.1")</f>
        <v>2.1</v>
      </c>
      <c r="BC692" t="s">
        <v>2712</v>
      </c>
      <c r="BD692">
        <v>32.700000000000003</v>
      </c>
      <c r="BE692">
        <v>40</v>
      </c>
      <c r="BF692">
        <v>637</v>
      </c>
      <c r="BG692">
        <v>37</v>
      </c>
      <c r="BH692">
        <v>6</v>
      </c>
      <c r="BI692">
        <v>27</v>
      </c>
      <c r="BJ692">
        <v>0</v>
      </c>
      <c r="BK692">
        <v>119</v>
      </c>
      <c r="BL692">
        <v>208</v>
      </c>
      <c r="BM692">
        <v>1</v>
      </c>
      <c r="BN692">
        <v>1</v>
      </c>
      <c r="BO692" t="s">
        <v>12</v>
      </c>
      <c r="BQ692" t="s">
        <v>1676</v>
      </c>
      <c r="BR692" t="s">
        <v>1976</v>
      </c>
      <c r="BS692" s="4" t="str">
        <f>HYPERLINK("http://exon.niaid.nih.gov/transcriptome/C_felis/S1/links/CDD/cf-contig_295-CDD.txt","ATP6")</f>
        <v>ATP6</v>
      </c>
      <c r="BT692" t="str">
        <f>HYPERLINK("http://www.ncbi.nlm.nih.gov/Structure/cdd/cddsrv.cgi?uid=MTH00087&amp;version=v4.0","5E-005")</f>
        <v>5E-005</v>
      </c>
      <c r="BU692" t="s">
        <v>2713</v>
      </c>
      <c r="BV692" s="4" t="s">
        <v>42</v>
      </c>
      <c r="BW692" t="s">
        <v>42</v>
      </c>
      <c r="BX692" t="s">
        <v>42</v>
      </c>
      <c r="BY692" t="s">
        <v>42</v>
      </c>
      <c r="BZ692" t="s">
        <v>42</v>
      </c>
      <c r="CA692" t="s">
        <v>42</v>
      </c>
      <c r="CB692" t="s">
        <v>42</v>
      </c>
      <c r="CC692" t="s">
        <v>42</v>
      </c>
      <c r="CD692" t="s">
        <v>42</v>
      </c>
      <c r="CE692" t="s">
        <v>42</v>
      </c>
      <c r="CF692" t="s">
        <v>42</v>
      </c>
      <c r="CG692" t="s">
        <v>42</v>
      </c>
      <c r="CH692" t="s">
        <v>42</v>
      </c>
      <c r="CI692" t="s">
        <v>42</v>
      </c>
      <c r="CJ692" t="s">
        <v>42</v>
      </c>
      <c r="CK692" t="s">
        <v>42</v>
      </c>
      <c r="CL692" t="s">
        <v>42</v>
      </c>
      <c r="CM692" t="s">
        <v>42</v>
      </c>
      <c r="CN692" t="s">
        <v>42</v>
      </c>
      <c r="CO692" t="s">
        <v>42</v>
      </c>
      <c r="CP692" t="s">
        <v>42</v>
      </c>
      <c r="CQ692" t="s">
        <v>42</v>
      </c>
      <c r="CR692" t="s">
        <v>42</v>
      </c>
      <c r="CS692" s="4" t="str">
        <f>HYPERLINK("http://exon.niaid.nih.gov/transcriptome/C_felis/S1/links/KOG/cf-contig_295-KOG.txt","Predicted membrane-anchored protein")</f>
        <v>Predicted membrane-anchored protein</v>
      </c>
      <c r="CT692" t="str">
        <f>HYPERLINK("http://www.ncbi.nlm.nih.gov/COG/grace/shokog.cgi?KOG4396","0.008")</f>
        <v>0.008</v>
      </c>
      <c r="CU692" t="s">
        <v>1711</v>
      </c>
      <c r="CV692" s="4" t="str">
        <f>HYPERLINK("http://exon.niaid.nih.gov/transcriptome/C_felis/S1/links/PFAM/cf-contig_295-PFAM.txt","YfhO")</f>
        <v>YfhO</v>
      </c>
      <c r="CW692" t="str">
        <f>HYPERLINK("http://pfam.sanger.ac.uk/family?acc=PF09586","3E-004")</f>
        <v>3E-004</v>
      </c>
      <c r="CX692" s="4" t="str">
        <f>HYPERLINK("http://exon.niaid.nih.gov/transcriptome/C_felis/S1/links/SMART/cf-contig_295-SMART.txt","RHO")</f>
        <v>RHO</v>
      </c>
      <c r="CY692" t="str">
        <f>HYPERLINK("http://smart.embl-heidelberg.de/smart/do_annotation.pl?DOMAIN=RHO&amp;BLAST=DUMMY","0.19")</f>
        <v>0.19</v>
      </c>
      <c r="CZ692" s="4" t="s">
        <v>42</v>
      </c>
      <c r="DA692" t="s">
        <v>42</v>
      </c>
      <c r="DB692" t="s">
        <v>42</v>
      </c>
      <c r="DC692" t="s">
        <v>42</v>
      </c>
      <c r="DD692" t="s">
        <v>42</v>
      </c>
      <c r="DE692" t="s">
        <v>42</v>
      </c>
      <c r="DF692" t="s">
        <v>42</v>
      </c>
      <c r="DG692" t="s">
        <v>42</v>
      </c>
      <c r="DH692" s="4" t="s">
        <v>42</v>
      </c>
      <c r="DI692" t="s">
        <v>42</v>
      </c>
      <c r="DJ692" s="4" t="s">
        <v>42</v>
      </c>
      <c r="DK692" t="s">
        <v>42</v>
      </c>
      <c r="DL692" s="4">
        <v>237</v>
      </c>
      <c r="DM692">
        <v>1</v>
      </c>
      <c r="DN692" s="4">
        <v>242</v>
      </c>
      <c r="DO692">
        <v>1</v>
      </c>
      <c r="DP692" s="4">
        <v>241</v>
      </c>
      <c r="DQ692">
        <v>1</v>
      </c>
      <c r="DR692" s="4">
        <v>250</v>
      </c>
      <c r="DS692">
        <v>1</v>
      </c>
      <c r="DT692" s="4">
        <v>257</v>
      </c>
      <c r="DU692">
        <v>1</v>
      </c>
      <c r="DV692" s="4">
        <v>269</v>
      </c>
      <c r="DW692">
        <v>1</v>
      </c>
      <c r="DX692" s="4">
        <v>271</v>
      </c>
      <c r="DY692">
        <v>1</v>
      </c>
      <c r="DZ692" s="4">
        <v>276</v>
      </c>
      <c r="EA692">
        <v>1</v>
      </c>
      <c r="EB692" s="4">
        <v>281</v>
      </c>
      <c r="EC692">
        <v>1</v>
      </c>
      <c r="ED692" s="4">
        <v>284</v>
      </c>
      <c r="EE692">
        <v>1</v>
      </c>
      <c r="EF692" s="4">
        <v>288</v>
      </c>
      <c r="EG692">
        <v>1</v>
      </c>
      <c r="EH692" s="4">
        <v>290</v>
      </c>
      <c r="EI692">
        <v>1</v>
      </c>
      <c r="EJ692" s="4">
        <v>295</v>
      </c>
      <c r="EK692">
        <v>1</v>
      </c>
    </row>
    <row r="693" spans="1:141" x14ac:dyDescent="0.2">
      <c r="A693" t="str">
        <f>HYPERLINK("http://exon.niaid.nih.gov/transcriptome/C_felis/S1/links/cf/cf-contig_399.txt","cf-contig_399")</f>
        <v>cf-contig_399</v>
      </c>
      <c r="B693">
        <v>1</v>
      </c>
      <c r="C693" s="10" t="s">
        <v>4600</v>
      </c>
      <c r="D693">
        <v>1</v>
      </c>
      <c r="E693" t="str">
        <f>HYPERLINK("http://exon.niaid.nih.gov/transcriptome/C_felis/S1/links/cf/cf-5-36-asb-399.txt","Contig-399")</f>
        <v>Contig-399</v>
      </c>
      <c r="F693" t="str">
        <f>HYPERLINK("http://exon.niaid.nih.gov/transcriptome/C_felis/S1/links/cf/cf-5-36-399-CLU.txt","Contig399")</f>
        <v>Contig399</v>
      </c>
      <c r="G693" t="str">
        <f>HYPERLINK("http://exon.niaid.nih.gov/transcriptome/C_felis/S1/links/cf/cf-5-36-399-qual.txt","43.")</f>
        <v>43.</v>
      </c>
      <c r="H693">
        <v>0.7</v>
      </c>
      <c r="I693">
        <v>56.9</v>
      </c>
      <c r="J693">
        <v>134</v>
      </c>
      <c r="K693" t="s">
        <v>12</v>
      </c>
      <c r="L693">
        <v>1</v>
      </c>
      <c r="M693" t="s">
        <v>412</v>
      </c>
      <c r="N693">
        <v>134</v>
      </c>
      <c r="O693">
        <v>153</v>
      </c>
      <c r="P693">
        <v>150</v>
      </c>
      <c r="Q693" t="s">
        <v>1219</v>
      </c>
      <c r="R693">
        <v>2</v>
      </c>
      <c r="S693" s="7" t="s">
        <v>4585</v>
      </c>
      <c r="U693">
        <v>1</v>
      </c>
      <c r="V693" s="4">
        <v>325</v>
      </c>
      <c r="W693">
        <v>1</v>
      </c>
      <c r="X693" s="4">
        <v>333</v>
      </c>
      <c r="Y693">
        <v>1</v>
      </c>
      <c r="Z693" s="4">
        <v>334</v>
      </c>
      <c r="AA693">
        <v>1</v>
      </c>
      <c r="AB693" s="4" t="str">
        <f>HYPERLINK("http://exon.niaid.nih.gov/transcriptome/C_felis/S1/links/XC-ASB/cf-contig_399-XC-ASB.txt","XC-contig_128")</f>
        <v>XC-contig_128</v>
      </c>
      <c r="AC693">
        <v>6.9000000000000006E-2</v>
      </c>
      <c r="AD693" s="10" t="s">
        <v>4600</v>
      </c>
      <c r="AE693" t="s">
        <v>4601</v>
      </c>
      <c r="AI693" s="4" t="str">
        <f>HYPERLINK("http://exon.niaid.nih.gov/transcriptome/C_felis/S1/links/NR/cf-contig_399-NR.txt","serine/threonine protein kinase")</f>
        <v>serine/threonine protein kinase</v>
      </c>
      <c r="AJ693" t="str">
        <f>HYPERLINK("http://www.ncbi.nlm.nih.gov/sutils/blink.cgi?pid=238060013","95")</f>
        <v>95</v>
      </c>
      <c r="AK693" t="str">
        <f>HYPERLINK("http://www.ncbi.nlm.nih.gov/protein/238060013","gi|238060013")</f>
        <v>gi|238060013</v>
      </c>
      <c r="AL693">
        <v>26.2</v>
      </c>
      <c r="AM693">
        <v>29</v>
      </c>
      <c r="AN693">
        <v>609</v>
      </c>
      <c r="AO693">
        <v>71</v>
      </c>
      <c r="AP693">
        <v>5</v>
      </c>
      <c r="AQ693">
        <v>4</v>
      </c>
      <c r="AR693">
        <v>0</v>
      </c>
      <c r="AS693">
        <v>319</v>
      </c>
      <c r="AT693">
        <v>1</v>
      </c>
      <c r="AU693">
        <v>2</v>
      </c>
      <c r="AV693">
        <v>-1</v>
      </c>
      <c r="AW693" t="s">
        <v>12</v>
      </c>
      <c r="AY693" t="s">
        <v>1666</v>
      </c>
      <c r="AZ693" t="s">
        <v>3081</v>
      </c>
      <c r="BA693" s="4" t="str">
        <f>HYPERLINK("http://exon.niaid.nih.gov/transcriptome/C_felis/S1/links/SWISSP/cf-contig_399-SWISSP.txt","Sharpin")</f>
        <v>Sharpin</v>
      </c>
      <c r="BB693" t="str">
        <f>HYPERLINK("http://www.uniprot.org/uniprot/Q91WA6","24")</f>
        <v>24</v>
      </c>
      <c r="BC693" t="s">
        <v>3082</v>
      </c>
      <c r="BD693">
        <v>27.7</v>
      </c>
      <c r="BE693">
        <v>28</v>
      </c>
      <c r="BF693">
        <v>380</v>
      </c>
      <c r="BG693">
        <v>40</v>
      </c>
      <c r="BH693">
        <v>8</v>
      </c>
      <c r="BI693">
        <v>21</v>
      </c>
      <c r="BJ693">
        <v>0</v>
      </c>
      <c r="BK693">
        <v>340</v>
      </c>
      <c r="BL693">
        <v>20</v>
      </c>
      <c r="BM693">
        <v>1</v>
      </c>
      <c r="BN693">
        <v>2</v>
      </c>
      <c r="BO693" t="s">
        <v>12</v>
      </c>
      <c r="BQ693" t="s">
        <v>1676</v>
      </c>
      <c r="BR693" t="s">
        <v>1705</v>
      </c>
      <c r="BS693" s="4" t="str">
        <f>HYPERLINK("http://exon.niaid.nih.gov/transcriptome/C_felis/S1/links/CDD/cf-contig_399-CDD.txt","PLN03192")</f>
        <v>PLN03192</v>
      </c>
      <c r="BT693" t="str">
        <f>HYPERLINK("http://www.ncbi.nlm.nih.gov/Structure/cdd/cddsrv.cgi?uid=PLN03192&amp;version=v4.0","4.7")</f>
        <v>4.7</v>
      </c>
      <c r="BU693" t="s">
        <v>3083</v>
      </c>
      <c r="BV693" s="4" t="s">
        <v>42</v>
      </c>
      <c r="BW693" t="s">
        <v>42</v>
      </c>
      <c r="BX693" t="s">
        <v>42</v>
      </c>
      <c r="BY693" t="s">
        <v>42</v>
      </c>
      <c r="BZ693" t="s">
        <v>42</v>
      </c>
      <c r="CA693" t="s">
        <v>42</v>
      </c>
      <c r="CB693" t="s">
        <v>42</v>
      </c>
      <c r="CC693" t="s">
        <v>42</v>
      </c>
      <c r="CD693" t="s">
        <v>42</v>
      </c>
      <c r="CE693" t="s">
        <v>42</v>
      </c>
      <c r="CF693" t="s">
        <v>42</v>
      </c>
      <c r="CG693" t="s">
        <v>42</v>
      </c>
      <c r="CH693" t="s">
        <v>42</v>
      </c>
      <c r="CI693" t="s">
        <v>42</v>
      </c>
      <c r="CJ693" t="s">
        <v>42</v>
      </c>
      <c r="CK693" t="s">
        <v>42</v>
      </c>
      <c r="CL693" t="s">
        <v>42</v>
      </c>
      <c r="CM693" t="s">
        <v>42</v>
      </c>
      <c r="CN693" t="s">
        <v>42</v>
      </c>
      <c r="CO693" t="s">
        <v>42</v>
      </c>
      <c r="CP693" t="s">
        <v>42</v>
      </c>
      <c r="CQ693" t="s">
        <v>42</v>
      </c>
      <c r="CR693" t="s">
        <v>42</v>
      </c>
      <c r="CS693" s="4" t="str">
        <f>HYPERLINK("http://exon.niaid.nih.gov/transcriptome/C_felis/S1/links/KOG/cf-contig_399-KOG.txt","Cell cycle-associated protein Mob1-1")</f>
        <v>Cell cycle-associated protein Mob1-1</v>
      </c>
      <c r="CT693" t="str">
        <f>HYPERLINK("http://www.ncbi.nlm.nih.gov/COG/grace/shokog.cgi?KOG0440","5.6")</f>
        <v>5.6</v>
      </c>
      <c r="CU693" t="s">
        <v>1750</v>
      </c>
      <c r="CV693" s="4" t="str">
        <f>HYPERLINK("http://exon.niaid.nih.gov/transcriptome/C_felis/S1/links/PFAM/cf-contig_399-PFAM.txt","Ribosomal_L13e")</f>
        <v>Ribosomal_L13e</v>
      </c>
      <c r="CW693" t="str">
        <f>HYPERLINK("http://pfam.sanger.ac.uk/family?acc=PF01294","2.8")</f>
        <v>2.8</v>
      </c>
      <c r="CX693" s="4" t="str">
        <f>HYPERLINK("http://exon.niaid.nih.gov/transcriptome/C_felis/S1/links/SMART/cf-contig_399-SMART.txt","THN")</f>
        <v>THN</v>
      </c>
      <c r="CY693" t="str">
        <f>HYPERLINK("http://smart.embl-heidelberg.de/smart/do_annotation.pl?DOMAIN=THN&amp;BLAST=DUMMY","0.47")</f>
        <v>0.47</v>
      </c>
      <c r="CZ693" s="4" t="s">
        <v>42</v>
      </c>
      <c r="DA693" t="s">
        <v>42</v>
      </c>
      <c r="DB693" t="s">
        <v>42</v>
      </c>
      <c r="DC693" t="s">
        <v>42</v>
      </c>
      <c r="DD693" t="s">
        <v>42</v>
      </c>
      <c r="DE693" t="s">
        <v>42</v>
      </c>
      <c r="DF693" t="s">
        <v>42</v>
      </c>
      <c r="DG693" t="s">
        <v>42</v>
      </c>
      <c r="DH693" s="4" t="s">
        <v>42</v>
      </c>
      <c r="DI693" t="s">
        <v>42</v>
      </c>
      <c r="DJ693" s="4" t="s">
        <v>42</v>
      </c>
      <c r="DK693" t="s">
        <v>42</v>
      </c>
      <c r="DL693" s="4">
        <v>325</v>
      </c>
      <c r="DM693">
        <v>1</v>
      </c>
      <c r="DN693" s="4">
        <v>333</v>
      </c>
      <c r="DO693">
        <v>1</v>
      </c>
      <c r="DP693" s="4">
        <v>334</v>
      </c>
      <c r="DQ693">
        <v>1</v>
      </c>
      <c r="DR693" s="4">
        <v>345</v>
      </c>
      <c r="DS693">
        <v>1</v>
      </c>
      <c r="DT693" s="4">
        <v>355</v>
      </c>
      <c r="DU693">
        <v>1</v>
      </c>
      <c r="DV693" s="4">
        <v>368</v>
      </c>
      <c r="DW693">
        <v>1</v>
      </c>
      <c r="DX693" s="4">
        <v>371</v>
      </c>
      <c r="DY693">
        <v>1</v>
      </c>
      <c r="DZ693" s="4">
        <v>376</v>
      </c>
      <c r="EA693">
        <v>1</v>
      </c>
      <c r="EB693" s="4">
        <v>381</v>
      </c>
      <c r="EC693">
        <v>1</v>
      </c>
      <c r="ED693" s="4">
        <v>385</v>
      </c>
      <c r="EE693">
        <v>1</v>
      </c>
      <c r="EF693" s="4">
        <v>390</v>
      </c>
      <c r="EG693">
        <v>1</v>
      </c>
      <c r="EH693" s="4">
        <v>393</v>
      </c>
      <c r="EI693">
        <v>1</v>
      </c>
      <c r="EJ693" s="4">
        <v>399</v>
      </c>
      <c r="EK693">
        <v>1</v>
      </c>
    </row>
    <row r="694" spans="1:141" x14ac:dyDescent="0.2">
      <c r="A694" t="str">
        <f>HYPERLINK("http://exon.niaid.nih.gov/transcriptome/C_felis/S1/links/cf/cf-contig_619.txt","cf-contig_619")</f>
        <v>cf-contig_619</v>
      </c>
      <c r="B694">
        <v>1</v>
      </c>
      <c r="C694" s="10" t="s">
        <v>4600</v>
      </c>
      <c r="D694">
        <v>1</v>
      </c>
      <c r="E694" t="str">
        <f>HYPERLINK("http://exon.niaid.nih.gov/transcriptome/C_felis/S1/links/cf/cf-5-36-asb-619.txt","Contig-619")</f>
        <v>Contig-619</v>
      </c>
      <c r="F694" t="str">
        <f>HYPERLINK("http://exon.niaid.nih.gov/transcriptome/C_felis/S1/links/cf/cf-5-36-619-CLU.txt","Contig619")</f>
        <v>Contig619</v>
      </c>
      <c r="G694" t="str">
        <f>HYPERLINK("http://exon.niaid.nih.gov/transcriptome/C_felis/S1/links/cf/cf-5-36-619-qual.txt","55.5")</f>
        <v>55.5</v>
      </c>
      <c r="H694" t="s">
        <v>11</v>
      </c>
      <c r="I694">
        <v>81.5</v>
      </c>
      <c r="J694">
        <v>127</v>
      </c>
      <c r="K694" t="s">
        <v>12</v>
      </c>
      <c r="L694">
        <v>1</v>
      </c>
      <c r="M694" t="s">
        <v>632</v>
      </c>
      <c r="N694">
        <v>127</v>
      </c>
      <c r="O694">
        <v>146</v>
      </c>
      <c r="P694">
        <v>57</v>
      </c>
      <c r="Q694" t="s">
        <v>1438</v>
      </c>
      <c r="R694">
        <v>3</v>
      </c>
      <c r="S694" s="7" t="s">
        <v>4585</v>
      </c>
      <c r="U694">
        <v>1</v>
      </c>
      <c r="V694" s="4">
        <v>505</v>
      </c>
      <c r="W694">
        <v>1</v>
      </c>
      <c r="X694" s="4">
        <v>517</v>
      </c>
      <c r="Y694">
        <v>1</v>
      </c>
      <c r="Z694" s="4">
        <v>527</v>
      </c>
      <c r="AA694">
        <v>1</v>
      </c>
      <c r="AB694" s="4" t="str">
        <f>HYPERLINK("http://exon.niaid.nih.gov/transcriptome/C_felis/S1/links/XC-ASB/cf-contig_619-XC-ASB.txt","XC-contig_247")</f>
        <v>XC-contig_247</v>
      </c>
      <c r="AC694">
        <v>8.9999999999999993E-3</v>
      </c>
      <c r="AD694" s="10" t="s">
        <v>4600</v>
      </c>
      <c r="AE694" t="s">
        <v>4601</v>
      </c>
      <c r="AI694" s="4" t="str">
        <f>HYPERLINK("http://exon.niaid.nih.gov/transcriptome/C_felis/S1/links/NR/cf-contig_619-NR.txt","NADH dehydrogenase subunit 4 (mitochondrion)")</f>
        <v>NADH dehydrogenase subunit 4 (mitochondrion)</v>
      </c>
      <c r="AJ694" t="str">
        <f>HYPERLINK("http://www.ncbi.nlm.nih.gov/sutils/blink.cgi?pid=353526364","37")</f>
        <v>37</v>
      </c>
      <c r="AK694" t="str">
        <f>HYPERLINK("http://www.ncbi.nlm.nih.gov/protein/353526364","gi|353526364")</f>
        <v>gi|353526364</v>
      </c>
      <c r="AL694">
        <v>32</v>
      </c>
      <c r="AM694">
        <v>20</v>
      </c>
      <c r="AN694">
        <v>364</v>
      </c>
      <c r="AO694">
        <v>61</v>
      </c>
      <c r="AP694">
        <v>6</v>
      </c>
      <c r="AQ694">
        <v>8</v>
      </c>
      <c r="AR694">
        <v>0</v>
      </c>
      <c r="AS694">
        <v>300</v>
      </c>
      <c r="AT694">
        <v>35</v>
      </c>
      <c r="AU694">
        <v>1</v>
      </c>
      <c r="AV694">
        <v>-2</v>
      </c>
      <c r="AW694" t="s">
        <v>12</v>
      </c>
      <c r="AY694" t="s">
        <v>1666</v>
      </c>
      <c r="AZ694" t="s">
        <v>3941</v>
      </c>
      <c r="BA694" s="4" t="str">
        <f>HYPERLINK("http://exon.niaid.nih.gov/transcriptome/C_felis/S1/links/SWISSP/cf-contig_619-SWISSP.txt","Phospholipase B-like protein G")</f>
        <v>Phospholipase B-like protein G</v>
      </c>
      <c r="BB694" t="str">
        <f>HYPERLINK("http://www.uniprot.org/uniprot/Q55FN1","32")</f>
        <v>32</v>
      </c>
      <c r="BC694" t="s">
        <v>3942</v>
      </c>
      <c r="BD694">
        <v>27.3</v>
      </c>
      <c r="BE694">
        <v>22</v>
      </c>
      <c r="BF694">
        <v>598</v>
      </c>
      <c r="BG694">
        <v>52</v>
      </c>
      <c r="BH694">
        <v>4</v>
      </c>
      <c r="BI694">
        <v>11</v>
      </c>
      <c r="BJ694">
        <v>0</v>
      </c>
      <c r="BK694">
        <v>6</v>
      </c>
      <c r="BL694">
        <v>17</v>
      </c>
      <c r="BM694">
        <v>1</v>
      </c>
      <c r="BN694">
        <v>-2</v>
      </c>
      <c r="BO694" t="s">
        <v>12</v>
      </c>
      <c r="BP694">
        <v>4.5449999999999999</v>
      </c>
      <c r="BQ694" t="s">
        <v>1666</v>
      </c>
      <c r="BR694" t="s">
        <v>1976</v>
      </c>
      <c r="BS694" s="4" t="str">
        <f>HYPERLINK("http://exon.niaid.nih.gov/transcriptome/C_felis/S1/links/CDD/cf-contig_619-CDD.txt","NADHdh")</f>
        <v>NADHdh</v>
      </c>
      <c r="BT694" t="str">
        <f>HYPERLINK("http://www.ncbi.nlm.nih.gov/Structure/cdd/cddsrv.cgi?uid=pfam00146&amp;version=v4.0","0.12")</f>
        <v>0.12</v>
      </c>
      <c r="BU694" t="s">
        <v>3943</v>
      </c>
      <c r="BV694" s="4" t="s">
        <v>42</v>
      </c>
      <c r="BW694" t="s">
        <v>42</v>
      </c>
      <c r="BX694" t="s">
        <v>42</v>
      </c>
      <c r="BY694" t="s">
        <v>42</v>
      </c>
      <c r="BZ694" t="s">
        <v>42</v>
      </c>
      <c r="CA694" t="s">
        <v>42</v>
      </c>
      <c r="CB694" t="s">
        <v>42</v>
      </c>
      <c r="CC694" t="s">
        <v>42</v>
      </c>
      <c r="CD694" t="s">
        <v>42</v>
      </c>
      <c r="CE694" t="s">
        <v>42</v>
      </c>
      <c r="CF694" t="s">
        <v>42</v>
      </c>
      <c r="CG694" t="s">
        <v>42</v>
      </c>
      <c r="CH694" t="s">
        <v>42</v>
      </c>
      <c r="CI694" t="s">
        <v>42</v>
      </c>
      <c r="CJ694" t="s">
        <v>42</v>
      </c>
      <c r="CK694" t="s">
        <v>42</v>
      </c>
      <c r="CL694" t="s">
        <v>42</v>
      </c>
      <c r="CM694" t="s">
        <v>42</v>
      </c>
      <c r="CN694" t="s">
        <v>42</v>
      </c>
      <c r="CO694" t="s">
        <v>42</v>
      </c>
      <c r="CP694" t="s">
        <v>42</v>
      </c>
      <c r="CQ694" t="s">
        <v>42</v>
      </c>
      <c r="CR694" t="s">
        <v>42</v>
      </c>
      <c r="CS694" s="4" t="str">
        <f>HYPERLINK("http://exon.niaid.nih.gov/transcriptome/C_felis/S1/links/KOG/cf-contig_619-KOG.txt","NADH dehydrogenase subunit 1")</f>
        <v>NADH dehydrogenase subunit 1</v>
      </c>
      <c r="CT694" t="str">
        <f>HYPERLINK("http://www.ncbi.nlm.nih.gov/COG/grace/shokog.cgi?KOG4770","1.2")</f>
        <v>1.2</v>
      </c>
      <c r="CU694" t="s">
        <v>1793</v>
      </c>
      <c r="CV694" s="4" t="str">
        <f>HYPERLINK("http://exon.niaid.nih.gov/transcriptome/C_felis/S1/links/PFAM/cf-contig_619-PFAM.txt","NADHdh")</f>
        <v>NADHdh</v>
      </c>
      <c r="CW694" t="str">
        <f>HYPERLINK("http://pfam.sanger.ac.uk/family?acc=PF00146","0.025")</f>
        <v>0.025</v>
      </c>
      <c r="CX694" s="4" t="str">
        <f>HYPERLINK("http://exon.niaid.nih.gov/transcriptome/C_felis/S1/links/SMART/cf-contig_619-SMART.txt","AgrB")</f>
        <v>AgrB</v>
      </c>
      <c r="CY694" t="str">
        <f>HYPERLINK("http://smart.embl-heidelberg.de/smart/do_annotation.pl?DOMAIN=AgrB&amp;BLAST=DUMMY","0.079")</f>
        <v>0.079</v>
      </c>
      <c r="CZ694" s="4" t="s">
        <v>42</v>
      </c>
      <c r="DA694" t="s">
        <v>42</v>
      </c>
      <c r="DB694" t="s">
        <v>42</v>
      </c>
      <c r="DC694" t="s">
        <v>42</v>
      </c>
      <c r="DD694" t="s">
        <v>42</v>
      </c>
      <c r="DE694" t="s">
        <v>42</v>
      </c>
      <c r="DF694" t="s">
        <v>42</v>
      </c>
      <c r="DG694" t="s">
        <v>42</v>
      </c>
      <c r="DH694" s="4" t="s">
        <v>42</v>
      </c>
      <c r="DI694" t="s">
        <v>42</v>
      </c>
      <c r="DJ694" s="4" t="s">
        <v>42</v>
      </c>
      <c r="DK694" t="s">
        <v>42</v>
      </c>
      <c r="DL694" s="4">
        <v>505</v>
      </c>
      <c r="DM694">
        <v>1</v>
      </c>
      <c r="DN694" s="4">
        <v>517</v>
      </c>
      <c r="DO694">
        <v>1</v>
      </c>
      <c r="DP694" s="4">
        <v>527</v>
      </c>
      <c r="DQ694">
        <v>1</v>
      </c>
      <c r="DR694" s="4">
        <v>546</v>
      </c>
      <c r="DS694">
        <v>1</v>
      </c>
      <c r="DT694" s="4">
        <v>558</v>
      </c>
      <c r="DU694">
        <v>1</v>
      </c>
      <c r="DV694" s="4">
        <v>572</v>
      </c>
      <c r="DW694">
        <v>1</v>
      </c>
      <c r="DX694" s="4">
        <v>581</v>
      </c>
      <c r="DY694">
        <v>1</v>
      </c>
      <c r="DZ694" s="4">
        <v>589</v>
      </c>
      <c r="EA694">
        <v>1</v>
      </c>
      <c r="EB694" s="4">
        <v>594</v>
      </c>
      <c r="EC694">
        <v>1</v>
      </c>
      <c r="ED694" s="4">
        <v>598</v>
      </c>
      <c r="EE694">
        <v>1</v>
      </c>
      <c r="EF694" s="4">
        <v>604</v>
      </c>
      <c r="EG694">
        <v>1</v>
      </c>
      <c r="EH694" s="4">
        <v>612</v>
      </c>
      <c r="EI694">
        <v>1</v>
      </c>
      <c r="EJ694" s="4">
        <v>619</v>
      </c>
      <c r="EK694">
        <v>1</v>
      </c>
    </row>
    <row r="695" spans="1:141" x14ac:dyDescent="0.2">
      <c r="A695" t="str">
        <f>HYPERLINK("http://exon.niaid.nih.gov/transcriptome/C_felis/S1/links/cf/cf-contig_475.txt","cf-contig_475")</f>
        <v>cf-contig_475</v>
      </c>
      <c r="B695">
        <v>1</v>
      </c>
      <c r="C695" s="10" t="s">
        <v>4600</v>
      </c>
      <c r="D695">
        <v>1</v>
      </c>
      <c r="E695" t="str">
        <f>HYPERLINK("http://exon.niaid.nih.gov/transcriptome/C_felis/S1/links/cf/cf-5-36-asb-475.txt","Contig-475")</f>
        <v>Contig-475</v>
      </c>
      <c r="F695" t="str">
        <f>HYPERLINK("http://exon.niaid.nih.gov/transcriptome/C_felis/S1/links/cf/cf-5-36-475-CLU.txt","Contig475")</f>
        <v>Contig475</v>
      </c>
      <c r="G695" t="str">
        <f>HYPERLINK("http://exon.niaid.nih.gov/transcriptome/C_felis/S1/links/cf/cf-5-36-475-qual.txt","63.5")</f>
        <v>63.5</v>
      </c>
      <c r="H695" t="s">
        <v>11</v>
      </c>
      <c r="I695">
        <v>73.3</v>
      </c>
      <c r="J695">
        <v>273</v>
      </c>
      <c r="K695" t="s">
        <v>12</v>
      </c>
      <c r="L695">
        <v>1</v>
      </c>
      <c r="M695" t="s">
        <v>488</v>
      </c>
      <c r="N695">
        <v>273</v>
      </c>
      <c r="O695">
        <v>292</v>
      </c>
      <c r="P695">
        <v>222</v>
      </c>
      <c r="Q695" t="s">
        <v>1294</v>
      </c>
      <c r="R695">
        <v>2</v>
      </c>
      <c r="S695" s="7" t="s">
        <v>4585</v>
      </c>
      <c r="U695">
        <v>1</v>
      </c>
      <c r="V695" s="4">
        <v>386</v>
      </c>
      <c r="W695">
        <v>1</v>
      </c>
      <c r="X695" s="4">
        <v>395</v>
      </c>
      <c r="Y695">
        <v>1</v>
      </c>
      <c r="Z695" s="4">
        <v>400</v>
      </c>
      <c r="AA695">
        <v>1</v>
      </c>
      <c r="AB695" s="4" t="str">
        <f>HYPERLINK("http://exon.niaid.nih.gov/transcriptome/C_felis/S1/links/XC-ASB/cf-contig_475-XC-ASB.txt","XC-contig_44")</f>
        <v>XC-contig_44</v>
      </c>
      <c r="AC695">
        <v>8.0000000000000002E-3</v>
      </c>
      <c r="AD695" s="10" t="s">
        <v>4600</v>
      </c>
      <c r="AE695" t="s">
        <v>4601</v>
      </c>
      <c r="AI695" s="4" t="str">
        <f>HYPERLINK("http://exon.niaid.nih.gov/transcriptome/C_felis/S1/links/NR/cf-contig_475-NR.txt","hypothetical protein")</f>
        <v>hypothetical protein</v>
      </c>
      <c r="AJ695" t="str">
        <f>HYPERLINK("http://www.ncbi.nlm.nih.gov/sutils/blink.cgi?pid=167534027","0.23")</f>
        <v>0.23</v>
      </c>
      <c r="AK695" t="str">
        <f>HYPERLINK("http://www.ncbi.nlm.nih.gov/protein/167534027","gi|167534027")</f>
        <v>gi|167534027</v>
      </c>
      <c r="AL695">
        <v>39.299999999999997</v>
      </c>
      <c r="AM695">
        <v>76</v>
      </c>
      <c r="AN695">
        <v>1525</v>
      </c>
      <c r="AO695">
        <v>28</v>
      </c>
      <c r="AP695">
        <v>5</v>
      </c>
      <c r="AQ695">
        <v>55</v>
      </c>
      <c r="AR695">
        <v>4</v>
      </c>
      <c r="AS695">
        <v>748</v>
      </c>
      <c r="AT695">
        <v>39</v>
      </c>
      <c r="AU695">
        <v>1</v>
      </c>
      <c r="AV695">
        <v>-3</v>
      </c>
      <c r="AW695" t="s">
        <v>12</v>
      </c>
      <c r="AY695" t="s">
        <v>1666</v>
      </c>
      <c r="AZ695" t="s">
        <v>3403</v>
      </c>
      <c r="BA695" s="4" t="str">
        <f>HYPERLINK("http://exon.niaid.nih.gov/transcriptome/C_felis/S1/links/SWISSP/cf-contig_475-SWISSP.txt","DNA-directed RNA polymerase subunit beta''")</f>
        <v>DNA-directed RNA polymerase subunit beta''</v>
      </c>
      <c r="BB695" t="str">
        <f>HYPERLINK("http://www.uniprot.org/uniprot/Q25802","1.2")</f>
        <v>1.2</v>
      </c>
      <c r="BC695" t="s">
        <v>1918</v>
      </c>
      <c r="BD695">
        <v>32</v>
      </c>
      <c r="BE695">
        <v>290</v>
      </c>
      <c r="BF695">
        <v>960</v>
      </c>
      <c r="BG695">
        <v>27</v>
      </c>
      <c r="BH695">
        <v>30</v>
      </c>
      <c r="BI695">
        <v>55</v>
      </c>
      <c r="BJ695">
        <v>1</v>
      </c>
      <c r="BK695">
        <v>410</v>
      </c>
      <c r="BL695">
        <v>6</v>
      </c>
      <c r="BM695">
        <v>2</v>
      </c>
      <c r="BN695">
        <v>-3</v>
      </c>
      <c r="BO695" t="s">
        <v>1689</v>
      </c>
      <c r="BQ695" t="s">
        <v>1666</v>
      </c>
      <c r="BR695" t="s">
        <v>1791</v>
      </c>
      <c r="BS695" s="4" t="str">
        <f>HYPERLINK("http://exon.niaid.nih.gov/transcriptome/C_felis/S1/links/CDD/cf-contig_475-CDD.txt","lef-9")</f>
        <v>lef-9</v>
      </c>
      <c r="BT695" t="str">
        <f>HYPERLINK("http://www.ncbi.nlm.nih.gov/Structure/cdd/cddsrv.cgi?uid=PHA03396&amp;version=v4.0","0.018")</f>
        <v>0.018</v>
      </c>
      <c r="BU695" t="s">
        <v>3404</v>
      </c>
      <c r="BV695" s="4" t="s">
        <v>42</v>
      </c>
      <c r="BW695" t="s">
        <v>42</v>
      </c>
      <c r="BX695" t="s">
        <v>42</v>
      </c>
      <c r="BY695" t="s">
        <v>42</v>
      </c>
      <c r="BZ695" t="s">
        <v>42</v>
      </c>
      <c r="CA695" t="s">
        <v>42</v>
      </c>
      <c r="CB695" t="s">
        <v>42</v>
      </c>
      <c r="CC695" t="s">
        <v>42</v>
      </c>
      <c r="CD695" t="s">
        <v>42</v>
      </c>
      <c r="CE695" t="s">
        <v>42</v>
      </c>
      <c r="CF695" t="s">
        <v>42</v>
      </c>
      <c r="CG695" t="s">
        <v>42</v>
      </c>
      <c r="CH695" t="s">
        <v>42</v>
      </c>
      <c r="CI695" t="s">
        <v>42</v>
      </c>
      <c r="CJ695" t="s">
        <v>42</v>
      </c>
      <c r="CK695" t="s">
        <v>42</v>
      </c>
      <c r="CL695" t="s">
        <v>42</v>
      </c>
      <c r="CM695" t="s">
        <v>42</v>
      </c>
      <c r="CN695" t="s">
        <v>42</v>
      </c>
      <c r="CO695" t="s">
        <v>42</v>
      </c>
      <c r="CP695" t="s">
        <v>42</v>
      </c>
      <c r="CQ695" t="s">
        <v>42</v>
      </c>
      <c r="CR695" t="s">
        <v>42</v>
      </c>
      <c r="CS695" s="4" t="str">
        <f>HYPERLINK("http://exon.niaid.nih.gov/transcriptome/C_felis/S1/links/KOG/cf-contig_475-KOG.txt","Inositol-1,4,5-triphosphate 5-phosphatase (synaptojanin), INP51/INP52/INP53 family")</f>
        <v>Inositol-1,4,5-triphosphate 5-phosphatase (synaptojanin), INP51/INP52/INP53 family</v>
      </c>
      <c r="CT695" t="str">
        <f>HYPERLINK("http://www.ncbi.nlm.nih.gov/COG/grace/shokog.cgi?KOG0566","0.77")</f>
        <v>0.77</v>
      </c>
      <c r="CU695" t="s">
        <v>1686</v>
      </c>
      <c r="CV695" s="4" t="str">
        <f>HYPERLINK("http://exon.niaid.nih.gov/transcriptome/C_felis/S1/links/PFAM/cf-contig_475-PFAM.txt","7TM_GPCR_Srd")</f>
        <v>7TM_GPCR_Srd</v>
      </c>
      <c r="CW695" t="str">
        <f>HYPERLINK("http://pfam.sanger.ac.uk/family?acc=PF10317","0.046")</f>
        <v>0.046</v>
      </c>
      <c r="CX695" s="4" t="str">
        <f>HYPERLINK("http://exon.niaid.nih.gov/transcriptome/C_felis/S1/links/SMART/cf-contig_475-SMART.txt","TOP2c")</f>
        <v>TOP2c</v>
      </c>
      <c r="CY695" t="str">
        <f>HYPERLINK("http://smart.embl-heidelberg.de/smart/do_annotation.pl?DOMAIN=TOP2c&amp;BLAST=DUMMY","0.010")</f>
        <v>0.010</v>
      </c>
      <c r="CZ695" s="4" t="s">
        <v>42</v>
      </c>
      <c r="DA695" t="s">
        <v>42</v>
      </c>
      <c r="DB695" t="s">
        <v>42</v>
      </c>
      <c r="DC695" t="s">
        <v>42</v>
      </c>
      <c r="DD695" t="s">
        <v>42</v>
      </c>
      <c r="DE695" t="s">
        <v>42</v>
      </c>
      <c r="DF695" t="s">
        <v>42</v>
      </c>
      <c r="DG695" t="s">
        <v>42</v>
      </c>
      <c r="DH695" s="4" t="s">
        <v>42</v>
      </c>
      <c r="DI695" t="s">
        <v>42</v>
      </c>
      <c r="DJ695" s="4" t="s">
        <v>42</v>
      </c>
      <c r="DK695" t="s">
        <v>42</v>
      </c>
      <c r="DL695" s="4">
        <v>386</v>
      </c>
      <c r="DM695">
        <v>1</v>
      </c>
      <c r="DN695" s="4">
        <v>395</v>
      </c>
      <c r="DO695">
        <v>1</v>
      </c>
      <c r="DP695" s="4">
        <v>400</v>
      </c>
      <c r="DQ695">
        <v>1</v>
      </c>
      <c r="DR695" s="4">
        <v>415</v>
      </c>
      <c r="DS695">
        <v>1</v>
      </c>
      <c r="DT695" s="4">
        <v>425</v>
      </c>
      <c r="DU695">
        <v>1</v>
      </c>
      <c r="DV695" s="4">
        <v>439</v>
      </c>
      <c r="DW695">
        <v>1</v>
      </c>
      <c r="DX695" s="4">
        <v>443</v>
      </c>
      <c r="DY695">
        <v>1</v>
      </c>
      <c r="DZ695" s="4">
        <v>449</v>
      </c>
      <c r="EA695">
        <v>1</v>
      </c>
      <c r="EB695" s="4">
        <v>454</v>
      </c>
      <c r="EC695">
        <v>1</v>
      </c>
      <c r="ED695" s="4">
        <v>458</v>
      </c>
      <c r="EE695">
        <v>1</v>
      </c>
      <c r="EF695" s="4">
        <v>463</v>
      </c>
      <c r="EG695">
        <v>1</v>
      </c>
      <c r="EH695" s="4">
        <v>469</v>
      </c>
      <c r="EI695">
        <v>1</v>
      </c>
      <c r="EJ695" s="4">
        <v>475</v>
      </c>
      <c r="EK695">
        <v>1</v>
      </c>
    </row>
    <row r="696" spans="1:141" x14ac:dyDescent="0.2">
      <c r="A696" t="str">
        <f>HYPERLINK("http://exon.niaid.nih.gov/transcriptome/C_felis/S1/links/cf/cf-contig_513.txt","cf-contig_513")</f>
        <v>cf-contig_513</v>
      </c>
      <c r="B696">
        <v>1</v>
      </c>
      <c r="C696" s="10" t="s">
        <v>4600</v>
      </c>
      <c r="D696">
        <v>1</v>
      </c>
      <c r="E696" t="str">
        <f>HYPERLINK("http://exon.niaid.nih.gov/transcriptome/C_felis/S1/links/cf/cf-5-36-asb-513.txt","Contig-513")</f>
        <v>Contig-513</v>
      </c>
      <c r="F696" t="str">
        <f>HYPERLINK("http://exon.niaid.nih.gov/transcriptome/C_felis/S1/links/cf/cf-5-36-513-CLU.txt","Contig513")</f>
        <v>Contig513</v>
      </c>
      <c r="G696" t="str">
        <f>HYPERLINK("http://exon.niaid.nih.gov/transcriptome/C_felis/S1/links/cf/cf-5-36-513-qual.txt","60.4")</f>
        <v>60.4</v>
      </c>
      <c r="H696" t="s">
        <v>11</v>
      </c>
      <c r="I696">
        <v>77.099999999999994</v>
      </c>
      <c r="J696">
        <v>160</v>
      </c>
      <c r="K696" t="s">
        <v>12</v>
      </c>
      <c r="L696">
        <v>1</v>
      </c>
      <c r="M696" t="s">
        <v>526</v>
      </c>
      <c r="N696">
        <v>160</v>
      </c>
      <c r="O696">
        <v>179</v>
      </c>
      <c r="P696">
        <v>87</v>
      </c>
      <c r="Q696" t="s">
        <v>1332</v>
      </c>
      <c r="R696">
        <v>1</v>
      </c>
      <c r="S696" s="7" t="s">
        <v>4585</v>
      </c>
      <c r="U696">
        <v>1</v>
      </c>
      <c r="V696" s="4">
        <v>418</v>
      </c>
      <c r="W696">
        <v>1</v>
      </c>
      <c r="X696" s="4">
        <v>427</v>
      </c>
      <c r="Y696">
        <v>1</v>
      </c>
      <c r="Z696" s="4">
        <v>432</v>
      </c>
      <c r="AA696">
        <v>1</v>
      </c>
      <c r="AB696" s="4" t="str">
        <f>HYPERLINK("http://exon.niaid.nih.gov/transcriptome/C_felis/S1/links/XC-ASB/cf-contig_513-XC-ASB.txt","XC-contig_209")</f>
        <v>XC-contig_209</v>
      </c>
      <c r="AC696">
        <v>1.4999999999999999E-2</v>
      </c>
      <c r="AD696" s="10" t="s">
        <v>4600</v>
      </c>
      <c r="AE696" t="s">
        <v>4601</v>
      </c>
      <c r="AI696" s="4" t="str">
        <f>HYPERLINK("http://exon.niaid.nih.gov/transcriptome/C_felis/S1/links/NR/cf-contig_513-NR.txt","hypothetical protein")</f>
        <v>hypothetical protein</v>
      </c>
      <c r="AJ696" t="str">
        <f>HYPERLINK("http://www.ncbi.nlm.nih.gov/sutils/blink.cgi?pid=167537471","16")</f>
        <v>16</v>
      </c>
      <c r="AK696" t="str">
        <f>HYPERLINK("http://www.ncbi.nlm.nih.gov/protein/167537471","gi|167537471")</f>
        <v>gi|167537471</v>
      </c>
      <c r="AL696">
        <v>33.1</v>
      </c>
      <c r="AM696">
        <v>47</v>
      </c>
      <c r="AN696">
        <v>608</v>
      </c>
      <c r="AO696">
        <v>54</v>
      </c>
      <c r="AP696">
        <v>8</v>
      </c>
      <c r="AQ696">
        <v>11</v>
      </c>
      <c r="AR696">
        <v>0</v>
      </c>
      <c r="AS696">
        <v>244</v>
      </c>
      <c r="AT696">
        <v>52</v>
      </c>
      <c r="AU696">
        <v>3</v>
      </c>
      <c r="AV696">
        <v>1</v>
      </c>
      <c r="AW696" t="s">
        <v>12</v>
      </c>
      <c r="AY696" t="s">
        <v>1676</v>
      </c>
      <c r="AZ696" t="s">
        <v>3403</v>
      </c>
      <c r="BA696" s="4" t="str">
        <f>HYPERLINK("http://exon.niaid.nih.gov/transcriptome/C_felis/S1/links/SWISSP/cf-contig_513-SWISSP.txt","Probable histone-lysine N-methyltransferase set-2")</f>
        <v>Probable histone-lysine N-methyltransferase set-2</v>
      </c>
      <c r="BB696" t="str">
        <f>HYPERLINK("http://www.uniprot.org/uniprot/Q18221","23")</f>
        <v>23</v>
      </c>
      <c r="BC696" t="s">
        <v>3542</v>
      </c>
      <c r="BD696">
        <v>27.7</v>
      </c>
      <c r="BE696">
        <v>17</v>
      </c>
      <c r="BF696">
        <v>1507</v>
      </c>
      <c r="BG696">
        <v>55</v>
      </c>
      <c r="BH696">
        <v>1</v>
      </c>
      <c r="BI696">
        <v>8</v>
      </c>
      <c r="BJ696">
        <v>0</v>
      </c>
      <c r="BK696">
        <v>429</v>
      </c>
      <c r="BL696">
        <v>5</v>
      </c>
      <c r="BM696">
        <v>1</v>
      </c>
      <c r="BN696">
        <v>2</v>
      </c>
      <c r="BO696" t="s">
        <v>12</v>
      </c>
      <c r="BQ696" t="s">
        <v>1676</v>
      </c>
      <c r="BR696" t="s">
        <v>1735</v>
      </c>
      <c r="BS696" s="4" t="str">
        <f>HYPERLINK("http://exon.niaid.nih.gov/transcriptome/C_felis/S1/links/CDD/cf-contig_513-CDD.txt","ATP6")</f>
        <v>ATP6</v>
      </c>
      <c r="BT696" t="str">
        <f>HYPERLINK("http://www.ncbi.nlm.nih.gov/Structure/cdd/cddsrv.cgi?uid=MTH00087&amp;version=v4.0","0.28")</f>
        <v>0.28</v>
      </c>
      <c r="BU696" t="s">
        <v>3543</v>
      </c>
      <c r="BV696" s="4" t="s">
        <v>42</v>
      </c>
      <c r="BW696" t="s">
        <v>42</v>
      </c>
      <c r="BX696" t="s">
        <v>42</v>
      </c>
      <c r="BY696" t="s">
        <v>42</v>
      </c>
      <c r="BZ696" t="s">
        <v>42</v>
      </c>
      <c r="CA696" t="s">
        <v>42</v>
      </c>
      <c r="CB696" t="s">
        <v>42</v>
      </c>
      <c r="CC696" t="s">
        <v>42</v>
      </c>
      <c r="CD696" t="s">
        <v>42</v>
      </c>
      <c r="CE696" t="s">
        <v>42</v>
      </c>
      <c r="CF696" t="s">
        <v>42</v>
      </c>
      <c r="CG696" t="s">
        <v>42</v>
      </c>
      <c r="CH696" t="s">
        <v>42</v>
      </c>
      <c r="CI696" t="s">
        <v>42</v>
      </c>
      <c r="CJ696" t="s">
        <v>42</v>
      </c>
      <c r="CK696" t="s">
        <v>42</v>
      </c>
      <c r="CL696" t="s">
        <v>42</v>
      </c>
      <c r="CM696" t="s">
        <v>42</v>
      </c>
      <c r="CN696" t="s">
        <v>42</v>
      </c>
      <c r="CO696" t="s">
        <v>42</v>
      </c>
      <c r="CP696" t="s">
        <v>42</v>
      </c>
      <c r="CQ696" t="s">
        <v>42</v>
      </c>
      <c r="CR696" t="s">
        <v>42</v>
      </c>
      <c r="CS696" s="4" t="str">
        <f>HYPERLINK("http://exon.niaid.nih.gov/transcriptome/C_felis/S1/links/KOG/cf-contig_513-KOG.txt","Acyltransferase required for palmitoylation of Hedgehog (Hh) family of secreted signaling proteins")</f>
        <v>Acyltransferase required for palmitoylation of Hedgehog (Hh) family of secreted signaling proteins</v>
      </c>
      <c r="CT696" t="str">
        <f>HYPERLINK("http://www.ncbi.nlm.nih.gov/COG/grace/shokog.cgi?KOG3860","0.72")</f>
        <v>0.72</v>
      </c>
      <c r="CU696" t="s">
        <v>1780</v>
      </c>
      <c r="CV696" s="4" t="str">
        <f>HYPERLINK("http://exon.niaid.nih.gov/transcriptome/C_felis/S1/links/PFAM/cf-contig_513-PFAM.txt","Amastin")</f>
        <v>Amastin</v>
      </c>
      <c r="CW696" t="str">
        <f>HYPERLINK("http://pfam.sanger.ac.uk/family?acc=PF07344","0.22")</f>
        <v>0.22</v>
      </c>
      <c r="CX696" s="4" t="str">
        <f>HYPERLINK("http://exon.niaid.nih.gov/transcriptome/C_felis/S1/links/SMART/cf-contig_513-SMART.txt","BRO1")</f>
        <v>BRO1</v>
      </c>
      <c r="CY696" t="str">
        <f>HYPERLINK("http://smart.embl-heidelberg.de/smart/do_annotation.pl?DOMAIN=BRO1&amp;BLAST=DUMMY","0.11")</f>
        <v>0.11</v>
      </c>
      <c r="CZ696" s="4" t="s">
        <v>42</v>
      </c>
      <c r="DA696" t="s">
        <v>42</v>
      </c>
      <c r="DB696" t="s">
        <v>42</v>
      </c>
      <c r="DC696" t="s">
        <v>42</v>
      </c>
      <c r="DD696" t="s">
        <v>42</v>
      </c>
      <c r="DE696" t="s">
        <v>42</v>
      </c>
      <c r="DF696" t="s">
        <v>42</v>
      </c>
      <c r="DG696" t="s">
        <v>42</v>
      </c>
      <c r="DH696" s="4" t="s">
        <v>42</v>
      </c>
      <c r="DI696" t="s">
        <v>42</v>
      </c>
      <c r="DJ696" s="4" t="s">
        <v>42</v>
      </c>
      <c r="DK696" t="s">
        <v>42</v>
      </c>
      <c r="DL696" s="4">
        <v>418</v>
      </c>
      <c r="DM696">
        <v>1</v>
      </c>
      <c r="DN696" s="4">
        <v>427</v>
      </c>
      <c r="DO696">
        <v>1</v>
      </c>
      <c r="DP696" s="4">
        <v>432</v>
      </c>
      <c r="DQ696">
        <v>1</v>
      </c>
      <c r="DR696" s="4">
        <v>447</v>
      </c>
      <c r="DS696">
        <v>1</v>
      </c>
      <c r="DT696" s="4">
        <v>458</v>
      </c>
      <c r="DU696">
        <v>1</v>
      </c>
      <c r="DV696" s="4">
        <v>472</v>
      </c>
      <c r="DW696">
        <v>1</v>
      </c>
      <c r="DX696" s="4">
        <v>478</v>
      </c>
      <c r="DY696">
        <v>1</v>
      </c>
      <c r="DZ696" s="4">
        <v>486</v>
      </c>
      <c r="EA696">
        <v>1</v>
      </c>
      <c r="EB696" s="4">
        <v>491</v>
      </c>
      <c r="EC696">
        <v>1</v>
      </c>
      <c r="ED696" s="4">
        <v>495</v>
      </c>
      <c r="EE696">
        <v>1</v>
      </c>
      <c r="EF696" s="4">
        <v>500</v>
      </c>
      <c r="EG696">
        <v>1</v>
      </c>
      <c r="EH696" s="4">
        <v>506</v>
      </c>
      <c r="EI696">
        <v>1</v>
      </c>
      <c r="EJ696" s="4">
        <v>513</v>
      </c>
      <c r="EK696">
        <v>1</v>
      </c>
    </row>
    <row r="697" spans="1:141" x14ac:dyDescent="0.2">
      <c r="A697" t="str">
        <f>HYPERLINK("http://exon.niaid.nih.gov/transcriptome/C_felis/S1/links/cf/cf-contig_523.txt","cf-contig_523")</f>
        <v>cf-contig_523</v>
      </c>
      <c r="B697">
        <v>1</v>
      </c>
      <c r="C697" s="10" t="s">
        <v>4600</v>
      </c>
      <c r="D697">
        <v>1</v>
      </c>
      <c r="E697" t="str">
        <f>HYPERLINK("http://exon.niaid.nih.gov/transcriptome/C_felis/S1/links/cf/cf-5-36-asb-523.txt","Contig-523")</f>
        <v>Contig-523</v>
      </c>
      <c r="F697" t="str">
        <f>HYPERLINK("http://exon.niaid.nih.gov/transcriptome/C_felis/S1/links/cf/cf-5-36-523-CLU.txt","Contig523")</f>
        <v>Contig523</v>
      </c>
      <c r="G697" t="str">
        <f>HYPERLINK("http://exon.niaid.nih.gov/transcriptome/C_felis/S1/links/cf/cf-5-36-523-qual.txt","57.1")</f>
        <v>57.1</v>
      </c>
      <c r="H697">
        <v>0.5</v>
      </c>
      <c r="I697">
        <v>66.5</v>
      </c>
      <c r="J697">
        <v>794</v>
      </c>
      <c r="K697" t="s">
        <v>12</v>
      </c>
      <c r="L697">
        <v>1</v>
      </c>
      <c r="M697" t="s">
        <v>536</v>
      </c>
      <c r="N697">
        <v>794</v>
      </c>
      <c r="O697">
        <v>813</v>
      </c>
      <c r="P697">
        <v>165</v>
      </c>
      <c r="Q697" t="s">
        <v>1342</v>
      </c>
      <c r="R697">
        <v>3</v>
      </c>
      <c r="S697" s="7" t="str">
        <f>HYPERLINK("http://exon.niaid.nih.gov/transcriptome/C_felis/S1/links/Sigp/CF-CONTIG_523-SigP.txt","Cyt")</f>
        <v>Cyt</v>
      </c>
      <c r="U697">
        <v>1</v>
      </c>
      <c r="V697" s="4">
        <v>427</v>
      </c>
      <c r="W697">
        <v>1</v>
      </c>
      <c r="X697" s="4">
        <v>436</v>
      </c>
      <c r="Y697">
        <v>1</v>
      </c>
      <c r="Z697" s="4">
        <v>441</v>
      </c>
      <c r="AA697">
        <v>1</v>
      </c>
      <c r="AB697" s="4" t="str">
        <f>HYPERLINK("http://exon.niaid.nih.gov/transcriptome/C_felis/S1/links/XC-ASB/cf-contig_523-XC-ASB.txt","XC-contig_110")</f>
        <v>XC-contig_110</v>
      </c>
      <c r="AC697">
        <v>4.3999999999999997E-2</v>
      </c>
      <c r="AD697" s="10" t="s">
        <v>4600</v>
      </c>
      <c r="AE697" t="s">
        <v>4601</v>
      </c>
      <c r="AI697" s="4" t="str">
        <f>HYPERLINK("http://exon.niaid.nih.gov/transcriptome/C_felis/S1/links/NR/cf-contig_523-NR.txt","hypothetical protein")</f>
        <v>hypothetical protein</v>
      </c>
      <c r="AJ697" t="str">
        <f>HYPERLINK("http://www.ncbi.nlm.nih.gov/sutils/blink.cgi?pid=167537590","0.51")</f>
        <v>0.51</v>
      </c>
      <c r="AK697" t="str">
        <f>HYPERLINK("http://www.ncbi.nlm.nih.gov/protein/167537590","gi|167537590")</f>
        <v>gi|167537590</v>
      </c>
      <c r="AL697">
        <v>28.9</v>
      </c>
      <c r="AM697">
        <v>81</v>
      </c>
      <c r="AN697">
        <v>883</v>
      </c>
      <c r="AO697">
        <v>27</v>
      </c>
      <c r="AP697">
        <v>9</v>
      </c>
      <c r="AQ697">
        <v>49</v>
      </c>
      <c r="AR697">
        <v>1</v>
      </c>
      <c r="AS697">
        <v>338</v>
      </c>
      <c r="AT697">
        <v>362</v>
      </c>
      <c r="AU697">
        <v>3</v>
      </c>
      <c r="AV697">
        <v>1</v>
      </c>
      <c r="AW697" t="s">
        <v>1689</v>
      </c>
      <c r="AX697">
        <v>2.4689999999999999</v>
      </c>
      <c r="AY697" t="s">
        <v>1676</v>
      </c>
      <c r="AZ697" t="s">
        <v>3403</v>
      </c>
      <c r="BA697" s="4" t="str">
        <f>HYPERLINK("http://exon.niaid.nih.gov/transcriptome/C_felis/S1/links/SWISSP/cf-contig_523-SWISSP.txt","Ribosomal RNA small subunit methyltransferase A")</f>
        <v>Ribosomal RNA small subunit methyltransferase A</v>
      </c>
      <c r="BB697" t="str">
        <f>HYPERLINK("http://www.uniprot.org/uniprot/Q7VGZ3","1.1")</f>
        <v>1.1</v>
      </c>
      <c r="BC697" t="s">
        <v>3586</v>
      </c>
      <c r="BD697">
        <v>34.299999999999997</v>
      </c>
      <c r="BE697">
        <v>93</v>
      </c>
      <c r="BF697">
        <v>283</v>
      </c>
      <c r="BG697">
        <v>26</v>
      </c>
      <c r="BH697">
        <v>33</v>
      </c>
      <c r="BI697">
        <v>74</v>
      </c>
      <c r="BJ697">
        <v>7</v>
      </c>
      <c r="BK697">
        <v>148</v>
      </c>
      <c r="BL697">
        <v>237</v>
      </c>
      <c r="BM697">
        <v>1</v>
      </c>
      <c r="BN697">
        <v>3</v>
      </c>
      <c r="BO697" t="s">
        <v>12</v>
      </c>
      <c r="BP697">
        <v>3.226</v>
      </c>
      <c r="BQ697" t="s">
        <v>1676</v>
      </c>
      <c r="BR697" t="s">
        <v>3587</v>
      </c>
      <c r="BS697" s="4" t="str">
        <f>HYPERLINK("http://exon.niaid.nih.gov/transcriptome/C_felis/S1/links/CDD/cf-contig_523-CDD.txt","aconitase_1")</f>
        <v>aconitase_1</v>
      </c>
      <c r="BT697" t="str">
        <f>HYPERLINK("http://www.ncbi.nlm.nih.gov/Structure/cdd/cddsrv.cgi?uid=TIGR01341&amp;version=v4.0","0.96")</f>
        <v>0.96</v>
      </c>
      <c r="BU697" t="s">
        <v>3588</v>
      </c>
      <c r="BV697" s="4" t="s">
        <v>42</v>
      </c>
      <c r="BW697" t="s">
        <v>42</v>
      </c>
      <c r="BX697" t="s">
        <v>42</v>
      </c>
      <c r="BY697" t="s">
        <v>42</v>
      </c>
      <c r="BZ697" t="s">
        <v>42</v>
      </c>
      <c r="CA697" t="s">
        <v>42</v>
      </c>
      <c r="CB697" t="s">
        <v>42</v>
      </c>
      <c r="CC697" t="s">
        <v>42</v>
      </c>
      <c r="CD697" t="s">
        <v>42</v>
      </c>
      <c r="CE697" t="s">
        <v>42</v>
      </c>
      <c r="CF697" t="s">
        <v>42</v>
      </c>
      <c r="CG697" t="s">
        <v>42</v>
      </c>
      <c r="CH697" t="s">
        <v>42</v>
      </c>
      <c r="CI697" t="s">
        <v>42</v>
      </c>
      <c r="CJ697" t="s">
        <v>42</v>
      </c>
      <c r="CK697" t="s">
        <v>42</v>
      </c>
      <c r="CL697" t="s">
        <v>42</v>
      </c>
      <c r="CM697" t="s">
        <v>42</v>
      </c>
      <c r="CN697" t="s">
        <v>42</v>
      </c>
      <c r="CO697" t="s">
        <v>42</v>
      </c>
      <c r="CP697" t="s">
        <v>42</v>
      </c>
      <c r="CQ697" t="s">
        <v>42</v>
      </c>
      <c r="CR697" t="s">
        <v>42</v>
      </c>
      <c r="CS697" s="4" t="str">
        <f>HYPERLINK("http://exon.niaid.nih.gov/transcriptome/C_felis/S1/links/KOG/cf-contig_523-KOG.txt","Nuclear transport receptor KAP120 (importin beta superfamily)")</f>
        <v>Nuclear transport receptor KAP120 (importin beta superfamily)</v>
      </c>
      <c r="CT697" t="str">
        <f>HYPERLINK("http://www.ncbi.nlm.nih.gov/COG/grace/shokog.cgi?KOG1993","0.36")</f>
        <v>0.36</v>
      </c>
      <c r="CU697" t="s">
        <v>3589</v>
      </c>
      <c r="CV697" s="4" t="str">
        <f>HYPERLINK("http://exon.niaid.nih.gov/transcriptome/C_felis/S1/links/PFAM/cf-contig_523-PFAM.txt","DUF288")</f>
        <v>DUF288</v>
      </c>
      <c r="CW697" t="str">
        <f>HYPERLINK("http://pfam.sanger.ac.uk/family?acc=PF03385","0.67")</f>
        <v>0.67</v>
      </c>
      <c r="CX697" s="4" t="str">
        <f>HYPERLINK("http://exon.niaid.nih.gov/transcriptome/C_felis/S1/links/SMART/cf-contig_523-SMART.txt","CLb")</f>
        <v>CLb</v>
      </c>
      <c r="CY697" t="str">
        <f>HYPERLINK("http://smart.embl-heidelberg.de/smart/do_annotation.pl?DOMAIN=CLb&amp;BLAST=DUMMY","0.17")</f>
        <v>0.17</v>
      </c>
      <c r="CZ697" s="4" t="s">
        <v>42</v>
      </c>
      <c r="DA697" t="s">
        <v>42</v>
      </c>
      <c r="DB697" t="s">
        <v>42</v>
      </c>
      <c r="DC697" t="s">
        <v>42</v>
      </c>
      <c r="DD697" t="s">
        <v>42</v>
      </c>
      <c r="DE697" t="s">
        <v>42</v>
      </c>
      <c r="DF697" t="s">
        <v>42</v>
      </c>
      <c r="DG697" t="s">
        <v>42</v>
      </c>
      <c r="DH697" s="4" t="s">
        <v>42</v>
      </c>
      <c r="DI697" t="s">
        <v>42</v>
      </c>
      <c r="DJ697" s="4" t="s">
        <v>42</v>
      </c>
      <c r="DK697" t="s">
        <v>42</v>
      </c>
      <c r="DL697" s="4">
        <v>427</v>
      </c>
      <c r="DM697">
        <v>1</v>
      </c>
      <c r="DN697" s="4">
        <v>436</v>
      </c>
      <c r="DO697">
        <v>1</v>
      </c>
      <c r="DP697" s="4">
        <v>441</v>
      </c>
      <c r="DQ697">
        <v>1</v>
      </c>
      <c r="DR697" s="4">
        <v>456</v>
      </c>
      <c r="DS697">
        <v>1</v>
      </c>
      <c r="DT697" s="4">
        <v>468</v>
      </c>
      <c r="DU697">
        <v>1</v>
      </c>
      <c r="DV697" s="4">
        <v>482</v>
      </c>
      <c r="DW697">
        <v>1</v>
      </c>
      <c r="DX697" s="4">
        <v>488</v>
      </c>
      <c r="DY697">
        <v>1</v>
      </c>
      <c r="DZ697" s="4">
        <v>496</v>
      </c>
      <c r="EA697">
        <v>1</v>
      </c>
      <c r="EB697" s="4">
        <v>501</v>
      </c>
      <c r="EC697">
        <v>1</v>
      </c>
      <c r="ED697" s="4">
        <v>505</v>
      </c>
      <c r="EE697">
        <v>1</v>
      </c>
      <c r="EF697" s="4">
        <v>510</v>
      </c>
      <c r="EG697">
        <v>1</v>
      </c>
      <c r="EH697" s="4">
        <v>516</v>
      </c>
      <c r="EI697">
        <v>1</v>
      </c>
      <c r="EJ697" s="4">
        <v>523</v>
      </c>
      <c r="EK697">
        <v>1</v>
      </c>
    </row>
    <row r="698" spans="1:141" x14ac:dyDescent="0.2">
      <c r="A698" t="str">
        <f>HYPERLINK("http://exon.niaid.nih.gov/transcriptome/C_felis/S1/links/cf/cf-contig_443.txt","cf-contig_443")</f>
        <v>cf-contig_443</v>
      </c>
      <c r="B698">
        <v>1</v>
      </c>
      <c r="C698" s="10" t="s">
        <v>4600</v>
      </c>
      <c r="D698">
        <v>1</v>
      </c>
      <c r="E698" t="str">
        <f>HYPERLINK("http://exon.niaid.nih.gov/transcriptome/C_felis/S1/links/cf/cf-5-36-asb-443.txt","Contig-443")</f>
        <v>Contig-443</v>
      </c>
      <c r="F698" t="str">
        <f>HYPERLINK("http://exon.niaid.nih.gov/transcriptome/C_felis/S1/links/cf/cf-5-36-443-CLU.txt","Contig443")</f>
        <v>Contig443</v>
      </c>
      <c r="G698" t="str">
        <f>HYPERLINK("http://exon.niaid.nih.gov/transcriptome/C_felis/S1/links/cf/cf-5-36-443-qual.txt","63.1")</f>
        <v>63.1</v>
      </c>
      <c r="H698" t="s">
        <v>11</v>
      </c>
      <c r="I698">
        <v>71.900000000000006</v>
      </c>
      <c r="J698">
        <v>316</v>
      </c>
      <c r="K698" t="s">
        <v>12</v>
      </c>
      <c r="L698">
        <v>1</v>
      </c>
      <c r="M698" t="s">
        <v>456</v>
      </c>
      <c r="N698">
        <v>316</v>
      </c>
      <c r="O698">
        <v>335</v>
      </c>
      <c r="P698">
        <v>204</v>
      </c>
      <c r="Q698" t="s">
        <v>1262</v>
      </c>
      <c r="R698">
        <v>3</v>
      </c>
      <c r="S698" s="7" t="str">
        <f>HYPERLINK("http://exon.niaid.nih.gov/transcriptome/C_felis/S1/links/Sigp/CF-CONTIG_443-SigP.txt","Cyt")</f>
        <v>Cyt</v>
      </c>
      <c r="U698">
        <v>1</v>
      </c>
      <c r="V698" s="4">
        <v>359</v>
      </c>
      <c r="W698">
        <v>1</v>
      </c>
      <c r="X698" s="4">
        <v>368</v>
      </c>
      <c r="Y698">
        <v>1</v>
      </c>
      <c r="Z698" s="4">
        <v>373</v>
      </c>
      <c r="AA698">
        <v>1</v>
      </c>
      <c r="AB698" s="4" t="str">
        <f>HYPERLINK("http://exon.niaid.nih.gov/transcriptome/C_felis/S1/links/XC-ASB/cf-contig_443-XC-ASB.txt","XC-contig_151")</f>
        <v>XC-contig_151</v>
      </c>
      <c r="AC698">
        <v>0.83</v>
      </c>
      <c r="AD698" s="10" t="s">
        <v>4600</v>
      </c>
      <c r="AE698" t="s">
        <v>4601</v>
      </c>
      <c r="AI698" s="4" t="str">
        <f>HYPERLINK("http://exon.niaid.nih.gov/transcriptome/C_felis/S1/links/NR/cf-contig_443-NR.txt","glycosyl transferases group 1")</f>
        <v>glycosyl transferases group 1</v>
      </c>
      <c r="AJ698" t="str">
        <f>HYPERLINK("http://www.ncbi.nlm.nih.gov/sutils/blink.cgi?pid=326576937","7.2")</f>
        <v>7.2</v>
      </c>
      <c r="AK698" t="str">
        <f>HYPERLINK("http://www.ncbi.nlm.nih.gov/protein/326576937","gi|326576937")</f>
        <v>gi|326576937</v>
      </c>
      <c r="AL698">
        <v>34.299999999999997</v>
      </c>
      <c r="AM698">
        <v>35</v>
      </c>
      <c r="AN698">
        <v>386</v>
      </c>
      <c r="AO698">
        <v>41</v>
      </c>
      <c r="AP698">
        <v>9</v>
      </c>
      <c r="AQ698">
        <v>21</v>
      </c>
      <c r="AR698">
        <v>1</v>
      </c>
      <c r="AS698">
        <v>173</v>
      </c>
      <c r="AT698">
        <v>2</v>
      </c>
      <c r="AU698">
        <v>1</v>
      </c>
      <c r="AV698">
        <v>2</v>
      </c>
      <c r="AW698" t="s">
        <v>12</v>
      </c>
      <c r="AX698">
        <v>2.8570000000000002</v>
      </c>
      <c r="AY698" t="s">
        <v>1676</v>
      </c>
      <c r="AZ698" t="s">
        <v>3261</v>
      </c>
      <c r="BA698" s="4" t="str">
        <f>HYPERLINK("http://exon.niaid.nih.gov/transcriptome/C_felis/S1/links/SWISSP/cf-contig_443-SWISSP.txt","Protein three rows")</f>
        <v>Protein three rows</v>
      </c>
      <c r="BB698" t="str">
        <f>HYPERLINK("http://www.uniprot.org/uniprot/Q6V3W0","3.6")</f>
        <v>3.6</v>
      </c>
      <c r="BC698" t="s">
        <v>3262</v>
      </c>
      <c r="BD698">
        <v>30.4</v>
      </c>
      <c r="BE698">
        <v>57</v>
      </c>
      <c r="BF698">
        <v>1409</v>
      </c>
      <c r="BG698">
        <v>31</v>
      </c>
      <c r="BH698">
        <v>4</v>
      </c>
      <c r="BI698">
        <v>40</v>
      </c>
      <c r="BJ698">
        <v>3</v>
      </c>
      <c r="BK698">
        <v>1061</v>
      </c>
      <c r="BL698">
        <v>147</v>
      </c>
      <c r="BM698">
        <v>1</v>
      </c>
      <c r="BN698">
        <v>3</v>
      </c>
      <c r="BO698" t="s">
        <v>12</v>
      </c>
      <c r="BQ698" t="s">
        <v>1676</v>
      </c>
      <c r="BR698" t="s">
        <v>2809</v>
      </c>
      <c r="BS698" s="4" t="str">
        <f>HYPERLINK("http://exon.niaid.nih.gov/transcriptome/C_felis/S1/links/CDD/cf-contig_443-CDD.txt","MPP_PP1_PPKL")</f>
        <v>MPP_PP1_PPKL</v>
      </c>
      <c r="BT698" t="str">
        <f>HYPERLINK("http://www.ncbi.nlm.nih.gov/Structure/cdd/cddsrv.cgi?uid=cd07414&amp;version=v4.0","0.15")</f>
        <v>0.15</v>
      </c>
      <c r="BU698" t="s">
        <v>3263</v>
      </c>
      <c r="BV698" s="4" t="s">
        <v>42</v>
      </c>
      <c r="BW698" t="s">
        <v>42</v>
      </c>
      <c r="BX698" t="s">
        <v>42</v>
      </c>
      <c r="BY698" t="s">
        <v>42</v>
      </c>
      <c r="BZ698" t="s">
        <v>42</v>
      </c>
      <c r="CA698" t="s">
        <v>42</v>
      </c>
      <c r="CB698" t="s">
        <v>42</v>
      </c>
      <c r="CC698" t="s">
        <v>42</v>
      </c>
      <c r="CD698" t="s">
        <v>42</v>
      </c>
      <c r="CE698" t="s">
        <v>42</v>
      </c>
      <c r="CF698" t="s">
        <v>42</v>
      </c>
      <c r="CG698" t="s">
        <v>42</v>
      </c>
      <c r="CH698" t="s">
        <v>42</v>
      </c>
      <c r="CI698" t="s">
        <v>42</v>
      </c>
      <c r="CJ698" t="s">
        <v>42</v>
      </c>
      <c r="CK698" t="s">
        <v>42</v>
      </c>
      <c r="CL698" t="s">
        <v>42</v>
      </c>
      <c r="CM698" t="s">
        <v>42</v>
      </c>
      <c r="CN698" t="s">
        <v>42</v>
      </c>
      <c r="CO698" t="s">
        <v>42</v>
      </c>
      <c r="CP698" t="s">
        <v>42</v>
      </c>
      <c r="CQ698" t="s">
        <v>42</v>
      </c>
      <c r="CR698" t="s">
        <v>42</v>
      </c>
      <c r="CS698" s="4" t="str">
        <f>HYPERLINK("http://exon.niaid.nih.gov/transcriptome/C_felis/S1/links/KOG/cf-contig_443-KOG.txt","Copper transporter")</f>
        <v>Copper transporter</v>
      </c>
      <c r="CT698" t="str">
        <f>HYPERLINK("http://www.ncbi.nlm.nih.gov/COG/grace/shokog.cgi?KOG3386","0.12")</f>
        <v>0.12</v>
      </c>
      <c r="CU698" t="s">
        <v>1681</v>
      </c>
      <c r="CV698" s="4" t="str">
        <f>HYPERLINK("http://exon.niaid.nih.gov/transcriptome/C_felis/S1/links/PFAM/cf-contig_443-PFAM.txt","Pox_Rif")</f>
        <v>Pox_Rif</v>
      </c>
      <c r="CW698" t="str">
        <f>HYPERLINK("http://pfam.sanger.ac.uk/family?acc=PF03340","0.25")</f>
        <v>0.25</v>
      </c>
      <c r="CX698" s="4" t="str">
        <f>HYPERLINK("http://exon.niaid.nih.gov/transcriptome/C_felis/S1/links/SMART/cf-contig_443-SMART.txt","PA2c")</f>
        <v>PA2c</v>
      </c>
      <c r="CY698" t="str">
        <f>HYPERLINK("http://smart.embl-heidelberg.de/smart/do_annotation.pl?DOMAIN=PA2c&amp;BLAST=DUMMY","0.006")</f>
        <v>0.006</v>
      </c>
      <c r="CZ698" s="4" t="s">
        <v>42</v>
      </c>
      <c r="DA698" t="s">
        <v>42</v>
      </c>
      <c r="DB698" t="s">
        <v>42</v>
      </c>
      <c r="DC698" t="s">
        <v>42</v>
      </c>
      <c r="DD698" t="s">
        <v>42</v>
      </c>
      <c r="DE698" t="s">
        <v>42</v>
      </c>
      <c r="DF698" t="s">
        <v>42</v>
      </c>
      <c r="DG698" t="s">
        <v>42</v>
      </c>
      <c r="DH698" s="4" t="s">
        <v>42</v>
      </c>
      <c r="DI698" t="s">
        <v>42</v>
      </c>
      <c r="DJ698" s="4" t="s">
        <v>42</v>
      </c>
      <c r="DK698" t="s">
        <v>42</v>
      </c>
      <c r="DL698" s="4">
        <v>359</v>
      </c>
      <c r="DM698">
        <v>1</v>
      </c>
      <c r="DN698" s="4">
        <v>368</v>
      </c>
      <c r="DO698">
        <v>1</v>
      </c>
      <c r="DP698" s="4">
        <v>373</v>
      </c>
      <c r="DQ698">
        <v>1</v>
      </c>
      <c r="DR698" s="4">
        <v>387</v>
      </c>
      <c r="DS698">
        <v>1</v>
      </c>
      <c r="DT698" s="4">
        <v>397</v>
      </c>
      <c r="DU698">
        <v>1</v>
      </c>
      <c r="DV698" s="4">
        <v>411</v>
      </c>
      <c r="DW698">
        <v>1</v>
      </c>
      <c r="DX698" s="4">
        <v>414</v>
      </c>
      <c r="DY698">
        <v>1</v>
      </c>
      <c r="DZ698" s="4">
        <v>419</v>
      </c>
      <c r="EA698">
        <v>1</v>
      </c>
      <c r="EB698" s="4">
        <v>424</v>
      </c>
      <c r="EC698">
        <v>1</v>
      </c>
      <c r="ED698" s="4">
        <v>428</v>
      </c>
      <c r="EE698">
        <v>1</v>
      </c>
      <c r="EF698" s="4">
        <v>433</v>
      </c>
      <c r="EG698">
        <v>1</v>
      </c>
      <c r="EH698" s="4">
        <v>437</v>
      </c>
      <c r="EI698">
        <v>1</v>
      </c>
      <c r="EJ698" s="4">
        <v>443</v>
      </c>
      <c r="EK698">
        <v>1</v>
      </c>
    </row>
    <row r="699" spans="1:141" x14ac:dyDescent="0.2">
      <c r="A699" t="str">
        <f>HYPERLINK("http://exon.niaid.nih.gov/transcriptome/C_felis/S1/links/cf/cf-contig_35.txt","cf-contig_35")</f>
        <v>cf-contig_35</v>
      </c>
      <c r="B699">
        <v>1</v>
      </c>
      <c r="C699" s="10" t="s">
        <v>4600</v>
      </c>
      <c r="D699">
        <v>1</v>
      </c>
      <c r="E699" t="str">
        <f>HYPERLINK("http://exon.niaid.nih.gov/transcriptome/C_felis/S1/links/cf/cf-5-36-asb-35.txt","Contig-35")</f>
        <v>Contig-35</v>
      </c>
      <c r="F699" t="str">
        <f>HYPERLINK("http://exon.niaid.nih.gov/transcriptome/C_felis/S1/links/cf/cf-5-36-35-CLU.txt","Contig35")</f>
        <v>Contig35</v>
      </c>
      <c r="G699" t="str">
        <f>HYPERLINK("http://exon.niaid.nih.gov/transcriptome/C_felis/S1/links/cf/cf-5-36-35-qual.txt","64.8")</f>
        <v>64.8</v>
      </c>
      <c r="H699" t="s">
        <v>11</v>
      </c>
      <c r="I699">
        <v>72.900000000000006</v>
      </c>
      <c r="J699">
        <v>247</v>
      </c>
      <c r="K699" t="s">
        <v>12</v>
      </c>
      <c r="L699">
        <v>1</v>
      </c>
      <c r="M699" t="s">
        <v>48</v>
      </c>
      <c r="N699">
        <v>247</v>
      </c>
      <c r="O699">
        <v>266</v>
      </c>
      <c r="P699">
        <v>123</v>
      </c>
      <c r="Q699" t="s">
        <v>857</v>
      </c>
      <c r="R699">
        <v>3</v>
      </c>
      <c r="S699" s="7" t="s">
        <v>4585</v>
      </c>
      <c r="U699">
        <v>1</v>
      </c>
      <c r="V699" s="4">
        <f>HYPERLINK("http://exon.niaid.nih.gov/transcriptome/C_felis/S1/links/cluster/cf-5-36-asb30-50-Id-CLU1.txt", 1)</f>
        <v>1</v>
      </c>
      <c r="W699">
        <f>HYPERLINK("http://exon.niaid.nih.gov/transcriptome/C_felis/S1/links/cluster/cf-5-36-asb30-50-Id-CLTL1.txt", 14)</f>
        <v>14</v>
      </c>
      <c r="X699" s="4">
        <f>HYPERLINK("http://exon.niaid.nih.gov/transcriptome/C_felis/S1/links/cluster/cf-5-36-asb35-50-Id-CLU2.txt", 2)</f>
        <v>2</v>
      </c>
      <c r="Y699">
        <f>HYPERLINK("http://exon.niaid.nih.gov/transcriptome/C_felis/S1/links/cluster/cf-5-36-asb35-50-Id-CLTL2.txt", 9)</f>
        <v>9</v>
      </c>
      <c r="Z699" s="4">
        <f>HYPERLINK("http://exon.niaid.nih.gov/transcriptome/C_felis/S1/links/cluster/cf-5-36-asb40-50-Id-CLU2.txt", 2)</f>
        <v>2</v>
      </c>
      <c r="AA699">
        <f>HYPERLINK("http://exon.niaid.nih.gov/transcriptome/C_felis/S1/links/cluster/cf-5-36-asb40-50-Id-CLTL2.txt", 7)</f>
        <v>7</v>
      </c>
      <c r="AB699" s="4" t="str">
        <f>HYPERLINK("http://exon.niaid.nih.gov/transcriptome/C_felis/S1/links/XC-ASB/cf-contig_35-XC-ASB.txt","XC-contig_54")</f>
        <v>XC-contig_54</v>
      </c>
      <c r="AC699">
        <v>1.9E-2</v>
      </c>
      <c r="AD699" s="10" t="s">
        <v>4600</v>
      </c>
      <c r="AE699" t="s">
        <v>4601</v>
      </c>
      <c r="AI699" s="4" t="str">
        <f>HYPERLINK("http://exon.niaid.nih.gov/transcriptome/C_felis/S1/links/NR/cf-contig_35-NR.txt","multimerin 2, isoform CRA_a")</f>
        <v>multimerin 2, isoform CRA_a</v>
      </c>
      <c r="AJ699" t="str">
        <f>HYPERLINK("http://www.ncbi.nlm.nih.gov/sutils/blink.cgi?pid=148692931","16")</f>
        <v>16</v>
      </c>
      <c r="AK699" t="str">
        <f>HYPERLINK("http://www.ncbi.nlm.nih.gov/protein/148692931","gi|148692931")</f>
        <v>gi|148692931</v>
      </c>
      <c r="AL699">
        <v>33.1</v>
      </c>
      <c r="AM699">
        <v>44</v>
      </c>
      <c r="AN699">
        <v>943</v>
      </c>
      <c r="AO699">
        <v>37</v>
      </c>
      <c r="AP699">
        <v>5</v>
      </c>
      <c r="AQ699">
        <v>28</v>
      </c>
      <c r="AR699">
        <v>2</v>
      </c>
      <c r="AS699">
        <v>745</v>
      </c>
      <c r="AT699">
        <v>1</v>
      </c>
      <c r="AU699">
        <v>1</v>
      </c>
      <c r="AV699">
        <v>-3</v>
      </c>
      <c r="AW699" t="s">
        <v>12</v>
      </c>
      <c r="AX699">
        <v>2.2730000000000001</v>
      </c>
      <c r="AY699" t="s">
        <v>1666</v>
      </c>
      <c r="AZ699" t="s">
        <v>1705</v>
      </c>
      <c r="BA699" s="4" t="str">
        <f>HYPERLINK("http://exon.niaid.nih.gov/transcriptome/C_felis/S1/links/SWISSP/cf-contig_35-SWISSP.txt","Multimerin-2")</f>
        <v>Multimerin-2</v>
      </c>
      <c r="BB699" t="str">
        <f>HYPERLINK("http://www.uniprot.org/uniprot/A6H6E2","0.57")</f>
        <v>0.57</v>
      </c>
      <c r="BC699" t="s">
        <v>1798</v>
      </c>
      <c r="BD699">
        <v>33.1</v>
      </c>
      <c r="BE699">
        <v>44</v>
      </c>
      <c r="BF699">
        <v>943</v>
      </c>
      <c r="BG699">
        <v>37</v>
      </c>
      <c r="BH699">
        <v>5</v>
      </c>
      <c r="BI699">
        <v>28</v>
      </c>
      <c r="BJ699">
        <v>2</v>
      </c>
      <c r="BK699">
        <v>745</v>
      </c>
      <c r="BL699">
        <v>1</v>
      </c>
      <c r="BM699">
        <v>1</v>
      </c>
      <c r="BN699">
        <v>-3</v>
      </c>
      <c r="BO699" t="s">
        <v>12</v>
      </c>
      <c r="BP699">
        <v>2.2730000000000001</v>
      </c>
      <c r="BQ699" t="s">
        <v>1666</v>
      </c>
      <c r="BR699" t="s">
        <v>1705</v>
      </c>
      <c r="BS699" s="4" t="str">
        <f>HYPERLINK("http://exon.niaid.nih.gov/transcriptome/C_felis/S1/links/CDD/cf-contig_35-CDD.txt","7TM_GPCR_Srw")</f>
        <v>7TM_GPCR_Srw</v>
      </c>
      <c r="BT699" t="str">
        <f>HYPERLINK("http://www.ncbi.nlm.nih.gov/Structure/cdd/cddsrv.cgi?uid=pfam10324&amp;version=v4.0","0.18")</f>
        <v>0.18</v>
      </c>
      <c r="BU699" t="s">
        <v>1799</v>
      </c>
      <c r="BV699" s="4" t="s">
        <v>42</v>
      </c>
      <c r="BW699" t="s">
        <v>42</v>
      </c>
      <c r="BX699" t="s">
        <v>42</v>
      </c>
      <c r="BY699" t="s">
        <v>42</v>
      </c>
      <c r="BZ699" t="s">
        <v>42</v>
      </c>
      <c r="CA699" t="s">
        <v>42</v>
      </c>
      <c r="CB699" t="s">
        <v>42</v>
      </c>
      <c r="CC699" t="s">
        <v>42</v>
      </c>
      <c r="CD699" t="s">
        <v>42</v>
      </c>
      <c r="CE699" t="s">
        <v>42</v>
      </c>
      <c r="CF699" t="s">
        <v>42</v>
      </c>
      <c r="CG699" t="s">
        <v>42</v>
      </c>
      <c r="CH699" t="s">
        <v>42</v>
      </c>
      <c r="CI699" t="s">
        <v>42</v>
      </c>
      <c r="CJ699" t="s">
        <v>42</v>
      </c>
      <c r="CK699" t="s">
        <v>42</v>
      </c>
      <c r="CL699" t="s">
        <v>42</v>
      </c>
      <c r="CM699" t="s">
        <v>42</v>
      </c>
      <c r="CN699" t="s">
        <v>42</v>
      </c>
      <c r="CO699" t="s">
        <v>42</v>
      </c>
      <c r="CP699" t="s">
        <v>42</v>
      </c>
      <c r="CQ699" t="s">
        <v>42</v>
      </c>
      <c r="CR699" t="s">
        <v>42</v>
      </c>
      <c r="CS699" s="4" t="str">
        <f>HYPERLINK("http://exon.niaid.nih.gov/transcriptome/C_felis/S1/links/KOG/cf-contig_35-KOG.txt","Predicted mitochondrial cholesterol transporter")</f>
        <v>Predicted mitochondrial cholesterol transporter</v>
      </c>
      <c r="CT699" t="str">
        <f>HYPERLINK("http://www.ncbi.nlm.nih.gov/COG/grace/shokog.cgi?KOG4136","0.84")</f>
        <v>0.84</v>
      </c>
      <c r="CU699" t="s">
        <v>1800</v>
      </c>
      <c r="CV699" s="4" t="str">
        <f>HYPERLINK("http://exon.niaid.nih.gov/transcriptome/C_felis/S1/links/PFAM/cf-contig_35-PFAM.txt","7TM_GPCR_Srw")</f>
        <v>7TM_GPCR_Srw</v>
      </c>
      <c r="CW699" t="str">
        <f>HYPERLINK("http://pfam.sanger.ac.uk/family?acc=PF10324","0.038")</f>
        <v>0.038</v>
      </c>
      <c r="CX699" s="4" t="str">
        <f>HYPERLINK("http://exon.niaid.nih.gov/transcriptome/C_felis/S1/links/SMART/cf-contig_35-SMART.txt","AMA-1")</f>
        <v>AMA-1</v>
      </c>
      <c r="CY699" t="str">
        <f>HYPERLINK("http://smart.embl-heidelberg.de/smart/do_annotation.pl?DOMAIN=AMA-1&amp;BLAST=DUMMY","0.20")</f>
        <v>0.20</v>
      </c>
      <c r="CZ699" s="4" t="s">
        <v>42</v>
      </c>
      <c r="DA699" t="s">
        <v>42</v>
      </c>
      <c r="DB699" t="s">
        <v>42</v>
      </c>
      <c r="DC699" t="s">
        <v>42</v>
      </c>
      <c r="DD699" t="s">
        <v>42</v>
      </c>
      <c r="DE699" t="s">
        <v>42</v>
      </c>
      <c r="DF699" t="s">
        <v>42</v>
      </c>
      <c r="DG699" t="s">
        <v>42</v>
      </c>
      <c r="DH699" s="4" t="s">
        <v>42</v>
      </c>
      <c r="DI699" t="s">
        <v>42</v>
      </c>
      <c r="DJ699" s="4" t="s">
        <v>42</v>
      </c>
      <c r="DK699" t="s">
        <v>42</v>
      </c>
      <c r="DL699" s="4">
        <f>HYPERLINK("http://exon.niaid.nih.gov/transcriptome/C_felis/S1/links/cluster/cf-5-36-asb30-50-Id-CLU1.txt", 1)</f>
        <v>1</v>
      </c>
      <c r="DM699">
        <f>HYPERLINK("http://exon.niaid.nih.gov/transcriptome/C_felis/S1/links/cluster/cf-5-36-asb30-50-Id-CLTL1.txt", 14)</f>
        <v>14</v>
      </c>
      <c r="DN699" s="4">
        <f>HYPERLINK("http://exon.niaid.nih.gov/transcriptome/C_felis/S1/links/cluster/cf-5-36-asb35-50-Id-CLU2.txt", 2)</f>
        <v>2</v>
      </c>
      <c r="DO699">
        <f>HYPERLINK("http://exon.niaid.nih.gov/transcriptome/C_felis/S1/links/cluster/cf-5-36-asb35-50-Id-CLTL2.txt", 9)</f>
        <v>9</v>
      </c>
      <c r="DP699" s="4">
        <f>HYPERLINK("http://exon.niaid.nih.gov/transcriptome/C_felis/S1/links/cluster/cf-5-36-asb40-50-Id-CLU2.txt", 2)</f>
        <v>2</v>
      </c>
      <c r="DQ699">
        <f>HYPERLINK("http://exon.niaid.nih.gov/transcriptome/C_felis/S1/links/cluster/cf-5-36-asb40-50-Id-CLTL2.txt", 7)</f>
        <v>7</v>
      </c>
      <c r="DR699" s="4">
        <f>HYPERLINK("http://exon.niaid.nih.gov/transcriptome/C_felis/S1/links/cluster/cf-5-36-asb45-50-Id-CLU2.txt", 2)</f>
        <v>2</v>
      </c>
      <c r="DS699">
        <f>HYPERLINK("http://exon.niaid.nih.gov/transcriptome/C_felis/S1/links/cluster/cf-5-36-asb45-50-Id-CLTL2.txt", 6)</f>
        <v>6</v>
      </c>
      <c r="DT699" s="4">
        <f>HYPERLINK("http://exon.niaid.nih.gov/transcriptome/C_felis/S1/links/cluster/cf-5-36-asb50-50-Id-CLU2.txt", 2)</f>
        <v>2</v>
      </c>
      <c r="DU699">
        <f>HYPERLINK("http://exon.niaid.nih.gov/transcriptome/C_felis/S1/links/cluster/cf-5-36-asb50-50-Id-CLTL2.txt", 6)</f>
        <v>6</v>
      </c>
      <c r="DV699" s="4">
        <v>67</v>
      </c>
      <c r="DW699">
        <v>1</v>
      </c>
      <c r="DX699" s="4">
        <v>62</v>
      </c>
      <c r="DY699">
        <v>1</v>
      </c>
      <c r="DZ699" s="4">
        <v>58</v>
      </c>
      <c r="EA699">
        <v>1</v>
      </c>
      <c r="EB699" s="4">
        <v>57</v>
      </c>
      <c r="EC699">
        <v>1</v>
      </c>
      <c r="ED699" s="4">
        <v>57</v>
      </c>
      <c r="EE699">
        <v>1</v>
      </c>
      <c r="EF699" s="4">
        <v>51</v>
      </c>
      <c r="EG699">
        <v>1</v>
      </c>
      <c r="EH699" s="4">
        <v>39</v>
      </c>
      <c r="EI699">
        <v>1</v>
      </c>
      <c r="EJ699" s="4">
        <v>35</v>
      </c>
      <c r="EK699">
        <v>1</v>
      </c>
    </row>
    <row r="700" spans="1:141" x14ac:dyDescent="0.2">
      <c r="A700" t="str">
        <f>HYPERLINK("http://exon.niaid.nih.gov/transcriptome/C_felis/S1/links/cf/cf-contig_135.txt","cf-contig_135")</f>
        <v>cf-contig_135</v>
      </c>
      <c r="B700">
        <v>1</v>
      </c>
      <c r="C700" s="10" t="s">
        <v>4600</v>
      </c>
      <c r="D700">
        <v>1</v>
      </c>
      <c r="E700" t="str">
        <f>HYPERLINK("http://exon.niaid.nih.gov/transcriptome/C_felis/S1/links/cf/cf-5-36-asb-135.txt","Contig-135")</f>
        <v>Contig-135</v>
      </c>
      <c r="F700" t="str">
        <f>HYPERLINK("http://exon.niaid.nih.gov/transcriptome/C_felis/S1/links/cf/cf-5-36-135-CLU.txt","Contig135")</f>
        <v>Contig135</v>
      </c>
      <c r="G700" t="str">
        <f>HYPERLINK("http://exon.niaid.nih.gov/transcriptome/C_felis/S1/links/cf/cf-5-36-135-qual.txt","46.1")</f>
        <v>46.1</v>
      </c>
      <c r="H700" t="s">
        <v>11</v>
      </c>
      <c r="I700">
        <v>61.8</v>
      </c>
      <c r="J700">
        <v>615</v>
      </c>
      <c r="K700" t="s">
        <v>12</v>
      </c>
      <c r="L700">
        <v>1</v>
      </c>
      <c r="M700" t="s">
        <v>148</v>
      </c>
      <c r="N700">
        <v>615</v>
      </c>
      <c r="O700">
        <v>634</v>
      </c>
      <c r="P700">
        <v>177</v>
      </c>
      <c r="Q700" t="s">
        <v>955</v>
      </c>
      <c r="R700">
        <v>1</v>
      </c>
      <c r="S700" s="7" t="str">
        <f>HYPERLINK("http://exon.niaid.nih.gov/transcriptome/C_felis/S1/links/Sigp/CF-CONTIG_135-SigP.txt","Cyt")</f>
        <v>Cyt</v>
      </c>
      <c r="U700">
        <v>1</v>
      </c>
      <c r="V700" s="4">
        <f>HYPERLINK("http://exon.niaid.nih.gov/transcriptome/C_felis/S1/links/cluster/cf-5-36-asb30-50-Id-CLU11.txt", 11)</f>
        <v>11</v>
      </c>
      <c r="W700">
        <f>HYPERLINK("http://exon.niaid.nih.gov/transcriptome/C_felis/S1/links/cluster/cf-5-36-asb30-50-Id-CLTL11.txt", 4)</f>
        <v>4</v>
      </c>
      <c r="X700" s="4">
        <f>HYPERLINK("http://exon.niaid.nih.gov/transcriptome/C_felis/S1/links/cluster/cf-5-36-asb35-50-Id-CLU10.txt", 10)</f>
        <v>10</v>
      </c>
      <c r="Y700">
        <f>HYPERLINK("http://exon.niaid.nih.gov/transcriptome/C_felis/S1/links/cluster/cf-5-36-asb35-50-Id-CLTL10.txt", 4)</f>
        <v>4</v>
      </c>
      <c r="Z700" s="4">
        <f>HYPERLINK("http://exon.niaid.nih.gov/transcriptome/C_felis/S1/links/cluster/cf-5-36-asb40-50-Id-CLU8.txt", 8)</f>
        <v>8</v>
      </c>
      <c r="AA700">
        <f>HYPERLINK("http://exon.niaid.nih.gov/transcriptome/C_felis/S1/links/cluster/cf-5-36-asb40-50-Id-CLTL8.txt", 4)</f>
        <v>4</v>
      </c>
      <c r="AB700" s="4" t="str">
        <f>HYPERLINK("http://exon.niaid.nih.gov/transcriptome/C_felis/S1/links/XC-ASB/cf-contig_135-XC-ASB.txt","XC-contig_110")</f>
        <v>XC-contig_110</v>
      </c>
      <c r="AC700">
        <v>3.9999999999999998E-7</v>
      </c>
      <c r="AD700" s="10" t="s">
        <v>4600</v>
      </c>
      <c r="AE700" t="s">
        <v>4601</v>
      </c>
      <c r="AI700" s="4" t="str">
        <f>HYPERLINK("http://exon.niaid.nih.gov/transcriptome/C_felis/S1/links/NR/cf-contig_135-NR.txt","unnamed protein product")</f>
        <v>unnamed protein product</v>
      </c>
      <c r="AJ700" t="str">
        <f>HYPERLINK("http://www.ncbi.nlm.nih.gov/sutils/blink.cgi?pid=26334693","1E-006")</f>
        <v>1E-006</v>
      </c>
      <c r="AK700" t="str">
        <f>HYPERLINK("http://www.ncbi.nlm.nih.gov/protein/26334693","gi|26334693")</f>
        <v>gi|26334693</v>
      </c>
      <c r="AL700">
        <v>57.4</v>
      </c>
      <c r="AM700">
        <v>53</v>
      </c>
      <c r="AN700">
        <v>118</v>
      </c>
      <c r="AO700">
        <v>43</v>
      </c>
      <c r="AP700">
        <v>46</v>
      </c>
      <c r="AQ700">
        <v>33</v>
      </c>
      <c r="AR700">
        <v>0</v>
      </c>
      <c r="AS700">
        <v>51</v>
      </c>
      <c r="AT700">
        <v>8</v>
      </c>
      <c r="AU700">
        <v>4</v>
      </c>
      <c r="AV700">
        <v>3</v>
      </c>
      <c r="AW700" t="s">
        <v>1689</v>
      </c>
      <c r="AX700">
        <v>3.774</v>
      </c>
      <c r="AY700" t="s">
        <v>1676</v>
      </c>
      <c r="AZ700" t="s">
        <v>1705</v>
      </c>
      <c r="BA700" s="4" t="str">
        <f>HYPERLINK("http://exon.niaid.nih.gov/transcriptome/C_felis/S1/links/SWISSP/cf-contig_135-SWISSP.txt","Stress response protein NST1")</f>
        <v>Stress response protein NST1</v>
      </c>
      <c r="BB700" t="str">
        <f>HYPERLINK("http://www.uniprot.org/uniprot/Q4PBP6","4E-006")</f>
        <v>4E-006</v>
      </c>
      <c r="BC700" t="s">
        <v>2187</v>
      </c>
      <c r="BD700">
        <v>51.6</v>
      </c>
      <c r="BE700">
        <v>50</v>
      </c>
      <c r="BF700">
        <v>1520</v>
      </c>
      <c r="BG700">
        <v>58</v>
      </c>
      <c r="BH700">
        <v>3</v>
      </c>
      <c r="BI700">
        <v>16</v>
      </c>
      <c r="BJ700">
        <v>4</v>
      </c>
      <c r="BK700">
        <v>597</v>
      </c>
      <c r="BL700">
        <v>1</v>
      </c>
      <c r="BM700">
        <v>7</v>
      </c>
      <c r="BN700">
        <v>-3</v>
      </c>
      <c r="BO700" t="s">
        <v>1689</v>
      </c>
      <c r="BQ700" t="s">
        <v>1666</v>
      </c>
      <c r="BR700" t="s">
        <v>2188</v>
      </c>
      <c r="BS700" s="4" t="str">
        <f>HYPERLINK("http://exon.niaid.nih.gov/transcriptome/C_felis/S1/links/CDD/cf-contig_135-CDD.txt","Papilloma_E5")</f>
        <v>Papilloma_E5</v>
      </c>
      <c r="BT700" t="str">
        <f>HYPERLINK("http://www.ncbi.nlm.nih.gov/Structure/cdd/cddsrv.cgi?uid=pfam03025&amp;version=v4.0","0.024")</f>
        <v>0.024</v>
      </c>
      <c r="BU700" t="s">
        <v>2189</v>
      </c>
      <c r="BV700" s="4" t="s">
        <v>2177</v>
      </c>
      <c r="BW700">
        <f>HYPERLINK("http://exon.niaid.nih.gov/transcriptome/C_felis/S1/links/GO/cf-contig_135-GO.txt",0.000007)</f>
        <v>6.9999999999999999E-6</v>
      </c>
      <c r="BX700" t="str">
        <f>HYPERLINK("http://amigo.geneontology.org/cgi-bin/amigo/term_details?term=GO:0004872","GO:0004872")</f>
        <v>GO:0004872</v>
      </c>
      <c r="BY700" t="s">
        <v>2178</v>
      </c>
      <c r="BZ700" t="s">
        <v>2179</v>
      </c>
      <c r="CA700" t="s">
        <v>2180</v>
      </c>
      <c r="CB700" t="s">
        <v>42</v>
      </c>
      <c r="CD700">
        <v>6.9999999999999999E-6</v>
      </c>
      <c r="CE700" t="str">
        <f>HYPERLINK("http://amigo.geneontology.org/cgi-bin/amigo/term_details?term=GO:0008305","GO:0008305")</f>
        <v>GO:0008305</v>
      </c>
      <c r="CF700" t="s">
        <v>2181</v>
      </c>
      <c r="CG700" t="s">
        <v>2182</v>
      </c>
      <c r="CH700" t="s">
        <v>2183</v>
      </c>
      <c r="CI700" t="s">
        <v>42</v>
      </c>
      <c r="CK700">
        <v>6.9999999999999999E-6</v>
      </c>
      <c r="CL700" t="str">
        <f>HYPERLINK("http://amigo.geneontology.org/cgi-bin/amigo/term_details?term=GO:0007155","GO:0007155")</f>
        <v>GO:0007155</v>
      </c>
      <c r="CM700" t="s">
        <v>2184</v>
      </c>
      <c r="CN700" t="s">
        <v>2185</v>
      </c>
      <c r="CO700" t="s">
        <v>2186</v>
      </c>
      <c r="CP700" t="s">
        <v>42</v>
      </c>
      <c r="CR700">
        <v>6.9999999999999999E-6</v>
      </c>
      <c r="CS700" s="4" t="str">
        <f>HYPERLINK("http://exon.niaid.nih.gov/transcriptome/C_felis/S1/links/KOG/cf-contig_135-KOG.txt","Sphingolipid hydroxylase")</f>
        <v>Sphingolipid hydroxylase</v>
      </c>
      <c r="CT700" t="str">
        <f>HYPERLINK("http://www.ncbi.nlm.nih.gov/COG/grace/shokog.cgi?KOG0874","0.37")</f>
        <v>0.37</v>
      </c>
      <c r="CU700" t="s">
        <v>1761</v>
      </c>
      <c r="CV700" s="4" t="str">
        <f>HYPERLINK("http://exon.niaid.nih.gov/transcriptome/C_felis/S1/links/PFAM/cf-contig_135-PFAM.txt","Papilloma_E5")</f>
        <v>Papilloma_E5</v>
      </c>
      <c r="CW700" t="str">
        <f>HYPERLINK("http://pfam.sanger.ac.uk/family?acc=PF03025","0.005")</f>
        <v>0.005</v>
      </c>
      <c r="CX700" s="4" t="str">
        <f>HYPERLINK("http://exon.niaid.nih.gov/transcriptome/C_felis/S1/links/SMART/cf-contig_135-SMART.txt","SMR")</f>
        <v>SMR</v>
      </c>
      <c r="CY700" t="str">
        <f>HYPERLINK("http://smart.embl-heidelberg.de/smart/do_annotation.pl?DOMAIN=SMR&amp;BLAST=DUMMY","0.009")</f>
        <v>0.009</v>
      </c>
      <c r="CZ700" s="4" t="s">
        <v>42</v>
      </c>
      <c r="DA700" t="s">
        <v>42</v>
      </c>
      <c r="DB700" t="s">
        <v>42</v>
      </c>
      <c r="DC700" t="s">
        <v>42</v>
      </c>
      <c r="DD700" t="s">
        <v>42</v>
      </c>
      <c r="DE700" t="s">
        <v>42</v>
      </c>
      <c r="DF700" t="s">
        <v>42</v>
      </c>
      <c r="DG700" t="s">
        <v>42</v>
      </c>
      <c r="DH700" s="4" t="s">
        <v>42</v>
      </c>
      <c r="DI700" t="s">
        <v>42</v>
      </c>
      <c r="DJ700" s="4" t="s">
        <v>42</v>
      </c>
      <c r="DK700" t="s">
        <v>42</v>
      </c>
      <c r="DL700" s="4">
        <f>HYPERLINK("http://exon.niaid.nih.gov/transcriptome/C_felis/S1/links/cluster/cf-5-36-asb30-50-Id-CLU11.txt", 11)</f>
        <v>11</v>
      </c>
      <c r="DM700">
        <f>HYPERLINK("http://exon.niaid.nih.gov/transcriptome/C_felis/S1/links/cluster/cf-5-36-asb30-50-Id-CLTL11.txt", 4)</f>
        <v>4</v>
      </c>
      <c r="DN700" s="4">
        <f>HYPERLINK("http://exon.niaid.nih.gov/transcriptome/C_felis/S1/links/cluster/cf-5-36-asb35-50-Id-CLU10.txt", 10)</f>
        <v>10</v>
      </c>
      <c r="DO700">
        <f>HYPERLINK("http://exon.niaid.nih.gov/transcriptome/C_felis/S1/links/cluster/cf-5-36-asb35-50-Id-CLTL10.txt", 4)</f>
        <v>4</v>
      </c>
      <c r="DP700" s="4">
        <f>HYPERLINK("http://exon.niaid.nih.gov/transcriptome/C_felis/S1/links/cluster/cf-5-36-asb40-50-Id-CLU8.txt", 8)</f>
        <v>8</v>
      </c>
      <c r="DQ700">
        <f>HYPERLINK("http://exon.niaid.nih.gov/transcriptome/C_felis/S1/links/cluster/cf-5-36-asb40-50-Id-CLTL8.txt", 4)</f>
        <v>4</v>
      </c>
      <c r="DR700" s="4">
        <f>HYPERLINK("http://exon.niaid.nih.gov/transcriptome/C_felis/S1/links/cluster/cf-5-36-asb45-50-Id-CLU8.txt", 8)</f>
        <v>8</v>
      </c>
      <c r="DS700">
        <f>HYPERLINK("http://exon.niaid.nih.gov/transcriptome/C_felis/S1/links/cluster/cf-5-36-asb45-50-Id-CLTL8.txt", 4)</f>
        <v>4</v>
      </c>
      <c r="DT700" s="4">
        <f>HYPERLINK("http://exon.niaid.nih.gov/transcriptome/C_felis/S1/links/cluster/cf-5-36-asb50-50-Id-CLU10.txt", 10)</f>
        <v>10</v>
      </c>
      <c r="DU700">
        <f>HYPERLINK("http://exon.niaid.nih.gov/transcriptome/C_felis/S1/links/cluster/cf-5-36-asb50-50-Id-CLTL10.txt", 3)</f>
        <v>3</v>
      </c>
      <c r="DV700" s="4">
        <f>HYPERLINK("http://exon.niaid.nih.gov/transcriptome/C_felis/S1/links/cluster/cf-5-36-asb55-50-Id-CLU24.txt", 24)</f>
        <v>24</v>
      </c>
      <c r="DW700">
        <f>HYPERLINK("http://exon.niaid.nih.gov/transcriptome/C_felis/S1/links/cluster/cf-5-36-asb55-50-Id-CLTL24.txt", 2)</f>
        <v>2</v>
      </c>
      <c r="DX700" s="4">
        <f>HYPERLINK("http://exon.niaid.nih.gov/transcriptome/C_felis/S1/links/cluster/cf-5-36-asb60-50-Id-CLU21.txt", 21)</f>
        <v>21</v>
      </c>
      <c r="DY700">
        <f>HYPERLINK("http://exon.niaid.nih.gov/transcriptome/C_felis/S1/links/cluster/cf-5-36-asb60-50-Id-CLTL21.txt", 2)</f>
        <v>2</v>
      </c>
      <c r="DZ700" s="4">
        <f>HYPERLINK("http://exon.niaid.nih.gov/transcriptome/C_felis/S1/links/cluster/cf-5-36-asb65-50-Id-CLU18.txt", 18)</f>
        <v>18</v>
      </c>
      <c r="EA700">
        <f>HYPERLINK("http://exon.niaid.nih.gov/transcriptome/C_felis/S1/links/cluster/cf-5-36-asb65-50-Id-CLTL18.txt", 2)</f>
        <v>2</v>
      </c>
      <c r="EB700" s="4">
        <f>HYPERLINK("http://exon.niaid.nih.gov/transcriptome/C_felis/S1/links/cluster/cf-5-36-asb70-50-Id-CLU14.txt", 14)</f>
        <v>14</v>
      </c>
      <c r="EC700">
        <f>HYPERLINK("http://exon.niaid.nih.gov/transcriptome/C_felis/S1/links/cluster/cf-5-36-asb70-50-Id-CLTL14.txt", 2)</f>
        <v>2</v>
      </c>
      <c r="ED700" s="4">
        <f>HYPERLINK("http://exon.niaid.nih.gov/transcriptome/C_felis/S1/links/cluster/cf-5-36-asb75-50-Id-CLU12.txt", 12)</f>
        <v>12</v>
      </c>
      <c r="EE700">
        <f>HYPERLINK("http://exon.niaid.nih.gov/transcriptome/C_felis/S1/links/cluster/cf-5-36-asb75-50-Id-CLTL12.txt", 2)</f>
        <v>2</v>
      </c>
      <c r="EF700" s="4">
        <f>HYPERLINK("http://exon.niaid.nih.gov/transcriptome/C_felis/S1/links/cluster/cf-5-36-asb80-50-Id-CLU9.txt", 9)</f>
        <v>9</v>
      </c>
      <c r="EG700">
        <f>HYPERLINK("http://exon.niaid.nih.gov/transcriptome/C_felis/S1/links/cluster/cf-5-36-asb80-50-Id-CLTL9.txt", 2)</f>
        <v>2</v>
      </c>
      <c r="EH700" s="4">
        <v>134</v>
      </c>
      <c r="EI700">
        <v>1</v>
      </c>
      <c r="EJ700" s="4">
        <v>135</v>
      </c>
      <c r="EK700">
        <v>1</v>
      </c>
    </row>
    <row r="701" spans="1:141" x14ac:dyDescent="0.2">
      <c r="A701" t="str">
        <f>HYPERLINK("http://exon.niaid.nih.gov/transcriptome/C_felis/S1/links/cf/cf-contig_679.txt","cf-contig_679")</f>
        <v>cf-contig_679</v>
      </c>
      <c r="B701">
        <v>1</v>
      </c>
      <c r="C701" s="10" t="s">
        <v>4600</v>
      </c>
      <c r="D701">
        <v>1</v>
      </c>
      <c r="E701" t="str">
        <f>HYPERLINK("http://exon.niaid.nih.gov/transcriptome/C_felis/S1/links/cf/cf-5-36-asb-679.txt","Contig-679")</f>
        <v>Contig-679</v>
      </c>
      <c r="F701" t="str">
        <f>HYPERLINK("http://exon.niaid.nih.gov/transcriptome/C_felis/S1/links/cf/cf-5-36-679-CLU.txt","Contig679")</f>
        <v>Contig679</v>
      </c>
      <c r="G701" t="str">
        <f>HYPERLINK("http://exon.niaid.nih.gov/transcriptome/C_felis/S1/links/cf/cf-5-36-679-qual.txt","59.3")</f>
        <v>59.3</v>
      </c>
      <c r="H701" t="s">
        <v>11</v>
      </c>
      <c r="I701">
        <v>51.9</v>
      </c>
      <c r="J701">
        <v>112</v>
      </c>
      <c r="K701" t="s">
        <v>12</v>
      </c>
      <c r="L701">
        <v>1</v>
      </c>
      <c r="M701" t="s">
        <v>692</v>
      </c>
      <c r="N701">
        <v>112</v>
      </c>
      <c r="O701">
        <v>131</v>
      </c>
      <c r="P701">
        <v>126</v>
      </c>
      <c r="Q701" t="s">
        <v>1498</v>
      </c>
      <c r="R701">
        <v>2</v>
      </c>
      <c r="S701" s="7" t="s">
        <v>4585</v>
      </c>
      <c r="U701">
        <v>1</v>
      </c>
      <c r="V701" s="4">
        <v>553</v>
      </c>
      <c r="W701">
        <v>1</v>
      </c>
      <c r="X701" s="4">
        <v>567</v>
      </c>
      <c r="Y701">
        <v>1</v>
      </c>
      <c r="Z701" s="4">
        <v>579</v>
      </c>
      <c r="AA701">
        <v>1</v>
      </c>
      <c r="AB701" s="4" t="str">
        <f>HYPERLINK("http://exon.niaid.nih.gov/transcriptome/C_felis/S1/links/XC-ASB/cf-contig_679-XC-ASB.txt","XC-contig_146")</f>
        <v>XC-contig_146</v>
      </c>
      <c r="AC701">
        <v>0.35</v>
      </c>
      <c r="AD701" s="10" t="s">
        <v>4600</v>
      </c>
      <c r="AE701" t="s">
        <v>4601</v>
      </c>
      <c r="AI701" s="4" t="str">
        <f>HYPERLINK("http://exon.niaid.nih.gov/transcriptome/C_felis/S1/links/NR/cf-contig_679-NR.txt","Rieske (2Fe-2S) iron-sulfur domain protein")</f>
        <v>Rieske (2Fe-2S) iron-sulfur domain protein</v>
      </c>
      <c r="AJ701" t="str">
        <f>HYPERLINK("http://www.ncbi.nlm.nih.gov/sutils/blink.cgi?pid=353183727","36")</f>
        <v>36</v>
      </c>
      <c r="AK701" t="str">
        <f>HYPERLINK("http://www.ncbi.nlm.nih.gov/protein/353183727","gi|353183727")</f>
        <v>gi|353183727</v>
      </c>
      <c r="AL701">
        <v>32</v>
      </c>
      <c r="AM701">
        <v>23</v>
      </c>
      <c r="AN701">
        <v>378</v>
      </c>
      <c r="AO701">
        <v>54</v>
      </c>
      <c r="AP701">
        <v>6</v>
      </c>
      <c r="AQ701">
        <v>11</v>
      </c>
      <c r="AR701">
        <v>0</v>
      </c>
      <c r="AS701">
        <v>154</v>
      </c>
      <c r="AT701">
        <v>30</v>
      </c>
      <c r="AU701">
        <v>1</v>
      </c>
      <c r="AV701">
        <v>-1</v>
      </c>
      <c r="AW701" t="s">
        <v>12</v>
      </c>
      <c r="AY701" t="s">
        <v>1666</v>
      </c>
      <c r="AZ701" t="s">
        <v>4134</v>
      </c>
      <c r="BA701" s="4" t="str">
        <f>HYPERLINK("http://exon.niaid.nih.gov/transcriptome/C_felis/S1/links/SWISSP/cf-contig_679-SWISSP.txt","Rho GTPase-activating protein 27")</f>
        <v>Rho GTPase-activating protein 27</v>
      </c>
      <c r="BB701" t="str">
        <f>HYPERLINK("http://www.uniprot.org/uniprot/Q6TLK4","40")</f>
        <v>40</v>
      </c>
      <c r="BC701" t="s">
        <v>4135</v>
      </c>
      <c r="BD701">
        <v>26.9</v>
      </c>
      <c r="BE701">
        <v>43</v>
      </c>
      <c r="BF701">
        <v>869</v>
      </c>
      <c r="BG701">
        <v>38</v>
      </c>
      <c r="BH701">
        <v>5</v>
      </c>
      <c r="BI701">
        <v>27</v>
      </c>
      <c r="BJ701">
        <v>9</v>
      </c>
      <c r="BK701">
        <v>664</v>
      </c>
      <c r="BL701">
        <v>5</v>
      </c>
      <c r="BM701">
        <v>1</v>
      </c>
      <c r="BN701">
        <v>2</v>
      </c>
      <c r="BO701" t="s">
        <v>12</v>
      </c>
      <c r="BQ701" t="s">
        <v>1676</v>
      </c>
      <c r="BR701" t="s">
        <v>1684</v>
      </c>
      <c r="BS701" s="4" t="str">
        <f>HYPERLINK("http://exon.niaid.nih.gov/transcriptome/C_felis/S1/links/CDD/cf-contig_679-CDD.txt","Rota_NS53")</f>
        <v>Rota_NS53</v>
      </c>
      <c r="BT701" t="str">
        <f>HYPERLINK("http://www.ncbi.nlm.nih.gov/Structure/cdd/cddsrv.cgi?uid=pfam00981&amp;version=v4.0","1.5")</f>
        <v>1.5</v>
      </c>
      <c r="BU701" t="s">
        <v>4136</v>
      </c>
      <c r="BV701" s="4" t="s">
        <v>42</v>
      </c>
      <c r="BW701" t="s">
        <v>42</v>
      </c>
      <c r="BX701" t="s">
        <v>42</v>
      </c>
      <c r="BY701" t="s">
        <v>42</v>
      </c>
      <c r="BZ701" t="s">
        <v>42</v>
      </c>
      <c r="CA701" t="s">
        <v>42</v>
      </c>
      <c r="CB701" t="s">
        <v>42</v>
      </c>
      <c r="CC701" t="s">
        <v>42</v>
      </c>
      <c r="CD701" t="s">
        <v>42</v>
      </c>
      <c r="CE701" t="s">
        <v>42</v>
      </c>
      <c r="CF701" t="s">
        <v>42</v>
      </c>
      <c r="CG701" t="s">
        <v>42</v>
      </c>
      <c r="CH701" t="s">
        <v>42</v>
      </c>
      <c r="CI701" t="s">
        <v>42</v>
      </c>
      <c r="CJ701" t="s">
        <v>42</v>
      </c>
      <c r="CK701" t="s">
        <v>42</v>
      </c>
      <c r="CL701" t="s">
        <v>42</v>
      </c>
      <c r="CM701" t="s">
        <v>42</v>
      </c>
      <c r="CN701" t="s">
        <v>42</v>
      </c>
      <c r="CO701" t="s">
        <v>42</v>
      </c>
      <c r="CP701" t="s">
        <v>42</v>
      </c>
      <c r="CQ701" t="s">
        <v>42</v>
      </c>
      <c r="CR701" t="s">
        <v>42</v>
      </c>
      <c r="CS701" s="4" t="str">
        <f>HYPERLINK("http://exon.niaid.nih.gov/transcriptome/C_felis/S1/links/KOG/cf-contig_679-KOG.txt","Transketolase")</f>
        <v>Transketolase</v>
      </c>
      <c r="CT701" t="str">
        <f>HYPERLINK("http://www.ncbi.nlm.nih.gov/COG/grace/shokog.cgi?KOG0523","3.2")</f>
        <v>3.2</v>
      </c>
      <c r="CU701" t="s">
        <v>1823</v>
      </c>
      <c r="CV701" s="4" t="str">
        <f>HYPERLINK("http://exon.niaid.nih.gov/transcriptome/C_felis/S1/links/PFAM/cf-contig_679-PFAM.txt","Rota_NS53")</f>
        <v>Rota_NS53</v>
      </c>
      <c r="CW701" t="str">
        <f>HYPERLINK("http://pfam.sanger.ac.uk/family?acc=PF00981","0.31")</f>
        <v>0.31</v>
      </c>
      <c r="CX701" s="4" t="str">
        <f>HYPERLINK("http://exon.niaid.nih.gov/transcriptome/C_felis/S1/links/SMART/cf-contig_679-SMART.txt","WNT1")</f>
        <v>WNT1</v>
      </c>
      <c r="CY701" t="str">
        <f>HYPERLINK("http://smart.embl-heidelberg.de/smart/do_annotation.pl?DOMAIN=WNT1&amp;BLAST=DUMMY","1.6")</f>
        <v>1.6</v>
      </c>
      <c r="CZ701" s="4" t="s">
        <v>42</v>
      </c>
      <c r="DA701" t="s">
        <v>42</v>
      </c>
      <c r="DB701" t="s">
        <v>42</v>
      </c>
      <c r="DC701" t="s">
        <v>42</v>
      </c>
      <c r="DD701" t="s">
        <v>42</v>
      </c>
      <c r="DE701" t="s">
        <v>42</v>
      </c>
      <c r="DF701" t="s">
        <v>42</v>
      </c>
      <c r="DG701" t="s">
        <v>42</v>
      </c>
      <c r="DH701" s="4" t="s">
        <v>42</v>
      </c>
      <c r="DI701" t="s">
        <v>42</v>
      </c>
      <c r="DJ701" s="4" t="s">
        <v>42</v>
      </c>
      <c r="DK701" t="s">
        <v>42</v>
      </c>
      <c r="DL701" s="4">
        <v>553</v>
      </c>
      <c r="DM701">
        <v>1</v>
      </c>
      <c r="DN701" s="4">
        <v>567</v>
      </c>
      <c r="DO701">
        <v>1</v>
      </c>
      <c r="DP701" s="4">
        <v>579</v>
      </c>
      <c r="DQ701">
        <v>1</v>
      </c>
      <c r="DR701" s="4">
        <v>600</v>
      </c>
      <c r="DS701">
        <v>1</v>
      </c>
      <c r="DT701" s="4">
        <v>614</v>
      </c>
      <c r="DU701">
        <v>1</v>
      </c>
      <c r="DV701" s="4">
        <v>628</v>
      </c>
      <c r="DW701">
        <v>1</v>
      </c>
      <c r="DX701" s="4">
        <v>637</v>
      </c>
      <c r="DY701">
        <v>1</v>
      </c>
      <c r="DZ701" s="4">
        <v>647</v>
      </c>
      <c r="EA701">
        <v>1</v>
      </c>
      <c r="EB701" s="4">
        <v>652</v>
      </c>
      <c r="EC701">
        <v>1</v>
      </c>
      <c r="ED701" s="4">
        <v>656</v>
      </c>
      <c r="EE701">
        <v>1</v>
      </c>
      <c r="EF701" s="4">
        <v>662</v>
      </c>
      <c r="EG701">
        <v>1</v>
      </c>
      <c r="EH701" s="4">
        <v>670</v>
      </c>
      <c r="EI701">
        <v>1</v>
      </c>
      <c r="EJ701" s="4">
        <v>679</v>
      </c>
      <c r="EK701">
        <v>1</v>
      </c>
    </row>
    <row r="702" spans="1:141" x14ac:dyDescent="0.2">
      <c r="A702" t="str">
        <f>HYPERLINK("http://exon.niaid.nih.gov/transcriptome/C_felis/S1/links/cf/cf-contig_291.txt","cf-contig_291")</f>
        <v>cf-contig_291</v>
      </c>
      <c r="B702">
        <v>1</v>
      </c>
      <c r="C702" s="10" t="s">
        <v>4600</v>
      </c>
      <c r="D702">
        <v>1</v>
      </c>
      <c r="E702" t="str">
        <f>HYPERLINK("http://exon.niaid.nih.gov/transcriptome/C_felis/S1/links/cf/cf-5-36-asb-291.txt","Contig-291")</f>
        <v>Contig-291</v>
      </c>
      <c r="F702" t="str">
        <f>HYPERLINK("http://exon.niaid.nih.gov/transcriptome/C_felis/S1/links/cf/cf-5-36-291-CLU.txt","Contig291")</f>
        <v>Contig291</v>
      </c>
      <c r="G702" t="str">
        <f>HYPERLINK("http://exon.niaid.nih.gov/transcriptome/C_felis/S1/links/cf/cf-5-36-291-qual.txt","62.9")</f>
        <v>62.9</v>
      </c>
      <c r="H702" t="s">
        <v>11</v>
      </c>
      <c r="I702">
        <v>70.5</v>
      </c>
      <c r="J702">
        <v>727</v>
      </c>
      <c r="K702" t="s">
        <v>12</v>
      </c>
      <c r="L702">
        <v>1</v>
      </c>
      <c r="M702" t="s">
        <v>304</v>
      </c>
      <c r="N702">
        <v>727</v>
      </c>
      <c r="O702">
        <v>746</v>
      </c>
      <c r="P702">
        <v>210</v>
      </c>
      <c r="Q702" t="s">
        <v>1111</v>
      </c>
      <c r="R702">
        <v>1</v>
      </c>
      <c r="S702" s="7" t="s">
        <v>4585</v>
      </c>
      <c r="U702">
        <v>1</v>
      </c>
      <c r="V702" s="4">
        <v>233</v>
      </c>
      <c r="W702">
        <v>1</v>
      </c>
      <c r="X702" s="4">
        <v>238</v>
      </c>
      <c r="Y702">
        <v>1</v>
      </c>
      <c r="Z702" s="4">
        <v>237</v>
      </c>
      <c r="AA702">
        <v>1</v>
      </c>
      <c r="AB702" s="4" t="str">
        <f>HYPERLINK("http://exon.niaid.nih.gov/transcriptome/C_felis/S1/links/XC-ASB/cf-contig_291-XC-ASB.txt","XC-contig_122")</f>
        <v>XC-contig_122</v>
      </c>
      <c r="AC702">
        <v>4.0000000000000001E-3</v>
      </c>
      <c r="AD702" s="10" t="s">
        <v>4600</v>
      </c>
      <c r="AE702" t="s">
        <v>4601</v>
      </c>
      <c r="AI702" s="4" t="str">
        <f>HYPERLINK("http://exon.niaid.nih.gov/transcriptome/C_felis/S1/links/NR/cf-contig_291-NR.txt","hypothetical protein Mtub2_02392")</f>
        <v>hypothetical protein Mtub2_02392</v>
      </c>
      <c r="AJ702" t="str">
        <f>HYPERLINK("http://www.ncbi.nlm.nih.gov/sutils/blink.cgi?pid=294993368","7E-007")</f>
        <v>7E-007</v>
      </c>
      <c r="AK702" t="str">
        <f>HYPERLINK("http://www.ncbi.nlm.nih.gov/protein/294993368","gi|294993368")</f>
        <v>gi|294993368</v>
      </c>
      <c r="AL702">
        <v>58.9</v>
      </c>
      <c r="AM702">
        <v>165</v>
      </c>
      <c r="AN702">
        <v>179</v>
      </c>
      <c r="AO702">
        <v>26</v>
      </c>
      <c r="AP702">
        <v>93</v>
      </c>
      <c r="AQ702">
        <v>97</v>
      </c>
      <c r="AR702">
        <v>6</v>
      </c>
      <c r="AS702">
        <v>14</v>
      </c>
      <c r="AT702">
        <v>238</v>
      </c>
      <c r="AU702">
        <v>11</v>
      </c>
      <c r="AV702">
        <v>-3</v>
      </c>
      <c r="AW702" t="s">
        <v>1689</v>
      </c>
      <c r="AX702">
        <v>1.212</v>
      </c>
      <c r="AY702" t="s">
        <v>1666</v>
      </c>
      <c r="AZ702" t="s">
        <v>1993</v>
      </c>
      <c r="BA702" s="4" t="str">
        <f>HYPERLINK("http://exon.niaid.nih.gov/transcriptome/C_felis/S1/links/SWISSP/cf-contig_291-SWISSP.txt","Cytochrome c oxidase subunit 3")</f>
        <v>Cytochrome c oxidase subunit 3</v>
      </c>
      <c r="BB702" t="str">
        <f>HYPERLINK("http://www.uniprot.org/uniprot/P14546","2E-004")</f>
        <v>2E-004</v>
      </c>
      <c r="BC702" t="s">
        <v>2703</v>
      </c>
      <c r="BD702">
        <v>46.6</v>
      </c>
      <c r="BE702">
        <v>148</v>
      </c>
      <c r="BF702">
        <v>284</v>
      </c>
      <c r="BG702">
        <v>24</v>
      </c>
      <c r="BH702">
        <v>52</v>
      </c>
      <c r="BI702">
        <v>120</v>
      </c>
      <c r="BJ702">
        <v>11</v>
      </c>
      <c r="BK702">
        <v>26</v>
      </c>
      <c r="BL702">
        <v>262</v>
      </c>
      <c r="BM702">
        <v>1</v>
      </c>
      <c r="BN702">
        <v>-3</v>
      </c>
      <c r="BO702" t="s">
        <v>12</v>
      </c>
      <c r="BP702">
        <v>2.0270000000000001</v>
      </c>
      <c r="BQ702" t="s">
        <v>1666</v>
      </c>
      <c r="BR702" t="s">
        <v>2478</v>
      </c>
      <c r="BS702" s="4" t="str">
        <f>HYPERLINK("http://exon.niaid.nih.gov/transcriptome/C_felis/S1/links/CDD/cf-contig_291-CDD.txt","PIG-U")</f>
        <v>PIG-U</v>
      </c>
      <c r="BT702" t="str">
        <f>HYPERLINK("http://www.ncbi.nlm.nih.gov/Structure/cdd/cddsrv.cgi?uid=pfam06728&amp;version=v4.0","7E-009")</f>
        <v>7E-009</v>
      </c>
      <c r="BU702" t="s">
        <v>2704</v>
      </c>
      <c r="BV702" s="4" t="s">
        <v>42</v>
      </c>
      <c r="BW702" t="s">
        <v>42</v>
      </c>
      <c r="BX702" t="s">
        <v>42</v>
      </c>
      <c r="BY702" t="s">
        <v>42</v>
      </c>
      <c r="BZ702" t="s">
        <v>42</v>
      </c>
      <c r="CA702" t="s">
        <v>42</v>
      </c>
      <c r="CB702" t="s">
        <v>42</v>
      </c>
      <c r="CC702" t="s">
        <v>42</v>
      </c>
      <c r="CD702" t="s">
        <v>42</v>
      </c>
      <c r="CE702" t="s">
        <v>42</v>
      </c>
      <c r="CF702" t="s">
        <v>42</v>
      </c>
      <c r="CG702" t="s">
        <v>42</v>
      </c>
      <c r="CH702" t="s">
        <v>42</v>
      </c>
      <c r="CI702" t="s">
        <v>42</v>
      </c>
      <c r="CJ702" t="s">
        <v>42</v>
      </c>
      <c r="CK702" t="s">
        <v>42</v>
      </c>
      <c r="CL702" t="s">
        <v>42</v>
      </c>
      <c r="CM702" t="s">
        <v>42</v>
      </c>
      <c r="CN702" t="s">
        <v>42</v>
      </c>
      <c r="CO702" t="s">
        <v>42</v>
      </c>
      <c r="CP702" t="s">
        <v>42</v>
      </c>
      <c r="CQ702" t="s">
        <v>42</v>
      </c>
      <c r="CR702" t="s">
        <v>42</v>
      </c>
      <c r="CS702" s="4" t="str">
        <f>HYPERLINK("http://exon.niaid.nih.gov/transcriptome/C_felis/S1/links/KOG/cf-contig_291-KOG.txt","Predicted K+/H+-antiporter")</f>
        <v>Predicted K+/H+-antiporter</v>
      </c>
      <c r="CT702" t="str">
        <f>HYPERLINK("http://www.ncbi.nlm.nih.gov/COG/grace/shokog.cgi?KOG1650","4E-004")</f>
        <v>4E-004</v>
      </c>
      <c r="CU702" t="s">
        <v>1681</v>
      </c>
      <c r="CV702" s="4" t="str">
        <f>HYPERLINK("http://exon.niaid.nih.gov/transcriptome/C_felis/S1/links/PFAM/cf-contig_291-PFAM.txt","PIG-U")</f>
        <v>PIG-U</v>
      </c>
      <c r="CW702" t="str">
        <f>HYPERLINK("http://pfam.sanger.ac.uk/family?acc=PF06728","1E-009")</f>
        <v>1E-009</v>
      </c>
      <c r="CX702" s="4" t="str">
        <f>HYPERLINK("http://exon.niaid.nih.gov/transcriptome/C_felis/S1/links/SMART/cf-contig_291-SMART.txt","AgrB")</f>
        <v>AgrB</v>
      </c>
      <c r="CY702" t="str">
        <f>HYPERLINK("http://smart.embl-heidelberg.de/smart/do_annotation.pl?DOMAIN=AgrB&amp;BLAST=DUMMY","1E-005")</f>
        <v>1E-005</v>
      </c>
      <c r="CZ702" s="4" t="s">
        <v>42</v>
      </c>
      <c r="DA702" t="s">
        <v>42</v>
      </c>
      <c r="DB702" t="s">
        <v>42</v>
      </c>
      <c r="DC702" t="s">
        <v>42</v>
      </c>
      <c r="DD702" t="s">
        <v>42</v>
      </c>
      <c r="DE702" t="s">
        <v>42</v>
      </c>
      <c r="DF702" t="s">
        <v>42</v>
      </c>
      <c r="DG702" t="s">
        <v>42</v>
      </c>
      <c r="DH702" s="4" t="s">
        <v>42</v>
      </c>
      <c r="DI702" t="s">
        <v>42</v>
      </c>
      <c r="DJ702" s="4" t="s">
        <v>42</v>
      </c>
      <c r="DK702" t="s">
        <v>42</v>
      </c>
      <c r="DL702" s="4">
        <v>233</v>
      </c>
      <c r="DM702">
        <v>1</v>
      </c>
      <c r="DN702" s="4">
        <v>238</v>
      </c>
      <c r="DO702">
        <v>1</v>
      </c>
      <c r="DP702" s="4">
        <v>237</v>
      </c>
      <c r="DQ702">
        <v>1</v>
      </c>
      <c r="DR702" s="4">
        <v>246</v>
      </c>
      <c r="DS702">
        <v>1</v>
      </c>
      <c r="DT702" s="4">
        <v>253</v>
      </c>
      <c r="DU702">
        <v>1</v>
      </c>
      <c r="DV702" s="4">
        <v>265</v>
      </c>
      <c r="DW702">
        <v>1</v>
      </c>
      <c r="DX702" s="4">
        <v>267</v>
      </c>
      <c r="DY702">
        <v>1</v>
      </c>
      <c r="DZ702" s="4">
        <v>272</v>
      </c>
      <c r="EA702">
        <v>1</v>
      </c>
      <c r="EB702" s="4">
        <v>277</v>
      </c>
      <c r="EC702">
        <v>1</v>
      </c>
      <c r="ED702" s="4">
        <v>280</v>
      </c>
      <c r="EE702">
        <v>1</v>
      </c>
      <c r="EF702" s="4">
        <v>284</v>
      </c>
      <c r="EG702">
        <v>1</v>
      </c>
      <c r="EH702" s="4">
        <v>286</v>
      </c>
      <c r="EI702">
        <v>1</v>
      </c>
      <c r="EJ702" s="4">
        <v>291</v>
      </c>
      <c r="EK702">
        <v>1</v>
      </c>
    </row>
    <row r="703" spans="1:141" x14ac:dyDescent="0.2">
      <c r="A703" t="str">
        <f>HYPERLINK("http://exon.niaid.nih.gov/transcriptome/C_felis/S1/links/cf/cf-contig_686.txt","cf-contig_686")</f>
        <v>cf-contig_686</v>
      </c>
      <c r="B703">
        <v>1</v>
      </c>
      <c r="C703" s="10" t="s">
        <v>4600</v>
      </c>
      <c r="D703">
        <v>1</v>
      </c>
      <c r="E703" t="str">
        <f>HYPERLINK("http://exon.niaid.nih.gov/transcriptome/C_felis/S1/links/cf/cf-5-36-asb-686.txt","Contig-686")</f>
        <v>Contig-686</v>
      </c>
      <c r="F703" t="str">
        <f>HYPERLINK("http://exon.niaid.nih.gov/transcriptome/C_felis/S1/links/cf/cf-5-36-686-CLU.txt","Contig686")</f>
        <v>Contig686</v>
      </c>
      <c r="G703" t="str">
        <f>HYPERLINK("http://exon.niaid.nih.gov/transcriptome/C_felis/S1/links/cf/cf-5-36-686-qual.txt","32.1")</f>
        <v>32.1</v>
      </c>
      <c r="H703">
        <v>0.6</v>
      </c>
      <c r="I703">
        <v>77.099999999999994</v>
      </c>
      <c r="J703">
        <v>334</v>
      </c>
      <c r="K703" t="s">
        <v>12</v>
      </c>
      <c r="L703">
        <v>1</v>
      </c>
      <c r="M703" t="s">
        <v>699</v>
      </c>
      <c r="N703">
        <v>334</v>
      </c>
      <c r="O703">
        <v>353</v>
      </c>
      <c r="P703">
        <v>159</v>
      </c>
      <c r="Q703" t="s">
        <v>1505</v>
      </c>
      <c r="R703">
        <v>3</v>
      </c>
      <c r="S703" s="7" t="s">
        <v>4585</v>
      </c>
      <c r="U703">
        <v>1</v>
      </c>
      <c r="V703" s="4">
        <v>559</v>
      </c>
      <c r="W703">
        <v>1</v>
      </c>
      <c r="X703" s="4">
        <v>574</v>
      </c>
      <c r="Y703">
        <v>1</v>
      </c>
      <c r="Z703" s="4">
        <v>586</v>
      </c>
      <c r="AA703">
        <v>1</v>
      </c>
      <c r="AB703" s="4" t="str">
        <f>HYPERLINK("http://exon.niaid.nih.gov/transcriptome/C_felis/S1/links/XC-ASB/cf-contig_686-XC-ASB.txt","XC-contig_23")</f>
        <v>XC-contig_23</v>
      </c>
      <c r="AC703">
        <v>6.9999999999999997E-7</v>
      </c>
      <c r="AD703" s="10" t="s">
        <v>4600</v>
      </c>
      <c r="AE703" t="s">
        <v>4601</v>
      </c>
      <c r="AI703" s="4" t="str">
        <f>HYPERLINK("http://exon.niaid.nih.gov/transcriptome/C_felis/S1/links/NR/cf-contig_686-NR.txt","hypothetical protein Mtub2_04996")</f>
        <v>hypothetical protein Mtub2_04996</v>
      </c>
      <c r="AJ703" t="str">
        <f>HYPERLINK("http://www.ncbi.nlm.nih.gov/sutils/blink.cgi?pid=294993873","9E-014")</f>
        <v>9E-014</v>
      </c>
      <c r="AK703" t="str">
        <f>HYPERLINK("http://www.ncbi.nlm.nih.gov/protein/294993873","gi|294993873")</f>
        <v>gi|294993873</v>
      </c>
      <c r="AL703">
        <v>80.5</v>
      </c>
      <c r="AM703">
        <v>226</v>
      </c>
      <c r="AN703">
        <v>228</v>
      </c>
      <c r="AO703">
        <v>39</v>
      </c>
      <c r="AP703">
        <v>100</v>
      </c>
      <c r="AQ703">
        <v>64</v>
      </c>
      <c r="AR703">
        <v>0</v>
      </c>
      <c r="AS703">
        <v>0</v>
      </c>
      <c r="AT703">
        <v>0</v>
      </c>
      <c r="AU703">
        <v>56</v>
      </c>
      <c r="AV703">
        <v>-3</v>
      </c>
      <c r="AW703" t="s">
        <v>1689</v>
      </c>
      <c r="AX703">
        <v>0.442</v>
      </c>
      <c r="AY703" t="s">
        <v>1666</v>
      </c>
      <c r="AZ703" t="s">
        <v>1993</v>
      </c>
      <c r="BA703" s="4" t="str">
        <f>HYPERLINK("http://exon.niaid.nih.gov/transcriptome/C_felis/S1/links/SWISSP/cf-contig_686-SWISSP.txt","Nucleolar protein 58")</f>
        <v>Nucleolar protein 58</v>
      </c>
      <c r="BB703" t="str">
        <f>HYPERLINK("http://www.uniprot.org/uniprot/Q55FI4","4E-007")</f>
        <v>4E-007</v>
      </c>
      <c r="BC703" t="s">
        <v>3394</v>
      </c>
      <c r="BD703">
        <v>53.5</v>
      </c>
      <c r="BE703">
        <v>167</v>
      </c>
      <c r="BF703">
        <v>638</v>
      </c>
      <c r="BG703">
        <v>38</v>
      </c>
      <c r="BH703">
        <v>26</v>
      </c>
      <c r="BI703">
        <v>65</v>
      </c>
      <c r="BJ703">
        <v>0</v>
      </c>
      <c r="BK703">
        <v>471</v>
      </c>
      <c r="BL703">
        <v>11</v>
      </c>
      <c r="BM703">
        <v>9</v>
      </c>
      <c r="BN703">
        <v>3</v>
      </c>
      <c r="BO703" t="s">
        <v>1689</v>
      </c>
      <c r="BP703">
        <v>2.9940000000000002</v>
      </c>
      <c r="BQ703" t="s">
        <v>1676</v>
      </c>
      <c r="BR703" t="s">
        <v>1976</v>
      </c>
      <c r="BS703" s="4" t="str">
        <f>HYPERLINK("http://exon.niaid.nih.gov/transcriptome/C_felis/S1/links/CDD/cf-contig_686-CDD.txt","ND2")</f>
        <v>ND2</v>
      </c>
      <c r="BT703" t="str">
        <f>HYPERLINK("http://www.ncbi.nlm.nih.gov/Structure/cdd/cddsrv.cgi?uid=MTH00091&amp;version=v4.0","8E-011")</f>
        <v>8E-011</v>
      </c>
      <c r="BU703" t="s">
        <v>4162</v>
      </c>
      <c r="BV703" s="4" t="s">
        <v>4163</v>
      </c>
      <c r="BW703">
        <f>HYPERLINK("http://exon.niaid.nih.gov/transcriptome/C_felis/S1/links/GO/cf-contig_686-GO.txt",0.000004)</f>
        <v>3.9999999999999998E-6</v>
      </c>
      <c r="BX703" t="str">
        <f>HYPERLINK("http://amigo.geneontology.org/cgi-bin/amigo/term_details?term=GO:0003674","GO:0003674")</f>
        <v>GO:0003674</v>
      </c>
      <c r="BY703" t="s">
        <v>1851</v>
      </c>
      <c r="BZ703" t="s">
        <v>1852</v>
      </c>
      <c r="CA703" t="s">
        <v>1853</v>
      </c>
      <c r="CB703" t="s">
        <v>42</v>
      </c>
      <c r="CD703">
        <v>9.0000000000000002E-6</v>
      </c>
      <c r="CE703" t="str">
        <f>HYPERLINK("http://amigo.geneontology.org/cgi-bin/amigo/term_details?term=GO:0020011","GO:0020011")</f>
        <v>GO:0020011</v>
      </c>
      <c r="CF703" t="s">
        <v>4164</v>
      </c>
      <c r="CG703" t="s">
        <v>4165</v>
      </c>
      <c r="CH703" t="s">
        <v>42</v>
      </c>
      <c r="CI703" t="s">
        <v>42</v>
      </c>
      <c r="CK703">
        <v>9.0000000000000002E-6</v>
      </c>
      <c r="CL703" t="str">
        <f>HYPERLINK("http://amigo.geneontology.org/cgi-bin/amigo/term_details?term=GO:0008150","GO:0008150")</f>
        <v>GO:0008150</v>
      </c>
      <c r="CM703" t="s">
        <v>1857</v>
      </c>
      <c r="CN703" t="s">
        <v>1858</v>
      </c>
      <c r="CO703" t="s">
        <v>1859</v>
      </c>
      <c r="CP703" t="s">
        <v>42</v>
      </c>
      <c r="CR703">
        <v>9.0000000000000002E-6</v>
      </c>
      <c r="CS703" s="4" t="str">
        <f>HYPERLINK("http://exon.niaid.nih.gov/transcriptome/C_felis/S1/links/KOG/cf-contig_686-KOG.txt","Lipid exporter ABCA1 and related proteins, ABC superfamily")</f>
        <v>Lipid exporter ABCA1 and related proteins, ABC superfamily</v>
      </c>
      <c r="CT703" t="str">
        <f>HYPERLINK("http://www.ncbi.nlm.nih.gov/COG/grace/shokog.cgi?KOG0059","5E-006")</f>
        <v>5E-006</v>
      </c>
      <c r="CU703" t="s">
        <v>1768</v>
      </c>
      <c r="CV703" s="4" t="str">
        <f>HYPERLINK("http://exon.niaid.nih.gov/transcriptome/C_felis/S1/links/PFAM/cf-contig_686-PFAM.txt","PIG-U")</f>
        <v>PIG-U</v>
      </c>
      <c r="CW703" t="str">
        <f>HYPERLINK("http://pfam.sanger.ac.uk/family?acc=PF06728","2E-010")</f>
        <v>2E-010</v>
      </c>
      <c r="CX703" s="4" t="str">
        <f>HYPERLINK("http://exon.niaid.nih.gov/transcriptome/C_felis/S1/links/SMART/cf-contig_686-SMART.txt","AgrB")</f>
        <v>AgrB</v>
      </c>
      <c r="CY703" t="str">
        <f>HYPERLINK("http://smart.embl-heidelberg.de/smart/do_annotation.pl?DOMAIN=AgrB&amp;BLAST=DUMMY","3E-006")</f>
        <v>3E-006</v>
      </c>
      <c r="CZ703" s="4" t="s">
        <v>42</v>
      </c>
      <c r="DA703" t="s">
        <v>42</v>
      </c>
      <c r="DB703" t="s">
        <v>42</v>
      </c>
      <c r="DC703" t="s">
        <v>42</v>
      </c>
      <c r="DD703" t="s">
        <v>42</v>
      </c>
      <c r="DE703" t="s">
        <v>42</v>
      </c>
      <c r="DF703" t="s">
        <v>42</v>
      </c>
      <c r="DG703" t="s">
        <v>42</v>
      </c>
      <c r="DH703" s="4" t="s">
        <v>42</v>
      </c>
      <c r="DI703" t="s">
        <v>42</v>
      </c>
      <c r="DJ703" s="4" t="s">
        <v>42</v>
      </c>
      <c r="DK703" t="s">
        <v>42</v>
      </c>
      <c r="DL703" s="4">
        <v>559</v>
      </c>
      <c r="DM703">
        <v>1</v>
      </c>
      <c r="DN703" s="4">
        <v>574</v>
      </c>
      <c r="DO703">
        <v>1</v>
      </c>
      <c r="DP703" s="4">
        <v>586</v>
      </c>
      <c r="DQ703">
        <v>1</v>
      </c>
      <c r="DR703" s="4">
        <v>607</v>
      </c>
      <c r="DS703">
        <v>1</v>
      </c>
      <c r="DT703" s="4">
        <v>621</v>
      </c>
      <c r="DU703">
        <v>1</v>
      </c>
      <c r="DV703" s="4">
        <v>635</v>
      </c>
      <c r="DW703">
        <v>1</v>
      </c>
      <c r="DX703" s="4">
        <v>644</v>
      </c>
      <c r="DY703">
        <v>1</v>
      </c>
      <c r="DZ703" s="4">
        <v>654</v>
      </c>
      <c r="EA703">
        <v>1</v>
      </c>
      <c r="EB703" s="4">
        <v>659</v>
      </c>
      <c r="EC703">
        <v>1</v>
      </c>
      <c r="ED703" s="4">
        <v>663</v>
      </c>
      <c r="EE703">
        <v>1</v>
      </c>
      <c r="EF703" s="4">
        <v>669</v>
      </c>
      <c r="EG703">
        <v>1</v>
      </c>
      <c r="EH703" s="4">
        <v>677</v>
      </c>
      <c r="EI703">
        <v>1</v>
      </c>
      <c r="EJ703" s="4">
        <v>686</v>
      </c>
      <c r="EK703">
        <v>1</v>
      </c>
    </row>
    <row r="704" spans="1:141" x14ac:dyDescent="0.2">
      <c r="A704" t="str">
        <f>HYPERLINK("http://exon.niaid.nih.gov/transcriptome/C_felis/S1/links/cf/cf-contig_416.txt","cf-contig_416")</f>
        <v>cf-contig_416</v>
      </c>
      <c r="B704">
        <v>1</v>
      </c>
      <c r="C704" s="10" t="s">
        <v>4600</v>
      </c>
      <c r="D704">
        <v>1</v>
      </c>
      <c r="E704" t="str">
        <f>HYPERLINK("http://exon.niaid.nih.gov/transcriptome/C_felis/S1/links/cf/cf-5-36-asb-416.txt","Contig-416")</f>
        <v>Contig-416</v>
      </c>
      <c r="F704" t="str">
        <f>HYPERLINK("http://exon.niaid.nih.gov/transcriptome/C_felis/S1/links/cf/cf-5-36-416-CLU.txt","Contig416")</f>
        <v>Contig416</v>
      </c>
      <c r="G704" t="str">
        <f>HYPERLINK("http://exon.niaid.nih.gov/transcriptome/C_felis/S1/links/cf/cf-5-36-416-qual.txt","58.5")</f>
        <v>58.5</v>
      </c>
      <c r="H704" t="s">
        <v>11</v>
      </c>
      <c r="I704">
        <v>78.400000000000006</v>
      </c>
      <c r="J704">
        <v>212</v>
      </c>
      <c r="K704" t="s">
        <v>12</v>
      </c>
      <c r="L704">
        <v>1</v>
      </c>
      <c r="M704" t="s">
        <v>429</v>
      </c>
      <c r="N704">
        <v>212</v>
      </c>
      <c r="O704">
        <v>231</v>
      </c>
      <c r="P704">
        <v>99</v>
      </c>
      <c r="Q704" t="s">
        <v>1236</v>
      </c>
      <c r="R704">
        <v>2</v>
      </c>
      <c r="S704" s="7" t="s">
        <v>4585</v>
      </c>
      <c r="U704">
        <v>1</v>
      </c>
      <c r="V704" s="4">
        <f>HYPERLINK("http://exon.niaid.nih.gov/transcriptome/C_felis/S1/links/cluster/cf-5-36-asb30-50-Id-CLU4.txt", 4)</f>
        <v>4</v>
      </c>
      <c r="W704">
        <f>HYPERLINK("http://exon.niaid.nih.gov/transcriptome/C_felis/S1/links/cluster/cf-5-36-asb30-50-Id-CLTL4.txt", 6)</f>
        <v>6</v>
      </c>
      <c r="X704" s="4">
        <v>348</v>
      </c>
      <c r="Y704">
        <v>1</v>
      </c>
      <c r="Z704" s="4">
        <v>351</v>
      </c>
      <c r="AA704">
        <v>1</v>
      </c>
      <c r="AB704" s="4" t="str">
        <f>HYPERLINK("http://exon.niaid.nih.gov/transcriptome/C_felis/S1/links/XC-ASB/cf-contig_416-XC-ASB.txt","XC-contig_246")</f>
        <v>XC-contig_246</v>
      </c>
      <c r="AC704">
        <v>8.9999999999999999E-8</v>
      </c>
      <c r="AD704" s="10" t="s">
        <v>4600</v>
      </c>
      <c r="AE704" t="s">
        <v>4601</v>
      </c>
      <c r="AI704" s="4" t="str">
        <f>HYPERLINK("http://exon.niaid.nih.gov/transcriptome/C_felis/S1/links/NR/cf-contig_416-NR.txt","hypothetical protein Mtub2_10695")</f>
        <v>hypothetical protein Mtub2_10695</v>
      </c>
      <c r="AJ704" t="str">
        <f>HYPERLINK("http://www.ncbi.nlm.nih.gov/sutils/blink.cgi?pid=294994954","3E-010")</f>
        <v>3E-010</v>
      </c>
      <c r="AK704" t="str">
        <f>HYPERLINK("http://www.ncbi.nlm.nih.gov/protein/294994954","gi|294994954")</f>
        <v>gi|294994954</v>
      </c>
      <c r="AL704">
        <v>68.900000000000006</v>
      </c>
      <c r="AM704">
        <v>249</v>
      </c>
      <c r="AN704">
        <v>252</v>
      </c>
      <c r="AO704">
        <v>51</v>
      </c>
      <c r="AP704">
        <v>99</v>
      </c>
      <c r="AQ704">
        <v>31</v>
      </c>
      <c r="AR704">
        <v>0</v>
      </c>
      <c r="AS704">
        <v>0</v>
      </c>
      <c r="AT704">
        <v>0</v>
      </c>
      <c r="AU704">
        <v>200</v>
      </c>
      <c r="AV704">
        <v>-1</v>
      </c>
      <c r="AW704" t="s">
        <v>1689</v>
      </c>
      <c r="AX704">
        <v>0.40200000000000002</v>
      </c>
      <c r="AY704" t="s">
        <v>1666</v>
      </c>
      <c r="AZ704" t="s">
        <v>1993</v>
      </c>
      <c r="BA704" s="4" t="str">
        <f>HYPERLINK("http://exon.niaid.nih.gov/transcriptome/C_felis/S1/links/SWISSP/cf-contig_416-SWISSP.txt","UPF0329 protein ECU05_1680/ECU11_0050")</f>
        <v>UPF0329 protein ECU05_1680/ECU11_0050</v>
      </c>
      <c r="BB704" t="str">
        <f>HYPERLINK("http://www.uniprot.org/uniprot/Q8STA9","3E-005")</f>
        <v>3E-005</v>
      </c>
      <c r="BC704" t="s">
        <v>3108</v>
      </c>
      <c r="BD704">
        <v>47.4</v>
      </c>
      <c r="BE704">
        <v>132</v>
      </c>
      <c r="BF704">
        <v>612</v>
      </c>
      <c r="BG704">
        <v>44</v>
      </c>
      <c r="BH704">
        <v>22</v>
      </c>
      <c r="BI704">
        <v>34</v>
      </c>
      <c r="BJ704">
        <v>0</v>
      </c>
      <c r="BK704">
        <v>284</v>
      </c>
      <c r="BL704">
        <v>3</v>
      </c>
      <c r="BM704">
        <v>13</v>
      </c>
      <c r="BN704">
        <v>2</v>
      </c>
      <c r="BO704" t="s">
        <v>1689</v>
      </c>
      <c r="BP704">
        <v>0.75800000000000001</v>
      </c>
      <c r="BQ704" t="s">
        <v>1676</v>
      </c>
      <c r="BR704" t="s">
        <v>3109</v>
      </c>
      <c r="BS704" s="4" t="str">
        <f>HYPERLINK("http://exon.niaid.nih.gov/transcriptome/C_felis/S1/links/CDD/cf-contig_416-CDD.txt","ND5")</f>
        <v>ND5</v>
      </c>
      <c r="BT704" t="str">
        <f>HYPERLINK("http://www.ncbi.nlm.nih.gov/Structure/cdd/cddsrv.cgi?uid=MTH00095&amp;version=v4.0","1E-009")</f>
        <v>1E-009</v>
      </c>
      <c r="BU704" t="s">
        <v>3157</v>
      </c>
      <c r="BV704" s="4" t="s">
        <v>3063</v>
      </c>
      <c r="BW704">
        <f>HYPERLINK("http://exon.niaid.nih.gov/transcriptome/C_felis/S1/links/GO/cf-contig_416-GO.txt",0.00005)</f>
        <v>5.0000000000000002E-5</v>
      </c>
      <c r="BX704" t="s">
        <v>42</v>
      </c>
      <c r="BY704" t="s">
        <v>42</v>
      </c>
      <c r="BZ704" t="s">
        <v>42</v>
      </c>
      <c r="CA704" t="s">
        <v>42</v>
      </c>
      <c r="CC704" t="s">
        <v>42</v>
      </c>
      <c r="CD704" t="s">
        <v>42</v>
      </c>
      <c r="CE704" t="s">
        <v>42</v>
      </c>
      <c r="CF704" t="s">
        <v>42</v>
      </c>
      <c r="CG704" t="s">
        <v>42</v>
      </c>
      <c r="CH704" t="s">
        <v>42</v>
      </c>
      <c r="CJ704" t="s">
        <v>42</v>
      </c>
      <c r="CK704" t="s">
        <v>42</v>
      </c>
      <c r="CL704" t="str">
        <f>HYPERLINK("http://amigo.geneontology.org/cgi-bin/amigo/term_details?term=GO:0006334","GO:0006334")</f>
        <v>GO:0006334</v>
      </c>
      <c r="CM704" t="s">
        <v>3158</v>
      </c>
      <c r="CN704" t="s">
        <v>3159</v>
      </c>
      <c r="CO704" t="s">
        <v>3160</v>
      </c>
      <c r="CP704" t="s">
        <v>42</v>
      </c>
      <c r="CR704">
        <v>5.0000000000000002E-5</v>
      </c>
      <c r="CS704" s="4" t="str">
        <f>HYPERLINK("http://exon.niaid.nih.gov/transcriptome/C_felis/S1/links/KOG/cf-contig_416-KOG.txt","ATP-dependent RNA helicase")</f>
        <v>ATP-dependent RNA helicase</v>
      </c>
      <c r="CT704" t="str">
        <f>HYPERLINK("http://www.ncbi.nlm.nih.gov/COG/grace/shokog.cgi?KOG0345","9E-005")</f>
        <v>9E-005</v>
      </c>
      <c r="CU704" t="s">
        <v>1817</v>
      </c>
      <c r="CV704" s="4" t="str">
        <f>HYPERLINK("http://exon.niaid.nih.gov/transcriptome/C_felis/S1/links/PFAM/cf-contig_416-PFAM.txt","TatC")</f>
        <v>TatC</v>
      </c>
      <c r="CW704" t="str">
        <f>HYPERLINK("http://pfam.sanger.ac.uk/family?acc=PF00902","2E-008")</f>
        <v>2E-008</v>
      </c>
      <c r="CX704" s="4" t="str">
        <f>HYPERLINK("http://exon.niaid.nih.gov/transcriptome/C_felis/S1/links/SMART/cf-contig_416-SMART.txt","PSN")</f>
        <v>PSN</v>
      </c>
      <c r="CY704" t="str">
        <f>HYPERLINK("http://smart.embl-heidelberg.de/smart/do_annotation.pl?DOMAIN=PSN&amp;BLAST=DUMMY","3E-005")</f>
        <v>3E-005</v>
      </c>
      <c r="CZ704" s="4" t="s">
        <v>42</v>
      </c>
      <c r="DA704" t="s">
        <v>42</v>
      </c>
      <c r="DB704" t="s">
        <v>42</v>
      </c>
      <c r="DC704" t="s">
        <v>42</v>
      </c>
      <c r="DD704" t="s">
        <v>42</v>
      </c>
      <c r="DE704" t="s">
        <v>42</v>
      </c>
      <c r="DF704" t="s">
        <v>42</v>
      </c>
      <c r="DG704" t="s">
        <v>42</v>
      </c>
      <c r="DH704" s="4" t="s">
        <v>42</v>
      </c>
      <c r="DI704" t="s">
        <v>42</v>
      </c>
      <c r="DJ704" s="4" t="s">
        <v>42</v>
      </c>
      <c r="DK704" t="s">
        <v>42</v>
      </c>
      <c r="DL704" s="4">
        <f>HYPERLINK("http://exon.niaid.nih.gov/transcriptome/C_felis/S1/links/cluster/cf-5-36-asb30-50-Id-CLU4.txt", 4)</f>
        <v>4</v>
      </c>
      <c r="DM704">
        <f>HYPERLINK("http://exon.niaid.nih.gov/transcriptome/C_felis/S1/links/cluster/cf-5-36-asb30-50-Id-CLTL4.txt", 6)</f>
        <v>6</v>
      </c>
      <c r="DN704" s="4">
        <v>348</v>
      </c>
      <c r="DO704">
        <v>1</v>
      </c>
      <c r="DP704" s="4">
        <v>351</v>
      </c>
      <c r="DQ704">
        <v>1</v>
      </c>
      <c r="DR704" s="4">
        <v>362</v>
      </c>
      <c r="DS704">
        <v>1</v>
      </c>
      <c r="DT704" s="4">
        <v>372</v>
      </c>
      <c r="DU704">
        <v>1</v>
      </c>
      <c r="DV704" s="4">
        <v>385</v>
      </c>
      <c r="DW704">
        <v>1</v>
      </c>
      <c r="DX704" s="4">
        <v>388</v>
      </c>
      <c r="DY704">
        <v>1</v>
      </c>
      <c r="DZ704" s="4">
        <v>393</v>
      </c>
      <c r="EA704">
        <v>1</v>
      </c>
      <c r="EB704" s="4">
        <v>398</v>
      </c>
      <c r="EC704">
        <v>1</v>
      </c>
      <c r="ED704" s="4">
        <v>402</v>
      </c>
      <c r="EE704">
        <v>1</v>
      </c>
      <c r="EF704" s="4">
        <v>407</v>
      </c>
      <c r="EG704">
        <v>1</v>
      </c>
      <c r="EH704" s="4">
        <v>410</v>
      </c>
      <c r="EI704">
        <v>1</v>
      </c>
      <c r="EJ704" s="4">
        <v>416</v>
      </c>
      <c r="EK704">
        <v>1</v>
      </c>
    </row>
    <row r="705" spans="1:141" x14ac:dyDescent="0.2">
      <c r="A705" t="str">
        <f>HYPERLINK("http://exon.niaid.nih.gov/transcriptome/C_felis/S1/links/cf/cf-contig_463.txt","cf-contig_463")</f>
        <v>cf-contig_463</v>
      </c>
      <c r="B705">
        <v>1</v>
      </c>
      <c r="C705" s="10" t="s">
        <v>4600</v>
      </c>
      <c r="D705">
        <v>1</v>
      </c>
      <c r="E705" t="str">
        <f>HYPERLINK("http://exon.niaid.nih.gov/transcriptome/C_felis/S1/links/cf/cf-5-36-asb-463.txt","Contig-463")</f>
        <v>Contig-463</v>
      </c>
      <c r="F705" t="str">
        <f>HYPERLINK("http://exon.niaid.nih.gov/transcriptome/C_felis/S1/links/cf/cf-5-36-463-CLU.txt","Contig463")</f>
        <v>Contig463</v>
      </c>
      <c r="G705" t="str">
        <f>HYPERLINK("http://exon.niaid.nih.gov/transcriptome/C_felis/S1/links/cf/cf-5-36-463-qual.txt","48.1")</f>
        <v>48.1</v>
      </c>
      <c r="H705">
        <v>1.7</v>
      </c>
      <c r="I705">
        <v>65.7</v>
      </c>
      <c r="J705">
        <v>159</v>
      </c>
      <c r="K705" t="s">
        <v>12</v>
      </c>
      <c r="L705">
        <v>1</v>
      </c>
      <c r="M705" t="s">
        <v>476</v>
      </c>
      <c r="N705">
        <v>159</v>
      </c>
      <c r="O705">
        <v>178</v>
      </c>
      <c r="P705">
        <v>147</v>
      </c>
      <c r="Q705" t="s">
        <v>1282</v>
      </c>
      <c r="R705">
        <v>3</v>
      </c>
      <c r="S705" s="7" t="s">
        <v>4585</v>
      </c>
      <c r="U705">
        <v>1</v>
      </c>
      <c r="V705" s="4">
        <v>376</v>
      </c>
      <c r="W705">
        <v>1</v>
      </c>
      <c r="X705" s="4">
        <v>385</v>
      </c>
      <c r="Y705">
        <v>1</v>
      </c>
      <c r="Z705" s="4">
        <v>390</v>
      </c>
      <c r="AA705">
        <v>1</v>
      </c>
      <c r="AB705" s="4" t="str">
        <f>HYPERLINK("http://exon.niaid.nih.gov/transcriptome/C_felis/S1/links/XC-ASB/cf-contig_463-XC-ASB.txt","XC-contig_206")</f>
        <v>XC-contig_206</v>
      </c>
      <c r="AC705">
        <v>8.0000000000000007E-5</v>
      </c>
      <c r="AD705" s="10" t="s">
        <v>4600</v>
      </c>
      <c r="AE705" t="s">
        <v>4601</v>
      </c>
      <c r="AI705" s="4" t="str">
        <f>HYPERLINK("http://exon.niaid.nih.gov/transcriptome/C_felis/S1/links/NR/cf-contig_463-NR.txt","hypothetical protein Mtub2_10695")</f>
        <v>hypothetical protein Mtub2_10695</v>
      </c>
      <c r="AJ705" t="str">
        <f>HYPERLINK("http://www.ncbi.nlm.nih.gov/sutils/blink.cgi?pid=294994954","0.50")</f>
        <v>0.50</v>
      </c>
      <c r="AK705" t="str">
        <f>HYPERLINK("http://www.ncbi.nlm.nih.gov/protein/294994954","gi|294994954")</f>
        <v>gi|294994954</v>
      </c>
      <c r="AL705">
        <v>38.1</v>
      </c>
      <c r="AM705">
        <v>230</v>
      </c>
      <c r="AN705">
        <v>252</v>
      </c>
      <c r="AO705">
        <v>47</v>
      </c>
      <c r="AP705">
        <v>92</v>
      </c>
      <c r="AQ705">
        <v>19</v>
      </c>
      <c r="AR705">
        <v>0</v>
      </c>
      <c r="AS705">
        <v>0</v>
      </c>
      <c r="AT705">
        <v>0</v>
      </c>
      <c r="AU705">
        <v>133</v>
      </c>
      <c r="AV705">
        <v>-3</v>
      </c>
      <c r="AW705" t="s">
        <v>1689</v>
      </c>
      <c r="AY705" t="s">
        <v>1666</v>
      </c>
      <c r="AZ705" t="s">
        <v>1993</v>
      </c>
      <c r="BA705" s="4" t="str">
        <f>HYPERLINK("http://exon.niaid.nih.gov/transcriptome/C_felis/S1/links/SWISSP/cf-contig_463-SWISSP.txt","Uncharacterized protein PF07_0086")</f>
        <v>Uncharacterized protein PF07_0086</v>
      </c>
      <c r="BB705" t="str">
        <f>HYPERLINK("http://www.uniprot.org/uniprot/Q8IBP1","0.11")</f>
        <v>0.11</v>
      </c>
      <c r="BC705" t="s">
        <v>3359</v>
      </c>
      <c r="BD705">
        <v>35.4</v>
      </c>
      <c r="BE705">
        <v>44</v>
      </c>
      <c r="BF705">
        <v>3429</v>
      </c>
      <c r="BG705">
        <v>52</v>
      </c>
      <c r="BH705">
        <v>1</v>
      </c>
      <c r="BI705">
        <v>18</v>
      </c>
      <c r="BJ705">
        <v>1</v>
      </c>
      <c r="BK705">
        <v>2744</v>
      </c>
      <c r="BL705">
        <v>47</v>
      </c>
      <c r="BM705">
        <v>2</v>
      </c>
      <c r="BN705">
        <v>2</v>
      </c>
      <c r="BO705" t="s">
        <v>12</v>
      </c>
      <c r="BP705">
        <v>2.2730000000000001</v>
      </c>
      <c r="BQ705" t="s">
        <v>1676</v>
      </c>
      <c r="BR705" t="s">
        <v>1724</v>
      </c>
      <c r="BS705" s="4" t="str">
        <f>HYPERLINK("http://exon.niaid.nih.gov/transcriptome/C_felis/S1/links/CDD/cf-contig_463-CDD.txt","7TM_GPCR_Srz")</f>
        <v>7TM_GPCR_Srz</v>
      </c>
      <c r="BT705" t="str">
        <f>HYPERLINK("http://www.ncbi.nlm.nih.gov/Structure/cdd/cddsrv.cgi?uid=pfam10325&amp;version=v4.0","5E-004")</f>
        <v>5E-004</v>
      </c>
      <c r="BU705" t="s">
        <v>3360</v>
      </c>
      <c r="BV705" s="4" t="s">
        <v>42</v>
      </c>
      <c r="BW705" t="s">
        <v>42</v>
      </c>
      <c r="BX705" t="s">
        <v>42</v>
      </c>
      <c r="BY705" t="s">
        <v>42</v>
      </c>
      <c r="BZ705" t="s">
        <v>42</v>
      </c>
      <c r="CA705" t="s">
        <v>42</v>
      </c>
      <c r="CB705" t="s">
        <v>42</v>
      </c>
      <c r="CC705" t="s">
        <v>42</v>
      </c>
      <c r="CD705" t="s">
        <v>42</v>
      </c>
      <c r="CE705" t="s">
        <v>42</v>
      </c>
      <c r="CF705" t="s">
        <v>42</v>
      </c>
      <c r="CG705" t="s">
        <v>42</v>
      </c>
      <c r="CH705" t="s">
        <v>42</v>
      </c>
      <c r="CI705" t="s">
        <v>42</v>
      </c>
      <c r="CJ705" t="s">
        <v>42</v>
      </c>
      <c r="CK705" t="s">
        <v>42</v>
      </c>
      <c r="CL705" t="s">
        <v>42</v>
      </c>
      <c r="CM705" t="s">
        <v>42</v>
      </c>
      <c r="CN705" t="s">
        <v>42</v>
      </c>
      <c r="CO705" t="s">
        <v>42</v>
      </c>
      <c r="CP705" t="s">
        <v>42</v>
      </c>
      <c r="CQ705" t="s">
        <v>42</v>
      </c>
      <c r="CR705" t="s">
        <v>42</v>
      </c>
      <c r="CS705" s="4" t="str">
        <f>HYPERLINK("http://exon.niaid.nih.gov/transcriptome/C_felis/S1/links/KOG/cf-contig_463-KOG.txt","Predicted DHHC-type Zn-finger protein")</f>
        <v>Predicted DHHC-type Zn-finger protein</v>
      </c>
      <c r="CT705" t="str">
        <f>HYPERLINK("http://www.ncbi.nlm.nih.gov/COG/grace/shokog.cgi?KOG1315","0.007")</f>
        <v>0.007</v>
      </c>
      <c r="CU705" t="s">
        <v>1721</v>
      </c>
      <c r="CV705" s="4" t="str">
        <f>HYPERLINK("http://exon.niaid.nih.gov/transcriptome/C_felis/S1/links/PFAM/cf-contig_463-PFAM.txt","7TM_GPCR_Srz")</f>
        <v>7TM_GPCR_Srz</v>
      </c>
      <c r="CW705" t="str">
        <f>HYPERLINK("http://pfam.sanger.ac.uk/family?acc=PF10325","1E-004")</f>
        <v>1E-004</v>
      </c>
      <c r="CX705" s="4" t="str">
        <f>HYPERLINK("http://exon.niaid.nih.gov/transcriptome/C_felis/S1/links/SMART/cf-contig_463-SMART.txt","AgrB")</f>
        <v>AgrB</v>
      </c>
      <c r="CY705" t="str">
        <f>HYPERLINK("http://smart.embl-heidelberg.de/smart/do_annotation.pl?DOMAIN=AgrB&amp;BLAST=DUMMY","0.001")</f>
        <v>0.001</v>
      </c>
      <c r="CZ705" s="4" t="s">
        <v>42</v>
      </c>
      <c r="DA705" t="s">
        <v>42</v>
      </c>
      <c r="DB705" t="s">
        <v>42</v>
      </c>
      <c r="DC705" t="s">
        <v>42</v>
      </c>
      <c r="DD705" t="s">
        <v>42</v>
      </c>
      <c r="DE705" t="s">
        <v>42</v>
      </c>
      <c r="DF705" t="s">
        <v>42</v>
      </c>
      <c r="DG705" t="s">
        <v>42</v>
      </c>
      <c r="DH705" s="4" t="s">
        <v>42</v>
      </c>
      <c r="DI705" t="s">
        <v>42</v>
      </c>
      <c r="DJ705" s="4" t="s">
        <v>42</v>
      </c>
      <c r="DK705" t="s">
        <v>42</v>
      </c>
      <c r="DL705" s="4">
        <v>376</v>
      </c>
      <c r="DM705">
        <v>1</v>
      </c>
      <c r="DN705" s="4">
        <v>385</v>
      </c>
      <c r="DO705">
        <v>1</v>
      </c>
      <c r="DP705" s="4">
        <v>390</v>
      </c>
      <c r="DQ705">
        <v>1</v>
      </c>
      <c r="DR705" s="4">
        <v>405</v>
      </c>
      <c r="DS705">
        <v>1</v>
      </c>
      <c r="DT705" s="4">
        <v>415</v>
      </c>
      <c r="DU705">
        <v>1</v>
      </c>
      <c r="DV705" s="4">
        <v>429</v>
      </c>
      <c r="DW705">
        <v>1</v>
      </c>
      <c r="DX705" s="4">
        <v>432</v>
      </c>
      <c r="DY705">
        <v>1</v>
      </c>
      <c r="DZ705" s="4">
        <v>438</v>
      </c>
      <c r="EA705">
        <v>1</v>
      </c>
      <c r="EB705" s="4">
        <v>443</v>
      </c>
      <c r="EC705">
        <v>1</v>
      </c>
      <c r="ED705" s="4">
        <v>447</v>
      </c>
      <c r="EE705">
        <v>1</v>
      </c>
      <c r="EF705" s="4">
        <v>452</v>
      </c>
      <c r="EG705">
        <v>1</v>
      </c>
      <c r="EH705" s="4">
        <v>457</v>
      </c>
      <c r="EI705">
        <v>1</v>
      </c>
      <c r="EJ705" s="4">
        <v>463</v>
      </c>
      <c r="EK705">
        <v>1</v>
      </c>
    </row>
    <row r="706" spans="1:141" x14ac:dyDescent="0.2">
      <c r="A706" t="str">
        <f>HYPERLINK("http://exon.niaid.nih.gov/transcriptome/C_felis/S1/links/cf/cf-contig_707.txt","cf-contig_707")</f>
        <v>cf-contig_707</v>
      </c>
      <c r="B706">
        <v>1</v>
      </c>
      <c r="C706" s="10" t="s">
        <v>4600</v>
      </c>
      <c r="D706">
        <v>1</v>
      </c>
      <c r="E706" t="str">
        <f>HYPERLINK("http://exon.niaid.nih.gov/transcriptome/C_felis/S1/links/cf/cf-5-36-asb-707.txt","Contig-707")</f>
        <v>Contig-707</v>
      </c>
      <c r="F706" t="str">
        <f>HYPERLINK("http://exon.niaid.nih.gov/transcriptome/C_felis/S1/links/cf/cf-5-36-707-CLU.txt","Contig707")</f>
        <v>Contig707</v>
      </c>
      <c r="G706" t="str">
        <f>HYPERLINK("http://exon.niaid.nih.gov/transcriptome/C_felis/S1/links/cf/cf-5-36-707-qual.txt","54.1")</f>
        <v>54.1</v>
      </c>
      <c r="H706" t="s">
        <v>11</v>
      </c>
      <c r="I706">
        <v>77.599999999999994</v>
      </c>
      <c r="J706">
        <v>106</v>
      </c>
      <c r="K706" t="s">
        <v>12</v>
      </c>
      <c r="L706">
        <v>1</v>
      </c>
      <c r="M706" t="s">
        <v>720</v>
      </c>
      <c r="N706">
        <v>106</v>
      </c>
      <c r="O706">
        <v>125</v>
      </c>
      <c r="P706">
        <v>111</v>
      </c>
      <c r="Q706" t="s">
        <v>1526</v>
      </c>
      <c r="R706">
        <v>2</v>
      </c>
      <c r="S706" s="7" t="s">
        <v>4585</v>
      </c>
      <c r="U706">
        <v>1</v>
      </c>
      <c r="V706" s="4">
        <f>HYPERLINK("http://exon.niaid.nih.gov/transcriptome/C_felis/S1/links/cluster/cf-5-36-asb30-50-Id-CLU27.txt", 27)</f>
        <v>27</v>
      </c>
      <c r="W706">
        <f>HYPERLINK("http://exon.niaid.nih.gov/transcriptome/C_felis/S1/links/cluster/cf-5-36-asb30-50-Id-CLTL27.txt", 3)</f>
        <v>3</v>
      </c>
      <c r="X706" s="4">
        <v>590</v>
      </c>
      <c r="Y706">
        <v>1</v>
      </c>
      <c r="Z706" s="4">
        <v>603</v>
      </c>
      <c r="AA706">
        <v>1</v>
      </c>
      <c r="AB706" s="4" t="str">
        <f>HYPERLINK("http://exon.niaid.nih.gov/transcriptome/C_felis/S1/links/XC-ASB/cf-contig_707-XC-ASB.txt","XC-contig_246")</f>
        <v>XC-contig_246</v>
      </c>
      <c r="AC706">
        <v>9.9999999999999995E-8</v>
      </c>
      <c r="AD706" s="10" t="s">
        <v>4600</v>
      </c>
      <c r="AE706" t="s">
        <v>4601</v>
      </c>
      <c r="AI706" s="4" t="str">
        <f>HYPERLINK("http://exon.niaid.nih.gov/transcriptome/C_felis/S1/links/NR/cf-contig_707-NR.txt","hypothetical protein Mtub2_10695")</f>
        <v>hypothetical protein Mtub2_10695</v>
      </c>
      <c r="AJ706" t="str">
        <f>HYPERLINK("http://www.ncbi.nlm.nih.gov/sutils/blink.cgi?pid=294994954","0.020")</f>
        <v>0.020</v>
      </c>
      <c r="AK706" t="str">
        <f>HYPERLINK("http://www.ncbi.nlm.nih.gov/protein/294994954","gi|294994954")</f>
        <v>gi|294994954</v>
      </c>
      <c r="AL706">
        <v>42.7</v>
      </c>
      <c r="AM706">
        <v>248</v>
      </c>
      <c r="AN706">
        <v>252</v>
      </c>
      <c r="AO706">
        <v>62</v>
      </c>
      <c r="AP706">
        <v>99</v>
      </c>
      <c r="AQ706">
        <v>10</v>
      </c>
      <c r="AR706">
        <v>0</v>
      </c>
      <c r="AS706">
        <v>0</v>
      </c>
      <c r="AT706">
        <v>0</v>
      </c>
      <c r="AU706">
        <v>200</v>
      </c>
      <c r="AV706">
        <v>-2</v>
      </c>
      <c r="AW706" t="s">
        <v>1689</v>
      </c>
      <c r="AY706" t="s">
        <v>1666</v>
      </c>
      <c r="AZ706" t="s">
        <v>1993</v>
      </c>
      <c r="BA706" s="4" t="str">
        <f>HYPERLINK("http://exon.niaid.nih.gov/transcriptome/C_felis/S1/links/SWISSP/cf-contig_707-SWISSP.txt","Treacle protein")</f>
        <v>Treacle protein</v>
      </c>
      <c r="BB706" t="str">
        <f>HYPERLINK("http://www.uniprot.org/uniprot/Q13428","0.051")</f>
        <v>0.051</v>
      </c>
      <c r="BC706" t="s">
        <v>4228</v>
      </c>
      <c r="BD706">
        <v>36.6</v>
      </c>
      <c r="BE706">
        <v>55</v>
      </c>
      <c r="BF706">
        <v>1488</v>
      </c>
      <c r="BG706">
        <v>55</v>
      </c>
      <c r="BH706">
        <v>4</v>
      </c>
      <c r="BI706">
        <v>13</v>
      </c>
      <c r="BJ706">
        <v>0</v>
      </c>
      <c r="BK706">
        <v>1432</v>
      </c>
      <c r="BL706">
        <v>4</v>
      </c>
      <c r="BM706">
        <v>5</v>
      </c>
      <c r="BN706">
        <v>2</v>
      </c>
      <c r="BO706" t="s">
        <v>1689</v>
      </c>
      <c r="BQ706" t="s">
        <v>1676</v>
      </c>
      <c r="BR706" t="s">
        <v>1690</v>
      </c>
      <c r="BS706" s="4" t="str">
        <f>HYPERLINK("http://exon.niaid.nih.gov/transcriptome/C_felis/S1/links/CDD/cf-contig_707-CDD.txt","PLN00218")</f>
        <v>PLN00218</v>
      </c>
      <c r="BT706" t="str">
        <f>HYPERLINK("http://www.ncbi.nlm.nih.gov/Structure/cdd/cddsrv.cgi?uid=PLN00218&amp;version=v4.0","0.004")</f>
        <v>0.004</v>
      </c>
      <c r="BU706" t="s">
        <v>4229</v>
      </c>
      <c r="BV706" s="4" t="s">
        <v>42</v>
      </c>
      <c r="BW706" t="s">
        <v>42</v>
      </c>
      <c r="BX706" t="s">
        <v>42</v>
      </c>
      <c r="BY706" t="s">
        <v>42</v>
      </c>
      <c r="BZ706" t="s">
        <v>42</v>
      </c>
      <c r="CA706" t="s">
        <v>42</v>
      </c>
      <c r="CB706" t="s">
        <v>42</v>
      </c>
      <c r="CC706" t="s">
        <v>42</v>
      </c>
      <c r="CD706" t="s">
        <v>42</v>
      </c>
      <c r="CE706" t="s">
        <v>42</v>
      </c>
      <c r="CF706" t="s">
        <v>42</v>
      </c>
      <c r="CG706" t="s">
        <v>42</v>
      </c>
      <c r="CH706" t="s">
        <v>42</v>
      </c>
      <c r="CI706" t="s">
        <v>42</v>
      </c>
      <c r="CJ706" t="s">
        <v>42</v>
      </c>
      <c r="CK706" t="s">
        <v>42</v>
      </c>
      <c r="CL706" t="s">
        <v>42</v>
      </c>
      <c r="CM706" t="s">
        <v>42</v>
      </c>
      <c r="CN706" t="s">
        <v>42</v>
      </c>
      <c r="CO706" t="s">
        <v>42</v>
      </c>
      <c r="CP706" t="s">
        <v>42</v>
      </c>
      <c r="CQ706" t="s">
        <v>42</v>
      </c>
      <c r="CR706" t="s">
        <v>42</v>
      </c>
      <c r="CS706" s="4" t="str">
        <f>HYPERLINK("http://exon.niaid.nih.gov/transcriptome/C_felis/S1/links/KOG/cf-contig_707-KOG.txt","Ribosome biogenesis protein - Nop58p/Nop5p")</f>
        <v>Ribosome biogenesis protein - Nop58p/Nop5p</v>
      </c>
      <c r="CT706" t="str">
        <f>HYPERLINK("http://www.ncbi.nlm.nih.gov/COG/grace/shokog.cgi?KOG2572","0.008")</f>
        <v>0.008</v>
      </c>
      <c r="CU706" t="s">
        <v>2419</v>
      </c>
      <c r="CV706" s="4" t="str">
        <f>HYPERLINK("http://exon.niaid.nih.gov/transcriptome/C_felis/S1/links/PFAM/cf-contig_707-PFAM.txt","7TM_GPCR_Srz")</f>
        <v>7TM_GPCR_Srz</v>
      </c>
      <c r="CW706" t="str">
        <f>HYPERLINK("http://pfam.sanger.ac.uk/family?acc=PF10325","0.001")</f>
        <v>0.001</v>
      </c>
      <c r="CX706" s="4" t="str">
        <f>HYPERLINK("http://exon.niaid.nih.gov/transcriptome/C_felis/S1/links/SMART/cf-contig_707-SMART.txt","TOPEUc")</f>
        <v>TOPEUc</v>
      </c>
      <c r="CY706" t="str">
        <f>HYPERLINK("http://smart.embl-heidelberg.de/smart/do_annotation.pl?DOMAIN=TOPEUc&amp;BLAST=DUMMY","7E-004")</f>
        <v>7E-004</v>
      </c>
      <c r="CZ706" s="4" t="s">
        <v>42</v>
      </c>
      <c r="DA706" t="s">
        <v>42</v>
      </c>
      <c r="DB706" t="s">
        <v>42</v>
      </c>
      <c r="DC706" t="s">
        <v>42</v>
      </c>
      <c r="DD706" t="s">
        <v>42</v>
      </c>
      <c r="DE706" t="s">
        <v>42</v>
      </c>
      <c r="DF706" t="s">
        <v>42</v>
      </c>
      <c r="DG706" t="s">
        <v>42</v>
      </c>
      <c r="DH706" s="4" t="s">
        <v>42</v>
      </c>
      <c r="DI706" t="s">
        <v>42</v>
      </c>
      <c r="DJ706" s="4" t="s">
        <v>42</v>
      </c>
      <c r="DK706" t="s">
        <v>42</v>
      </c>
      <c r="DL706" s="4">
        <f>HYPERLINK("http://exon.niaid.nih.gov/transcriptome/C_felis/S1/links/cluster/cf-5-36-asb30-50-Id-CLU27.txt", 27)</f>
        <v>27</v>
      </c>
      <c r="DM706">
        <f>HYPERLINK("http://exon.niaid.nih.gov/transcriptome/C_felis/S1/links/cluster/cf-5-36-asb30-50-Id-CLTL27.txt", 3)</f>
        <v>3</v>
      </c>
      <c r="DN706" s="4">
        <v>590</v>
      </c>
      <c r="DO706">
        <v>1</v>
      </c>
      <c r="DP706" s="4">
        <v>603</v>
      </c>
      <c r="DQ706">
        <v>1</v>
      </c>
      <c r="DR706" s="4">
        <v>624</v>
      </c>
      <c r="DS706">
        <v>1</v>
      </c>
      <c r="DT706" s="4">
        <v>638</v>
      </c>
      <c r="DU706">
        <v>1</v>
      </c>
      <c r="DV706" s="4">
        <v>653</v>
      </c>
      <c r="DW706">
        <v>1</v>
      </c>
      <c r="DX706" s="4">
        <v>664</v>
      </c>
      <c r="DY706">
        <v>1</v>
      </c>
      <c r="DZ706" s="4">
        <v>674</v>
      </c>
      <c r="EA706">
        <v>1</v>
      </c>
      <c r="EB706" s="4">
        <v>679</v>
      </c>
      <c r="EC706">
        <v>1</v>
      </c>
      <c r="ED706" s="4">
        <v>683</v>
      </c>
      <c r="EE706">
        <v>1</v>
      </c>
      <c r="EF706" s="4">
        <v>689</v>
      </c>
      <c r="EG706">
        <v>1</v>
      </c>
      <c r="EH706" s="4">
        <v>698</v>
      </c>
      <c r="EI706">
        <v>1</v>
      </c>
      <c r="EJ706" s="4">
        <v>707</v>
      </c>
      <c r="EK706">
        <v>1</v>
      </c>
    </row>
    <row r="707" spans="1:141" x14ac:dyDescent="0.2">
      <c r="A707" t="str">
        <f>HYPERLINK("http://exon.niaid.nih.gov/transcriptome/C_felis/S1/links/cf/cf-contig_713.txt","cf-contig_713")</f>
        <v>cf-contig_713</v>
      </c>
      <c r="B707">
        <v>1</v>
      </c>
      <c r="C707" s="10" t="s">
        <v>4600</v>
      </c>
      <c r="D707">
        <v>1</v>
      </c>
      <c r="E707" t="str">
        <f>HYPERLINK("http://exon.niaid.nih.gov/transcriptome/C_felis/S1/links/cf/cf-5-36-asb-713.txt","Contig-713")</f>
        <v>Contig-713</v>
      </c>
      <c r="F707" t="str">
        <f>HYPERLINK("http://exon.niaid.nih.gov/transcriptome/C_felis/S1/links/cf/cf-5-36-713-CLU.txt","Contig713")</f>
        <v>Contig713</v>
      </c>
      <c r="G707" t="str">
        <f>HYPERLINK("http://exon.niaid.nih.gov/transcriptome/C_felis/S1/links/cf/cf-5-36-713-qual.txt","44.1")</f>
        <v>44.1</v>
      </c>
      <c r="H707">
        <v>0.4</v>
      </c>
      <c r="I707">
        <v>72.900000000000006</v>
      </c>
      <c r="J707">
        <v>517</v>
      </c>
      <c r="K707" t="s">
        <v>12</v>
      </c>
      <c r="L707">
        <v>1</v>
      </c>
      <c r="M707" t="s">
        <v>726</v>
      </c>
      <c r="N707">
        <v>517</v>
      </c>
      <c r="O707">
        <v>536</v>
      </c>
      <c r="P707">
        <v>324</v>
      </c>
      <c r="Q707" t="s">
        <v>1532</v>
      </c>
      <c r="R707">
        <v>1</v>
      </c>
      <c r="S707" s="7" t="s">
        <v>4585</v>
      </c>
      <c r="U707">
        <v>1</v>
      </c>
      <c r="V707" s="4">
        <v>580</v>
      </c>
      <c r="W707">
        <v>1</v>
      </c>
      <c r="X707" s="4">
        <v>596</v>
      </c>
      <c r="Y707">
        <v>1</v>
      </c>
      <c r="Z707" s="4">
        <v>609</v>
      </c>
      <c r="AA707">
        <v>1</v>
      </c>
      <c r="AB707" s="4" t="str">
        <f>HYPERLINK("http://exon.niaid.nih.gov/transcriptome/C_felis/S1/links/XC-ASB/cf-contig_713-XC-ASB.txt","XC-contig_237")</f>
        <v>XC-contig_237</v>
      </c>
      <c r="AC707">
        <v>2.0000000000000001E-9</v>
      </c>
      <c r="AD707" s="10" t="s">
        <v>4600</v>
      </c>
      <c r="AE707" t="s">
        <v>4601</v>
      </c>
      <c r="AI707" s="4" t="str">
        <f>HYPERLINK("http://exon.niaid.nih.gov/transcriptome/C_felis/S1/links/NR/cf-contig_713-NR.txt","hypothetical protein Mtub2_10695")</f>
        <v>hypothetical protein Mtub2_10695</v>
      </c>
      <c r="AJ707" t="str">
        <f>HYPERLINK("http://www.ncbi.nlm.nih.gov/sutils/blink.cgi?pid=294994954","1E-030")</f>
        <v>1E-030</v>
      </c>
      <c r="AK707" t="str">
        <f>HYPERLINK("http://www.ncbi.nlm.nih.gov/protein/294994954","gi|294994954")</f>
        <v>gi|294994954</v>
      </c>
      <c r="AL707">
        <v>136</v>
      </c>
      <c r="AM707">
        <v>251</v>
      </c>
      <c r="AN707">
        <v>252</v>
      </c>
      <c r="AO707">
        <v>47</v>
      </c>
      <c r="AP707">
        <v>100</v>
      </c>
      <c r="AQ707">
        <v>83</v>
      </c>
      <c r="AR707">
        <v>0</v>
      </c>
      <c r="AS707">
        <v>0</v>
      </c>
      <c r="AT707">
        <v>0</v>
      </c>
      <c r="AU707">
        <v>48</v>
      </c>
      <c r="AV707">
        <v>-2</v>
      </c>
      <c r="AW707" t="s">
        <v>1689</v>
      </c>
      <c r="AX707">
        <v>0.39800000000000002</v>
      </c>
      <c r="AY707" t="s">
        <v>1666</v>
      </c>
      <c r="AZ707" t="s">
        <v>1993</v>
      </c>
      <c r="BA707" s="4" t="str">
        <f>HYPERLINK("http://exon.niaid.nih.gov/transcriptome/C_felis/S1/links/SWISSP/cf-contig_713-SWISSP.txt","Protein PXR1")</f>
        <v>Protein PXR1</v>
      </c>
      <c r="BB707" t="str">
        <f>HYPERLINK("http://www.uniprot.org/uniprot/A5E4P1","2E-018")</f>
        <v>2E-018</v>
      </c>
      <c r="BC707" t="s">
        <v>3060</v>
      </c>
      <c r="BD707">
        <v>92</v>
      </c>
      <c r="BE707">
        <v>206</v>
      </c>
      <c r="BF707">
        <v>345</v>
      </c>
      <c r="BG707">
        <v>31</v>
      </c>
      <c r="BH707">
        <v>60</v>
      </c>
      <c r="BI707">
        <v>105</v>
      </c>
      <c r="BJ707">
        <v>0</v>
      </c>
      <c r="BK707">
        <v>122</v>
      </c>
      <c r="BL707">
        <v>28</v>
      </c>
      <c r="BM707">
        <v>19</v>
      </c>
      <c r="BN707">
        <v>1</v>
      </c>
      <c r="BO707" t="s">
        <v>1689</v>
      </c>
      <c r="BP707">
        <v>1.9419999999999999</v>
      </c>
      <c r="BQ707" t="s">
        <v>1676</v>
      </c>
      <c r="BR707" t="s">
        <v>3061</v>
      </c>
      <c r="BS707" s="4" t="str">
        <f>HYPERLINK("http://exon.niaid.nih.gov/transcriptome/C_felis/S1/links/CDD/cf-contig_713-CDD.txt","ND4")</f>
        <v>ND4</v>
      </c>
      <c r="BT707" t="str">
        <f>HYPERLINK("http://www.ncbi.nlm.nih.gov/Structure/cdd/cddsrv.cgi?uid=MTH00163&amp;version=v4.0","2E-020")</f>
        <v>2E-020</v>
      </c>
      <c r="BU707" t="s">
        <v>4255</v>
      </c>
      <c r="BV707" s="4" t="s">
        <v>3396</v>
      </c>
      <c r="BW707">
        <f>HYPERLINK("http://exon.niaid.nih.gov/transcriptome/C_felis/S1/links/GO/cf-contig_713-GO.txt",0.00000000000000002)</f>
        <v>2.0000000000000001E-17</v>
      </c>
      <c r="BX707" t="str">
        <f>HYPERLINK("http://amigo.geneontology.org/cgi-bin/amigo/term_details?term=GO:0008270","GO:0008270")</f>
        <v>GO:0008270</v>
      </c>
      <c r="BY707" t="s">
        <v>4256</v>
      </c>
      <c r="BZ707" t="s">
        <v>4257</v>
      </c>
      <c r="CA707" t="s">
        <v>4258</v>
      </c>
      <c r="CB707" t="s">
        <v>42</v>
      </c>
      <c r="CD707" s="5">
        <v>5.9999999999999999E-16</v>
      </c>
      <c r="CE707" t="str">
        <f>HYPERLINK("http://amigo.geneontology.org/cgi-bin/amigo/term_details?term=GO:0005575","GO:0005575")</f>
        <v>GO:0005575</v>
      </c>
      <c r="CF707" t="s">
        <v>1838</v>
      </c>
      <c r="CG707" t="s">
        <v>1839</v>
      </c>
      <c r="CH707" t="s">
        <v>1840</v>
      </c>
      <c r="CI707" t="s">
        <v>42</v>
      </c>
      <c r="CK707" s="5">
        <v>5.9999999999999999E-16</v>
      </c>
      <c r="CL707" t="str">
        <f>HYPERLINK("http://amigo.geneontology.org/cgi-bin/amigo/term_details?term=GO:0008150","GO:0008150")</f>
        <v>GO:0008150</v>
      </c>
      <c r="CM707" t="s">
        <v>1857</v>
      </c>
      <c r="CN707" t="s">
        <v>1858</v>
      </c>
      <c r="CO707" t="s">
        <v>1859</v>
      </c>
      <c r="CP707" t="s">
        <v>42</v>
      </c>
      <c r="CR707" s="5">
        <v>5.9999999999999999E-16</v>
      </c>
      <c r="CS707" s="4" t="str">
        <f>HYPERLINK("http://exon.niaid.nih.gov/transcriptome/C_felis/S1/links/KOG/cf-contig_713-KOG.txt","Uncharacterized conserved protein")</f>
        <v>Uncharacterized conserved protein</v>
      </c>
      <c r="CT707" t="str">
        <f>HYPERLINK("http://www.ncbi.nlm.nih.gov/COG/grace/shokog.cgi?KOG2812","2E-013")</f>
        <v>2E-013</v>
      </c>
      <c r="CU707" t="s">
        <v>1711</v>
      </c>
      <c r="CV707" s="4" t="str">
        <f>HYPERLINK("http://exon.niaid.nih.gov/transcriptome/C_felis/S1/links/PFAM/cf-contig_713-PFAM.txt","7TMR-DISM_7TM")</f>
        <v>7TMR-DISM_7TM</v>
      </c>
      <c r="CW707" t="str">
        <f>HYPERLINK("http://pfam.sanger.ac.uk/family?acc=PF07695","2E-014")</f>
        <v>2E-014</v>
      </c>
      <c r="CX707" s="4" t="str">
        <f>HYPERLINK("http://exon.niaid.nih.gov/transcriptome/C_felis/S1/links/SMART/cf-contig_713-SMART.txt","PSN")</f>
        <v>PSN</v>
      </c>
      <c r="CY707" t="str">
        <f>HYPERLINK("http://smart.embl-heidelberg.de/smart/do_annotation.pl?DOMAIN=PSN&amp;BLAST=DUMMY","8E-010")</f>
        <v>8E-010</v>
      </c>
      <c r="CZ707" s="4" t="s">
        <v>42</v>
      </c>
      <c r="DA707" t="s">
        <v>42</v>
      </c>
      <c r="DB707" t="s">
        <v>42</v>
      </c>
      <c r="DC707" t="s">
        <v>42</v>
      </c>
      <c r="DD707" t="s">
        <v>42</v>
      </c>
      <c r="DE707" t="s">
        <v>42</v>
      </c>
      <c r="DF707" t="s">
        <v>42</v>
      </c>
      <c r="DG707" t="s">
        <v>42</v>
      </c>
      <c r="DH707" s="4" t="s">
        <v>42</v>
      </c>
      <c r="DI707" t="s">
        <v>42</v>
      </c>
      <c r="DJ707" s="4" t="s">
        <v>42</v>
      </c>
      <c r="DK707" t="s">
        <v>42</v>
      </c>
      <c r="DL707" s="4">
        <v>580</v>
      </c>
      <c r="DM707">
        <v>1</v>
      </c>
      <c r="DN707" s="4">
        <v>596</v>
      </c>
      <c r="DO707">
        <v>1</v>
      </c>
      <c r="DP707" s="4">
        <v>609</v>
      </c>
      <c r="DQ707">
        <v>1</v>
      </c>
      <c r="DR707" s="4">
        <v>630</v>
      </c>
      <c r="DS707">
        <v>1</v>
      </c>
      <c r="DT707" s="4">
        <v>644</v>
      </c>
      <c r="DU707">
        <v>1</v>
      </c>
      <c r="DV707" s="4">
        <v>659</v>
      </c>
      <c r="DW707">
        <v>1</v>
      </c>
      <c r="DX707" s="4">
        <v>670</v>
      </c>
      <c r="DY707">
        <v>1</v>
      </c>
      <c r="DZ707" s="4">
        <v>680</v>
      </c>
      <c r="EA707">
        <v>1</v>
      </c>
      <c r="EB707" s="4">
        <v>685</v>
      </c>
      <c r="EC707">
        <v>1</v>
      </c>
      <c r="ED707" s="4">
        <v>689</v>
      </c>
      <c r="EE707">
        <v>1</v>
      </c>
      <c r="EF707" s="4">
        <v>695</v>
      </c>
      <c r="EG707">
        <v>1</v>
      </c>
      <c r="EH707" s="4">
        <v>704</v>
      </c>
      <c r="EI707">
        <v>1</v>
      </c>
      <c r="EJ707" s="4">
        <v>713</v>
      </c>
      <c r="EK707">
        <v>1</v>
      </c>
    </row>
    <row r="708" spans="1:141" x14ac:dyDescent="0.2">
      <c r="A708" t="str">
        <f>HYPERLINK("http://exon.niaid.nih.gov/transcriptome/C_felis/S1/links/cf/cf-contig_394.txt","cf-contig_394")</f>
        <v>cf-contig_394</v>
      </c>
      <c r="B708">
        <v>1</v>
      </c>
      <c r="C708" s="10" t="s">
        <v>4600</v>
      </c>
      <c r="D708">
        <v>1</v>
      </c>
      <c r="E708" t="str">
        <f>HYPERLINK("http://exon.niaid.nih.gov/transcriptome/C_felis/S1/links/cf/cf-5-36-asb-394.txt","Contig-394")</f>
        <v>Contig-394</v>
      </c>
      <c r="F708" t="str">
        <f>HYPERLINK("http://exon.niaid.nih.gov/transcriptome/C_felis/S1/links/cf/cf-5-36-394-CLU.txt","Contig394")</f>
        <v>Contig394</v>
      </c>
      <c r="G708" t="str">
        <f>HYPERLINK("http://exon.niaid.nih.gov/transcriptome/C_felis/S1/links/cf/cf-5-36-394-qual.txt","44.9")</f>
        <v>44.9</v>
      </c>
      <c r="H708">
        <v>0.3</v>
      </c>
      <c r="I708">
        <v>70.599999999999994</v>
      </c>
      <c r="J708">
        <v>311</v>
      </c>
      <c r="K708" t="s">
        <v>12</v>
      </c>
      <c r="L708">
        <v>1</v>
      </c>
      <c r="M708" t="s">
        <v>407</v>
      </c>
      <c r="N708">
        <v>311</v>
      </c>
      <c r="O708">
        <v>330</v>
      </c>
      <c r="P708">
        <v>162</v>
      </c>
      <c r="Q708" t="s">
        <v>1214</v>
      </c>
      <c r="R708">
        <v>1</v>
      </c>
      <c r="S708" s="7" t="s">
        <v>4585</v>
      </c>
      <c r="U708">
        <v>1</v>
      </c>
      <c r="V708" s="4">
        <v>321</v>
      </c>
      <c r="W708">
        <v>1</v>
      </c>
      <c r="X708" s="4">
        <v>329</v>
      </c>
      <c r="Y708">
        <v>1</v>
      </c>
      <c r="Z708" s="4">
        <v>330</v>
      </c>
      <c r="AA708">
        <v>1</v>
      </c>
      <c r="AB708" s="4" t="str">
        <f>HYPERLINK("http://exon.niaid.nih.gov/transcriptome/C_felis/S1/links/XC-ASB/cf-contig_394-XC-ASB.txt","XC-contig_23")</f>
        <v>XC-contig_23</v>
      </c>
      <c r="AC708">
        <v>1.9999999999999999E-6</v>
      </c>
      <c r="AD708" s="10" t="s">
        <v>4600</v>
      </c>
      <c r="AE708" t="s">
        <v>4601</v>
      </c>
      <c r="AI708" s="4" t="str">
        <f>HYPERLINK("http://exon.niaid.nih.gov/transcriptome/C_felis/S1/links/NR/cf-contig_394-NR.txt","hypothetical protein Mtub2_11812")</f>
        <v>hypothetical protein Mtub2_11812</v>
      </c>
      <c r="AJ708" t="str">
        <f>HYPERLINK("http://www.ncbi.nlm.nih.gov/sutils/blink.cgi?pid=294995171","4E-012")</f>
        <v>4E-012</v>
      </c>
      <c r="AK708" t="str">
        <f>HYPERLINK("http://www.ncbi.nlm.nih.gov/protein/294995171","gi|294995171")</f>
        <v>gi|294995171</v>
      </c>
      <c r="AL708">
        <v>75.099999999999994</v>
      </c>
      <c r="AM708">
        <v>97</v>
      </c>
      <c r="AN708">
        <v>101</v>
      </c>
      <c r="AO708">
        <v>45</v>
      </c>
      <c r="AP708">
        <v>97</v>
      </c>
      <c r="AQ708">
        <v>46</v>
      </c>
      <c r="AR708">
        <v>0</v>
      </c>
      <c r="AS708">
        <v>4</v>
      </c>
      <c r="AT708">
        <v>32</v>
      </c>
      <c r="AU708">
        <v>14</v>
      </c>
      <c r="AV708">
        <v>-2</v>
      </c>
      <c r="AW708" t="s">
        <v>1689</v>
      </c>
      <c r="AX708">
        <v>1.0309999999999999</v>
      </c>
      <c r="AY708" t="s">
        <v>1666</v>
      </c>
      <c r="AZ708" t="s">
        <v>1993</v>
      </c>
      <c r="BA708" s="4" t="str">
        <f>HYPERLINK("http://exon.niaid.nih.gov/transcriptome/C_felis/S1/links/SWISSP/cf-contig_394-SWISSP.txt","Protein PXR1")</f>
        <v>Protein PXR1</v>
      </c>
      <c r="BB708" t="str">
        <f>HYPERLINK("http://www.uniprot.org/uniprot/A5E4P1","3E-007")</f>
        <v>3E-007</v>
      </c>
      <c r="BC708" t="s">
        <v>3060</v>
      </c>
      <c r="BD708">
        <v>53.9</v>
      </c>
      <c r="BE708">
        <v>165</v>
      </c>
      <c r="BF708">
        <v>345</v>
      </c>
      <c r="BG708">
        <v>33</v>
      </c>
      <c r="BH708">
        <v>48</v>
      </c>
      <c r="BI708">
        <v>62</v>
      </c>
      <c r="BJ708">
        <v>0</v>
      </c>
      <c r="BK708">
        <v>0</v>
      </c>
      <c r="BL708">
        <v>0</v>
      </c>
      <c r="BM708">
        <v>31</v>
      </c>
      <c r="BN708">
        <v>3</v>
      </c>
      <c r="BO708" t="s">
        <v>1689</v>
      </c>
      <c r="BP708">
        <v>1.8180000000000001</v>
      </c>
      <c r="BQ708" t="s">
        <v>1676</v>
      </c>
      <c r="BR708" t="s">
        <v>3061</v>
      </c>
      <c r="BS708" s="4" t="str">
        <f>HYPERLINK("http://exon.niaid.nih.gov/transcriptome/C_felis/S1/links/CDD/cf-contig_394-CDD.txt","ND5")</f>
        <v>ND5</v>
      </c>
      <c r="BT708" t="str">
        <f>HYPERLINK("http://www.ncbi.nlm.nih.gov/Structure/cdd/cddsrv.cgi?uid=MTH00095&amp;version=v4.0","2E-008")</f>
        <v>2E-008</v>
      </c>
      <c r="BU708" t="s">
        <v>3062</v>
      </c>
      <c r="BV708" s="4" t="s">
        <v>3063</v>
      </c>
      <c r="BW708">
        <f>HYPERLINK("http://exon.niaid.nih.gov/transcriptome/C_felis/S1/links/GO/cf-contig_394-GO.txt",0.0000005)</f>
        <v>4.9999999999999998E-7</v>
      </c>
      <c r="BX708" t="str">
        <f>HYPERLINK("http://amigo.geneontology.org/cgi-bin/amigo/term_details?term=GO:0003674","GO:0003674")</f>
        <v>GO:0003674</v>
      </c>
      <c r="BY708" t="s">
        <v>1851</v>
      </c>
      <c r="BZ708" t="s">
        <v>1852</v>
      </c>
      <c r="CA708" t="s">
        <v>1853</v>
      </c>
      <c r="CB708" t="s">
        <v>42</v>
      </c>
      <c r="CD708">
        <v>5.0000000000000004E-6</v>
      </c>
      <c r="CE708" t="str">
        <f>HYPERLINK("http://amigo.geneontology.org/cgi-bin/amigo/term_details?term=GO:0031428","GO:0031428")</f>
        <v>GO:0031428</v>
      </c>
      <c r="CF708" t="s">
        <v>3064</v>
      </c>
      <c r="CG708" t="s">
        <v>3065</v>
      </c>
      <c r="CH708" t="s">
        <v>3066</v>
      </c>
      <c r="CI708" t="s">
        <v>42</v>
      </c>
      <c r="CK708">
        <v>5.0000000000000004E-6</v>
      </c>
      <c r="CL708" t="str">
        <f>HYPERLINK("http://amigo.geneontology.org/cgi-bin/amigo/term_details?term=GO:0000472","GO:0000472")</f>
        <v>GO:0000472</v>
      </c>
      <c r="CM708" t="s">
        <v>3067</v>
      </c>
      <c r="CN708" t="s">
        <v>3068</v>
      </c>
      <c r="CO708" t="s">
        <v>3069</v>
      </c>
      <c r="CP708" t="s">
        <v>42</v>
      </c>
      <c r="CR708">
        <v>5.0000000000000004E-6</v>
      </c>
      <c r="CS708" s="4" t="str">
        <f>HYPERLINK("http://exon.niaid.nih.gov/transcriptome/C_felis/S1/links/KOG/cf-contig_394-KOG.txt","Translation initiation factor 5B (eIF-5B)")</f>
        <v>Translation initiation factor 5B (eIF-5B)</v>
      </c>
      <c r="CT708" t="str">
        <f>HYPERLINK("http://www.ncbi.nlm.nih.gov/COG/grace/shokog.cgi?KOG1144","2E-005")</f>
        <v>2E-005</v>
      </c>
      <c r="CU708" t="s">
        <v>1707</v>
      </c>
      <c r="CV708" s="4" t="str">
        <f>HYPERLINK("http://exon.niaid.nih.gov/transcriptome/C_felis/S1/links/PFAM/cf-contig_394-PFAM.txt","7TM_GPCR_Srz")</f>
        <v>7TM_GPCR_Srz</v>
      </c>
      <c r="CW708" t="str">
        <f>HYPERLINK("http://pfam.sanger.ac.uk/family?acc=PF10325","1E-006")</f>
        <v>1E-006</v>
      </c>
      <c r="CX708" s="4" t="str">
        <f>HYPERLINK("http://exon.niaid.nih.gov/transcriptome/C_felis/S1/links/SMART/cf-contig_394-SMART.txt","PSN")</f>
        <v>PSN</v>
      </c>
      <c r="CY708" t="str">
        <f>HYPERLINK("http://smart.embl-heidelberg.de/smart/do_annotation.pl?DOMAIN=PSN&amp;BLAST=DUMMY","1E-005")</f>
        <v>1E-005</v>
      </c>
      <c r="CZ708" s="4" t="s">
        <v>42</v>
      </c>
      <c r="DA708" t="s">
        <v>42</v>
      </c>
      <c r="DB708" t="s">
        <v>42</v>
      </c>
      <c r="DC708" t="s">
        <v>42</v>
      </c>
      <c r="DD708" t="s">
        <v>42</v>
      </c>
      <c r="DE708" t="s">
        <v>42</v>
      </c>
      <c r="DF708" t="s">
        <v>42</v>
      </c>
      <c r="DG708" t="s">
        <v>42</v>
      </c>
      <c r="DH708" s="4" t="s">
        <v>42</v>
      </c>
      <c r="DI708" t="s">
        <v>42</v>
      </c>
      <c r="DJ708" s="4" t="s">
        <v>42</v>
      </c>
      <c r="DK708" t="s">
        <v>42</v>
      </c>
      <c r="DL708" s="4">
        <v>321</v>
      </c>
      <c r="DM708">
        <v>1</v>
      </c>
      <c r="DN708" s="4">
        <v>329</v>
      </c>
      <c r="DO708">
        <v>1</v>
      </c>
      <c r="DP708" s="4">
        <v>330</v>
      </c>
      <c r="DQ708">
        <v>1</v>
      </c>
      <c r="DR708" s="4">
        <v>341</v>
      </c>
      <c r="DS708">
        <v>1</v>
      </c>
      <c r="DT708" s="4">
        <v>351</v>
      </c>
      <c r="DU708">
        <v>1</v>
      </c>
      <c r="DV708" s="4">
        <v>364</v>
      </c>
      <c r="DW708">
        <v>1</v>
      </c>
      <c r="DX708" s="4">
        <v>367</v>
      </c>
      <c r="DY708">
        <v>1</v>
      </c>
      <c r="DZ708" s="4">
        <v>372</v>
      </c>
      <c r="EA708">
        <v>1</v>
      </c>
      <c r="EB708" s="4">
        <v>377</v>
      </c>
      <c r="EC708">
        <v>1</v>
      </c>
      <c r="ED708" s="4">
        <v>381</v>
      </c>
      <c r="EE708">
        <v>1</v>
      </c>
      <c r="EF708" s="4">
        <v>386</v>
      </c>
      <c r="EG708">
        <v>1</v>
      </c>
      <c r="EH708" s="4">
        <v>388</v>
      </c>
      <c r="EI708">
        <v>1</v>
      </c>
      <c r="EJ708" s="4">
        <v>394</v>
      </c>
      <c r="EK708">
        <v>1</v>
      </c>
    </row>
    <row r="709" spans="1:141" x14ac:dyDescent="0.2">
      <c r="A709" t="str">
        <f>HYPERLINK("http://exon.niaid.nih.gov/transcriptome/C_felis/S1/links/cf/cf-contig_805.txt","cf-contig_805")</f>
        <v>cf-contig_805</v>
      </c>
      <c r="B709">
        <v>1</v>
      </c>
      <c r="C709" s="10" t="s">
        <v>4600</v>
      </c>
      <c r="D709">
        <v>1</v>
      </c>
      <c r="E709" t="str">
        <f>HYPERLINK("http://exon.niaid.nih.gov/transcriptome/C_felis/S1/links/cf/cf-5-36-asb-805.txt","Contig-805")</f>
        <v>Contig-805</v>
      </c>
      <c r="F709" t="str">
        <f>HYPERLINK("http://exon.niaid.nih.gov/transcriptome/C_felis/S1/links/cf/cf-5-36-805-CLU.txt","Contig805")</f>
        <v>Contig805</v>
      </c>
      <c r="G709" t="str">
        <f>HYPERLINK("http://exon.niaid.nih.gov/transcriptome/C_felis/S1/links/cf/cf-5-36-805-qual.txt","41.7")</f>
        <v>41.7</v>
      </c>
      <c r="H709" t="s">
        <v>11</v>
      </c>
      <c r="I709">
        <v>77.3</v>
      </c>
      <c r="J709">
        <v>133</v>
      </c>
      <c r="K709" t="s">
        <v>12</v>
      </c>
      <c r="L709">
        <v>1</v>
      </c>
      <c r="M709" t="s">
        <v>818</v>
      </c>
      <c r="N709">
        <v>232</v>
      </c>
      <c r="O709">
        <v>251</v>
      </c>
      <c r="P709">
        <v>165</v>
      </c>
      <c r="Q709" t="s">
        <v>1624</v>
      </c>
      <c r="R709">
        <v>1</v>
      </c>
      <c r="S709" s="7" t="s">
        <v>4585</v>
      </c>
      <c r="U709">
        <v>1</v>
      </c>
      <c r="V709" s="4">
        <f>HYPERLINK("http://exon.niaid.nih.gov/transcriptome/C_felis/S1/links/cluster/cf-5-36-asb30-50-Id-CLU4.txt", 4)</f>
        <v>4</v>
      </c>
      <c r="W709">
        <f>HYPERLINK("http://exon.niaid.nih.gov/transcriptome/C_felis/S1/links/cluster/cf-5-36-asb30-50-Id-CLTL4.txt", 6)</f>
        <v>6</v>
      </c>
      <c r="X709" s="4">
        <v>669</v>
      </c>
      <c r="Y709">
        <v>1</v>
      </c>
      <c r="Z709" s="4">
        <v>685</v>
      </c>
      <c r="AA709">
        <v>1</v>
      </c>
      <c r="AB709" s="4" t="str">
        <f>HYPERLINK("http://exon.niaid.nih.gov/transcriptome/C_felis/S1/links/XC-ASB/cf-contig_805-XC-ASB.txt","XC-contig_206")</f>
        <v>XC-contig_206</v>
      </c>
      <c r="AC709">
        <v>2.9999999999999999E-7</v>
      </c>
      <c r="AD709" s="10" t="s">
        <v>4600</v>
      </c>
      <c r="AE709" t="s">
        <v>4601</v>
      </c>
      <c r="AI709" s="4" t="str">
        <f>HYPERLINK("http://exon.niaid.nih.gov/transcriptome/C_felis/S1/links/NR/cf-contig_805-NR.txt","hypothetical protein Mtub2_11812")</f>
        <v>hypothetical protein Mtub2_11812</v>
      </c>
      <c r="AJ709" t="str">
        <f>HYPERLINK("http://www.ncbi.nlm.nih.gov/sutils/blink.cgi?pid=294995171","2E-010")</f>
        <v>2E-010</v>
      </c>
      <c r="AK709" t="str">
        <f>HYPERLINK("http://www.ncbi.nlm.nih.gov/protein/294995171","gi|294995171")</f>
        <v>gi|294995171</v>
      </c>
      <c r="AL709">
        <v>69.7</v>
      </c>
      <c r="AM709">
        <v>94</v>
      </c>
      <c r="AN709">
        <v>101</v>
      </c>
      <c r="AO709">
        <v>48</v>
      </c>
      <c r="AP709">
        <v>94</v>
      </c>
      <c r="AQ709">
        <v>37</v>
      </c>
      <c r="AR709">
        <v>0</v>
      </c>
      <c r="AS709">
        <v>0</v>
      </c>
      <c r="AT709">
        <v>0</v>
      </c>
      <c r="AU709">
        <v>26</v>
      </c>
      <c r="AV709">
        <v>-2</v>
      </c>
      <c r="AW709" t="s">
        <v>1689</v>
      </c>
      <c r="AX709">
        <v>1.0640000000000001</v>
      </c>
      <c r="AY709" t="s">
        <v>1666</v>
      </c>
      <c r="AZ709" t="s">
        <v>1993</v>
      </c>
      <c r="BA709" s="4" t="str">
        <f>HYPERLINK("http://exon.niaid.nih.gov/transcriptome/C_felis/S1/links/SWISSP/cf-contig_805-SWISSP.txt","Protein PXR1")</f>
        <v>Protein PXR1</v>
      </c>
      <c r="BB709" t="str">
        <f>HYPERLINK("http://www.uniprot.org/uniprot/A5E4P1","1E-008")</f>
        <v>1E-008</v>
      </c>
      <c r="BC709" t="s">
        <v>3060</v>
      </c>
      <c r="BD709">
        <v>58.5</v>
      </c>
      <c r="BE709">
        <v>147</v>
      </c>
      <c r="BF709">
        <v>345</v>
      </c>
      <c r="BG709">
        <v>38</v>
      </c>
      <c r="BH709">
        <v>43</v>
      </c>
      <c r="BI709">
        <v>46</v>
      </c>
      <c r="BJ709">
        <v>0</v>
      </c>
      <c r="BK709">
        <v>152</v>
      </c>
      <c r="BL709">
        <v>5</v>
      </c>
      <c r="BM709">
        <v>20</v>
      </c>
      <c r="BN709">
        <v>3</v>
      </c>
      <c r="BO709" t="s">
        <v>1689</v>
      </c>
      <c r="BP709">
        <v>2.0409999999999999</v>
      </c>
      <c r="BQ709" t="s">
        <v>1676</v>
      </c>
      <c r="BR709" t="s">
        <v>3061</v>
      </c>
      <c r="BS709" s="4" t="str">
        <f>HYPERLINK("http://exon.niaid.nih.gov/transcriptome/C_felis/S1/links/CDD/cf-contig_805-CDD.txt","ND4")</f>
        <v>ND4</v>
      </c>
      <c r="BT709" t="str">
        <f>HYPERLINK("http://www.ncbi.nlm.nih.gov/Structure/cdd/cddsrv.cgi?uid=MTH00163&amp;version=v4.0","7E-009")</f>
        <v>7E-009</v>
      </c>
      <c r="BU709" t="s">
        <v>4575</v>
      </c>
      <c r="BV709" s="4" t="s">
        <v>3063</v>
      </c>
      <c r="BW709">
        <f>HYPERLINK("http://exon.niaid.nih.gov/transcriptome/C_felis/S1/links/GO/cf-contig_805-GO.txt",0.000000007)</f>
        <v>6.9999999999999998E-9</v>
      </c>
      <c r="BX709" t="str">
        <f>HYPERLINK("http://amigo.geneontology.org/cgi-bin/amigo/term_details?term=GO:0003674","GO:0003674")</f>
        <v>GO:0003674</v>
      </c>
      <c r="BY709" t="s">
        <v>1851</v>
      </c>
      <c r="BZ709" t="s">
        <v>1852</v>
      </c>
      <c r="CA709" t="s">
        <v>1853</v>
      </c>
      <c r="CB709" t="s">
        <v>42</v>
      </c>
      <c r="CD709">
        <v>1.9999999999999999E-7</v>
      </c>
      <c r="CE709" t="str">
        <f>HYPERLINK("http://amigo.geneontology.org/cgi-bin/amigo/term_details?term=GO:0016020","GO:0016020")</f>
        <v>GO:0016020</v>
      </c>
      <c r="CF709" t="s">
        <v>2444</v>
      </c>
      <c r="CG709" t="s">
        <v>2445</v>
      </c>
      <c r="CH709" t="s">
        <v>42</v>
      </c>
      <c r="CI709" t="s">
        <v>42</v>
      </c>
      <c r="CK709">
        <v>1.9999999999999999E-7</v>
      </c>
      <c r="CL709" t="str">
        <f>HYPERLINK("http://amigo.geneontology.org/cgi-bin/amigo/term_details?term=GO:0006493","GO:0006493")</f>
        <v>GO:0006493</v>
      </c>
      <c r="CM709" t="s">
        <v>4576</v>
      </c>
      <c r="CN709" t="s">
        <v>4577</v>
      </c>
      <c r="CO709" t="s">
        <v>4578</v>
      </c>
      <c r="CP709" t="s">
        <v>42</v>
      </c>
      <c r="CR709">
        <v>1.9999999999999999E-7</v>
      </c>
      <c r="CS709" s="4" t="str">
        <f>HYPERLINK("http://exon.niaid.nih.gov/transcriptome/C_felis/S1/links/KOG/cf-contig_805-KOG.txt","Chromatin assembly factor-I")</f>
        <v>Chromatin assembly factor-I</v>
      </c>
      <c r="CT709" t="str">
        <f>HYPERLINK("http://www.ncbi.nlm.nih.gov/COG/grace/shokog.cgi?KOG4364","5E-006")</f>
        <v>5E-006</v>
      </c>
      <c r="CU709" t="s">
        <v>2096</v>
      </c>
      <c r="CV709" s="4" t="str">
        <f>HYPERLINK("http://exon.niaid.nih.gov/transcriptome/C_felis/S1/links/PFAM/cf-contig_805-PFAM.txt","PIG-U")</f>
        <v>PIG-U</v>
      </c>
      <c r="CW709" t="str">
        <f>HYPERLINK("http://pfam.sanger.ac.uk/family?acc=PF06728","5E-007")</f>
        <v>5E-007</v>
      </c>
      <c r="CX709" s="4" t="str">
        <f>HYPERLINK("http://exon.niaid.nih.gov/transcriptome/C_felis/S1/links/SMART/cf-contig_805-SMART.txt","PSN")</f>
        <v>PSN</v>
      </c>
      <c r="CY709" t="str">
        <f>HYPERLINK("http://smart.embl-heidelberg.de/smart/do_annotation.pl?DOMAIN=PSN&amp;BLAST=DUMMY","7E-005")</f>
        <v>7E-005</v>
      </c>
      <c r="CZ709" s="4" t="s">
        <v>42</v>
      </c>
      <c r="DA709" t="s">
        <v>42</v>
      </c>
      <c r="DB709" t="s">
        <v>42</v>
      </c>
      <c r="DC709" t="s">
        <v>42</v>
      </c>
      <c r="DD709" t="s">
        <v>42</v>
      </c>
      <c r="DE709" t="s">
        <v>42</v>
      </c>
      <c r="DF709" t="s">
        <v>42</v>
      </c>
      <c r="DG709" t="s">
        <v>42</v>
      </c>
      <c r="DH709" s="4" t="s">
        <v>42</v>
      </c>
      <c r="DI709" t="s">
        <v>42</v>
      </c>
      <c r="DJ709" s="4" t="s">
        <v>42</v>
      </c>
      <c r="DK709" t="s">
        <v>42</v>
      </c>
      <c r="DL709" s="4">
        <f>HYPERLINK("http://exon.niaid.nih.gov/transcriptome/C_felis/S1/links/cluster/cf-5-36-asb30-50-Id-CLU4.txt", 4)</f>
        <v>4</v>
      </c>
      <c r="DM709">
        <f>HYPERLINK("http://exon.niaid.nih.gov/transcriptome/C_felis/S1/links/cluster/cf-5-36-asb30-50-Id-CLTL4.txt", 6)</f>
        <v>6</v>
      </c>
      <c r="DN709" s="4">
        <v>669</v>
      </c>
      <c r="DO709">
        <v>1</v>
      </c>
      <c r="DP709" s="4">
        <v>685</v>
      </c>
      <c r="DQ709">
        <v>1</v>
      </c>
      <c r="DR709" s="4">
        <v>707</v>
      </c>
      <c r="DS709">
        <v>1</v>
      </c>
      <c r="DT709" s="4">
        <v>723</v>
      </c>
      <c r="DU709">
        <v>1</v>
      </c>
      <c r="DV709" s="4">
        <v>738</v>
      </c>
      <c r="DW709">
        <v>1</v>
      </c>
      <c r="DX709" s="4">
        <v>752</v>
      </c>
      <c r="DY709">
        <v>1</v>
      </c>
      <c r="DZ709" s="4">
        <v>765</v>
      </c>
      <c r="EA709">
        <v>1</v>
      </c>
      <c r="EB709" s="4">
        <v>772</v>
      </c>
      <c r="EC709">
        <v>1</v>
      </c>
      <c r="ED709" s="4">
        <v>777</v>
      </c>
      <c r="EE709">
        <v>1</v>
      </c>
      <c r="EF709" s="4">
        <v>784</v>
      </c>
      <c r="EG709">
        <v>1</v>
      </c>
      <c r="EH709" s="4">
        <v>796</v>
      </c>
      <c r="EI709">
        <v>1</v>
      </c>
      <c r="EJ709" s="4">
        <v>805</v>
      </c>
      <c r="EK709">
        <v>1</v>
      </c>
    </row>
    <row r="710" spans="1:141" x14ac:dyDescent="0.2">
      <c r="A710" t="str">
        <f>HYPERLINK("http://exon.niaid.nih.gov/transcriptome/C_felis/S1/links/cf/cf-contig_748.txt","cf-contig_748")</f>
        <v>cf-contig_748</v>
      </c>
      <c r="B710">
        <v>1</v>
      </c>
      <c r="C710" s="10" t="s">
        <v>4600</v>
      </c>
      <c r="D710">
        <v>1</v>
      </c>
      <c r="E710" t="str">
        <f>HYPERLINK("http://exon.niaid.nih.gov/transcriptome/C_felis/S1/links/cf/cf-5-36-asb-748.txt","Contig-748")</f>
        <v>Contig-748</v>
      </c>
      <c r="F710" t="str">
        <f>HYPERLINK("http://exon.niaid.nih.gov/transcriptome/C_felis/S1/links/cf/cf-5-36-748-CLU.txt","Contig748")</f>
        <v>Contig748</v>
      </c>
      <c r="G710" t="str">
        <f>HYPERLINK("http://exon.niaid.nih.gov/transcriptome/C_felis/S1/links/cf/cf-5-36-748-qual.txt","28.2")</f>
        <v>28.2</v>
      </c>
      <c r="H710" t="s">
        <v>11</v>
      </c>
      <c r="I710">
        <v>77.2</v>
      </c>
      <c r="J710">
        <v>139</v>
      </c>
      <c r="K710" t="s">
        <v>12</v>
      </c>
      <c r="L710">
        <v>1</v>
      </c>
      <c r="M710" t="s">
        <v>761</v>
      </c>
      <c r="N710">
        <v>139</v>
      </c>
      <c r="O710">
        <v>158</v>
      </c>
      <c r="P710">
        <v>96</v>
      </c>
      <c r="Q710" t="s">
        <v>1567</v>
      </c>
      <c r="R710">
        <v>3</v>
      </c>
      <c r="S710" s="7" t="s">
        <v>4585</v>
      </c>
      <c r="U710">
        <v>1</v>
      </c>
      <c r="V710" s="4">
        <f>HYPERLINK("http://exon.niaid.nih.gov/transcriptome/C_felis/S1/links/cluster/cf-5-36-asb30-50-Id-CLU4.txt", 4)</f>
        <v>4</v>
      </c>
      <c r="W710">
        <f>HYPERLINK("http://exon.niaid.nih.gov/transcriptome/C_felis/S1/links/cluster/cf-5-36-asb30-50-Id-CLTL4.txt", 6)</f>
        <v>6</v>
      </c>
      <c r="X710" s="4">
        <v>622</v>
      </c>
      <c r="Y710">
        <v>1</v>
      </c>
      <c r="Z710" s="4">
        <v>636</v>
      </c>
      <c r="AA710">
        <v>1</v>
      </c>
      <c r="AB710" s="4" t="str">
        <f>HYPERLINK("http://exon.niaid.nih.gov/transcriptome/C_felis/S1/links/XC-ASB/cf-contig_748-XC-ASB.txt","XC-contig_23")</f>
        <v>XC-contig_23</v>
      </c>
      <c r="AC710">
        <v>1.9999999999999999E-6</v>
      </c>
      <c r="AD710" s="10" t="s">
        <v>4600</v>
      </c>
      <c r="AE710" t="s">
        <v>4601</v>
      </c>
      <c r="AI710" s="4" t="str">
        <f>HYPERLINK("http://exon.niaid.nih.gov/transcriptome/C_felis/S1/links/NR/cf-contig_748-NR.txt","hypothetical protein Mtub2_20673")</f>
        <v>hypothetical protein Mtub2_20673</v>
      </c>
      <c r="AJ710" t="str">
        <f>HYPERLINK("http://www.ncbi.nlm.nih.gov/sutils/blink.cgi?pid=294996847","2E-005")</f>
        <v>2E-005</v>
      </c>
      <c r="AK710" t="str">
        <f>HYPERLINK("http://www.ncbi.nlm.nih.gov/protein/294996847","gi|294996847")</f>
        <v>gi|294996847</v>
      </c>
      <c r="AL710">
        <v>52.8</v>
      </c>
      <c r="AM710">
        <v>316</v>
      </c>
      <c r="AN710">
        <v>345</v>
      </c>
      <c r="AO710">
        <v>53</v>
      </c>
      <c r="AP710">
        <v>92</v>
      </c>
      <c r="AQ710">
        <v>21</v>
      </c>
      <c r="AR710">
        <v>0</v>
      </c>
      <c r="AS710">
        <v>0</v>
      </c>
      <c r="AT710">
        <v>0</v>
      </c>
      <c r="AU710">
        <v>200</v>
      </c>
      <c r="AV710">
        <v>-3</v>
      </c>
      <c r="AW710" t="s">
        <v>1689</v>
      </c>
      <c r="AY710" t="s">
        <v>1666</v>
      </c>
      <c r="AZ710" t="s">
        <v>1993</v>
      </c>
      <c r="BA710" s="4" t="str">
        <f>HYPERLINK("http://exon.niaid.nih.gov/transcriptome/C_felis/S1/links/SWISSP/cf-contig_748-SWISSP.txt","Protein PXR1")</f>
        <v>Protein PXR1</v>
      </c>
      <c r="BB710" t="str">
        <f>HYPERLINK("http://www.uniprot.org/uniprot/A5E4P1","1E-004")</f>
        <v>1E-004</v>
      </c>
      <c r="BC710" t="s">
        <v>3060</v>
      </c>
      <c r="BD710">
        <v>45.1</v>
      </c>
      <c r="BE710">
        <v>120</v>
      </c>
      <c r="BF710">
        <v>345</v>
      </c>
      <c r="BG710">
        <v>53</v>
      </c>
      <c r="BH710">
        <v>35</v>
      </c>
      <c r="BI710">
        <v>20</v>
      </c>
      <c r="BJ710">
        <v>0</v>
      </c>
      <c r="BK710">
        <v>0</v>
      </c>
      <c r="BL710">
        <v>0</v>
      </c>
      <c r="BM710">
        <v>25</v>
      </c>
      <c r="BN710">
        <v>1</v>
      </c>
      <c r="BO710" t="s">
        <v>12</v>
      </c>
      <c r="BP710">
        <v>1.667</v>
      </c>
      <c r="BQ710" t="s">
        <v>1676</v>
      </c>
      <c r="BR710" t="s">
        <v>3061</v>
      </c>
      <c r="BS710" s="4" t="str">
        <f>HYPERLINK("http://exon.niaid.nih.gov/transcriptome/C_felis/S1/links/CDD/cf-contig_748-CDD.txt","ND4")</f>
        <v>ND4</v>
      </c>
      <c r="BT710" t="str">
        <f>HYPERLINK("http://www.ncbi.nlm.nih.gov/Structure/cdd/cddsrv.cgi?uid=MTH00163&amp;version=v4.0","1E-006")</f>
        <v>1E-006</v>
      </c>
      <c r="BU710" t="s">
        <v>4386</v>
      </c>
      <c r="BV710" s="4" t="s">
        <v>3063</v>
      </c>
      <c r="BW710">
        <f>HYPERLINK("http://exon.niaid.nih.gov/transcriptome/C_felis/S1/links/GO/cf-contig_748-GO.txt",0.00004)</f>
        <v>4.0000000000000003E-5</v>
      </c>
      <c r="BX710" t="str">
        <f>HYPERLINK("http://amigo.geneontology.org/cgi-bin/amigo/term_details?term=GO:0005086","GO:0005086")</f>
        <v>GO:0005086</v>
      </c>
      <c r="BY710" t="s">
        <v>2950</v>
      </c>
      <c r="BZ710" t="s">
        <v>2951</v>
      </c>
      <c r="CA710" t="s">
        <v>42</v>
      </c>
      <c r="CB710" t="s">
        <v>42</v>
      </c>
      <c r="CD710">
        <v>4.0000000000000003E-5</v>
      </c>
      <c r="CE710" t="str">
        <f>HYPERLINK("http://amigo.geneontology.org/cgi-bin/amigo/term_details?term=GO:0005737","GO:0005737")</f>
        <v>GO:0005737</v>
      </c>
      <c r="CF710" t="s">
        <v>1966</v>
      </c>
      <c r="CG710" t="s">
        <v>1967</v>
      </c>
      <c r="CH710" t="s">
        <v>42</v>
      </c>
      <c r="CI710" t="s">
        <v>42</v>
      </c>
      <c r="CK710">
        <v>4.0000000000000003E-5</v>
      </c>
      <c r="CL710" t="str">
        <f>HYPERLINK("http://amigo.geneontology.org/cgi-bin/amigo/term_details?term=GO:0016192","GO:0016192")</f>
        <v>GO:0016192</v>
      </c>
      <c r="CM710" t="s">
        <v>3112</v>
      </c>
      <c r="CN710" t="s">
        <v>3113</v>
      </c>
      <c r="CO710" t="s">
        <v>3114</v>
      </c>
      <c r="CP710" t="s">
        <v>42</v>
      </c>
      <c r="CR710">
        <v>4.0000000000000003E-5</v>
      </c>
      <c r="CS710" s="4" t="str">
        <f>HYPERLINK("http://exon.niaid.nih.gov/transcriptome/C_felis/S1/links/KOG/cf-contig_748-KOG.txt","Telomerase elongation inhibitor/RNA maturation protein PINX1")</f>
        <v>Telomerase elongation inhibitor/RNA maturation protein PINX1</v>
      </c>
      <c r="CT710" t="str">
        <f>HYPERLINK("http://www.ncbi.nlm.nih.gov/COG/grace/shokog.cgi?KOG2809","3E-004")</f>
        <v>3E-004</v>
      </c>
      <c r="CU710" t="s">
        <v>3516</v>
      </c>
      <c r="CV710" s="4" t="str">
        <f>HYPERLINK("http://exon.niaid.nih.gov/transcriptome/C_felis/S1/links/PFAM/cf-contig_748-PFAM.txt","RNA_polI_A34")</f>
        <v>RNA_polI_A34</v>
      </c>
      <c r="CW710" t="str">
        <f>HYPERLINK("http://pfam.sanger.ac.uk/family?acc=PF08208","4E-005")</f>
        <v>4E-005</v>
      </c>
      <c r="CX710" s="4" t="str">
        <f>HYPERLINK("http://exon.niaid.nih.gov/transcriptome/C_felis/S1/links/SMART/cf-contig_748-SMART.txt","PSN")</f>
        <v>PSN</v>
      </c>
      <c r="CY710" t="str">
        <f>HYPERLINK("http://smart.embl-heidelberg.de/smart/do_annotation.pl?DOMAIN=PSN&amp;BLAST=DUMMY","2E-004")</f>
        <v>2E-004</v>
      </c>
      <c r="CZ710" s="4" t="s">
        <v>42</v>
      </c>
      <c r="DA710" t="s">
        <v>42</v>
      </c>
      <c r="DB710" t="s">
        <v>42</v>
      </c>
      <c r="DC710" t="s">
        <v>42</v>
      </c>
      <c r="DD710" t="s">
        <v>42</v>
      </c>
      <c r="DE710" t="s">
        <v>42</v>
      </c>
      <c r="DF710" t="s">
        <v>42</v>
      </c>
      <c r="DG710" t="s">
        <v>42</v>
      </c>
      <c r="DH710" s="4" t="s">
        <v>42</v>
      </c>
      <c r="DI710" t="s">
        <v>42</v>
      </c>
      <c r="DJ710" s="4" t="s">
        <v>42</v>
      </c>
      <c r="DK710" t="s">
        <v>42</v>
      </c>
      <c r="DL710" s="4">
        <f>HYPERLINK("http://exon.niaid.nih.gov/transcriptome/C_felis/S1/links/cluster/cf-5-36-asb30-50-Id-CLU4.txt", 4)</f>
        <v>4</v>
      </c>
      <c r="DM710">
        <f>HYPERLINK("http://exon.niaid.nih.gov/transcriptome/C_felis/S1/links/cluster/cf-5-36-asb30-50-Id-CLTL4.txt", 6)</f>
        <v>6</v>
      </c>
      <c r="DN710" s="4">
        <v>622</v>
      </c>
      <c r="DO710">
        <v>1</v>
      </c>
      <c r="DP710" s="4">
        <v>636</v>
      </c>
      <c r="DQ710">
        <v>1</v>
      </c>
      <c r="DR710" s="4">
        <v>658</v>
      </c>
      <c r="DS710">
        <v>1</v>
      </c>
      <c r="DT710" s="4">
        <v>673</v>
      </c>
      <c r="DU710">
        <v>1</v>
      </c>
      <c r="DV710" s="4">
        <v>688</v>
      </c>
      <c r="DW710">
        <v>1</v>
      </c>
      <c r="DX710" s="4">
        <v>700</v>
      </c>
      <c r="DY710">
        <v>1</v>
      </c>
      <c r="DZ710" s="4">
        <v>711</v>
      </c>
      <c r="EA710">
        <v>1</v>
      </c>
      <c r="EB710" s="4">
        <v>717</v>
      </c>
      <c r="EC710">
        <v>1</v>
      </c>
      <c r="ED710" s="4">
        <v>722</v>
      </c>
      <c r="EE710">
        <v>1</v>
      </c>
      <c r="EF710" s="4">
        <v>728</v>
      </c>
      <c r="EG710">
        <v>1</v>
      </c>
      <c r="EH710" s="4">
        <v>739</v>
      </c>
      <c r="EI710">
        <v>1</v>
      </c>
      <c r="EJ710" s="4">
        <v>748</v>
      </c>
      <c r="EK710">
        <v>1</v>
      </c>
    </row>
    <row r="711" spans="1:141" x14ac:dyDescent="0.2">
      <c r="A711" t="str">
        <f>HYPERLINK("http://exon.niaid.nih.gov/transcriptome/C_felis/S1/links/cf/cf-contig_76.txt","cf-contig_76")</f>
        <v>cf-contig_76</v>
      </c>
      <c r="B711">
        <v>11</v>
      </c>
      <c r="C711" s="10" t="s">
        <v>4600</v>
      </c>
      <c r="D711">
        <v>11</v>
      </c>
      <c r="E711" t="str">
        <f>HYPERLINK("http://exon.niaid.nih.gov/transcriptome/C_felis/S1/links/cf/cf-5-36-asb-76.txt","Contig-76")</f>
        <v>Contig-76</v>
      </c>
      <c r="F711" t="str">
        <f>HYPERLINK("http://exon.niaid.nih.gov/transcriptome/C_felis/S1/links/cf/cf-5-36-76-CLU.txt","Contig76")</f>
        <v>Contig76</v>
      </c>
      <c r="G711" t="str">
        <f>HYPERLINK("http://exon.niaid.nih.gov/transcriptome/C_felis/S1/links/cf/cf-5-36-76-qual.txt","93.5")</f>
        <v>93.5</v>
      </c>
      <c r="H711" t="s">
        <v>11</v>
      </c>
      <c r="I711">
        <v>69.900000000000006</v>
      </c>
      <c r="J711">
        <v>315</v>
      </c>
      <c r="K711" t="s">
        <v>12</v>
      </c>
      <c r="L711">
        <v>11</v>
      </c>
      <c r="M711" t="s">
        <v>89</v>
      </c>
      <c r="N711">
        <v>320</v>
      </c>
      <c r="O711">
        <v>335</v>
      </c>
      <c r="P711">
        <v>195</v>
      </c>
      <c r="Q711" t="s">
        <v>896</v>
      </c>
      <c r="R711">
        <v>3</v>
      </c>
      <c r="S711" s="7" t="str">
        <f>HYPERLINK("http://exon.niaid.nih.gov/transcriptome/C_felis/S1/links/Sigp/CF-CONTIG_76-SigP.txt","Cyt")</f>
        <v>Cyt</v>
      </c>
      <c r="U711">
        <v>11</v>
      </c>
      <c r="V711" s="4">
        <f>HYPERLINK("http://exon.niaid.nih.gov/transcriptome/C_felis/S1/links/cluster/cf-5-36-asb30-50-Id-CLU16.txt", 16)</f>
        <v>16</v>
      </c>
      <c r="W711">
        <f>HYPERLINK("http://exon.niaid.nih.gov/transcriptome/C_felis/S1/links/cluster/cf-5-36-asb30-50-Id-CLTL16.txt", 3)</f>
        <v>3</v>
      </c>
      <c r="X711" s="4">
        <f>HYPERLINK("http://exon.niaid.nih.gov/transcriptome/C_felis/S1/links/cluster/cf-5-36-asb35-50-Id-CLU14.txt", 14)</f>
        <v>14</v>
      </c>
      <c r="Y711">
        <f>HYPERLINK("http://exon.niaid.nih.gov/transcriptome/C_felis/S1/links/cluster/cf-5-36-asb35-50-Id-CLTL14.txt", 3)</f>
        <v>3</v>
      </c>
      <c r="Z711" s="4">
        <f>HYPERLINK("http://exon.niaid.nih.gov/transcriptome/C_felis/S1/links/cluster/cf-5-36-asb40-50-Id-CLU14.txt", 14)</f>
        <v>14</v>
      </c>
      <c r="AA711">
        <f>HYPERLINK("http://exon.niaid.nih.gov/transcriptome/C_felis/S1/links/cluster/cf-5-36-asb40-50-Id-CLTL14.txt", 3)</f>
        <v>3</v>
      </c>
      <c r="AB711" s="4" t="str">
        <f>HYPERLINK("http://exon.niaid.nih.gov/transcriptome/C_felis/S1/links/XC-ASB/cf-contig_76-XC-ASB.txt","XC-contig_71")</f>
        <v>XC-contig_71</v>
      </c>
      <c r="AC711">
        <v>3.5000000000000003E-2</v>
      </c>
      <c r="AD711" s="10" t="s">
        <v>4600</v>
      </c>
      <c r="AE711" t="s">
        <v>4601</v>
      </c>
      <c r="AI711" s="4" t="str">
        <f>HYPERLINK("http://exon.niaid.nih.gov/transcriptome/C_felis/S1/links/NR/cf-contig_76-NR.txt","ABC transporter permease")</f>
        <v>ABC transporter permease</v>
      </c>
      <c r="AJ711" t="str">
        <f>HYPERLINK("http://www.ncbi.nlm.nih.gov/sutils/blink.cgi?pid=15828536","2.5")</f>
        <v>2.5</v>
      </c>
      <c r="AK711" t="str">
        <f>HYPERLINK("http://www.ncbi.nlm.nih.gov/protein/15828536","gi|15828536")</f>
        <v>gi|15828536</v>
      </c>
      <c r="AL711">
        <v>35.799999999999997</v>
      </c>
      <c r="AM711">
        <v>72</v>
      </c>
      <c r="AN711">
        <v>474</v>
      </c>
      <c r="AO711">
        <v>26</v>
      </c>
      <c r="AP711">
        <v>15</v>
      </c>
      <c r="AQ711">
        <v>55</v>
      </c>
      <c r="AR711">
        <v>0</v>
      </c>
      <c r="AS711">
        <v>275</v>
      </c>
      <c r="AT711">
        <v>51</v>
      </c>
      <c r="AU711">
        <v>1</v>
      </c>
      <c r="AV711">
        <v>3</v>
      </c>
      <c r="AW711" t="s">
        <v>12</v>
      </c>
      <c r="AX711">
        <v>2.778</v>
      </c>
      <c r="AY711" t="s">
        <v>1676</v>
      </c>
      <c r="AZ711" t="s">
        <v>1942</v>
      </c>
      <c r="BA711" s="4" t="str">
        <f>HYPERLINK("http://exon.niaid.nih.gov/transcriptome/C_felis/S1/links/SWISSP/cf-contig_76-SWISSP.txt","Protein ycf2")</f>
        <v>Protein ycf2</v>
      </c>
      <c r="BB711" t="str">
        <f>HYPERLINK("http://www.uniprot.org/uniprot/P61243","2.8")</f>
        <v>2.8</v>
      </c>
      <c r="BC711" t="s">
        <v>1943</v>
      </c>
      <c r="BD711">
        <v>30.8</v>
      </c>
      <c r="BE711">
        <v>23</v>
      </c>
      <c r="BF711">
        <v>2259</v>
      </c>
      <c r="BG711">
        <v>50</v>
      </c>
      <c r="BH711">
        <v>1</v>
      </c>
      <c r="BI711">
        <v>12</v>
      </c>
      <c r="BJ711">
        <v>0</v>
      </c>
      <c r="BK711">
        <v>1235</v>
      </c>
      <c r="BL711">
        <v>121</v>
      </c>
      <c r="BM711">
        <v>1</v>
      </c>
      <c r="BN711">
        <v>1</v>
      </c>
      <c r="BO711" t="s">
        <v>12</v>
      </c>
      <c r="BP711">
        <v>4.3479999999999999</v>
      </c>
      <c r="BQ711" t="s">
        <v>1676</v>
      </c>
      <c r="BR711" t="s">
        <v>1944</v>
      </c>
      <c r="BS711" s="4" t="str">
        <f>HYPERLINK("http://exon.niaid.nih.gov/transcriptome/C_felis/S1/links/CDD/cf-contig_76-CDD.txt","COG4906")</f>
        <v>COG4906</v>
      </c>
      <c r="BT711" t="str">
        <f>HYPERLINK("http://www.ncbi.nlm.nih.gov/Structure/cdd/cddsrv.cgi?uid=COG4906&amp;version=v4.0","0.045")</f>
        <v>0.045</v>
      </c>
      <c r="BU711" t="s">
        <v>1945</v>
      </c>
      <c r="BV711" s="4" t="s">
        <v>42</v>
      </c>
      <c r="BW711" t="s">
        <v>42</v>
      </c>
      <c r="BX711" t="s">
        <v>42</v>
      </c>
      <c r="BY711" t="s">
        <v>42</v>
      </c>
      <c r="BZ711" t="s">
        <v>42</v>
      </c>
      <c r="CA711" t="s">
        <v>42</v>
      </c>
      <c r="CB711" t="s">
        <v>42</v>
      </c>
      <c r="CC711" t="s">
        <v>42</v>
      </c>
      <c r="CD711" t="s">
        <v>42</v>
      </c>
      <c r="CE711" t="s">
        <v>42</v>
      </c>
      <c r="CF711" t="s">
        <v>42</v>
      </c>
      <c r="CG711" t="s">
        <v>42</v>
      </c>
      <c r="CH711" t="s">
        <v>42</v>
      </c>
      <c r="CI711" t="s">
        <v>42</v>
      </c>
      <c r="CJ711" t="s">
        <v>42</v>
      </c>
      <c r="CK711" t="s">
        <v>42</v>
      </c>
      <c r="CL711" t="s">
        <v>42</v>
      </c>
      <c r="CM711" t="s">
        <v>42</v>
      </c>
      <c r="CN711" t="s">
        <v>42</v>
      </c>
      <c r="CO711" t="s">
        <v>42</v>
      </c>
      <c r="CP711" t="s">
        <v>42</v>
      </c>
      <c r="CQ711" t="s">
        <v>42</v>
      </c>
      <c r="CR711" t="s">
        <v>42</v>
      </c>
      <c r="CS711" s="4" t="str">
        <f>HYPERLINK("http://exon.niaid.nih.gov/transcriptome/C_felis/S1/links/KOG/cf-contig_76-KOG.txt","Predicted small molecule transporter")</f>
        <v>Predicted small molecule transporter</v>
      </c>
      <c r="CT711" t="str">
        <f>HYPERLINK("http://www.ncbi.nlm.nih.gov/COG/grace/shokog.cgi?KOG1162","0.87")</f>
        <v>0.87</v>
      </c>
      <c r="CU711" t="s">
        <v>1686</v>
      </c>
      <c r="CV711" s="4" t="str">
        <f>HYPERLINK("http://exon.niaid.nih.gov/transcriptome/C_felis/S1/links/PFAM/cf-contig_76-PFAM.txt","Calc_CGRP_IAPP")</f>
        <v>Calc_CGRP_IAPP</v>
      </c>
      <c r="CW711" t="str">
        <f>HYPERLINK("http://pfam.sanger.ac.uk/family?acc=PF00214","0.013")</f>
        <v>0.013</v>
      </c>
      <c r="CX711" s="4" t="str">
        <f>HYPERLINK("http://exon.niaid.nih.gov/transcriptome/C_felis/S1/links/SMART/cf-contig_76-SMART.txt","CALCITONIN")</f>
        <v>CALCITONIN</v>
      </c>
      <c r="CY711" t="str">
        <f>HYPERLINK("http://smart.embl-heidelberg.de/smart/do_annotation.pl?DOMAIN=CALCITONIN&amp;BLAST=DUMMY","0.030")</f>
        <v>0.030</v>
      </c>
      <c r="CZ711" s="4" t="s">
        <v>42</v>
      </c>
      <c r="DA711" t="s">
        <v>42</v>
      </c>
      <c r="DB711" t="s">
        <v>42</v>
      </c>
      <c r="DC711" t="s">
        <v>42</v>
      </c>
      <c r="DD711" t="s">
        <v>42</v>
      </c>
      <c r="DE711" t="s">
        <v>42</v>
      </c>
      <c r="DF711" t="s">
        <v>42</v>
      </c>
      <c r="DG711" t="s">
        <v>42</v>
      </c>
      <c r="DH711" s="4" t="s">
        <v>42</v>
      </c>
      <c r="DI711" t="s">
        <v>42</v>
      </c>
      <c r="DJ711" s="4" t="s">
        <v>42</v>
      </c>
      <c r="DK711" t="s">
        <v>42</v>
      </c>
      <c r="DL711" s="4">
        <f>HYPERLINK("http://exon.niaid.nih.gov/transcriptome/C_felis/S1/links/cluster/cf-5-36-asb30-50-Id-CLU16.txt", 16)</f>
        <v>16</v>
      </c>
      <c r="DM711">
        <f>HYPERLINK("http://exon.niaid.nih.gov/transcriptome/C_felis/S1/links/cluster/cf-5-36-asb30-50-Id-CLTL16.txt", 3)</f>
        <v>3</v>
      </c>
      <c r="DN711" s="4">
        <f>HYPERLINK("http://exon.niaid.nih.gov/transcriptome/C_felis/S1/links/cluster/cf-5-36-asb35-50-Id-CLU14.txt", 14)</f>
        <v>14</v>
      </c>
      <c r="DO711">
        <f>HYPERLINK("http://exon.niaid.nih.gov/transcriptome/C_felis/S1/links/cluster/cf-5-36-asb35-50-Id-CLTL14.txt", 3)</f>
        <v>3</v>
      </c>
      <c r="DP711" s="4">
        <f>HYPERLINK("http://exon.niaid.nih.gov/transcriptome/C_felis/S1/links/cluster/cf-5-36-asb40-50-Id-CLU14.txt", 14)</f>
        <v>14</v>
      </c>
      <c r="DQ711">
        <f>HYPERLINK("http://exon.niaid.nih.gov/transcriptome/C_felis/S1/links/cluster/cf-5-36-asb40-50-Id-CLTL14.txt", 3)</f>
        <v>3</v>
      </c>
      <c r="DR711" s="4">
        <f>HYPERLINK("http://exon.niaid.nih.gov/transcriptome/C_felis/S1/links/cluster/cf-5-36-asb45-50-Id-CLU12.txt", 12)</f>
        <v>12</v>
      </c>
      <c r="DS711">
        <f>HYPERLINK("http://exon.niaid.nih.gov/transcriptome/C_felis/S1/links/cluster/cf-5-36-asb45-50-Id-CLTL12.txt", 3)</f>
        <v>3</v>
      </c>
      <c r="DT711" s="4">
        <f>HYPERLINK("http://exon.niaid.nih.gov/transcriptome/C_felis/S1/links/cluster/cf-5-36-asb50-50-Id-CLU20.txt", 20)</f>
        <v>20</v>
      </c>
      <c r="DU711">
        <f>HYPERLINK("http://exon.niaid.nih.gov/transcriptome/C_felis/S1/links/cluster/cf-5-36-asb50-50-Id-CLTL20.txt", 2)</f>
        <v>2</v>
      </c>
      <c r="DV711" s="4">
        <v>88</v>
      </c>
      <c r="DW711">
        <v>1</v>
      </c>
      <c r="DX711" s="4">
        <v>87</v>
      </c>
      <c r="DY711">
        <v>1</v>
      </c>
      <c r="DZ711" s="4">
        <v>85</v>
      </c>
      <c r="EA711">
        <v>1</v>
      </c>
      <c r="EB711" s="4">
        <v>85</v>
      </c>
      <c r="EC711">
        <v>1</v>
      </c>
      <c r="ED711" s="4">
        <v>86</v>
      </c>
      <c r="EE711">
        <v>1</v>
      </c>
      <c r="EF711" s="4">
        <v>83</v>
      </c>
      <c r="EG711">
        <v>1</v>
      </c>
      <c r="EH711" s="4">
        <v>78</v>
      </c>
      <c r="EI711">
        <v>1</v>
      </c>
      <c r="EJ711" s="4">
        <v>76</v>
      </c>
      <c r="EK711">
        <v>1</v>
      </c>
    </row>
    <row r="712" spans="1:141" x14ac:dyDescent="0.2">
      <c r="A712" t="str">
        <f>HYPERLINK("http://exon.niaid.nih.gov/transcriptome/C_felis/S1/links/cf/cf-contig_18.txt","cf-contig_18")</f>
        <v>cf-contig_18</v>
      </c>
      <c r="B712">
        <v>1</v>
      </c>
      <c r="C712" s="10" t="s">
        <v>4600</v>
      </c>
      <c r="D712">
        <v>1</v>
      </c>
      <c r="E712" t="str">
        <f>HYPERLINK("http://exon.niaid.nih.gov/transcriptome/C_felis/S1/links/cf/cf-5-36-asb-18.txt","Contig-18")</f>
        <v>Contig-18</v>
      </c>
      <c r="F712" t="str">
        <f>HYPERLINK("http://exon.niaid.nih.gov/transcriptome/C_felis/S1/links/cf/cf-5-36-18-CLU.txt","Contig18")</f>
        <v>Contig18</v>
      </c>
      <c r="G712" t="str">
        <f>HYPERLINK("http://exon.niaid.nih.gov/transcriptome/C_felis/S1/links/cf/cf-5-36-18-qual.txt","20.3")</f>
        <v>20.3</v>
      </c>
      <c r="H712" t="s">
        <v>11</v>
      </c>
      <c r="I712">
        <v>69</v>
      </c>
      <c r="J712">
        <v>527</v>
      </c>
      <c r="K712" t="s">
        <v>12</v>
      </c>
      <c r="L712">
        <v>1</v>
      </c>
      <c r="M712" t="s">
        <v>30</v>
      </c>
      <c r="N712">
        <v>527</v>
      </c>
      <c r="O712">
        <v>546</v>
      </c>
      <c r="P712">
        <v>147</v>
      </c>
      <c r="Q712" t="s">
        <v>840</v>
      </c>
      <c r="R712">
        <v>3</v>
      </c>
      <c r="S712" s="7" t="str">
        <f>HYPERLINK("http://exon.niaid.nih.gov/transcriptome/C_felis/S1/links/Sigp/CF-CONTIG_18-SigP.txt","Cyt")</f>
        <v>Cyt</v>
      </c>
      <c r="U712">
        <v>1</v>
      </c>
      <c r="V712" s="4">
        <f>HYPERLINK("http://exon.niaid.nih.gov/transcriptome/C_felis/S1/links/cluster/cf-5-36-asb30-50-Id-CLU3.txt", 3)</f>
        <v>3</v>
      </c>
      <c r="W712">
        <f>HYPERLINK("http://exon.niaid.nih.gov/transcriptome/C_felis/S1/links/cluster/cf-5-36-asb30-50-Id-CLTL3.txt", 9)</f>
        <v>9</v>
      </c>
      <c r="X712" s="4">
        <f>HYPERLINK("http://exon.niaid.nih.gov/transcriptome/C_felis/S1/links/cluster/cf-5-36-asb35-50-Id-CLU3.txt", 3)</f>
        <v>3</v>
      </c>
      <c r="Y712">
        <f>HYPERLINK("http://exon.niaid.nih.gov/transcriptome/C_felis/S1/links/cluster/cf-5-36-asb35-50-Id-CLTL3.txt", 6)</f>
        <v>6</v>
      </c>
      <c r="Z712" s="4">
        <v>81</v>
      </c>
      <c r="AA712">
        <v>1</v>
      </c>
      <c r="AB712" s="4" t="str">
        <f>HYPERLINK("http://exon.niaid.nih.gov/transcriptome/C_felis/S1/links/XC-ASB/cf-contig_18-XC-ASB.txt","XC-contig_122")</f>
        <v>XC-contig_122</v>
      </c>
      <c r="AC712">
        <v>1.7999999999999999E-2</v>
      </c>
      <c r="AD712" s="10" t="s">
        <v>4600</v>
      </c>
      <c r="AE712" t="s">
        <v>4601</v>
      </c>
      <c r="AI712" s="4" t="str">
        <f>HYPERLINK("http://exon.niaid.nih.gov/transcriptome/C_felis/S1/links/NR/cf-contig_18-NR.txt","predicted protein")</f>
        <v>predicted protein</v>
      </c>
      <c r="AJ712" t="str">
        <f>HYPERLINK("http://www.ncbi.nlm.nih.gov/sutils/blink.cgi?pid=290974508","5.3")</f>
        <v>5.3</v>
      </c>
      <c r="AK712" t="str">
        <f>HYPERLINK("http://www.ncbi.nlm.nih.gov/protein/290974508","gi|290974508")</f>
        <v>gi|290974508</v>
      </c>
      <c r="AL712">
        <v>35</v>
      </c>
      <c r="AM712">
        <v>54</v>
      </c>
      <c r="AN712">
        <v>789</v>
      </c>
      <c r="AO712">
        <v>32</v>
      </c>
      <c r="AP712">
        <v>7</v>
      </c>
      <c r="AQ712">
        <v>37</v>
      </c>
      <c r="AR712">
        <v>3</v>
      </c>
      <c r="AS712">
        <v>512</v>
      </c>
      <c r="AT712">
        <v>329</v>
      </c>
      <c r="AU712">
        <v>1</v>
      </c>
      <c r="AV712">
        <v>-3</v>
      </c>
      <c r="AW712" t="s">
        <v>12</v>
      </c>
      <c r="AY712" t="s">
        <v>1666</v>
      </c>
      <c r="AZ712" t="s">
        <v>1737</v>
      </c>
      <c r="BA712" s="4" t="str">
        <f>HYPERLINK("http://exon.niaid.nih.gov/transcriptome/C_felis/S1/links/SWISSP/cf-contig_18-SWISSP.txt","SPBc2 prophage-derived uncharacterized protein yomG")</f>
        <v>SPBc2 prophage-derived uncharacterized protein yomG</v>
      </c>
      <c r="BB712" t="str">
        <f>HYPERLINK("http://www.uniprot.org/uniprot/O31978","16")</f>
        <v>16</v>
      </c>
      <c r="BC712" t="s">
        <v>1738</v>
      </c>
      <c r="BD712">
        <v>29.3</v>
      </c>
      <c r="BE712">
        <v>29</v>
      </c>
      <c r="BF712">
        <v>875</v>
      </c>
      <c r="BG712">
        <v>40</v>
      </c>
      <c r="BH712">
        <v>3</v>
      </c>
      <c r="BI712">
        <v>18</v>
      </c>
      <c r="BJ712">
        <v>0</v>
      </c>
      <c r="BK712">
        <v>604</v>
      </c>
      <c r="BL712">
        <v>314</v>
      </c>
      <c r="BM712">
        <v>1</v>
      </c>
      <c r="BN712">
        <v>-3</v>
      </c>
      <c r="BO712" t="s">
        <v>12</v>
      </c>
      <c r="BQ712" t="s">
        <v>1666</v>
      </c>
      <c r="BR712" t="s">
        <v>1739</v>
      </c>
      <c r="BS712" s="4" t="str">
        <f>HYPERLINK("http://exon.niaid.nih.gov/transcriptome/C_felis/S1/links/CDD/cf-contig_18-CDD.txt","DUF2206")</f>
        <v>DUF2206</v>
      </c>
      <c r="BT712" t="str">
        <f>HYPERLINK("http://www.ncbi.nlm.nih.gov/Structure/cdd/cddsrv.cgi?uid=pfam09971&amp;version=v4.0","0.022")</f>
        <v>0.022</v>
      </c>
      <c r="BU712" t="s">
        <v>1740</v>
      </c>
      <c r="BV712" s="4" t="s">
        <v>42</v>
      </c>
      <c r="BW712" t="s">
        <v>42</v>
      </c>
      <c r="BX712" t="s">
        <v>42</v>
      </c>
      <c r="BY712" t="s">
        <v>42</v>
      </c>
      <c r="BZ712" t="s">
        <v>42</v>
      </c>
      <c r="CA712" t="s">
        <v>42</v>
      </c>
      <c r="CB712" t="s">
        <v>42</v>
      </c>
      <c r="CC712" t="s">
        <v>42</v>
      </c>
      <c r="CD712" t="s">
        <v>42</v>
      </c>
      <c r="CE712" t="s">
        <v>42</v>
      </c>
      <c r="CF712" t="s">
        <v>42</v>
      </c>
      <c r="CG712" t="s">
        <v>42</v>
      </c>
      <c r="CH712" t="s">
        <v>42</v>
      </c>
      <c r="CI712" t="s">
        <v>42</v>
      </c>
      <c r="CJ712" t="s">
        <v>42</v>
      </c>
      <c r="CK712" t="s">
        <v>42</v>
      </c>
      <c r="CL712" t="s">
        <v>42</v>
      </c>
      <c r="CM712" t="s">
        <v>42</v>
      </c>
      <c r="CN712" t="s">
        <v>42</v>
      </c>
      <c r="CO712" t="s">
        <v>42</v>
      </c>
      <c r="CP712" t="s">
        <v>42</v>
      </c>
      <c r="CQ712" t="s">
        <v>42</v>
      </c>
      <c r="CR712" t="s">
        <v>42</v>
      </c>
      <c r="CS712" s="4" t="str">
        <f>HYPERLINK("http://exon.niaid.nih.gov/transcriptome/C_felis/S1/links/KOG/cf-contig_18-KOG.txt","WD40 repeat-containing protein")</f>
        <v>WD40 repeat-containing protein</v>
      </c>
      <c r="CT712" t="str">
        <f>HYPERLINK("http://www.ncbi.nlm.nih.gov/COG/grace/shokog.cgi?KOG3602","0.016")</f>
        <v>0.016</v>
      </c>
      <c r="CU712" t="s">
        <v>1721</v>
      </c>
      <c r="CV712" s="4" t="str">
        <f>HYPERLINK("http://exon.niaid.nih.gov/transcriptome/C_felis/S1/links/PFAM/cf-contig_18-PFAM.txt","DUF2206")</f>
        <v>DUF2206</v>
      </c>
      <c r="CW712" t="str">
        <f>HYPERLINK("http://pfam.sanger.ac.uk/family?acc=PF09971","0.005")</f>
        <v>0.005</v>
      </c>
      <c r="CX712" s="4" t="str">
        <f>HYPERLINK("http://exon.niaid.nih.gov/transcriptome/C_felis/S1/links/SMART/cf-contig_18-SMART.txt","IGc1")</f>
        <v>IGc1</v>
      </c>
      <c r="CY712" t="str">
        <f>HYPERLINK("http://smart.embl-heidelberg.de/smart/do_annotation.pl?DOMAIN=IGc1&amp;BLAST=DUMMY","0.55")</f>
        <v>0.55</v>
      </c>
      <c r="CZ712" s="4" t="s">
        <v>42</v>
      </c>
      <c r="DA712" t="s">
        <v>42</v>
      </c>
      <c r="DB712" t="s">
        <v>42</v>
      </c>
      <c r="DC712" t="s">
        <v>42</v>
      </c>
      <c r="DD712" t="s">
        <v>42</v>
      </c>
      <c r="DE712" t="s">
        <v>42</v>
      </c>
      <c r="DF712" t="s">
        <v>42</v>
      </c>
      <c r="DG712" t="s">
        <v>42</v>
      </c>
      <c r="DH712" s="4" t="s">
        <v>42</v>
      </c>
      <c r="DI712" t="s">
        <v>42</v>
      </c>
      <c r="DJ712" s="4" t="s">
        <v>42</v>
      </c>
      <c r="DK712" t="s">
        <v>42</v>
      </c>
      <c r="DL712" s="4">
        <f>HYPERLINK("http://exon.niaid.nih.gov/transcriptome/C_felis/S1/links/cluster/cf-5-36-asb30-50-Id-CLU3.txt", 3)</f>
        <v>3</v>
      </c>
      <c r="DM712">
        <f>HYPERLINK("http://exon.niaid.nih.gov/transcriptome/C_felis/S1/links/cluster/cf-5-36-asb30-50-Id-CLTL3.txt", 9)</f>
        <v>9</v>
      </c>
      <c r="DN712" s="4">
        <f>HYPERLINK("http://exon.niaid.nih.gov/transcriptome/C_felis/S1/links/cluster/cf-5-36-asb35-50-Id-CLU3.txt", 3)</f>
        <v>3</v>
      </c>
      <c r="DO712">
        <f>HYPERLINK("http://exon.niaid.nih.gov/transcriptome/C_felis/S1/links/cluster/cf-5-36-asb35-50-Id-CLTL3.txt", 6)</f>
        <v>6</v>
      </c>
      <c r="DP712" s="4">
        <v>81</v>
      </c>
      <c r="DQ712">
        <v>1</v>
      </c>
      <c r="DR712" s="4">
        <v>70</v>
      </c>
      <c r="DS712">
        <v>1</v>
      </c>
      <c r="DT712" s="4">
        <v>62</v>
      </c>
      <c r="DU712">
        <v>1</v>
      </c>
      <c r="DV712" s="4">
        <v>57</v>
      </c>
      <c r="DW712">
        <v>1</v>
      </c>
      <c r="DX712" s="4">
        <v>51</v>
      </c>
      <c r="DY712">
        <v>1</v>
      </c>
      <c r="DZ712" s="4">
        <v>46</v>
      </c>
      <c r="EA712">
        <v>1</v>
      </c>
      <c r="EB712" s="4">
        <v>42</v>
      </c>
      <c r="EC712">
        <v>1</v>
      </c>
      <c r="ED712" s="4">
        <v>41</v>
      </c>
      <c r="EE712">
        <v>1</v>
      </c>
      <c r="EF712" s="4">
        <v>35</v>
      </c>
      <c r="EG712">
        <v>1</v>
      </c>
      <c r="EH712" s="4">
        <v>23</v>
      </c>
      <c r="EI712">
        <v>1</v>
      </c>
      <c r="EJ712" s="4">
        <v>18</v>
      </c>
      <c r="EK712">
        <v>1</v>
      </c>
    </row>
    <row r="713" spans="1:141" x14ac:dyDescent="0.2">
      <c r="A713" t="str">
        <f>HYPERLINK("http://exon.niaid.nih.gov/transcriptome/C_felis/S1/links/cf/cf-contig_464.txt","cf-contig_464")</f>
        <v>cf-contig_464</v>
      </c>
      <c r="B713">
        <v>1</v>
      </c>
      <c r="C713" s="10" t="s">
        <v>4600</v>
      </c>
      <c r="D713">
        <v>1</v>
      </c>
      <c r="E713" t="str">
        <f>HYPERLINK("http://exon.niaid.nih.gov/transcriptome/C_felis/S1/links/cf/cf-5-36-asb-464.txt","Contig-464")</f>
        <v>Contig-464</v>
      </c>
      <c r="F713" t="str">
        <f>HYPERLINK("http://exon.niaid.nih.gov/transcriptome/C_felis/S1/links/cf/cf-5-36-464-CLU.txt","Contig464")</f>
        <v>Contig464</v>
      </c>
      <c r="G713" t="str">
        <f>HYPERLINK("http://exon.niaid.nih.gov/transcriptome/C_felis/S1/links/cf/cf-5-36-464-qual.txt","60.4")</f>
        <v>60.4</v>
      </c>
      <c r="H713" t="s">
        <v>11</v>
      </c>
      <c r="I713">
        <v>74.400000000000006</v>
      </c>
      <c r="J713">
        <v>204</v>
      </c>
      <c r="K713" t="s">
        <v>12</v>
      </c>
      <c r="L713">
        <v>1</v>
      </c>
      <c r="M713" t="s">
        <v>477</v>
      </c>
      <c r="N713">
        <v>204</v>
      </c>
      <c r="O713">
        <v>223</v>
      </c>
      <c r="P713">
        <v>138</v>
      </c>
      <c r="Q713" t="s">
        <v>1283</v>
      </c>
      <c r="R713">
        <v>3</v>
      </c>
      <c r="S713" s="7" t="s">
        <v>4585</v>
      </c>
      <c r="U713">
        <v>1</v>
      </c>
      <c r="V713" s="4">
        <v>377</v>
      </c>
      <c r="W713">
        <v>1</v>
      </c>
      <c r="X713" s="4">
        <v>386</v>
      </c>
      <c r="Y713">
        <v>1</v>
      </c>
      <c r="Z713" s="4">
        <v>391</v>
      </c>
      <c r="AA713">
        <v>1</v>
      </c>
      <c r="AB713" s="4" t="str">
        <f>HYPERLINK("http://exon.niaid.nih.gov/transcriptome/C_felis/S1/links/XC-ASB/cf-contig_464-XC-ASB.txt","XC-contig_90")</f>
        <v>XC-contig_90</v>
      </c>
      <c r="AC713">
        <v>0.02</v>
      </c>
      <c r="AD713" s="10" t="s">
        <v>4600</v>
      </c>
      <c r="AE713" t="s">
        <v>4601</v>
      </c>
      <c r="AI713" s="4" t="str">
        <f>HYPERLINK("http://exon.niaid.nih.gov/transcriptome/C_felis/S1/links/NR/cf-contig_464-NR.txt","predicted protein")</f>
        <v>predicted protein</v>
      </c>
      <c r="AJ713" t="str">
        <f>HYPERLINK("http://www.ncbi.nlm.nih.gov/sutils/blink.cgi?pid=290989659","7.4")</f>
        <v>7.4</v>
      </c>
      <c r="AK713" t="str">
        <f>HYPERLINK("http://www.ncbi.nlm.nih.gov/protein/290989659","gi|290989659")</f>
        <v>gi|290989659</v>
      </c>
      <c r="AL713">
        <v>34.299999999999997</v>
      </c>
      <c r="AM713">
        <v>47</v>
      </c>
      <c r="AN713">
        <v>333</v>
      </c>
      <c r="AO713">
        <v>37</v>
      </c>
      <c r="AP713">
        <v>14</v>
      </c>
      <c r="AQ713">
        <v>30</v>
      </c>
      <c r="AR713">
        <v>0</v>
      </c>
      <c r="AS713">
        <v>61</v>
      </c>
      <c r="AT713">
        <v>9</v>
      </c>
      <c r="AU713">
        <v>1</v>
      </c>
      <c r="AV713">
        <v>3</v>
      </c>
      <c r="AW713" t="s">
        <v>12</v>
      </c>
      <c r="AX713">
        <v>2.1280000000000001</v>
      </c>
      <c r="AY713" t="s">
        <v>1676</v>
      </c>
      <c r="AZ713" t="s">
        <v>1737</v>
      </c>
      <c r="BA713" s="4" t="str">
        <f>HYPERLINK("http://exon.niaid.nih.gov/transcriptome/C_felis/S1/links/SWISSP/cf-contig_464-SWISSP.txt","RTX-III toxin determinant A from serotype 8")</f>
        <v>RTX-III toxin determinant A from serotype 8</v>
      </c>
      <c r="BB713" t="str">
        <f>HYPERLINK("http://www.uniprot.org/uniprot/P55131","23")</f>
        <v>23</v>
      </c>
      <c r="BC713" t="s">
        <v>3361</v>
      </c>
      <c r="BD713">
        <v>27.7</v>
      </c>
      <c r="BE713">
        <v>23</v>
      </c>
      <c r="BF713">
        <v>1052</v>
      </c>
      <c r="BG713">
        <v>50</v>
      </c>
      <c r="BH713">
        <v>2</v>
      </c>
      <c r="BI713">
        <v>12</v>
      </c>
      <c r="BJ713">
        <v>0</v>
      </c>
      <c r="BK713">
        <v>222</v>
      </c>
      <c r="BL713">
        <v>18</v>
      </c>
      <c r="BM713">
        <v>1</v>
      </c>
      <c r="BN713">
        <v>3</v>
      </c>
      <c r="BO713" t="s">
        <v>12</v>
      </c>
      <c r="BP713">
        <v>4.3479999999999999</v>
      </c>
      <c r="BQ713" t="s">
        <v>1676</v>
      </c>
      <c r="BR713" t="s">
        <v>3362</v>
      </c>
      <c r="BS713" s="4" t="str">
        <f>HYPERLINK("http://exon.niaid.nih.gov/transcriptome/C_felis/S1/links/CDD/cf-contig_464-CDD.txt","Plasmodium_Vir")</f>
        <v>Plasmodium_Vir</v>
      </c>
      <c r="BT713" t="str">
        <f>HYPERLINK("http://www.ncbi.nlm.nih.gov/Structure/cdd/cddsrv.cgi?uid=pfam05795&amp;version=v4.0","0.028")</f>
        <v>0.028</v>
      </c>
      <c r="BU713" t="s">
        <v>3363</v>
      </c>
      <c r="BV713" s="4" t="s">
        <v>42</v>
      </c>
      <c r="BW713" t="s">
        <v>42</v>
      </c>
      <c r="BX713" t="s">
        <v>42</v>
      </c>
      <c r="BY713" t="s">
        <v>42</v>
      </c>
      <c r="BZ713" t="s">
        <v>42</v>
      </c>
      <c r="CA713" t="s">
        <v>42</v>
      </c>
      <c r="CB713" t="s">
        <v>42</v>
      </c>
      <c r="CC713" t="s">
        <v>42</v>
      </c>
      <c r="CD713" t="s">
        <v>42</v>
      </c>
      <c r="CE713" t="s">
        <v>42</v>
      </c>
      <c r="CF713" t="s">
        <v>42</v>
      </c>
      <c r="CG713" t="s">
        <v>42</v>
      </c>
      <c r="CH713" t="s">
        <v>42</v>
      </c>
      <c r="CI713" t="s">
        <v>42</v>
      </c>
      <c r="CJ713" t="s">
        <v>42</v>
      </c>
      <c r="CK713" t="s">
        <v>42</v>
      </c>
      <c r="CL713" t="s">
        <v>42</v>
      </c>
      <c r="CM713" t="s">
        <v>42</v>
      </c>
      <c r="CN713" t="s">
        <v>42</v>
      </c>
      <c r="CO713" t="s">
        <v>42</v>
      </c>
      <c r="CP713" t="s">
        <v>42</v>
      </c>
      <c r="CQ713" t="s">
        <v>42</v>
      </c>
      <c r="CR713" t="s">
        <v>42</v>
      </c>
      <c r="CS713" s="4" t="str">
        <f>HYPERLINK("http://exon.niaid.nih.gov/transcriptome/C_felis/S1/links/KOG/cf-contig_464-KOG.txt","Dynamin-like GTP binding protein")</f>
        <v>Dynamin-like GTP binding protein</v>
      </c>
      <c r="CT713" t="str">
        <f>HYPERLINK("http://www.ncbi.nlm.nih.gov/COG/grace/shokog.cgi?KOG0447","2.8")</f>
        <v>2.8</v>
      </c>
      <c r="CU713" t="s">
        <v>1721</v>
      </c>
      <c r="CV713" s="4" t="str">
        <f>HYPERLINK("http://exon.niaid.nih.gov/transcriptome/C_felis/S1/links/PFAM/cf-contig_464-PFAM.txt","Plasmodium_Vir")</f>
        <v>Plasmodium_Vir</v>
      </c>
      <c r="CW713" t="str">
        <f>HYPERLINK("http://pfam.sanger.ac.uk/family?acc=PF05795","0.006")</f>
        <v>0.006</v>
      </c>
      <c r="CX713" s="4" t="str">
        <f>HYPERLINK("http://exon.niaid.nih.gov/transcriptome/C_felis/S1/links/SMART/cf-contig_464-SMART.txt","ZP")</f>
        <v>ZP</v>
      </c>
      <c r="CY713" t="str">
        <f>HYPERLINK("http://smart.embl-heidelberg.de/smart/do_annotation.pl?DOMAIN=ZP&amp;BLAST=DUMMY","0.060")</f>
        <v>0.060</v>
      </c>
      <c r="CZ713" s="4" t="s">
        <v>42</v>
      </c>
      <c r="DA713" t="s">
        <v>42</v>
      </c>
      <c r="DB713" t="s">
        <v>42</v>
      </c>
      <c r="DC713" t="s">
        <v>42</v>
      </c>
      <c r="DD713" t="s">
        <v>42</v>
      </c>
      <c r="DE713" t="s">
        <v>42</v>
      </c>
      <c r="DF713" t="s">
        <v>42</v>
      </c>
      <c r="DG713" t="s">
        <v>42</v>
      </c>
      <c r="DH713" s="4" t="s">
        <v>42</v>
      </c>
      <c r="DI713" t="s">
        <v>42</v>
      </c>
      <c r="DJ713" s="4" t="s">
        <v>42</v>
      </c>
      <c r="DK713" t="s">
        <v>42</v>
      </c>
      <c r="DL713" s="4">
        <v>377</v>
      </c>
      <c r="DM713">
        <v>1</v>
      </c>
      <c r="DN713" s="4">
        <v>386</v>
      </c>
      <c r="DO713">
        <v>1</v>
      </c>
      <c r="DP713" s="4">
        <v>391</v>
      </c>
      <c r="DQ713">
        <v>1</v>
      </c>
      <c r="DR713" s="4">
        <v>406</v>
      </c>
      <c r="DS713">
        <v>1</v>
      </c>
      <c r="DT713" s="4">
        <v>416</v>
      </c>
      <c r="DU713">
        <v>1</v>
      </c>
      <c r="DV713" s="4">
        <v>430</v>
      </c>
      <c r="DW713">
        <v>1</v>
      </c>
      <c r="DX713" s="4">
        <v>433</v>
      </c>
      <c r="DY713">
        <v>1</v>
      </c>
      <c r="DZ713" s="4">
        <v>439</v>
      </c>
      <c r="EA713">
        <v>1</v>
      </c>
      <c r="EB713" s="4">
        <v>444</v>
      </c>
      <c r="EC713">
        <v>1</v>
      </c>
      <c r="ED713" s="4">
        <v>448</v>
      </c>
      <c r="EE713">
        <v>1</v>
      </c>
      <c r="EF713" s="4">
        <v>453</v>
      </c>
      <c r="EG713">
        <v>1</v>
      </c>
      <c r="EH713" s="4">
        <v>458</v>
      </c>
      <c r="EI713">
        <v>1</v>
      </c>
      <c r="EJ713" s="4">
        <v>464</v>
      </c>
      <c r="EK713">
        <v>1</v>
      </c>
    </row>
    <row r="714" spans="1:141" x14ac:dyDescent="0.2">
      <c r="A714" t="str">
        <f>HYPERLINK("http://exon.niaid.nih.gov/transcriptome/C_felis/S1/links/cf/cf-contig_778.txt","cf-contig_778")</f>
        <v>cf-contig_778</v>
      </c>
      <c r="B714">
        <v>1</v>
      </c>
      <c r="C714" s="10" t="s">
        <v>4600</v>
      </c>
      <c r="D714">
        <v>1</v>
      </c>
      <c r="E714" t="str">
        <f>HYPERLINK("http://exon.niaid.nih.gov/transcriptome/C_felis/S1/links/cf/cf-5-36-asb-778.txt","Contig-778")</f>
        <v>Contig-778</v>
      </c>
      <c r="F714" t="str">
        <f>HYPERLINK("http://exon.niaid.nih.gov/transcriptome/C_felis/S1/links/cf/cf-5-36-778-CLU.txt","Contig778")</f>
        <v>Contig778</v>
      </c>
      <c r="G714" t="str">
        <f>HYPERLINK("http://exon.niaid.nih.gov/transcriptome/C_felis/S1/links/cf/cf-5-36-778-qual.txt","64.1")</f>
        <v>64.1</v>
      </c>
      <c r="H714" t="s">
        <v>11</v>
      </c>
      <c r="I714">
        <v>67.400000000000006</v>
      </c>
      <c r="J714">
        <v>312</v>
      </c>
      <c r="K714" t="s">
        <v>12</v>
      </c>
      <c r="L714">
        <v>1</v>
      </c>
      <c r="M714" t="s">
        <v>791</v>
      </c>
      <c r="N714">
        <v>312</v>
      </c>
      <c r="O714">
        <v>331</v>
      </c>
      <c r="P714">
        <v>207</v>
      </c>
      <c r="Q714" t="s">
        <v>1597</v>
      </c>
      <c r="R714">
        <v>1</v>
      </c>
      <c r="S714" s="7" t="s">
        <v>4585</v>
      </c>
      <c r="U714">
        <v>1</v>
      </c>
      <c r="V714" s="4">
        <v>624</v>
      </c>
      <c r="W714">
        <v>1</v>
      </c>
      <c r="X714" s="4">
        <v>645</v>
      </c>
      <c r="Y714">
        <v>1</v>
      </c>
      <c r="Z714" s="4">
        <v>661</v>
      </c>
      <c r="AA714">
        <v>1</v>
      </c>
      <c r="AB714" s="4" t="str">
        <f>HYPERLINK("http://exon.niaid.nih.gov/transcriptome/C_felis/S1/links/XC-ASB/cf-contig_778-XC-ASB.txt","XC-contig_139")</f>
        <v>XC-contig_139</v>
      </c>
      <c r="AC714">
        <v>0.12</v>
      </c>
      <c r="AD714" s="10" t="s">
        <v>4600</v>
      </c>
      <c r="AE714" t="s">
        <v>4601</v>
      </c>
      <c r="AI714" s="4" t="str">
        <f>HYPERLINK("http://exon.niaid.nih.gov/transcriptome/C_felis/S1/links/NR/cf-contig_778-NR.txt","probable ATP-dependent RNA helicase CG8611-like")</f>
        <v>probable ATP-dependent RNA helicase CG8611-like</v>
      </c>
      <c r="AJ714" t="str">
        <f>HYPERLINK("http://www.ncbi.nlm.nih.gov/sutils/blink.cgi?pid=345483582","0.85")</f>
        <v>0.85</v>
      </c>
      <c r="AK714" t="str">
        <f>HYPERLINK("http://www.ncbi.nlm.nih.gov/protein/345483582","gi|345483582")</f>
        <v>gi|345483582</v>
      </c>
      <c r="AL714">
        <v>37.4</v>
      </c>
      <c r="AM714">
        <v>65</v>
      </c>
      <c r="AN714">
        <v>961</v>
      </c>
      <c r="AO714">
        <v>36</v>
      </c>
      <c r="AP714">
        <v>7</v>
      </c>
      <c r="AQ714">
        <v>42</v>
      </c>
      <c r="AR714">
        <v>4</v>
      </c>
      <c r="AS714">
        <v>892</v>
      </c>
      <c r="AT714">
        <v>13</v>
      </c>
      <c r="AU714">
        <v>1</v>
      </c>
      <c r="AV714">
        <v>1</v>
      </c>
      <c r="AW714" t="s">
        <v>12</v>
      </c>
      <c r="AY714" t="s">
        <v>1676</v>
      </c>
      <c r="AZ714" t="s">
        <v>1897</v>
      </c>
      <c r="BA714" s="4" t="str">
        <f>HYPERLINK("http://exon.niaid.nih.gov/transcriptome/C_felis/S1/links/SWISSP/cf-contig_778-SWISSP.txt","Uncharacterized metalloprotease BUsg_310")</f>
        <v>Uncharacterized metalloprotease BUsg_310</v>
      </c>
      <c r="BB714" t="str">
        <f>HYPERLINK("http://www.uniprot.org/uniprot/Q8K9M4","6.3")</f>
        <v>6.3</v>
      </c>
      <c r="BC714" t="s">
        <v>4491</v>
      </c>
      <c r="BD714">
        <v>29.6</v>
      </c>
      <c r="BE714">
        <v>33</v>
      </c>
      <c r="BF714">
        <v>415</v>
      </c>
      <c r="BG714">
        <v>48</v>
      </c>
      <c r="BH714">
        <v>8</v>
      </c>
      <c r="BI714">
        <v>18</v>
      </c>
      <c r="BJ714">
        <v>1</v>
      </c>
      <c r="BK714">
        <v>18</v>
      </c>
      <c r="BL714">
        <v>189</v>
      </c>
      <c r="BM714">
        <v>1</v>
      </c>
      <c r="BN714">
        <v>-3</v>
      </c>
      <c r="BO714" t="s">
        <v>12</v>
      </c>
      <c r="BQ714" t="s">
        <v>1666</v>
      </c>
      <c r="BR714" t="s">
        <v>2200</v>
      </c>
      <c r="BS714" s="4" t="str">
        <f>HYPERLINK("http://exon.niaid.nih.gov/transcriptome/C_felis/S1/links/CDD/cf-contig_778-CDD.txt","ND5")</f>
        <v>ND5</v>
      </c>
      <c r="BT714" t="str">
        <f>HYPERLINK("http://www.ncbi.nlm.nih.gov/Structure/cdd/cddsrv.cgi?uid=MTH00095&amp;version=v4.0","0.007")</f>
        <v>0.007</v>
      </c>
      <c r="BU714" t="s">
        <v>4492</v>
      </c>
      <c r="BV714" s="4" t="s">
        <v>42</v>
      </c>
      <c r="BW714" t="s">
        <v>42</v>
      </c>
      <c r="BX714" t="s">
        <v>42</v>
      </c>
      <c r="BY714" t="s">
        <v>42</v>
      </c>
      <c r="BZ714" t="s">
        <v>42</v>
      </c>
      <c r="CA714" t="s">
        <v>42</v>
      </c>
      <c r="CB714" t="s">
        <v>42</v>
      </c>
      <c r="CC714" t="s">
        <v>42</v>
      </c>
      <c r="CD714" t="s">
        <v>42</v>
      </c>
      <c r="CE714" t="s">
        <v>42</v>
      </c>
      <c r="CF714" t="s">
        <v>42</v>
      </c>
      <c r="CG714" t="s">
        <v>42</v>
      </c>
      <c r="CH714" t="s">
        <v>42</v>
      </c>
      <c r="CI714" t="s">
        <v>42</v>
      </c>
      <c r="CJ714" t="s">
        <v>42</v>
      </c>
      <c r="CK714" t="s">
        <v>42</v>
      </c>
      <c r="CL714" t="s">
        <v>42</v>
      </c>
      <c r="CM714" t="s">
        <v>42</v>
      </c>
      <c r="CN714" t="s">
        <v>42</v>
      </c>
      <c r="CO714" t="s">
        <v>42</v>
      </c>
      <c r="CP714" t="s">
        <v>42</v>
      </c>
      <c r="CQ714" t="s">
        <v>42</v>
      </c>
      <c r="CR714" t="s">
        <v>42</v>
      </c>
      <c r="CS714" s="4" t="str">
        <f>HYPERLINK("http://exon.niaid.nih.gov/transcriptome/C_felis/S1/links/KOG/cf-contig_778-KOG.txt","Uncharacterized membrane protein")</f>
        <v>Uncharacterized membrane protein</v>
      </c>
      <c r="CT714" t="str">
        <f>HYPERLINK("http://www.ncbi.nlm.nih.gov/COG/grace/shokog.cgi?KOG0411","0.24")</f>
        <v>0.24</v>
      </c>
      <c r="CU714" t="s">
        <v>1711</v>
      </c>
      <c r="CV714" s="4" t="str">
        <f>HYPERLINK("http://exon.niaid.nih.gov/transcriptome/C_felis/S1/links/PFAM/cf-contig_778-PFAM.txt","Srg")</f>
        <v>Srg</v>
      </c>
      <c r="CW714" t="str">
        <f>HYPERLINK("http://pfam.sanger.ac.uk/family?acc=PF02118","0.003")</f>
        <v>0.003</v>
      </c>
      <c r="CX714" s="4" t="str">
        <f>HYPERLINK("http://exon.niaid.nih.gov/transcriptome/C_felis/S1/links/SMART/cf-contig_778-SMART.txt","TLC")</f>
        <v>TLC</v>
      </c>
      <c r="CY714" t="str">
        <f>HYPERLINK("http://smart.embl-heidelberg.de/smart/do_annotation.pl?DOMAIN=TLC&amp;BLAST=DUMMY","0.032")</f>
        <v>0.032</v>
      </c>
      <c r="CZ714" s="4" t="s">
        <v>42</v>
      </c>
      <c r="DA714" t="s">
        <v>42</v>
      </c>
      <c r="DB714" t="s">
        <v>42</v>
      </c>
      <c r="DC714" t="s">
        <v>42</v>
      </c>
      <c r="DD714" t="s">
        <v>42</v>
      </c>
      <c r="DE714" t="s">
        <v>42</v>
      </c>
      <c r="DF714" t="s">
        <v>42</v>
      </c>
      <c r="DG714" t="s">
        <v>42</v>
      </c>
      <c r="DH714" s="4" t="s">
        <v>42</v>
      </c>
      <c r="DI714" t="s">
        <v>42</v>
      </c>
      <c r="DJ714" s="4" t="s">
        <v>42</v>
      </c>
      <c r="DK714" t="s">
        <v>42</v>
      </c>
      <c r="DL714" s="4">
        <v>624</v>
      </c>
      <c r="DM714">
        <v>1</v>
      </c>
      <c r="DN714" s="4">
        <v>645</v>
      </c>
      <c r="DO714">
        <v>1</v>
      </c>
      <c r="DP714" s="4">
        <v>661</v>
      </c>
      <c r="DQ714">
        <v>1</v>
      </c>
      <c r="DR714" s="4">
        <v>683</v>
      </c>
      <c r="DS714">
        <v>1</v>
      </c>
      <c r="DT714" s="4">
        <v>699</v>
      </c>
      <c r="DU714">
        <v>1</v>
      </c>
      <c r="DV714" s="4">
        <v>714</v>
      </c>
      <c r="DW714">
        <v>1</v>
      </c>
      <c r="DX714" s="4">
        <v>728</v>
      </c>
      <c r="DY714">
        <v>1</v>
      </c>
      <c r="DZ714" s="4">
        <v>739</v>
      </c>
      <c r="EA714">
        <v>1</v>
      </c>
      <c r="EB714" s="4">
        <v>746</v>
      </c>
      <c r="EC714">
        <v>1</v>
      </c>
      <c r="ED714" s="4">
        <v>751</v>
      </c>
      <c r="EE714">
        <v>1</v>
      </c>
      <c r="EF714" s="4">
        <v>757</v>
      </c>
      <c r="EG714">
        <v>1</v>
      </c>
      <c r="EH714" s="4">
        <v>769</v>
      </c>
      <c r="EI714">
        <v>1</v>
      </c>
      <c r="EJ714" s="4">
        <v>778</v>
      </c>
      <c r="EK714">
        <v>1</v>
      </c>
    </row>
    <row r="715" spans="1:141" x14ac:dyDescent="0.2">
      <c r="A715" t="str">
        <f>HYPERLINK("http://exon.niaid.nih.gov/transcriptome/C_felis/S1/links/cf/cf-contig_588.txt","cf-contig_588")</f>
        <v>cf-contig_588</v>
      </c>
      <c r="B715">
        <v>1</v>
      </c>
      <c r="C715" s="10" t="s">
        <v>4600</v>
      </c>
      <c r="D715">
        <v>1</v>
      </c>
      <c r="E715" t="str">
        <f>HYPERLINK("http://exon.niaid.nih.gov/transcriptome/C_felis/S1/links/cf/cf-5-36-asb-588.txt","Contig-588")</f>
        <v>Contig-588</v>
      </c>
      <c r="F715" t="str">
        <f>HYPERLINK("http://exon.niaid.nih.gov/transcriptome/C_felis/S1/links/cf/cf-5-36-588-CLU.txt","Contig588")</f>
        <v>Contig588</v>
      </c>
      <c r="G715" t="str">
        <f>HYPERLINK("http://exon.niaid.nih.gov/transcriptome/C_felis/S1/links/cf/cf-5-36-588-qual.txt","63.9")</f>
        <v>63.9</v>
      </c>
      <c r="H715" t="s">
        <v>11</v>
      </c>
      <c r="I715">
        <v>71.900000000000006</v>
      </c>
      <c r="J715">
        <v>301</v>
      </c>
      <c r="K715" t="s">
        <v>12</v>
      </c>
      <c r="L715">
        <v>1</v>
      </c>
      <c r="M715" t="s">
        <v>601</v>
      </c>
      <c r="N715">
        <v>301</v>
      </c>
      <c r="O715">
        <v>320</v>
      </c>
      <c r="P715">
        <v>138</v>
      </c>
      <c r="Q715" t="s">
        <v>1407</v>
      </c>
      <c r="R715">
        <v>1</v>
      </c>
      <c r="S715" s="7" t="s">
        <v>4585</v>
      </c>
      <c r="U715">
        <v>1</v>
      </c>
      <c r="V715" s="4">
        <v>479</v>
      </c>
      <c r="W715">
        <v>1</v>
      </c>
      <c r="X715" s="4">
        <v>490</v>
      </c>
      <c r="Y715">
        <v>1</v>
      </c>
      <c r="Z715" s="4">
        <v>499</v>
      </c>
      <c r="AA715">
        <v>1</v>
      </c>
      <c r="AB715" s="4" t="str">
        <f>HYPERLINK("http://exon.niaid.nih.gov/transcriptome/C_felis/S1/links/XC-ASB/cf-contig_588-XC-ASB.txt","XC-contig_40")</f>
        <v>XC-contig_40</v>
      </c>
      <c r="AC715">
        <v>6.2E-2</v>
      </c>
      <c r="AD715" s="10" t="s">
        <v>4600</v>
      </c>
      <c r="AE715" t="s">
        <v>4601</v>
      </c>
      <c r="AI715" s="4" t="str">
        <f>HYPERLINK("http://exon.niaid.nih.gov/transcriptome/C_felis/S1/links/NR/cf-contig_588-NR.txt","tudor domain-containing protein 1-like")</f>
        <v>tudor domain-containing protein 1-like</v>
      </c>
      <c r="AJ715" t="str">
        <f>HYPERLINK("http://www.ncbi.nlm.nih.gov/sutils/blink.cgi?pid=345498096","0.23")</f>
        <v>0.23</v>
      </c>
      <c r="AK715" t="str">
        <f>HYPERLINK("http://www.ncbi.nlm.nih.gov/protein/345498096","gi|345498096")</f>
        <v>gi|345498096</v>
      </c>
      <c r="AL715">
        <v>39.299999999999997</v>
      </c>
      <c r="AM715">
        <v>31</v>
      </c>
      <c r="AN715">
        <v>1054</v>
      </c>
      <c r="AO715">
        <v>53</v>
      </c>
      <c r="AP715">
        <v>3</v>
      </c>
      <c r="AQ715">
        <v>15</v>
      </c>
      <c r="AR715">
        <v>0</v>
      </c>
      <c r="AS715">
        <v>1006</v>
      </c>
      <c r="AT715">
        <v>37</v>
      </c>
      <c r="AU715">
        <v>1</v>
      </c>
      <c r="AV715">
        <v>1</v>
      </c>
      <c r="AW715" t="s">
        <v>12</v>
      </c>
      <c r="AY715" t="s">
        <v>1676</v>
      </c>
      <c r="AZ715" t="s">
        <v>1897</v>
      </c>
      <c r="BA715" s="4" t="str">
        <f>HYPERLINK("http://exon.niaid.nih.gov/transcriptome/C_felis/S1/links/SWISSP/cf-contig_588-SWISSP.txt","Dynein heavy chain-like protein MAL7P1.162")</f>
        <v>Dynein heavy chain-like protein MAL7P1.162</v>
      </c>
      <c r="BB715" t="str">
        <f>HYPERLINK("http://www.uniprot.org/uniprot/Q8IBG1","2.7")</f>
        <v>2.7</v>
      </c>
      <c r="BC715" t="s">
        <v>3821</v>
      </c>
      <c r="BD715">
        <v>30.8</v>
      </c>
      <c r="BE715">
        <v>132</v>
      </c>
      <c r="BF715">
        <v>4985</v>
      </c>
      <c r="BG715">
        <v>37</v>
      </c>
      <c r="BH715">
        <v>3</v>
      </c>
      <c r="BI715">
        <v>28</v>
      </c>
      <c r="BJ715">
        <v>4</v>
      </c>
      <c r="BK715">
        <v>4000</v>
      </c>
      <c r="BL715">
        <v>77</v>
      </c>
      <c r="BM715">
        <v>2</v>
      </c>
      <c r="BN715">
        <v>-1</v>
      </c>
      <c r="BO715" t="s">
        <v>1689</v>
      </c>
      <c r="BQ715" t="s">
        <v>1666</v>
      </c>
      <c r="BR715" t="s">
        <v>1724</v>
      </c>
      <c r="BS715" s="4" t="str">
        <f>HYPERLINK("http://exon.niaid.nih.gov/transcriptome/C_felis/S1/links/CDD/cf-contig_588-CDD.txt","PRK14121")</f>
        <v>PRK14121</v>
      </c>
      <c r="BT715" t="str">
        <f>HYPERLINK("http://www.ncbi.nlm.nih.gov/Structure/cdd/cddsrv.cgi?uid=PRK14121&amp;version=v4.0","0.040")</f>
        <v>0.040</v>
      </c>
      <c r="BU715" t="s">
        <v>3822</v>
      </c>
      <c r="BV715" s="4" t="s">
        <v>42</v>
      </c>
      <c r="BW715" t="s">
        <v>42</v>
      </c>
      <c r="BX715" t="s">
        <v>42</v>
      </c>
      <c r="BY715" t="s">
        <v>42</v>
      </c>
      <c r="BZ715" t="s">
        <v>42</v>
      </c>
      <c r="CA715" t="s">
        <v>42</v>
      </c>
      <c r="CB715" t="s">
        <v>42</v>
      </c>
      <c r="CC715" t="s">
        <v>42</v>
      </c>
      <c r="CD715" t="s">
        <v>42</v>
      </c>
      <c r="CE715" t="s">
        <v>42</v>
      </c>
      <c r="CF715" t="s">
        <v>42</v>
      </c>
      <c r="CG715" t="s">
        <v>42</v>
      </c>
      <c r="CH715" t="s">
        <v>42</v>
      </c>
      <c r="CI715" t="s">
        <v>42</v>
      </c>
      <c r="CJ715" t="s">
        <v>42</v>
      </c>
      <c r="CK715" t="s">
        <v>42</v>
      </c>
      <c r="CL715" t="s">
        <v>42</v>
      </c>
      <c r="CM715" t="s">
        <v>42</v>
      </c>
      <c r="CN715" t="s">
        <v>42</v>
      </c>
      <c r="CO715" t="s">
        <v>42</v>
      </c>
      <c r="CP715" t="s">
        <v>42</v>
      </c>
      <c r="CQ715" t="s">
        <v>42</v>
      </c>
      <c r="CR715" t="s">
        <v>42</v>
      </c>
      <c r="CS715" s="4" t="str">
        <f>HYPERLINK("http://exon.niaid.nih.gov/transcriptome/C_felis/S1/links/KOG/cf-contig_588-KOG.txt","Subunit of cis-Golgi transport vesicle tethering complex - Sec34p")</f>
        <v>Subunit of cis-Golgi transport vesicle tethering complex - Sec34p</v>
      </c>
      <c r="CT715" t="str">
        <f>HYPERLINK("http://www.ncbi.nlm.nih.gov/COG/grace/shokog.cgi?KOG2604","0.18")</f>
        <v>0.18</v>
      </c>
      <c r="CU715" t="s">
        <v>1686</v>
      </c>
      <c r="CV715" s="4" t="str">
        <f>HYPERLINK("http://exon.niaid.nih.gov/transcriptome/C_felis/S1/links/PFAM/cf-contig_588-PFAM.txt","DUF2972")</f>
        <v>DUF2972</v>
      </c>
      <c r="CW715" t="str">
        <f>HYPERLINK("http://pfam.sanger.ac.uk/family?acc=PF11186","0.041")</f>
        <v>0.041</v>
      </c>
      <c r="CX715" s="4" t="str">
        <f>HYPERLINK("http://exon.niaid.nih.gov/transcriptome/C_felis/S1/links/SMART/cf-contig_588-SMART.txt","VWD")</f>
        <v>VWD</v>
      </c>
      <c r="CY715" t="str">
        <f>HYPERLINK("http://smart.embl-heidelberg.de/smart/do_annotation.pl?DOMAIN=VWD&amp;BLAST=DUMMY","0.031")</f>
        <v>0.031</v>
      </c>
      <c r="CZ715" s="4" t="s">
        <v>42</v>
      </c>
      <c r="DA715" t="s">
        <v>42</v>
      </c>
      <c r="DB715" t="s">
        <v>42</v>
      </c>
      <c r="DC715" t="s">
        <v>42</v>
      </c>
      <c r="DD715" t="s">
        <v>42</v>
      </c>
      <c r="DE715" t="s">
        <v>42</v>
      </c>
      <c r="DF715" t="s">
        <v>42</v>
      </c>
      <c r="DG715" t="s">
        <v>42</v>
      </c>
      <c r="DH715" s="4" t="s">
        <v>42</v>
      </c>
      <c r="DI715" t="s">
        <v>42</v>
      </c>
      <c r="DJ715" s="4" t="s">
        <v>42</v>
      </c>
      <c r="DK715" t="s">
        <v>42</v>
      </c>
      <c r="DL715" s="4">
        <v>479</v>
      </c>
      <c r="DM715">
        <v>1</v>
      </c>
      <c r="DN715" s="4">
        <v>490</v>
      </c>
      <c r="DO715">
        <v>1</v>
      </c>
      <c r="DP715" s="4">
        <v>499</v>
      </c>
      <c r="DQ715">
        <v>1</v>
      </c>
      <c r="DR715" s="4">
        <v>518</v>
      </c>
      <c r="DS715">
        <v>1</v>
      </c>
      <c r="DT715" s="4">
        <v>530</v>
      </c>
      <c r="DU715">
        <v>1</v>
      </c>
      <c r="DV715" s="4">
        <v>544</v>
      </c>
      <c r="DW715">
        <v>1</v>
      </c>
      <c r="DX715" s="4">
        <v>552</v>
      </c>
      <c r="DY715">
        <v>1</v>
      </c>
      <c r="DZ715" s="4">
        <v>560</v>
      </c>
      <c r="EA715">
        <v>1</v>
      </c>
      <c r="EB715" s="4">
        <v>565</v>
      </c>
      <c r="EC715">
        <v>1</v>
      </c>
      <c r="ED715" s="4">
        <v>569</v>
      </c>
      <c r="EE715">
        <v>1</v>
      </c>
      <c r="EF715" s="4">
        <v>574</v>
      </c>
      <c r="EG715">
        <v>1</v>
      </c>
      <c r="EH715" s="4">
        <v>581</v>
      </c>
      <c r="EI715">
        <v>1</v>
      </c>
      <c r="EJ715" s="4">
        <v>588</v>
      </c>
      <c r="EK715">
        <v>1</v>
      </c>
    </row>
    <row r="716" spans="1:141" x14ac:dyDescent="0.2">
      <c r="A716" t="str">
        <f>HYPERLINK("http://exon.niaid.nih.gov/transcriptome/C_felis/S1/links/cf/cf-contig_245.txt","cf-contig_245")</f>
        <v>cf-contig_245</v>
      </c>
      <c r="B716">
        <v>1</v>
      </c>
      <c r="C716" s="10" t="s">
        <v>4600</v>
      </c>
      <c r="D716">
        <v>1</v>
      </c>
      <c r="E716" t="str">
        <f>HYPERLINK("http://exon.niaid.nih.gov/transcriptome/C_felis/S1/links/cf/cf-5-36-asb-245.txt","Contig-245")</f>
        <v>Contig-245</v>
      </c>
      <c r="F716" t="str">
        <f>HYPERLINK("http://exon.niaid.nih.gov/transcriptome/C_felis/S1/links/cf/cf-5-36-245-CLU.txt","Contig245")</f>
        <v>Contig245</v>
      </c>
      <c r="G716" t="str">
        <f>HYPERLINK("http://exon.niaid.nih.gov/transcriptome/C_felis/S1/links/cf/cf-5-36-245-qual.txt","64.1")</f>
        <v>64.1</v>
      </c>
      <c r="H716" t="s">
        <v>11</v>
      </c>
      <c r="I716">
        <v>70.400000000000006</v>
      </c>
      <c r="J716">
        <v>414</v>
      </c>
      <c r="K716" t="s">
        <v>12</v>
      </c>
      <c r="L716">
        <v>1</v>
      </c>
      <c r="M716" t="s">
        <v>258</v>
      </c>
      <c r="N716">
        <v>414</v>
      </c>
      <c r="O716">
        <v>433</v>
      </c>
      <c r="P716">
        <v>339</v>
      </c>
      <c r="Q716" t="s">
        <v>1065</v>
      </c>
      <c r="R716">
        <v>1</v>
      </c>
      <c r="S716" s="7" t="str">
        <f>HYPERLINK("http://exon.niaid.nih.gov/transcriptome/C_felis/S1/links/Sigp/CF-CONTIG_245-SigP.txt","Cyt")</f>
        <v>Cyt</v>
      </c>
      <c r="U716">
        <v>1</v>
      </c>
      <c r="V716" s="4">
        <f>HYPERLINK("http://exon.niaid.nih.gov/transcriptome/C_felis/S1/links/cluster/cf-5-36-asb30-50-Id-CLU59.txt", 59)</f>
        <v>59</v>
      </c>
      <c r="W716">
        <f>HYPERLINK("http://exon.niaid.nih.gov/transcriptome/C_felis/S1/links/cluster/cf-5-36-asb30-50-Id-CLTL59.txt", 2)</f>
        <v>2</v>
      </c>
      <c r="X716" s="4">
        <f>HYPERLINK("http://exon.niaid.nih.gov/transcriptome/C_felis/S1/links/cluster/cf-5-36-asb35-50-Id-CLU52.txt", 52)</f>
        <v>52</v>
      </c>
      <c r="Y716">
        <f>HYPERLINK("http://exon.niaid.nih.gov/transcriptome/C_felis/S1/links/cluster/cf-5-36-asb35-50-Id-CLTL52.txt", 2)</f>
        <v>2</v>
      </c>
      <c r="Z716" s="4">
        <f>HYPERLINK("http://exon.niaid.nih.gov/transcriptome/C_felis/S1/links/cluster/cf-5-36-asb40-50-Id-CLU49.txt", 49)</f>
        <v>49</v>
      </c>
      <c r="AA716">
        <f>HYPERLINK("http://exon.niaid.nih.gov/transcriptome/C_felis/S1/links/cluster/cf-5-36-asb40-50-Id-CLTL49.txt", 2)</f>
        <v>2</v>
      </c>
      <c r="AB716" s="4" t="str">
        <f>HYPERLINK("http://exon.niaid.nih.gov/transcriptome/C_felis/S1/links/XC-ASB/cf-contig_245-XC-ASB.txt","XC-contig_27")</f>
        <v>XC-contig_27</v>
      </c>
      <c r="AC716">
        <v>9.9999999999999995E-7</v>
      </c>
      <c r="AD716" s="10" t="s">
        <v>4600</v>
      </c>
      <c r="AE716" t="s">
        <v>4601</v>
      </c>
      <c r="AI716" s="4" t="str">
        <f>HYPERLINK("http://exon.niaid.nih.gov/transcriptome/C_felis/S1/links/NR/cf-contig_245-NR.txt","venom acid phosphatase Acph-1-like")</f>
        <v>venom acid phosphatase Acph-1-like</v>
      </c>
      <c r="AJ716" t="str">
        <f>HYPERLINK("http://www.ncbi.nlm.nih.gov/sutils/blink.cgi?pid=345494739","7E-005")</f>
        <v>7E-005</v>
      </c>
      <c r="AK716" t="str">
        <f>HYPERLINK("http://www.ncbi.nlm.nih.gov/protein/345494739","gi|345494739")</f>
        <v>gi|345494739</v>
      </c>
      <c r="AL716">
        <v>50.8</v>
      </c>
      <c r="AM716">
        <v>91</v>
      </c>
      <c r="AN716">
        <v>396</v>
      </c>
      <c r="AO716">
        <v>29</v>
      </c>
      <c r="AP716">
        <v>23</v>
      </c>
      <c r="AQ716">
        <v>67</v>
      </c>
      <c r="AR716">
        <v>5</v>
      </c>
      <c r="AS716">
        <v>275</v>
      </c>
      <c r="AT716">
        <v>58</v>
      </c>
      <c r="AU716">
        <v>1</v>
      </c>
      <c r="AV716">
        <v>1</v>
      </c>
      <c r="AW716" t="s">
        <v>12</v>
      </c>
      <c r="AY716" t="s">
        <v>1676</v>
      </c>
      <c r="AZ716" t="s">
        <v>1897</v>
      </c>
      <c r="BA716" s="4" t="str">
        <f>HYPERLINK("http://exon.niaid.nih.gov/transcriptome/C_felis/S1/links/SWISSP/cf-contig_245-SWISSP.txt","Venom acid phosphatase Acph-1")</f>
        <v>Venom acid phosphatase Acph-1</v>
      </c>
      <c r="BB716" t="str">
        <f>HYPERLINK("http://www.uniprot.org/uniprot/Q5BLY5","0.002")</f>
        <v>0.002</v>
      </c>
      <c r="BC716" t="s">
        <v>2134</v>
      </c>
      <c r="BD716">
        <v>41.6</v>
      </c>
      <c r="BE716">
        <v>62</v>
      </c>
      <c r="BF716">
        <v>388</v>
      </c>
      <c r="BG716">
        <v>23</v>
      </c>
      <c r="BH716">
        <v>16</v>
      </c>
      <c r="BI716">
        <v>48</v>
      </c>
      <c r="BJ716">
        <v>0</v>
      </c>
      <c r="BK716">
        <v>290</v>
      </c>
      <c r="BL716">
        <v>121</v>
      </c>
      <c r="BM716">
        <v>1</v>
      </c>
      <c r="BN716">
        <v>1</v>
      </c>
      <c r="BO716" t="s">
        <v>12</v>
      </c>
      <c r="BQ716" t="s">
        <v>1676</v>
      </c>
      <c r="BR716" t="s">
        <v>2135</v>
      </c>
      <c r="BS716" s="4" t="str">
        <f>HYPERLINK("http://exon.niaid.nih.gov/transcriptome/C_felis/S1/links/CDD/cf-contig_245-CDD.txt","Srg")</f>
        <v>Srg</v>
      </c>
      <c r="BT716" t="str">
        <f>HYPERLINK("http://www.ncbi.nlm.nih.gov/Structure/cdd/cddsrv.cgi?uid=pfam02118&amp;version=v4.0","5E-004")</f>
        <v>5E-004</v>
      </c>
      <c r="BU716" t="s">
        <v>2597</v>
      </c>
      <c r="BV716" s="4" t="s">
        <v>42</v>
      </c>
      <c r="BW716" t="s">
        <v>42</v>
      </c>
      <c r="BX716" t="s">
        <v>42</v>
      </c>
      <c r="BY716" t="s">
        <v>42</v>
      </c>
      <c r="BZ716" t="s">
        <v>42</v>
      </c>
      <c r="CA716" t="s">
        <v>42</v>
      </c>
      <c r="CB716" t="s">
        <v>42</v>
      </c>
      <c r="CC716" t="s">
        <v>42</v>
      </c>
      <c r="CD716" t="s">
        <v>42</v>
      </c>
      <c r="CE716" t="s">
        <v>42</v>
      </c>
      <c r="CF716" t="s">
        <v>42</v>
      </c>
      <c r="CG716" t="s">
        <v>42</v>
      </c>
      <c r="CH716" t="s">
        <v>42</v>
      </c>
      <c r="CI716" t="s">
        <v>42</v>
      </c>
      <c r="CJ716" t="s">
        <v>42</v>
      </c>
      <c r="CK716" t="s">
        <v>42</v>
      </c>
      <c r="CL716" t="s">
        <v>42</v>
      </c>
      <c r="CM716" t="s">
        <v>42</v>
      </c>
      <c r="CN716" t="s">
        <v>42</v>
      </c>
      <c r="CO716" t="s">
        <v>42</v>
      </c>
      <c r="CP716" t="s">
        <v>42</v>
      </c>
      <c r="CQ716" t="s">
        <v>42</v>
      </c>
      <c r="CR716" t="s">
        <v>42</v>
      </c>
      <c r="CS716" s="4" t="str">
        <f>HYPERLINK("http://exon.niaid.nih.gov/transcriptome/C_felis/S1/links/KOG/cf-contig_245-KOG.txt","Lysosomal &amp; prostatic acid phosphatases")</f>
        <v>Lysosomal &amp; prostatic acid phosphatases</v>
      </c>
      <c r="CT716" t="str">
        <f>HYPERLINK("http://www.ncbi.nlm.nih.gov/COG/grace/shokog.cgi?KOG3720","6E-005")</f>
        <v>6E-005</v>
      </c>
      <c r="CU716" t="s">
        <v>1761</v>
      </c>
      <c r="CV716" s="4" t="str">
        <f>HYPERLINK("http://exon.niaid.nih.gov/transcriptome/C_felis/S1/links/PFAM/cf-contig_245-PFAM.txt","Srg")</f>
        <v>Srg</v>
      </c>
      <c r="CW716" t="str">
        <f>HYPERLINK("http://pfam.sanger.ac.uk/family?acc=PF02118","1E-004")</f>
        <v>1E-004</v>
      </c>
      <c r="CX716" s="4" t="str">
        <f>HYPERLINK("http://exon.niaid.nih.gov/transcriptome/C_felis/S1/links/SMART/cf-contig_245-SMART.txt","AgrB")</f>
        <v>AgrB</v>
      </c>
      <c r="CY716" t="str">
        <f>HYPERLINK("http://smart.embl-heidelberg.de/smart/do_annotation.pl?DOMAIN=AgrB&amp;BLAST=DUMMY","0.057")</f>
        <v>0.057</v>
      </c>
      <c r="CZ716" s="4" t="s">
        <v>42</v>
      </c>
      <c r="DA716" t="s">
        <v>42</v>
      </c>
      <c r="DB716" t="s">
        <v>42</v>
      </c>
      <c r="DC716" t="s">
        <v>42</v>
      </c>
      <c r="DD716" t="s">
        <v>42</v>
      </c>
      <c r="DE716" t="s">
        <v>42</v>
      </c>
      <c r="DF716" t="s">
        <v>42</v>
      </c>
      <c r="DG716" t="s">
        <v>42</v>
      </c>
      <c r="DH716" s="4" t="s">
        <v>42</v>
      </c>
      <c r="DI716" t="s">
        <v>42</v>
      </c>
      <c r="DJ716" s="4" t="s">
        <v>42</v>
      </c>
      <c r="DK716" t="s">
        <v>42</v>
      </c>
      <c r="DL716" s="4">
        <f>HYPERLINK("http://exon.niaid.nih.gov/transcriptome/C_felis/S1/links/cluster/cf-5-36-asb30-50-Id-CLU59.txt", 59)</f>
        <v>59</v>
      </c>
      <c r="DM716">
        <f>HYPERLINK("http://exon.niaid.nih.gov/transcriptome/C_felis/S1/links/cluster/cf-5-36-asb30-50-Id-CLTL59.txt", 2)</f>
        <v>2</v>
      </c>
      <c r="DN716" s="4">
        <f>HYPERLINK("http://exon.niaid.nih.gov/transcriptome/C_felis/S1/links/cluster/cf-5-36-asb35-50-Id-CLU52.txt", 52)</f>
        <v>52</v>
      </c>
      <c r="DO716">
        <f>HYPERLINK("http://exon.niaid.nih.gov/transcriptome/C_felis/S1/links/cluster/cf-5-36-asb35-50-Id-CLTL52.txt", 2)</f>
        <v>2</v>
      </c>
      <c r="DP716" s="4">
        <f>HYPERLINK("http://exon.niaid.nih.gov/transcriptome/C_felis/S1/links/cluster/cf-5-36-asb40-50-Id-CLU49.txt", 49)</f>
        <v>49</v>
      </c>
      <c r="DQ716">
        <f>HYPERLINK("http://exon.niaid.nih.gov/transcriptome/C_felis/S1/links/cluster/cf-5-36-asb40-50-Id-CLTL49.txt", 2)</f>
        <v>2</v>
      </c>
      <c r="DR716" s="4">
        <v>203</v>
      </c>
      <c r="DS716">
        <v>1</v>
      </c>
      <c r="DT716" s="4">
        <v>209</v>
      </c>
      <c r="DU716">
        <v>1</v>
      </c>
      <c r="DV716" s="4">
        <v>221</v>
      </c>
      <c r="DW716">
        <v>1</v>
      </c>
      <c r="DX716" s="4">
        <v>223</v>
      </c>
      <c r="DY716">
        <v>1</v>
      </c>
      <c r="DZ716" s="4">
        <v>227</v>
      </c>
      <c r="EA716">
        <v>1</v>
      </c>
      <c r="EB716" s="4">
        <v>232</v>
      </c>
      <c r="EC716">
        <v>1</v>
      </c>
      <c r="ED716" s="4">
        <v>235</v>
      </c>
      <c r="EE716">
        <v>1</v>
      </c>
      <c r="EF716" s="4">
        <v>238</v>
      </c>
      <c r="EG716">
        <v>1</v>
      </c>
      <c r="EH716" s="4">
        <v>240</v>
      </c>
      <c r="EI716">
        <v>1</v>
      </c>
      <c r="EJ716" s="4">
        <v>245</v>
      </c>
      <c r="EK716">
        <v>1</v>
      </c>
    </row>
    <row r="717" spans="1:141" x14ac:dyDescent="0.2">
      <c r="A717" t="str">
        <f>HYPERLINK("http://exon.niaid.nih.gov/transcriptome/C_felis/S1/links/cf/cf-contig_327.txt","cf-contig_327")</f>
        <v>cf-contig_327</v>
      </c>
      <c r="B717">
        <v>1</v>
      </c>
      <c r="C717" s="10" t="s">
        <v>4600</v>
      </c>
      <c r="D717">
        <v>1</v>
      </c>
      <c r="E717" t="str">
        <f>HYPERLINK("http://exon.niaid.nih.gov/transcriptome/C_felis/S1/links/cf/cf-5-36-asb-327.txt","Contig-327")</f>
        <v>Contig-327</v>
      </c>
      <c r="F717" t="str">
        <f>HYPERLINK("http://exon.niaid.nih.gov/transcriptome/C_felis/S1/links/cf/cf-5-36-327-CLU.txt","Contig327")</f>
        <v>Contig327</v>
      </c>
      <c r="G717" t="str">
        <f>HYPERLINK("http://exon.niaid.nih.gov/transcriptome/C_felis/S1/links/cf/cf-5-36-327-qual.txt","54.8")</f>
        <v>54.8</v>
      </c>
      <c r="H717">
        <v>0.2</v>
      </c>
      <c r="I717">
        <v>69.400000000000006</v>
      </c>
      <c r="J717">
        <v>406</v>
      </c>
      <c r="K717" t="s">
        <v>12</v>
      </c>
      <c r="L717">
        <v>1</v>
      </c>
      <c r="M717" t="s">
        <v>340</v>
      </c>
      <c r="N717">
        <v>406</v>
      </c>
      <c r="O717">
        <v>425</v>
      </c>
      <c r="P717">
        <v>255</v>
      </c>
      <c r="Q717" t="s">
        <v>1147</v>
      </c>
      <c r="R717">
        <v>2</v>
      </c>
      <c r="S717" s="7" t="str">
        <f>HYPERLINK("http://exon.niaid.nih.gov/transcriptome/C_felis/S1/links/Sigp/CF-CONTIG_327-SigP.txt","Cyt")</f>
        <v>Cyt</v>
      </c>
      <c r="U717">
        <v>1</v>
      </c>
      <c r="V717" s="4">
        <v>264</v>
      </c>
      <c r="W717">
        <v>1</v>
      </c>
      <c r="X717" s="4">
        <v>270</v>
      </c>
      <c r="Y717">
        <v>1</v>
      </c>
      <c r="Z717" s="4">
        <v>269</v>
      </c>
      <c r="AA717">
        <v>1</v>
      </c>
      <c r="AB717" s="4" t="str">
        <f>HYPERLINK("http://exon.niaid.nih.gov/transcriptome/C_felis/S1/links/XC-ASB/cf-contig_327-XC-ASB.txt","XC-contig_90")</f>
        <v>XC-contig_90</v>
      </c>
      <c r="AC717">
        <v>0.17</v>
      </c>
      <c r="AD717" s="10" t="s">
        <v>4600</v>
      </c>
      <c r="AE717" t="s">
        <v>4601</v>
      </c>
      <c r="AI717" s="4" t="str">
        <f>HYPERLINK("http://exon.niaid.nih.gov/transcriptome/C_felis/S1/links/NR/cf-contig_327-NR.txt","hypothetical protein NDAI_0D02140")</f>
        <v>hypothetical protein NDAI_0D02140</v>
      </c>
      <c r="AJ717" t="str">
        <f>HYPERLINK("http://www.ncbi.nlm.nih.gov/sutils/blink.cgi?pid=343768540","0.86")</f>
        <v>0.86</v>
      </c>
      <c r="AK717" t="str">
        <f>HYPERLINK("http://www.ncbi.nlm.nih.gov/protein/343768540","gi|343768540")</f>
        <v>gi|343768540</v>
      </c>
      <c r="AL717">
        <v>37.4</v>
      </c>
      <c r="AM717">
        <v>89</v>
      </c>
      <c r="AN717">
        <v>1025</v>
      </c>
      <c r="AO717">
        <v>27</v>
      </c>
      <c r="AP717">
        <v>9</v>
      </c>
      <c r="AQ717">
        <v>65</v>
      </c>
      <c r="AR717">
        <v>11</v>
      </c>
      <c r="AS717">
        <v>413</v>
      </c>
      <c r="AT717">
        <v>35</v>
      </c>
      <c r="AU717">
        <v>1</v>
      </c>
      <c r="AV717">
        <v>2</v>
      </c>
      <c r="AW717" t="s">
        <v>12</v>
      </c>
      <c r="AX717">
        <v>1.1240000000000001</v>
      </c>
      <c r="AY717" t="s">
        <v>1676</v>
      </c>
      <c r="AZ717" t="s">
        <v>2849</v>
      </c>
      <c r="BA717" s="4" t="str">
        <f>HYPERLINK("http://exon.niaid.nih.gov/transcriptome/C_felis/S1/links/SWISSP/cf-contig_327-SWISSP.txt","Putative uncharacterized protein DDB_G0277407")</f>
        <v>Putative uncharacterized protein DDB_G0277407</v>
      </c>
      <c r="BB717" t="str">
        <f>HYPERLINK("http://www.uniprot.org/uniprot/Q8T2H7","0.26")</f>
        <v>0.26</v>
      </c>
      <c r="BC717" t="s">
        <v>2850</v>
      </c>
      <c r="BD717">
        <v>34.299999999999997</v>
      </c>
      <c r="BE717">
        <v>90</v>
      </c>
      <c r="BF717">
        <v>125</v>
      </c>
      <c r="BG717">
        <v>30</v>
      </c>
      <c r="BH717">
        <v>73</v>
      </c>
      <c r="BI717">
        <v>64</v>
      </c>
      <c r="BJ717">
        <v>8</v>
      </c>
      <c r="BK717">
        <v>6</v>
      </c>
      <c r="BL717">
        <v>2</v>
      </c>
      <c r="BM717">
        <v>1</v>
      </c>
      <c r="BN717">
        <v>2</v>
      </c>
      <c r="BO717" t="s">
        <v>12</v>
      </c>
      <c r="BQ717" t="s">
        <v>1676</v>
      </c>
      <c r="BR717" t="s">
        <v>1976</v>
      </c>
      <c r="BS717" s="4" t="str">
        <f>HYPERLINK("http://exon.niaid.nih.gov/transcriptome/C_felis/S1/links/CDD/cf-contig_327-CDD.txt","bact_immun_7tm")</f>
        <v>bact_immun_7tm</v>
      </c>
      <c r="BT717" t="str">
        <f>HYPERLINK("http://www.ncbi.nlm.nih.gov/Structure/cdd/cddsrv.cgi?uid=TIGR01654&amp;version=v4.0","0.037")</f>
        <v>0.037</v>
      </c>
      <c r="BU717" t="s">
        <v>2851</v>
      </c>
      <c r="BV717" s="4" t="s">
        <v>42</v>
      </c>
      <c r="BW717" t="s">
        <v>42</v>
      </c>
      <c r="BX717" t="s">
        <v>42</v>
      </c>
      <c r="BY717" t="s">
        <v>42</v>
      </c>
      <c r="BZ717" t="s">
        <v>42</v>
      </c>
      <c r="CA717" t="s">
        <v>42</v>
      </c>
      <c r="CB717" t="s">
        <v>42</v>
      </c>
      <c r="CC717" t="s">
        <v>42</v>
      </c>
      <c r="CD717" t="s">
        <v>42</v>
      </c>
      <c r="CE717" t="s">
        <v>42</v>
      </c>
      <c r="CF717" t="s">
        <v>42</v>
      </c>
      <c r="CG717" t="s">
        <v>42</v>
      </c>
      <c r="CH717" t="s">
        <v>42</v>
      </c>
      <c r="CI717" t="s">
        <v>42</v>
      </c>
      <c r="CJ717" t="s">
        <v>42</v>
      </c>
      <c r="CK717" t="s">
        <v>42</v>
      </c>
      <c r="CL717" t="s">
        <v>42</v>
      </c>
      <c r="CM717" t="s">
        <v>42</v>
      </c>
      <c r="CN717" t="s">
        <v>42</v>
      </c>
      <c r="CO717" t="s">
        <v>42</v>
      </c>
      <c r="CP717" t="s">
        <v>42</v>
      </c>
      <c r="CQ717" t="s">
        <v>42</v>
      </c>
      <c r="CR717" t="s">
        <v>42</v>
      </c>
      <c r="CS717" s="4" t="str">
        <f>HYPERLINK("http://exon.niaid.nih.gov/transcriptome/C_felis/S1/links/KOG/cf-contig_327-KOG.txt","Regulator of spindle pole body duplication")</f>
        <v>Regulator of spindle pole body duplication</v>
      </c>
      <c r="CT717" t="str">
        <f>HYPERLINK("http://www.ncbi.nlm.nih.gov/COG/grace/shokog.cgi?KOG1849","0.73")</f>
        <v>0.73</v>
      </c>
      <c r="CU717" t="s">
        <v>1750</v>
      </c>
      <c r="CV717" s="4" t="str">
        <f>HYPERLINK("http://exon.niaid.nih.gov/transcriptome/C_felis/S1/links/PFAM/cf-contig_327-PFAM.txt","DRP")</f>
        <v>DRP</v>
      </c>
      <c r="CW717" t="str">
        <f>HYPERLINK("http://pfam.sanger.ac.uk/family?acc=PF06044","0.036")</f>
        <v>0.036</v>
      </c>
      <c r="CX717" s="4" t="str">
        <f>HYPERLINK("http://exon.niaid.nih.gov/transcriptome/C_felis/S1/links/SMART/cf-contig_327-SMART.txt","CHASE2")</f>
        <v>CHASE2</v>
      </c>
      <c r="CY717" t="str">
        <f>HYPERLINK("http://smart.embl-heidelberg.de/smart/do_annotation.pl?DOMAIN=CHASE2&amp;BLAST=DUMMY","0.14")</f>
        <v>0.14</v>
      </c>
      <c r="CZ717" s="4" t="s">
        <v>42</v>
      </c>
      <c r="DA717" t="s">
        <v>42</v>
      </c>
      <c r="DB717" t="s">
        <v>42</v>
      </c>
      <c r="DC717" t="s">
        <v>42</v>
      </c>
      <c r="DD717" t="s">
        <v>42</v>
      </c>
      <c r="DE717" t="s">
        <v>42</v>
      </c>
      <c r="DF717" t="s">
        <v>42</v>
      </c>
      <c r="DG717" t="s">
        <v>42</v>
      </c>
      <c r="DH717" s="4" t="s">
        <v>42</v>
      </c>
      <c r="DI717" t="s">
        <v>42</v>
      </c>
      <c r="DJ717" s="4" t="s">
        <v>42</v>
      </c>
      <c r="DK717" t="s">
        <v>42</v>
      </c>
      <c r="DL717" s="4">
        <v>264</v>
      </c>
      <c r="DM717">
        <v>1</v>
      </c>
      <c r="DN717" s="4">
        <v>270</v>
      </c>
      <c r="DO717">
        <v>1</v>
      </c>
      <c r="DP717" s="4">
        <v>269</v>
      </c>
      <c r="DQ717">
        <v>1</v>
      </c>
      <c r="DR717" s="4">
        <v>278</v>
      </c>
      <c r="DS717">
        <v>1</v>
      </c>
      <c r="DT717" s="4">
        <v>288</v>
      </c>
      <c r="DU717">
        <v>1</v>
      </c>
      <c r="DV717" s="4">
        <v>300</v>
      </c>
      <c r="DW717">
        <v>1</v>
      </c>
      <c r="DX717" s="4">
        <v>302</v>
      </c>
      <c r="DY717">
        <v>1</v>
      </c>
      <c r="DZ717" s="4">
        <v>307</v>
      </c>
      <c r="EA717">
        <v>1</v>
      </c>
      <c r="EB717" s="4">
        <v>312</v>
      </c>
      <c r="EC717">
        <v>1</v>
      </c>
      <c r="ED717" s="4">
        <v>316</v>
      </c>
      <c r="EE717">
        <v>1</v>
      </c>
      <c r="EF717" s="4">
        <v>320</v>
      </c>
      <c r="EG717">
        <v>1</v>
      </c>
      <c r="EH717" s="4">
        <v>322</v>
      </c>
      <c r="EI717">
        <v>1</v>
      </c>
      <c r="EJ717" s="4">
        <v>327</v>
      </c>
      <c r="EK717">
        <v>1</v>
      </c>
    </row>
    <row r="718" spans="1:141" x14ac:dyDescent="0.2">
      <c r="A718" t="str">
        <f>HYPERLINK("http://exon.niaid.nih.gov/transcriptome/C_felis/S1/links/cf/cf-contig_375.txt","cf-contig_375")</f>
        <v>cf-contig_375</v>
      </c>
      <c r="B718">
        <v>1</v>
      </c>
      <c r="C718" s="10" t="s">
        <v>4600</v>
      </c>
      <c r="D718">
        <v>1</v>
      </c>
      <c r="E718" t="str">
        <f>HYPERLINK("http://exon.niaid.nih.gov/transcriptome/C_felis/S1/links/cf/cf-5-36-asb-375.txt","Contig-375")</f>
        <v>Contig-375</v>
      </c>
      <c r="F718" t="str">
        <f>HYPERLINK("http://exon.niaid.nih.gov/transcriptome/C_felis/S1/links/cf/cf-5-36-375-CLU.txt","Contig375")</f>
        <v>Contig375</v>
      </c>
      <c r="G718" t="str">
        <f>HYPERLINK("http://exon.niaid.nih.gov/transcriptome/C_felis/S1/links/cf/cf-5-36-375-qual.txt","63.1")</f>
        <v>63.1</v>
      </c>
      <c r="H718" t="s">
        <v>11</v>
      </c>
      <c r="I718">
        <v>72.5</v>
      </c>
      <c r="J718">
        <v>265</v>
      </c>
      <c r="K718" t="s">
        <v>12</v>
      </c>
      <c r="L718">
        <v>1</v>
      </c>
      <c r="M718" t="s">
        <v>388</v>
      </c>
      <c r="N718">
        <v>265</v>
      </c>
      <c r="O718">
        <v>284</v>
      </c>
      <c r="P718">
        <v>87</v>
      </c>
      <c r="Q718" t="s">
        <v>1195</v>
      </c>
      <c r="R718">
        <v>2</v>
      </c>
      <c r="S718" s="7" t="s">
        <v>4585</v>
      </c>
      <c r="U718">
        <v>1</v>
      </c>
      <c r="V718" s="4">
        <v>304</v>
      </c>
      <c r="W718">
        <v>1</v>
      </c>
      <c r="X718" s="4">
        <v>311</v>
      </c>
      <c r="Y718">
        <v>1</v>
      </c>
      <c r="Z718" s="4">
        <v>312</v>
      </c>
      <c r="AA718">
        <v>1</v>
      </c>
      <c r="AB718" s="4" t="str">
        <f>HYPERLINK("http://exon.niaid.nih.gov/transcriptome/C_felis/S1/links/XC-ASB/cf-contig_375-XC-ASB.txt","XC-contig_75")</f>
        <v>XC-contig_75</v>
      </c>
      <c r="AC718">
        <v>2.8000000000000001E-2</v>
      </c>
      <c r="AD718" s="10" t="s">
        <v>4600</v>
      </c>
      <c r="AE718" t="s">
        <v>4601</v>
      </c>
      <c r="AI718" s="4" t="str">
        <f>HYPERLINK("http://exon.niaid.nih.gov/transcriptome/C_felis/S1/links/NR/cf-contig_375-NR.txt","C4-Dicarboxylate transporter")</f>
        <v>C4-Dicarboxylate transporter</v>
      </c>
      <c r="AJ718" t="str">
        <f>HYPERLINK("http://www.ncbi.nlm.nih.gov/sutils/blink.cgi?pid=224372444","1.4")</f>
        <v>1.4</v>
      </c>
      <c r="AK718" t="str">
        <f>HYPERLINK("http://www.ncbi.nlm.nih.gov/protein/224372444","gi|224372444")</f>
        <v>gi|224372444</v>
      </c>
      <c r="AL718">
        <v>36.6</v>
      </c>
      <c r="AM718">
        <v>61</v>
      </c>
      <c r="AN718">
        <v>336</v>
      </c>
      <c r="AO718">
        <v>32</v>
      </c>
      <c r="AP718">
        <v>18</v>
      </c>
      <c r="AQ718">
        <v>42</v>
      </c>
      <c r="AR718">
        <v>0</v>
      </c>
      <c r="AS718">
        <v>272</v>
      </c>
      <c r="AT718">
        <v>62</v>
      </c>
      <c r="AU718">
        <v>1</v>
      </c>
      <c r="AV718">
        <v>-2</v>
      </c>
      <c r="AW718" t="s">
        <v>12</v>
      </c>
      <c r="AX718">
        <v>6.5570000000000004</v>
      </c>
      <c r="AY718" t="s">
        <v>1666</v>
      </c>
      <c r="AZ718" t="s">
        <v>1677</v>
      </c>
      <c r="BA718" s="4" t="str">
        <f>HYPERLINK("http://exon.niaid.nih.gov/transcriptome/C_felis/S1/links/SWISSP/cf-contig_375-SWISSP.txt","UDP-N-acetylglucosamine--N-acetylmuramyl-(pentapeptide)")</f>
        <v>UDP-N-acetylglucosamine--N-acetylmuramyl-(pentapeptide)</v>
      </c>
      <c r="BB718" t="str">
        <f>HYPERLINK("http://www.uniprot.org/uniprot/P74657","52")</f>
        <v>52</v>
      </c>
      <c r="BC718" t="s">
        <v>2996</v>
      </c>
      <c r="BD718">
        <v>26.6</v>
      </c>
      <c r="BE718">
        <v>20</v>
      </c>
      <c r="BF718">
        <v>355</v>
      </c>
      <c r="BG718">
        <v>52</v>
      </c>
      <c r="BH718">
        <v>6</v>
      </c>
      <c r="BI718">
        <v>10</v>
      </c>
      <c r="BJ718">
        <v>0</v>
      </c>
      <c r="BK718">
        <v>106</v>
      </c>
      <c r="BL718">
        <v>203</v>
      </c>
      <c r="BM718">
        <v>1</v>
      </c>
      <c r="BN718">
        <v>2</v>
      </c>
      <c r="BO718" t="s">
        <v>12</v>
      </c>
      <c r="BQ718" t="s">
        <v>1676</v>
      </c>
      <c r="BR718" t="s">
        <v>1829</v>
      </c>
      <c r="BS718" s="4" t="str">
        <f>HYPERLINK("http://exon.niaid.nih.gov/transcriptome/C_felis/S1/links/CDD/cf-contig_375-CDD.txt","TDT_like_3")</f>
        <v>TDT_like_3</v>
      </c>
      <c r="BT718" t="str">
        <f>HYPERLINK("http://www.ncbi.nlm.nih.gov/Structure/cdd/cddsrv.cgi?uid=cd09321&amp;version=v4.0","0.93")</f>
        <v>0.93</v>
      </c>
      <c r="BU718" t="s">
        <v>2997</v>
      </c>
      <c r="BV718" s="4" t="s">
        <v>42</v>
      </c>
      <c r="BW718" t="s">
        <v>42</v>
      </c>
      <c r="BX718" t="s">
        <v>42</v>
      </c>
      <c r="BY718" t="s">
        <v>42</v>
      </c>
      <c r="BZ718" t="s">
        <v>42</v>
      </c>
      <c r="CA718" t="s">
        <v>42</v>
      </c>
      <c r="CB718" t="s">
        <v>42</v>
      </c>
      <c r="CC718" t="s">
        <v>42</v>
      </c>
      <c r="CD718" t="s">
        <v>42</v>
      </c>
      <c r="CE718" t="s">
        <v>42</v>
      </c>
      <c r="CF718" t="s">
        <v>42</v>
      </c>
      <c r="CG718" t="s">
        <v>42</v>
      </c>
      <c r="CH718" t="s">
        <v>42</v>
      </c>
      <c r="CI718" t="s">
        <v>42</v>
      </c>
      <c r="CJ718" t="s">
        <v>42</v>
      </c>
      <c r="CK718" t="s">
        <v>42</v>
      </c>
      <c r="CL718" t="s">
        <v>42</v>
      </c>
      <c r="CM718" t="s">
        <v>42</v>
      </c>
      <c r="CN718" t="s">
        <v>42</v>
      </c>
      <c r="CO718" t="s">
        <v>42</v>
      </c>
      <c r="CP718" t="s">
        <v>42</v>
      </c>
      <c r="CQ718" t="s">
        <v>42</v>
      </c>
      <c r="CR718" t="s">
        <v>42</v>
      </c>
      <c r="CS718" s="4" t="str">
        <f>HYPERLINK("http://exon.niaid.nih.gov/transcriptome/C_felis/S1/links/KOG/cf-contig_375-KOG.txt","Putative ubiquitin-specific protease")</f>
        <v>Putative ubiquitin-specific protease</v>
      </c>
      <c r="CT718" t="str">
        <f>HYPERLINK("http://www.ncbi.nlm.nih.gov/COG/grace/shokog.cgi?KOG4598","1.8")</f>
        <v>1.8</v>
      </c>
      <c r="CU718" t="s">
        <v>2198</v>
      </c>
      <c r="CV718" s="4" t="str">
        <f>HYPERLINK("http://exon.niaid.nih.gov/transcriptome/C_felis/S1/links/PFAM/cf-contig_375-PFAM.txt","PIG-U")</f>
        <v>PIG-U</v>
      </c>
      <c r="CW718" t="str">
        <f>HYPERLINK("http://pfam.sanger.ac.uk/family?acc=PF06728","0.29")</f>
        <v>0.29</v>
      </c>
      <c r="CX718" s="4" t="str">
        <f>HYPERLINK("http://exon.niaid.nih.gov/transcriptome/C_felis/S1/links/SMART/cf-contig_375-SMART.txt","PIG-X")</f>
        <v>PIG-X</v>
      </c>
      <c r="CY718" t="str">
        <f>HYPERLINK("http://smart.embl-heidelberg.de/smart/do_annotation.pl?DOMAIN=PIG-X&amp;BLAST=DUMMY","0.54")</f>
        <v>0.54</v>
      </c>
      <c r="CZ718" s="4" t="s">
        <v>42</v>
      </c>
      <c r="DA718" t="s">
        <v>42</v>
      </c>
      <c r="DB718" t="s">
        <v>42</v>
      </c>
      <c r="DC718" t="s">
        <v>42</v>
      </c>
      <c r="DD718" t="s">
        <v>42</v>
      </c>
      <c r="DE718" t="s">
        <v>42</v>
      </c>
      <c r="DF718" t="s">
        <v>42</v>
      </c>
      <c r="DG718" t="s">
        <v>42</v>
      </c>
      <c r="DH718" s="4" t="s">
        <v>42</v>
      </c>
      <c r="DI718" t="s">
        <v>42</v>
      </c>
      <c r="DJ718" s="4" t="s">
        <v>42</v>
      </c>
      <c r="DK718" t="s">
        <v>42</v>
      </c>
      <c r="DL718" s="4">
        <v>304</v>
      </c>
      <c r="DM718">
        <v>1</v>
      </c>
      <c r="DN718" s="4">
        <v>311</v>
      </c>
      <c r="DO718">
        <v>1</v>
      </c>
      <c r="DP718" s="4">
        <v>312</v>
      </c>
      <c r="DQ718">
        <v>1</v>
      </c>
      <c r="DR718" s="4">
        <v>323</v>
      </c>
      <c r="DS718">
        <v>1</v>
      </c>
      <c r="DT718" s="4">
        <v>333</v>
      </c>
      <c r="DU718">
        <v>1</v>
      </c>
      <c r="DV718" s="4">
        <v>346</v>
      </c>
      <c r="DW718">
        <v>1</v>
      </c>
      <c r="DX718" s="4">
        <v>349</v>
      </c>
      <c r="DY718">
        <v>1</v>
      </c>
      <c r="DZ718" s="4">
        <v>354</v>
      </c>
      <c r="EA718">
        <v>1</v>
      </c>
      <c r="EB718" s="4">
        <v>359</v>
      </c>
      <c r="EC718">
        <v>1</v>
      </c>
      <c r="ED718" s="4">
        <v>363</v>
      </c>
      <c r="EE718">
        <v>1</v>
      </c>
      <c r="EF718" s="4">
        <v>368</v>
      </c>
      <c r="EG718">
        <v>1</v>
      </c>
      <c r="EH718" s="4">
        <v>370</v>
      </c>
      <c r="EI718">
        <v>1</v>
      </c>
      <c r="EJ718" s="4">
        <v>375</v>
      </c>
      <c r="EK718">
        <v>1</v>
      </c>
    </row>
    <row r="719" spans="1:141" x14ac:dyDescent="0.2">
      <c r="A719" t="str">
        <f>HYPERLINK("http://exon.niaid.nih.gov/transcriptome/C_felis/S1/links/cf/cf-contig_3.txt","cf-contig_3")</f>
        <v>cf-contig_3</v>
      </c>
      <c r="B719">
        <v>4</v>
      </c>
      <c r="C719" s="10" t="s">
        <v>4600</v>
      </c>
      <c r="D719">
        <v>4</v>
      </c>
      <c r="E719" t="str">
        <f>HYPERLINK("http://exon.niaid.nih.gov/transcriptome/C_felis/S1/links/cf/cf-5-36-asb-3.txt","Contig-3")</f>
        <v>Contig-3</v>
      </c>
      <c r="F719" t="str">
        <f>HYPERLINK("http://exon.niaid.nih.gov/transcriptome/C_felis/S1/links/cf/cf-5-36-3-CLU.txt","Contig3")</f>
        <v>Contig3</v>
      </c>
      <c r="G719" t="str">
        <f>HYPERLINK("http://exon.niaid.nih.gov/transcriptome/C_felis/S1/links/cf/cf-5-36-3-qual.txt","90.5")</f>
        <v>90.5</v>
      </c>
      <c r="H719" t="s">
        <v>11</v>
      </c>
      <c r="I719">
        <v>75.099999999999994</v>
      </c>
      <c r="J719">
        <v>153</v>
      </c>
      <c r="K719" t="s">
        <v>12</v>
      </c>
      <c r="L719">
        <v>4</v>
      </c>
      <c r="M719" t="s">
        <v>15</v>
      </c>
      <c r="N719">
        <v>179</v>
      </c>
      <c r="O719">
        <v>173</v>
      </c>
      <c r="P719">
        <v>102</v>
      </c>
      <c r="Q719" t="s">
        <v>826</v>
      </c>
      <c r="R719">
        <v>2</v>
      </c>
      <c r="S719" s="7" t="s">
        <v>4585</v>
      </c>
      <c r="U719">
        <v>4</v>
      </c>
      <c r="V719" s="4">
        <f>HYPERLINK("http://exon.niaid.nih.gov/transcriptome/C_felis/S1/links/cluster/cf-5-36-asb30-50-Id-CLU2.txt", 2)</f>
        <v>2</v>
      </c>
      <c r="W719">
        <f>HYPERLINK("http://exon.niaid.nih.gov/transcriptome/C_felis/S1/links/cluster/cf-5-36-asb30-50-Id-CLTL2.txt", 11)</f>
        <v>11</v>
      </c>
      <c r="X719" s="4">
        <f>HYPERLINK("http://exon.niaid.nih.gov/transcriptome/C_felis/S1/links/cluster/cf-5-36-asb35-50-Id-CLU1.txt", 1)</f>
        <v>1</v>
      </c>
      <c r="Y719">
        <f>HYPERLINK("http://exon.niaid.nih.gov/transcriptome/C_felis/S1/links/cluster/cf-5-36-asb35-50-Id-CLTL1.txt", 11)</f>
        <v>11</v>
      </c>
      <c r="Z719" s="4">
        <f>HYPERLINK("http://exon.niaid.nih.gov/transcriptome/C_felis/S1/links/cluster/cf-5-36-asb40-50-Id-CLU1.txt", 1)</f>
        <v>1</v>
      </c>
      <c r="AA719">
        <f>HYPERLINK("http://exon.niaid.nih.gov/transcriptome/C_felis/S1/links/cluster/cf-5-36-asb40-50-Id-CLTL1.txt", 11)</f>
        <v>11</v>
      </c>
      <c r="AB719" s="4" t="str">
        <f>HYPERLINK("http://exon.niaid.nih.gov/transcriptome/C_felis/S1/links/XC-ASB/cf-contig_3-XC-ASB.txt","XC-contig_43")</f>
        <v>XC-contig_43</v>
      </c>
      <c r="AC719">
        <v>0.23</v>
      </c>
      <c r="AD719" s="10" t="s">
        <v>4600</v>
      </c>
      <c r="AE719" t="s">
        <v>4601</v>
      </c>
      <c r="AI719" s="4" t="str">
        <f>HYPERLINK("http://exon.niaid.nih.gov/transcriptome/C_felis/S1/links/NR/cf-contig_3-NR.txt","hypothetical protein NAMH_1038")</f>
        <v>hypothetical protein NAMH_1038</v>
      </c>
      <c r="AJ719" t="str">
        <f>HYPERLINK("http://www.ncbi.nlm.nih.gov/sutils/blink.cgi?pid=224373065","36")</f>
        <v>36</v>
      </c>
      <c r="AK719" t="str">
        <f>HYPERLINK("http://www.ncbi.nlm.nih.gov/protein/224373065","gi|224373065")</f>
        <v>gi|224373065</v>
      </c>
      <c r="AL719">
        <v>32</v>
      </c>
      <c r="AM719">
        <v>31</v>
      </c>
      <c r="AN719">
        <v>278</v>
      </c>
      <c r="AO719">
        <v>46</v>
      </c>
      <c r="AP719">
        <v>12</v>
      </c>
      <c r="AQ719">
        <v>17</v>
      </c>
      <c r="AR719">
        <v>0</v>
      </c>
      <c r="AS719">
        <v>138</v>
      </c>
      <c r="AT719">
        <v>26</v>
      </c>
      <c r="AU719">
        <v>1</v>
      </c>
      <c r="AV719">
        <v>2</v>
      </c>
      <c r="AW719" t="s">
        <v>12</v>
      </c>
      <c r="AX719">
        <v>3.226</v>
      </c>
      <c r="AY719" t="s">
        <v>1676</v>
      </c>
      <c r="AZ719" t="s">
        <v>1677</v>
      </c>
      <c r="BA719" s="4" t="str">
        <f>HYPERLINK("http://exon.niaid.nih.gov/transcriptome/C_felis/S1/links/SWISSP/cf-contig_3-SWISSP.txt","Neural Wiskott-Aldrich syndrome protein")</f>
        <v>Neural Wiskott-Aldrich syndrome protein</v>
      </c>
      <c r="BB719" t="str">
        <f>HYPERLINK("http://www.uniprot.org/uniprot/Q95107","7.0")</f>
        <v>7.0</v>
      </c>
      <c r="BC719" t="s">
        <v>1678</v>
      </c>
      <c r="BD719">
        <v>26.2</v>
      </c>
      <c r="BE719">
        <v>51</v>
      </c>
      <c r="BF719">
        <v>505</v>
      </c>
      <c r="BG719">
        <v>75</v>
      </c>
      <c r="BH719">
        <v>10</v>
      </c>
      <c r="BI719">
        <v>3</v>
      </c>
      <c r="BJ719">
        <v>0</v>
      </c>
      <c r="BK719">
        <v>328</v>
      </c>
      <c r="BL719">
        <v>3</v>
      </c>
      <c r="BM719">
        <v>2</v>
      </c>
      <c r="BN719">
        <v>-1</v>
      </c>
      <c r="BO719" t="s">
        <v>12</v>
      </c>
      <c r="BQ719" t="s">
        <v>1666</v>
      </c>
      <c r="BR719" t="s">
        <v>1679</v>
      </c>
      <c r="BS719" s="4" t="str">
        <f>HYPERLINK("http://exon.niaid.nih.gov/transcriptome/C_felis/S1/links/CDD/cf-contig_3-CDD.txt","COG3368")</f>
        <v>COG3368</v>
      </c>
      <c r="BT719" t="str">
        <f>HYPERLINK("http://www.ncbi.nlm.nih.gov/Structure/cdd/cddsrv.cgi?uid=COG3368&amp;version=v4.0","0.15")</f>
        <v>0.15</v>
      </c>
      <c r="BU719" t="s">
        <v>1680</v>
      </c>
      <c r="BV719" s="4" t="s">
        <v>42</v>
      </c>
      <c r="BW719" t="s">
        <v>42</v>
      </c>
      <c r="BX719" t="s">
        <v>42</v>
      </c>
      <c r="BY719" t="s">
        <v>42</v>
      </c>
      <c r="BZ719" t="s">
        <v>42</v>
      </c>
      <c r="CA719" t="s">
        <v>42</v>
      </c>
      <c r="CB719" t="s">
        <v>42</v>
      </c>
      <c r="CC719" t="s">
        <v>42</v>
      </c>
      <c r="CD719" t="s">
        <v>42</v>
      </c>
      <c r="CE719" t="s">
        <v>42</v>
      </c>
      <c r="CF719" t="s">
        <v>42</v>
      </c>
      <c r="CG719" t="s">
        <v>42</v>
      </c>
      <c r="CH719" t="s">
        <v>42</v>
      </c>
      <c r="CI719" t="s">
        <v>42</v>
      </c>
      <c r="CJ719" t="s">
        <v>42</v>
      </c>
      <c r="CK719" t="s">
        <v>42</v>
      </c>
      <c r="CL719" t="s">
        <v>42</v>
      </c>
      <c r="CM719" t="s">
        <v>42</v>
      </c>
      <c r="CN719" t="s">
        <v>42</v>
      </c>
      <c r="CO719" t="s">
        <v>42</v>
      </c>
      <c r="CP719" t="s">
        <v>42</v>
      </c>
      <c r="CQ719" t="s">
        <v>42</v>
      </c>
      <c r="CR719" t="s">
        <v>42</v>
      </c>
      <c r="CS719" s="4" t="str">
        <f>HYPERLINK("http://exon.niaid.nih.gov/transcriptome/C_felis/S1/links/KOG/cf-contig_3-KOG.txt","Tandem pore domain K+ channel")</f>
        <v>Tandem pore domain K+ channel</v>
      </c>
      <c r="CT719" t="str">
        <f>HYPERLINK("http://www.ncbi.nlm.nih.gov/COG/grace/shokog.cgi?KOG1418","0.94")</f>
        <v>0.94</v>
      </c>
      <c r="CU719" t="s">
        <v>1681</v>
      </c>
      <c r="CV719" s="4" t="str">
        <f>HYPERLINK("http://exon.niaid.nih.gov/transcriptome/C_felis/S1/links/PFAM/cf-contig_3-PFAM.txt","7TM_GPCR_Srt")</f>
        <v>7TM_GPCR_Srt</v>
      </c>
      <c r="CW719" t="str">
        <f>HYPERLINK("http://pfam.sanger.ac.uk/family?acc=PF10321","0.058")</f>
        <v>0.058</v>
      </c>
      <c r="CX719" s="4" t="str">
        <f>HYPERLINK("http://exon.niaid.nih.gov/transcriptome/C_felis/S1/links/SMART/cf-contig_3-SMART.txt","KISc")</f>
        <v>KISc</v>
      </c>
      <c r="CY719" t="str">
        <f>HYPERLINK("http://smart.embl-heidelberg.de/smart/do_annotation.pl?DOMAIN=KISc&amp;BLAST=DUMMY","0.79")</f>
        <v>0.79</v>
      </c>
      <c r="CZ719" s="4" t="s">
        <v>42</v>
      </c>
      <c r="DA719" t="s">
        <v>42</v>
      </c>
      <c r="DB719" t="s">
        <v>42</v>
      </c>
      <c r="DC719" t="s">
        <v>42</v>
      </c>
      <c r="DD719" t="s">
        <v>42</v>
      </c>
      <c r="DE719" t="s">
        <v>42</v>
      </c>
      <c r="DF719" t="s">
        <v>42</v>
      </c>
      <c r="DG719" t="s">
        <v>42</v>
      </c>
      <c r="DH719" s="4" t="s">
        <v>42</v>
      </c>
      <c r="DI719" t="s">
        <v>42</v>
      </c>
      <c r="DJ719" s="4" t="s">
        <v>42</v>
      </c>
      <c r="DK719" t="s">
        <v>42</v>
      </c>
      <c r="DL719" s="4">
        <f>HYPERLINK("http://exon.niaid.nih.gov/transcriptome/C_felis/S1/links/cluster/cf-5-36-asb30-50-Id-CLU2.txt", 2)</f>
        <v>2</v>
      </c>
      <c r="DM719">
        <f>HYPERLINK("http://exon.niaid.nih.gov/transcriptome/C_felis/S1/links/cluster/cf-5-36-asb30-50-Id-CLTL2.txt", 11)</f>
        <v>11</v>
      </c>
      <c r="DN719" s="4">
        <f>HYPERLINK("http://exon.niaid.nih.gov/transcriptome/C_felis/S1/links/cluster/cf-5-36-asb35-50-Id-CLU1.txt", 1)</f>
        <v>1</v>
      </c>
      <c r="DO719">
        <f>HYPERLINK("http://exon.niaid.nih.gov/transcriptome/C_felis/S1/links/cluster/cf-5-36-asb35-50-Id-CLTL1.txt", 11)</f>
        <v>11</v>
      </c>
      <c r="DP719" s="4">
        <f>HYPERLINK("http://exon.niaid.nih.gov/transcriptome/C_felis/S1/links/cluster/cf-5-36-asb40-50-Id-CLU1.txt", 1)</f>
        <v>1</v>
      </c>
      <c r="DQ719">
        <f>HYPERLINK("http://exon.niaid.nih.gov/transcriptome/C_felis/S1/links/cluster/cf-5-36-asb40-50-Id-CLTL1.txt", 11)</f>
        <v>11</v>
      </c>
      <c r="DR719" s="4">
        <f>HYPERLINK("http://exon.niaid.nih.gov/transcriptome/C_felis/S1/links/cluster/cf-5-36-asb45-50-Id-CLU1.txt", 1)</f>
        <v>1</v>
      </c>
      <c r="DS719">
        <f>HYPERLINK("http://exon.niaid.nih.gov/transcriptome/C_felis/S1/links/cluster/cf-5-36-asb45-50-Id-CLTL1.txt", 9)</f>
        <v>9</v>
      </c>
      <c r="DT719" s="4">
        <f>HYPERLINK("http://exon.niaid.nih.gov/transcriptome/C_felis/S1/links/cluster/cf-5-36-asb50-50-Id-CLU1.txt", 1)</f>
        <v>1</v>
      </c>
      <c r="DU719">
        <f>HYPERLINK("http://exon.niaid.nih.gov/transcriptome/C_felis/S1/links/cluster/cf-5-36-asb50-50-Id-CLTL1.txt", 8)</f>
        <v>8</v>
      </c>
      <c r="DV719" s="4">
        <f>HYPERLINK("http://exon.niaid.nih.gov/transcriptome/C_felis/S1/links/cluster/cf-5-36-asb55-50-Id-CLU12.txt", 12)</f>
        <v>12</v>
      </c>
      <c r="DW719">
        <f>HYPERLINK("http://exon.niaid.nih.gov/transcriptome/C_felis/S1/links/cluster/cf-5-36-asb55-50-Id-CLTL12.txt", 2)</f>
        <v>2</v>
      </c>
      <c r="DX719" s="4">
        <v>45</v>
      </c>
      <c r="DY719">
        <v>1</v>
      </c>
      <c r="DZ719" s="4">
        <v>37</v>
      </c>
      <c r="EA719">
        <v>1</v>
      </c>
      <c r="EB719" s="4">
        <v>31</v>
      </c>
      <c r="EC719">
        <v>1</v>
      </c>
      <c r="ED719" s="4">
        <v>28</v>
      </c>
      <c r="EE719">
        <v>1</v>
      </c>
      <c r="EF719" s="4">
        <v>22</v>
      </c>
      <c r="EG719">
        <v>1</v>
      </c>
      <c r="EH719" s="4">
        <v>10</v>
      </c>
      <c r="EI719">
        <v>1</v>
      </c>
      <c r="EJ719" s="4">
        <v>3</v>
      </c>
      <c r="EK719">
        <v>1</v>
      </c>
    </row>
    <row r="720" spans="1:141" x14ac:dyDescent="0.2">
      <c r="A720" t="str">
        <f>HYPERLINK("http://exon.niaid.nih.gov/transcriptome/C_felis/S1/links/cf/cf-contig_706.txt","cf-contig_706")</f>
        <v>cf-contig_706</v>
      </c>
      <c r="B720">
        <v>1</v>
      </c>
      <c r="C720" s="10" t="s">
        <v>4600</v>
      </c>
      <c r="D720">
        <v>1</v>
      </c>
      <c r="E720" t="str">
        <f>HYPERLINK("http://exon.niaid.nih.gov/transcriptome/C_felis/S1/links/cf/cf-5-36-asb-706.txt","Contig-706")</f>
        <v>Contig-706</v>
      </c>
      <c r="F720" t="str">
        <f>HYPERLINK("http://exon.niaid.nih.gov/transcriptome/C_felis/S1/links/cf/cf-5-36-706-CLU.txt","Contig706")</f>
        <v>Contig706</v>
      </c>
      <c r="G720" t="str">
        <f>HYPERLINK("http://exon.niaid.nih.gov/transcriptome/C_felis/S1/links/cf/cf-5-36-706-qual.txt","29.")</f>
        <v>29.</v>
      </c>
      <c r="H720" t="s">
        <v>11</v>
      </c>
      <c r="I720">
        <v>78.7</v>
      </c>
      <c r="J720">
        <v>178</v>
      </c>
      <c r="K720" t="s">
        <v>12</v>
      </c>
      <c r="L720">
        <v>1</v>
      </c>
      <c r="M720" t="s">
        <v>719</v>
      </c>
      <c r="N720">
        <v>178</v>
      </c>
      <c r="O720">
        <v>197</v>
      </c>
      <c r="P720">
        <v>195</v>
      </c>
      <c r="Q720" t="s">
        <v>1525</v>
      </c>
      <c r="R720">
        <v>1</v>
      </c>
      <c r="S720" s="7" t="s">
        <v>4585</v>
      </c>
      <c r="U720">
        <v>1</v>
      </c>
      <c r="V720" s="4">
        <v>574</v>
      </c>
      <c r="W720">
        <v>1</v>
      </c>
      <c r="X720" s="4">
        <v>589</v>
      </c>
      <c r="Y720">
        <v>1</v>
      </c>
      <c r="Z720" s="4">
        <v>602</v>
      </c>
      <c r="AA720">
        <v>1</v>
      </c>
      <c r="AB720" s="4" t="str">
        <f>HYPERLINK("http://exon.niaid.nih.gov/transcriptome/C_felis/S1/links/XC-ASB/cf-contig_706-XC-ASB.txt","XC-contig_203")</f>
        <v>XC-contig_203</v>
      </c>
      <c r="AC720">
        <v>3.0000000000000001E-5</v>
      </c>
      <c r="AD720" s="10" t="s">
        <v>4600</v>
      </c>
      <c r="AE720" t="s">
        <v>4601</v>
      </c>
      <c r="AI720" s="4" t="str">
        <f>HYPERLINK("http://exon.niaid.nih.gov/transcriptome/C_felis/S1/links/NR/cf-contig_706-NR.txt","hypothetical protein NEUTE2DRAFT_150180")</f>
        <v>hypothetical protein NEUTE2DRAFT_150180</v>
      </c>
      <c r="AJ720" t="str">
        <f>HYPERLINK("http://www.ncbi.nlm.nih.gov/sutils/blink.cgi?pid=350290276","0.060")</f>
        <v>0.060</v>
      </c>
      <c r="AK720" t="str">
        <f>HYPERLINK("http://www.ncbi.nlm.nih.gov/protein/350290276","gi|350290276")</f>
        <v>gi|350290276</v>
      </c>
      <c r="AL720">
        <v>41.2</v>
      </c>
      <c r="AM720">
        <v>52</v>
      </c>
      <c r="AN720">
        <v>302</v>
      </c>
      <c r="AO720">
        <v>46</v>
      </c>
      <c r="AP720">
        <v>18</v>
      </c>
      <c r="AQ720">
        <v>27</v>
      </c>
      <c r="AR720">
        <v>0</v>
      </c>
      <c r="AS720">
        <v>138</v>
      </c>
      <c r="AT720">
        <v>25</v>
      </c>
      <c r="AU720">
        <v>3</v>
      </c>
      <c r="AV720">
        <v>1</v>
      </c>
      <c r="AW720" t="s">
        <v>1689</v>
      </c>
      <c r="AY720" t="s">
        <v>1676</v>
      </c>
      <c r="AZ720" t="s">
        <v>4224</v>
      </c>
      <c r="BA720" s="4" t="str">
        <f>HYPERLINK("http://exon.niaid.nih.gov/transcriptome/C_felis/S1/links/SWISSP/cf-contig_706-SWISSP.txt","Protein ycf2")</f>
        <v>Protein ycf2</v>
      </c>
      <c r="BB720" t="str">
        <f>HYPERLINK("http://www.uniprot.org/uniprot/B0Z4R9","0.43")</f>
        <v>0.43</v>
      </c>
      <c r="BC720" t="s">
        <v>4225</v>
      </c>
      <c r="BD720">
        <v>33.5</v>
      </c>
      <c r="BE720">
        <v>49</v>
      </c>
      <c r="BF720">
        <v>2360</v>
      </c>
      <c r="BG720">
        <v>48</v>
      </c>
      <c r="BH720">
        <v>2</v>
      </c>
      <c r="BI720">
        <v>17</v>
      </c>
      <c r="BJ720">
        <v>0</v>
      </c>
      <c r="BK720">
        <v>945</v>
      </c>
      <c r="BL720">
        <v>25</v>
      </c>
      <c r="BM720">
        <v>4</v>
      </c>
      <c r="BN720">
        <v>1</v>
      </c>
      <c r="BO720" t="s">
        <v>12</v>
      </c>
      <c r="BQ720" t="s">
        <v>1676</v>
      </c>
      <c r="BR720" t="s">
        <v>4226</v>
      </c>
      <c r="BS720" s="4" t="str">
        <f>HYPERLINK("http://exon.niaid.nih.gov/transcriptome/C_felis/S1/links/CDD/cf-contig_706-CDD.txt","ND4")</f>
        <v>ND4</v>
      </c>
      <c r="BT720" t="str">
        <f>HYPERLINK("http://www.ncbi.nlm.nih.gov/Structure/cdd/cddsrv.cgi?uid=MTH00094&amp;version=v4.0","0.003")</f>
        <v>0.003</v>
      </c>
      <c r="BU720" t="s">
        <v>4227</v>
      </c>
      <c r="BV720" s="4" t="s">
        <v>42</v>
      </c>
      <c r="BW720" t="s">
        <v>42</v>
      </c>
      <c r="BX720" t="s">
        <v>42</v>
      </c>
      <c r="BY720" t="s">
        <v>42</v>
      </c>
      <c r="BZ720" t="s">
        <v>42</v>
      </c>
      <c r="CA720" t="s">
        <v>42</v>
      </c>
      <c r="CB720" t="s">
        <v>42</v>
      </c>
      <c r="CC720" t="s">
        <v>42</v>
      </c>
      <c r="CD720" t="s">
        <v>42</v>
      </c>
      <c r="CE720" t="s">
        <v>42</v>
      </c>
      <c r="CF720" t="s">
        <v>42</v>
      </c>
      <c r="CG720" t="s">
        <v>42</v>
      </c>
      <c r="CH720" t="s">
        <v>42</v>
      </c>
      <c r="CI720" t="s">
        <v>42</v>
      </c>
      <c r="CJ720" t="s">
        <v>42</v>
      </c>
      <c r="CK720" t="s">
        <v>42</v>
      </c>
      <c r="CL720" t="s">
        <v>42</v>
      </c>
      <c r="CM720" t="s">
        <v>42</v>
      </c>
      <c r="CN720" t="s">
        <v>42</v>
      </c>
      <c r="CO720" t="s">
        <v>42</v>
      </c>
      <c r="CP720" t="s">
        <v>42</v>
      </c>
      <c r="CQ720" t="s">
        <v>42</v>
      </c>
      <c r="CR720" t="s">
        <v>42</v>
      </c>
      <c r="CS720" s="4" t="str">
        <f>HYPERLINK("http://exon.niaid.nih.gov/transcriptome/C_felis/S1/links/KOG/cf-contig_706-KOG.txt","Predicted RNA binding protein, contains G-patch domain")</f>
        <v>Predicted RNA binding protein, contains G-patch domain</v>
      </c>
      <c r="CT720" t="str">
        <f>HYPERLINK("http://www.ncbi.nlm.nih.gov/COG/grace/shokog.cgi?KOG2138","0.055")</f>
        <v>0.055</v>
      </c>
      <c r="CU720" t="s">
        <v>1817</v>
      </c>
      <c r="CV720" s="4" t="str">
        <f>HYPERLINK("http://exon.niaid.nih.gov/transcriptome/C_felis/S1/links/PFAM/cf-contig_706-PFAM.txt","WBS_methylT")</f>
        <v>WBS_methylT</v>
      </c>
      <c r="CW720" t="str">
        <f>HYPERLINK("http://pfam.sanger.ac.uk/family?acc=PF12589","0.011")</f>
        <v>0.011</v>
      </c>
      <c r="CX720" s="4" t="str">
        <f>HYPERLINK("http://exon.niaid.nih.gov/transcriptome/C_felis/S1/links/SMART/cf-contig_706-SMART.txt","CLb")</f>
        <v>CLb</v>
      </c>
      <c r="CY720" t="str">
        <f>HYPERLINK("http://smart.embl-heidelberg.de/smart/do_annotation.pl?DOMAIN=CLb&amp;BLAST=DUMMY","0.017")</f>
        <v>0.017</v>
      </c>
      <c r="CZ720" s="4" t="s">
        <v>42</v>
      </c>
      <c r="DA720" t="s">
        <v>42</v>
      </c>
      <c r="DB720" t="s">
        <v>42</v>
      </c>
      <c r="DC720" t="s">
        <v>42</v>
      </c>
      <c r="DD720" t="s">
        <v>42</v>
      </c>
      <c r="DE720" t="s">
        <v>42</v>
      </c>
      <c r="DF720" t="s">
        <v>42</v>
      </c>
      <c r="DG720" t="s">
        <v>42</v>
      </c>
      <c r="DH720" s="4" t="s">
        <v>42</v>
      </c>
      <c r="DI720" t="s">
        <v>42</v>
      </c>
      <c r="DJ720" s="4" t="s">
        <v>42</v>
      </c>
      <c r="DK720" t="s">
        <v>42</v>
      </c>
      <c r="DL720" s="4">
        <v>574</v>
      </c>
      <c r="DM720">
        <v>1</v>
      </c>
      <c r="DN720" s="4">
        <v>589</v>
      </c>
      <c r="DO720">
        <v>1</v>
      </c>
      <c r="DP720" s="4">
        <v>602</v>
      </c>
      <c r="DQ720">
        <v>1</v>
      </c>
      <c r="DR720" s="4">
        <v>623</v>
      </c>
      <c r="DS720">
        <v>1</v>
      </c>
      <c r="DT720" s="4">
        <v>637</v>
      </c>
      <c r="DU720">
        <v>1</v>
      </c>
      <c r="DV720" s="4">
        <v>652</v>
      </c>
      <c r="DW720">
        <v>1</v>
      </c>
      <c r="DX720" s="4">
        <v>663</v>
      </c>
      <c r="DY720">
        <v>1</v>
      </c>
      <c r="DZ720" s="4">
        <v>673</v>
      </c>
      <c r="EA720">
        <v>1</v>
      </c>
      <c r="EB720" s="4">
        <v>678</v>
      </c>
      <c r="EC720">
        <v>1</v>
      </c>
      <c r="ED720" s="4">
        <v>682</v>
      </c>
      <c r="EE720">
        <v>1</v>
      </c>
      <c r="EF720" s="4">
        <v>688</v>
      </c>
      <c r="EG720">
        <v>1</v>
      </c>
      <c r="EH720" s="4">
        <v>697</v>
      </c>
      <c r="EI720">
        <v>1</v>
      </c>
      <c r="EJ720" s="4">
        <v>706</v>
      </c>
      <c r="EK720">
        <v>1</v>
      </c>
    </row>
    <row r="721" spans="1:141" x14ac:dyDescent="0.2">
      <c r="A721" t="str">
        <f>HYPERLINK("http://exon.niaid.nih.gov/transcriptome/C_felis/S1/links/cf/cf-contig_457.txt","cf-contig_457")</f>
        <v>cf-contig_457</v>
      </c>
      <c r="B721">
        <v>1</v>
      </c>
      <c r="C721" s="10" t="s">
        <v>4600</v>
      </c>
      <c r="D721">
        <v>1</v>
      </c>
      <c r="E721" t="str">
        <f>HYPERLINK("http://exon.niaid.nih.gov/transcriptome/C_felis/S1/links/cf/cf-5-36-asb-457.txt","Contig-457")</f>
        <v>Contig-457</v>
      </c>
      <c r="F721" t="str">
        <f>HYPERLINK("http://exon.niaid.nih.gov/transcriptome/C_felis/S1/links/cf/cf-5-36-457-CLU.txt","Contig457")</f>
        <v>Contig457</v>
      </c>
      <c r="G721" t="str">
        <f>HYPERLINK("http://exon.niaid.nih.gov/transcriptome/C_felis/S1/links/cf/cf-5-36-457-qual.txt","58.6")</f>
        <v>58.6</v>
      </c>
      <c r="H721" t="s">
        <v>11</v>
      </c>
      <c r="I721">
        <v>74.8</v>
      </c>
      <c r="J721">
        <v>675</v>
      </c>
      <c r="K721" t="s">
        <v>12</v>
      </c>
      <c r="L721">
        <v>1</v>
      </c>
      <c r="M721" t="s">
        <v>470</v>
      </c>
      <c r="N721">
        <v>675</v>
      </c>
      <c r="O721">
        <v>694</v>
      </c>
      <c r="P721">
        <v>201</v>
      </c>
      <c r="Q721" t="s">
        <v>1276</v>
      </c>
      <c r="R721">
        <v>3</v>
      </c>
      <c r="S721" s="7" t="str">
        <f>HYPERLINK("http://exon.niaid.nih.gov/transcriptome/C_felis/S1/links/Sigp/CF-CONTIG_457-SigP.txt","Cyt")</f>
        <v>Cyt</v>
      </c>
      <c r="U721">
        <v>1</v>
      </c>
      <c r="V721" s="4">
        <v>371</v>
      </c>
      <c r="W721">
        <v>1</v>
      </c>
      <c r="X721" s="4">
        <v>380</v>
      </c>
      <c r="Y721">
        <v>1</v>
      </c>
      <c r="Z721" s="4">
        <v>385</v>
      </c>
      <c r="AA721">
        <v>1</v>
      </c>
      <c r="AB721" s="4" t="str">
        <f>HYPERLINK("http://exon.niaid.nih.gov/transcriptome/C_felis/S1/links/XC-ASB/cf-contig_457-XC-ASB.txt","XC-contig_110")</f>
        <v>XC-contig_110</v>
      </c>
      <c r="AC721">
        <v>7.0000000000000001E-3</v>
      </c>
      <c r="AD721" s="10" t="s">
        <v>4600</v>
      </c>
      <c r="AE721" t="s">
        <v>4601</v>
      </c>
      <c r="AI721" s="4" t="str">
        <f>HYPERLINK("http://exon.niaid.nih.gov/transcriptome/C_felis/S1/links/NR/cf-contig_457-NR.txt","hypothetical protein LOC100587048")</f>
        <v>hypothetical protein LOC100587048</v>
      </c>
      <c r="AJ721" t="str">
        <f>HYPERLINK("http://www.ncbi.nlm.nih.gov/sutils/blink.cgi?pid=332232575","5E-005")</f>
        <v>5E-005</v>
      </c>
      <c r="AK721" t="str">
        <f>HYPERLINK("http://www.ncbi.nlm.nih.gov/protein/332232575","gi|332232575")</f>
        <v>gi|332232575</v>
      </c>
      <c r="AL721">
        <v>52.8</v>
      </c>
      <c r="AM721">
        <v>212</v>
      </c>
      <c r="AN721">
        <v>259</v>
      </c>
      <c r="AO721">
        <v>26</v>
      </c>
      <c r="AP721">
        <v>82</v>
      </c>
      <c r="AQ721">
        <v>81</v>
      </c>
      <c r="AR721">
        <v>0</v>
      </c>
      <c r="AS721">
        <v>0</v>
      </c>
      <c r="AT721">
        <v>0</v>
      </c>
      <c r="AU721">
        <v>23</v>
      </c>
      <c r="AV721">
        <v>3</v>
      </c>
      <c r="AW721" t="s">
        <v>1689</v>
      </c>
      <c r="AX721">
        <v>1.887</v>
      </c>
      <c r="AY721" t="s">
        <v>1676</v>
      </c>
      <c r="AZ721" t="s">
        <v>2056</v>
      </c>
      <c r="BA721" s="4" t="str">
        <f>HYPERLINK("http://exon.niaid.nih.gov/transcriptome/C_felis/S1/links/SWISSP/cf-contig_457-SWISSP.txt","Vomeronasal type-1 receptor 46")</f>
        <v>Vomeronasal type-1 receptor 46</v>
      </c>
      <c r="BB721" t="str">
        <f>HYPERLINK("http://www.uniprot.org/uniprot/Q9EQ45","0.096")</f>
        <v>0.096</v>
      </c>
      <c r="BC721" t="s">
        <v>3330</v>
      </c>
      <c r="BD721">
        <v>37.4</v>
      </c>
      <c r="BE721">
        <v>56</v>
      </c>
      <c r="BF721">
        <v>309</v>
      </c>
      <c r="BG721">
        <v>28</v>
      </c>
      <c r="BH721">
        <v>18</v>
      </c>
      <c r="BI721">
        <v>41</v>
      </c>
      <c r="BJ721">
        <v>0</v>
      </c>
      <c r="BK721">
        <v>238</v>
      </c>
      <c r="BL721">
        <v>396</v>
      </c>
      <c r="BM721">
        <v>1</v>
      </c>
      <c r="BN721">
        <v>3</v>
      </c>
      <c r="BO721" t="s">
        <v>12</v>
      </c>
      <c r="BQ721" t="s">
        <v>1676</v>
      </c>
      <c r="BR721" t="s">
        <v>1705</v>
      </c>
      <c r="BS721" s="4" t="str">
        <f>HYPERLINK("http://exon.niaid.nih.gov/transcriptome/C_felis/S1/links/CDD/cf-contig_457-CDD.txt","Sre")</f>
        <v>Sre</v>
      </c>
      <c r="BT721" t="str">
        <f>HYPERLINK("http://www.ncbi.nlm.nih.gov/Structure/cdd/cddsrv.cgi?uid=pfam03125&amp;version=v4.0","0.077")</f>
        <v>0.077</v>
      </c>
      <c r="BU721" t="s">
        <v>3331</v>
      </c>
      <c r="BV721" s="4" t="s">
        <v>42</v>
      </c>
      <c r="BW721" t="s">
        <v>42</v>
      </c>
      <c r="BX721" t="s">
        <v>42</v>
      </c>
      <c r="BY721" t="s">
        <v>42</v>
      </c>
      <c r="BZ721" t="s">
        <v>42</v>
      </c>
      <c r="CA721" t="s">
        <v>42</v>
      </c>
      <c r="CB721" t="s">
        <v>42</v>
      </c>
      <c r="CC721" t="s">
        <v>42</v>
      </c>
      <c r="CD721" t="s">
        <v>42</v>
      </c>
      <c r="CE721" t="s">
        <v>42</v>
      </c>
      <c r="CF721" t="s">
        <v>42</v>
      </c>
      <c r="CG721" t="s">
        <v>42</v>
      </c>
      <c r="CH721" t="s">
        <v>42</v>
      </c>
      <c r="CI721" t="s">
        <v>42</v>
      </c>
      <c r="CJ721" t="s">
        <v>42</v>
      </c>
      <c r="CK721" t="s">
        <v>42</v>
      </c>
      <c r="CL721" t="s">
        <v>42</v>
      </c>
      <c r="CM721" t="s">
        <v>42</v>
      </c>
      <c r="CN721" t="s">
        <v>42</v>
      </c>
      <c r="CO721" t="s">
        <v>42</v>
      </c>
      <c r="CP721" t="s">
        <v>42</v>
      </c>
      <c r="CQ721" t="s">
        <v>42</v>
      </c>
      <c r="CR721" t="s">
        <v>42</v>
      </c>
      <c r="CS721" s="4" t="str">
        <f>HYPERLINK("http://exon.niaid.nih.gov/transcriptome/C_felis/S1/links/KOG/cf-contig_457-KOG.txt","ER lumen protein retaining receptor")</f>
        <v>ER lumen protein retaining receptor</v>
      </c>
      <c r="CT721" t="str">
        <f>HYPERLINK("http://www.ncbi.nlm.nih.gov/COG/grace/shokog.cgi?KOG3106","0.16")</f>
        <v>0.16</v>
      </c>
      <c r="CU721" t="s">
        <v>1686</v>
      </c>
      <c r="CV721" s="4" t="str">
        <f>HYPERLINK("http://exon.niaid.nih.gov/transcriptome/C_felis/S1/links/PFAM/cf-contig_457-PFAM.txt","Sre")</f>
        <v>Sre</v>
      </c>
      <c r="CW721" t="str">
        <f>HYPERLINK("http://pfam.sanger.ac.uk/family?acc=PF03125","0.015")</f>
        <v>0.015</v>
      </c>
      <c r="CX721" s="4" t="str">
        <f>HYPERLINK("http://exon.niaid.nih.gov/transcriptome/C_felis/S1/links/SMART/cf-contig_457-SMART.txt","ENTH")</f>
        <v>ENTH</v>
      </c>
      <c r="CY721" t="str">
        <f>HYPERLINK("http://smart.embl-heidelberg.de/smart/do_annotation.pl?DOMAIN=ENTH&amp;BLAST=DUMMY","0.066")</f>
        <v>0.066</v>
      </c>
      <c r="CZ721" s="4" t="s">
        <v>42</v>
      </c>
      <c r="DA721" t="s">
        <v>42</v>
      </c>
      <c r="DB721" t="s">
        <v>42</v>
      </c>
      <c r="DC721" t="s">
        <v>42</v>
      </c>
      <c r="DD721" t="s">
        <v>42</v>
      </c>
      <c r="DE721" t="s">
        <v>42</v>
      </c>
      <c r="DF721" t="s">
        <v>42</v>
      </c>
      <c r="DG721" t="s">
        <v>42</v>
      </c>
      <c r="DH721" s="4" t="s">
        <v>42</v>
      </c>
      <c r="DI721" t="s">
        <v>42</v>
      </c>
      <c r="DJ721" s="4" t="s">
        <v>42</v>
      </c>
      <c r="DK721" t="s">
        <v>42</v>
      </c>
      <c r="DL721" s="4">
        <v>371</v>
      </c>
      <c r="DM721">
        <v>1</v>
      </c>
      <c r="DN721" s="4">
        <v>380</v>
      </c>
      <c r="DO721">
        <v>1</v>
      </c>
      <c r="DP721" s="4">
        <v>385</v>
      </c>
      <c r="DQ721">
        <v>1</v>
      </c>
      <c r="DR721" s="4">
        <v>400</v>
      </c>
      <c r="DS721">
        <v>1</v>
      </c>
      <c r="DT721" s="4">
        <v>410</v>
      </c>
      <c r="DU721">
        <v>1</v>
      </c>
      <c r="DV721" s="4">
        <v>424</v>
      </c>
      <c r="DW721">
        <v>1</v>
      </c>
      <c r="DX721" s="4">
        <v>427</v>
      </c>
      <c r="DY721">
        <v>1</v>
      </c>
      <c r="DZ721" s="4">
        <v>432</v>
      </c>
      <c r="EA721">
        <v>1</v>
      </c>
      <c r="EB721" s="4">
        <v>437</v>
      </c>
      <c r="EC721">
        <v>1</v>
      </c>
      <c r="ED721" s="4">
        <v>441</v>
      </c>
      <c r="EE721">
        <v>1</v>
      </c>
      <c r="EF721" s="4">
        <v>446</v>
      </c>
      <c r="EG721">
        <v>1</v>
      </c>
      <c r="EH721" s="4">
        <v>451</v>
      </c>
      <c r="EI721">
        <v>1</v>
      </c>
      <c r="EJ721" s="4">
        <v>457</v>
      </c>
      <c r="EK721">
        <v>1</v>
      </c>
    </row>
    <row r="722" spans="1:141" x14ac:dyDescent="0.2">
      <c r="A722" t="str">
        <f>HYPERLINK("http://exon.niaid.nih.gov/transcriptome/C_felis/S1/links/cf/cf-contig_237.txt","cf-contig_237")</f>
        <v>cf-contig_237</v>
      </c>
      <c r="B722">
        <v>3</v>
      </c>
      <c r="C722" s="10" t="s">
        <v>4600</v>
      </c>
      <c r="D722">
        <v>3</v>
      </c>
      <c r="E722" t="str">
        <f>HYPERLINK("http://exon.niaid.nih.gov/transcriptome/C_felis/S1/links/cf/cf-5-36-asb-237.txt","Contig-237")</f>
        <v>Contig-237</v>
      </c>
      <c r="F722" t="str">
        <f>HYPERLINK("http://exon.niaid.nih.gov/transcriptome/C_felis/S1/links/cf/cf-5-36-237-CLU.txt","Contig237")</f>
        <v>Contig237</v>
      </c>
      <c r="G722" t="str">
        <f>HYPERLINK("http://exon.niaid.nih.gov/transcriptome/C_felis/S1/links/cf/cf-5-36-237-qual.txt","87.9")</f>
        <v>87.9</v>
      </c>
      <c r="H722" t="s">
        <v>11</v>
      </c>
      <c r="I722">
        <v>71.5</v>
      </c>
      <c r="J722">
        <v>328</v>
      </c>
      <c r="K722" t="s">
        <v>12</v>
      </c>
      <c r="L722">
        <v>3</v>
      </c>
      <c r="M722" t="s">
        <v>250</v>
      </c>
      <c r="N722">
        <v>328</v>
      </c>
      <c r="O722">
        <v>347</v>
      </c>
      <c r="P722">
        <v>159</v>
      </c>
      <c r="Q722" t="s">
        <v>1057</v>
      </c>
      <c r="R722">
        <v>2</v>
      </c>
      <c r="S722" s="7" t="s">
        <v>4585</v>
      </c>
      <c r="U722">
        <v>3</v>
      </c>
      <c r="V722" s="4">
        <f>HYPERLINK("http://exon.niaid.nih.gov/transcriptome/C_felis/S1/links/cluster/cf-5-36-asb30-50-Id-CLU58.txt", 58)</f>
        <v>58</v>
      </c>
      <c r="W722">
        <f>HYPERLINK("http://exon.niaid.nih.gov/transcriptome/C_felis/S1/links/cluster/cf-5-36-asb30-50-Id-CLTL58.txt", 2)</f>
        <v>2</v>
      </c>
      <c r="X722" s="4">
        <f>HYPERLINK("http://exon.niaid.nih.gov/transcriptome/C_felis/S1/links/cluster/cf-5-36-asb35-50-Id-CLU51.txt", 51)</f>
        <v>51</v>
      </c>
      <c r="Y722">
        <f>HYPERLINK("http://exon.niaid.nih.gov/transcriptome/C_felis/S1/links/cluster/cf-5-36-asb35-50-Id-CLTL51.txt", 2)</f>
        <v>2</v>
      </c>
      <c r="Z722" s="4">
        <f>HYPERLINK("http://exon.niaid.nih.gov/transcriptome/C_felis/S1/links/cluster/cf-5-36-asb40-50-Id-CLU48.txt", 48)</f>
        <v>48</v>
      </c>
      <c r="AA722">
        <f>HYPERLINK("http://exon.niaid.nih.gov/transcriptome/C_felis/S1/links/cluster/cf-5-36-asb40-50-Id-CLTL48.txt", 2)</f>
        <v>2</v>
      </c>
      <c r="AB722" s="4" t="str">
        <f>HYPERLINK("http://exon.niaid.nih.gov/transcriptome/C_felis/S1/links/XC-ASB/cf-contig_237-XC-ASB.txt","XC-contig_179")</f>
        <v>XC-contig_179</v>
      </c>
      <c r="AC722">
        <v>0.13</v>
      </c>
      <c r="AD722" s="10" t="s">
        <v>4600</v>
      </c>
      <c r="AE722" t="s">
        <v>4601</v>
      </c>
      <c r="AI722" s="4" t="str">
        <f>HYPERLINK("http://exon.niaid.nih.gov/transcriptome/C_felis/S1/links/NR/cf-contig_237-NR.txt","hypothetical protein NCER_101503")</f>
        <v>hypothetical protein NCER_101503</v>
      </c>
      <c r="AJ722" t="str">
        <f>HYPERLINK("http://www.ncbi.nlm.nih.gov/sutils/blink.cgi?pid=300706627","13")</f>
        <v>13</v>
      </c>
      <c r="AK722" t="str">
        <f>HYPERLINK("http://www.ncbi.nlm.nih.gov/protein/300706627","gi|300706627")</f>
        <v>gi|300706627</v>
      </c>
      <c r="AL722">
        <v>33.5</v>
      </c>
      <c r="AM722">
        <v>40</v>
      </c>
      <c r="AN722">
        <v>691</v>
      </c>
      <c r="AO722">
        <v>39</v>
      </c>
      <c r="AP722">
        <v>6</v>
      </c>
      <c r="AQ722">
        <v>25</v>
      </c>
      <c r="AR722">
        <v>0</v>
      </c>
      <c r="AS722">
        <v>119</v>
      </c>
      <c r="AT722">
        <v>11</v>
      </c>
      <c r="AU722">
        <v>1</v>
      </c>
      <c r="AV722">
        <v>2</v>
      </c>
      <c r="AW722" t="s">
        <v>12</v>
      </c>
      <c r="AY722" t="s">
        <v>1676</v>
      </c>
      <c r="AZ722" t="s">
        <v>2559</v>
      </c>
      <c r="BA722" s="4" t="str">
        <f>HYPERLINK("http://exon.niaid.nih.gov/transcriptome/C_felis/S1/links/SWISSP/cf-contig_237-SWISSP.txt","Seryl-tRNA synthetase")</f>
        <v>Seryl-tRNA synthetase</v>
      </c>
      <c r="BB722" t="str">
        <f>HYPERLINK("http://www.uniprot.org/uniprot/Q820S5","6.1")</f>
        <v>6.1</v>
      </c>
      <c r="BC722" t="s">
        <v>2560</v>
      </c>
      <c r="BD722">
        <v>29.6</v>
      </c>
      <c r="BE722">
        <v>35</v>
      </c>
      <c r="BF722">
        <v>437</v>
      </c>
      <c r="BG722">
        <v>44</v>
      </c>
      <c r="BH722">
        <v>8</v>
      </c>
      <c r="BI722">
        <v>20</v>
      </c>
      <c r="BJ722">
        <v>0</v>
      </c>
      <c r="BK722">
        <v>17</v>
      </c>
      <c r="BL722">
        <v>5</v>
      </c>
      <c r="BM722">
        <v>1</v>
      </c>
      <c r="BN722">
        <v>2</v>
      </c>
      <c r="BO722" t="s">
        <v>12</v>
      </c>
      <c r="BQ722" t="s">
        <v>1676</v>
      </c>
      <c r="BR722" t="s">
        <v>2561</v>
      </c>
      <c r="BS722" s="4" t="str">
        <f>HYPERLINK("http://exon.niaid.nih.gov/transcriptome/C_felis/S1/links/CDD/cf-contig_237-CDD.txt","CYTB")</f>
        <v>CYTB</v>
      </c>
      <c r="BT722" t="str">
        <f>HYPERLINK("http://www.ncbi.nlm.nih.gov/Structure/cdd/cddsrv.cgi?uid=MTH00086&amp;version=v4.0","1.4")</f>
        <v>1.4</v>
      </c>
      <c r="BU722" t="s">
        <v>2562</v>
      </c>
      <c r="BV722" s="4" t="s">
        <v>42</v>
      </c>
      <c r="BW722" t="s">
        <v>42</v>
      </c>
      <c r="BX722" t="s">
        <v>42</v>
      </c>
      <c r="BY722" t="s">
        <v>42</v>
      </c>
      <c r="BZ722" t="s">
        <v>42</v>
      </c>
      <c r="CA722" t="s">
        <v>42</v>
      </c>
      <c r="CB722" t="s">
        <v>42</v>
      </c>
      <c r="CC722" t="s">
        <v>42</v>
      </c>
      <c r="CD722" t="s">
        <v>42</v>
      </c>
      <c r="CE722" t="s">
        <v>42</v>
      </c>
      <c r="CF722" t="s">
        <v>42</v>
      </c>
      <c r="CG722" t="s">
        <v>42</v>
      </c>
      <c r="CH722" t="s">
        <v>42</v>
      </c>
      <c r="CI722" t="s">
        <v>42</v>
      </c>
      <c r="CJ722" t="s">
        <v>42</v>
      </c>
      <c r="CK722" t="s">
        <v>42</v>
      </c>
      <c r="CL722" t="s">
        <v>42</v>
      </c>
      <c r="CM722" t="s">
        <v>42</v>
      </c>
      <c r="CN722" t="s">
        <v>42</v>
      </c>
      <c r="CO722" t="s">
        <v>42</v>
      </c>
      <c r="CP722" t="s">
        <v>42</v>
      </c>
      <c r="CQ722" t="s">
        <v>42</v>
      </c>
      <c r="CR722" t="s">
        <v>42</v>
      </c>
      <c r="CS722" s="4" t="str">
        <f>HYPERLINK("http://exon.niaid.nih.gov/transcriptome/C_felis/S1/links/KOG/cf-contig_237-KOG.txt","Predicted alpha/beta hydrolase BEM46")</f>
        <v>Predicted alpha/beta hydrolase BEM46</v>
      </c>
      <c r="CT722" t="str">
        <f>HYPERLINK("http://www.ncbi.nlm.nih.gov/COG/grace/shokog.cgi?KOG4391","2.6")</f>
        <v>2.6</v>
      </c>
      <c r="CU722" t="s">
        <v>1721</v>
      </c>
      <c r="CV722" s="4" t="str">
        <f>HYPERLINK("http://exon.niaid.nih.gov/transcriptome/C_felis/S1/links/PFAM/cf-contig_237-PFAM.txt","Pox_MCEL")</f>
        <v>Pox_MCEL</v>
      </c>
      <c r="CW722" t="str">
        <f>HYPERLINK("http://pfam.sanger.ac.uk/family?acc=PF03291","0.40")</f>
        <v>0.40</v>
      </c>
      <c r="CX722" s="4" t="str">
        <f>HYPERLINK("http://exon.niaid.nih.gov/transcriptome/C_felis/S1/links/SMART/cf-contig_237-SMART.txt","L27")</f>
        <v>L27</v>
      </c>
      <c r="CY722" t="str">
        <f>HYPERLINK("http://smart.embl-heidelberg.de/smart/do_annotation.pl?DOMAIN=L27&amp;BLAST=DUMMY","0.17")</f>
        <v>0.17</v>
      </c>
      <c r="CZ722" s="4" t="s">
        <v>42</v>
      </c>
      <c r="DA722" t="s">
        <v>42</v>
      </c>
      <c r="DB722" t="s">
        <v>42</v>
      </c>
      <c r="DC722" t="s">
        <v>42</v>
      </c>
      <c r="DD722" t="s">
        <v>42</v>
      </c>
      <c r="DE722" t="s">
        <v>42</v>
      </c>
      <c r="DF722" t="s">
        <v>42</v>
      </c>
      <c r="DG722" t="s">
        <v>42</v>
      </c>
      <c r="DH722" s="4" t="s">
        <v>42</v>
      </c>
      <c r="DI722" t="s">
        <v>42</v>
      </c>
      <c r="DJ722" s="4" t="s">
        <v>42</v>
      </c>
      <c r="DK722" t="s">
        <v>42</v>
      </c>
      <c r="DL722" s="4">
        <f>HYPERLINK("http://exon.niaid.nih.gov/transcriptome/C_felis/S1/links/cluster/cf-5-36-asb30-50-Id-CLU58.txt", 58)</f>
        <v>58</v>
      </c>
      <c r="DM722">
        <f>HYPERLINK("http://exon.niaid.nih.gov/transcriptome/C_felis/S1/links/cluster/cf-5-36-asb30-50-Id-CLTL58.txt", 2)</f>
        <v>2</v>
      </c>
      <c r="DN722" s="4">
        <f>HYPERLINK("http://exon.niaid.nih.gov/transcriptome/C_felis/S1/links/cluster/cf-5-36-asb35-50-Id-CLU51.txt", 51)</f>
        <v>51</v>
      </c>
      <c r="DO722">
        <f>HYPERLINK("http://exon.niaid.nih.gov/transcriptome/C_felis/S1/links/cluster/cf-5-36-asb35-50-Id-CLTL51.txt", 2)</f>
        <v>2</v>
      </c>
      <c r="DP722" s="4">
        <f>HYPERLINK("http://exon.niaid.nih.gov/transcriptome/C_felis/S1/links/cluster/cf-5-36-asb40-50-Id-CLU48.txt", 48)</f>
        <v>48</v>
      </c>
      <c r="DQ722">
        <f>HYPERLINK("http://exon.niaid.nih.gov/transcriptome/C_felis/S1/links/cluster/cf-5-36-asb40-50-Id-CLTL48.txt", 2)</f>
        <v>2</v>
      </c>
      <c r="DR722" s="4">
        <v>195</v>
      </c>
      <c r="DS722">
        <v>1</v>
      </c>
      <c r="DT722" s="4">
        <v>201</v>
      </c>
      <c r="DU722">
        <v>1</v>
      </c>
      <c r="DV722" s="4">
        <v>213</v>
      </c>
      <c r="DW722">
        <v>1</v>
      </c>
      <c r="DX722" s="4">
        <v>215</v>
      </c>
      <c r="DY722">
        <v>1</v>
      </c>
      <c r="DZ722" s="4">
        <v>219</v>
      </c>
      <c r="EA722">
        <v>1</v>
      </c>
      <c r="EB722" s="4">
        <v>224</v>
      </c>
      <c r="EC722">
        <v>1</v>
      </c>
      <c r="ED722" s="4">
        <v>227</v>
      </c>
      <c r="EE722">
        <v>1</v>
      </c>
      <c r="EF722" s="4">
        <v>230</v>
      </c>
      <c r="EG722">
        <v>1</v>
      </c>
      <c r="EH722" s="4">
        <v>232</v>
      </c>
      <c r="EI722">
        <v>1</v>
      </c>
      <c r="EJ722" s="4">
        <v>237</v>
      </c>
      <c r="EK722">
        <v>1</v>
      </c>
    </row>
    <row r="723" spans="1:141" x14ac:dyDescent="0.2">
      <c r="A723" t="str">
        <f>HYPERLINK("http://exon.niaid.nih.gov/transcriptome/C_felis/S1/links/cf/cf-contig_228.txt","cf-contig_228")</f>
        <v>cf-contig_228</v>
      </c>
      <c r="B723">
        <v>1</v>
      </c>
      <c r="C723" s="10" t="s">
        <v>4600</v>
      </c>
      <c r="D723">
        <v>1</v>
      </c>
      <c r="E723" t="str">
        <f>HYPERLINK("http://exon.niaid.nih.gov/transcriptome/C_felis/S1/links/cf/cf-5-36-asb-228.txt","Contig-228")</f>
        <v>Contig-228</v>
      </c>
      <c r="F723" t="str">
        <f>HYPERLINK("http://exon.niaid.nih.gov/transcriptome/C_felis/S1/links/cf/cf-5-36-228-CLU.txt","Contig228")</f>
        <v>Contig228</v>
      </c>
      <c r="G723" t="str">
        <f>HYPERLINK("http://exon.niaid.nih.gov/transcriptome/C_felis/S1/links/cf/cf-5-36-228-qual.txt","50.9")</f>
        <v>50.9</v>
      </c>
      <c r="H723" t="s">
        <v>11</v>
      </c>
      <c r="I723">
        <v>62.7</v>
      </c>
      <c r="J723">
        <v>421</v>
      </c>
      <c r="K723" t="s">
        <v>12</v>
      </c>
      <c r="L723">
        <v>1</v>
      </c>
      <c r="M723" t="s">
        <v>241</v>
      </c>
      <c r="N723">
        <v>421</v>
      </c>
      <c r="O723">
        <v>440</v>
      </c>
      <c r="P723">
        <v>210</v>
      </c>
      <c r="Q723" t="s">
        <v>1048</v>
      </c>
      <c r="R723">
        <v>3</v>
      </c>
      <c r="S723" s="7" t="s">
        <v>4585</v>
      </c>
      <c r="U723">
        <v>1</v>
      </c>
      <c r="V723" s="4">
        <v>182</v>
      </c>
      <c r="W723">
        <v>1</v>
      </c>
      <c r="X723" s="4">
        <v>185</v>
      </c>
      <c r="Y723">
        <v>1</v>
      </c>
      <c r="Z723" s="4">
        <v>183</v>
      </c>
      <c r="AA723">
        <v>1</v>
      </c>
      <c r="AB723" s="4" t="str">
        <f>HYPERLINK("http://exon.niaid.nih.gov/transcriptome/C_felis/S1/links/XC-ASB/cf-contig_228-XC-ASB.txt","XC-contig_203")</f>
        <v>XC-contig_203</v>
      </c>
      <c r="AC723">
        <v>2.0000000000000001E-4</v>
      </c>
      <c r="AD723" s="10" t="s">
        <v>4600</v>
      </c>
      <c r="AE723" t="s">
        <v>4601</v>
      </c>
      <c r="AI723" s="4" t="str">
        <f>HYPERLINK("http://exon.niaid.nih.gov/transcriptome/C_felis/S1/links/NR/cf-contig_228-NR.txt","unnamed protein product")</f>
        <v>unnamed protein product</v>
      </c>
      <c r="AJ723" t="str">
        <f>HYPERLINK("http://www.ncbi.nlm.nih.gov/sutils/blink.cgi?pid=313216254","1.9")</f>
        <v>1.9</v>
      </c>
      <c r="AK723" t="str">
        <f>HYPERLINK("http://www.ncbi.nlm.nih.gov/protein/313216254","gi|313216254")</f>
        <v>gi|313216254</v>
      </c>
      <c r="AL723">
        <v>36.200000000000003</v>
      </c>
      <c r="AM723">
        <v>59</v>
      </c>
      <c r="AN723">
        <v>231</v>
      </c>
      <c r="AO723">
        <v>36</v>
      </c>
      <c r="AP723">
        <v>26</v>
      </c>
      <c r="AQ723">
        <v>41</v>
      </c>
      <c r="AR723">
        <v>2</v>
      </c>
      <c r="AS723">
        <v>136</v>
      </c>
      <c r="AT723">
        <v>231</v>
      </c>
      <c r="AU723">
        <v>1</v>
      </c>
      <c r="AV723">
        <v>3</v>
      </c>
      <c r="AW723" t="s">
        <v>12</v>
      </c>
      <c r="AY723" t="s">
        <v>1676</v>
      </c>
      <c r="AZ723" t="s">
        <v>2524</v>
      </c>
      <c r="BA723" s="4" t="str">
        <f>HYPERLINK("http://exon.niaid.nih.gov/transcriptome/C_felis/S1/links/SWISSP/cf-contig_228-SWISSP.txt","Cell division protein ftsW")</f>
        <v>Cell division protein ftsW</v>
      </c>
      <c r="BB723" t="str">
        <f>HYPERLINK("http://www.uniprot.org/uniprot/Q44775","3.1")</f>
        <v>3.1</v>
      </c>
      <c r="BC723" t="s">
        <v>2525</v>
      </c>
      <c r="BD723">
        <v>30.8</v>
      </c>
      <c r="BE723">
        <v>30</v>
      </c>
      <c r="BF723">
        <v>364</v>
      </c>
      <c r="BG723">
        <v>41</v>
      </c>
      <c r="BH723">
        <v>9</v>
      </c>
      <c r="BI723">
        <v>18</v>
      </c>
      <c r="BJ723">
        <v>0</v>
      </c>
      <c r="BK723">
        <v>286</v>
      </c>
      <c r="BL723">
        <v>300</v>
      </c>
      <c r="BM723">
        <v>1</v>
      </c>
      <c r="BN723">
        <v>-1</v>
      </c>
      <c r="BO723" t="s">
        <v>12</v>
      </c>
      <c r="BP723">
        <v>6.6669999999999998</v>
      </c>
      <c r="BQ723" t="s">
        <v>1666</v>
      </c>
      <c r="BR723" t="s">
        <v>2526</v>
      </c>
      <c r="BS723" s="4" t="str">
        <f>HYPERLINK("http://exon.niaid.nih.gov/transcriptome/C_felis/S1/links/CDD/cf-contig_228-CDD.txt","SRPBCC_7")</f>
        <v>SRPBCC_7</v>
      </c>
      <c r="BT723" t="str">
        <f>HYPERLINK("http://www.ncbi.nlm.nih.gov/Structure/cdd/cddsrv.cgi?uid=cd07825&amp;version=v4.0","0.20")</f>
        <v>0.20</v>
      </c>
      <c r="BU723" t="s">
        <v>2527</v>
      </c>
      <c r="BV723" s="4" t="s">
        <v>42</v>
      </c>
      <c r="BW723" t="s">
        <v>42</v>
      </c>
      <c r="BX723" t="s">
        <v>42</v>
      </c>
      <c r="BY723" t="s">
        <v>42</v>
      </c>
      <c r="BZ723" t="s">
        <v>42</v>
      </c>
      <c r="CA723" t="s">
        <v>42</v>
      </c>
      <c r="CB723" t="s">
        <v>42</v>
      </c>
      <c r="CC723" t="s">
        <v>42</v>
      </c>
      <c r="CD723" t="s">
        <v>42</v>
      </c>
      <c r="CE723" t="s">
        <v>42</v>
      </c>
      <c r="CF723" t="s">
        <v>42</v>
      </c>
      <c r="CG723" t="s">
        <v>42</v>
      </c>
      <c r="CH723" t="s">
        <v>42</v>
      </c>
      <c r="CI723" t="s">
        <v>42</v>
      </c>
      <c r="CJ723" t="s">
        <v>42</v>
      </c>
      <c r="CK723" t="s">
        <v>42</v>
      </c>
      <c r="CL723" t="s">
        <v>42</v>
      </c>
      <c r="CM723" t="s">
        <v>42</v>
      </c>
      <c r="CN723" t="s">
        <v>42</v>
      </c>
      <c r="CO723" t="s">
        <v>42</v>
      </c>
      <c r="CP723" t="s">
        <v>42</v>
      </c>
      <c r="CQ723" t="s">
        <v>42</v>
      </c>
      <c r="CR723" t="s">
        <v>42</v>
      </c>
      <c r="CS723" s="4" t="str">
        <f>HYPERLINK("http://exon.niaid.nih.gov/transcriptome/C_felis/S1/links/KOG/cf-contig_228-KOG.txt","Predicted DHHC-type Zn-finger protein")</f>
        <v>Predicted DHHC-type Zn-finger protein</v>
      </c>
      <c r="CT723" t="str">
        <f>HYPERLINK("http://www.ncbi.nlm.nih.gov/COG/grace/shokog.cgi?KOG1315","0.075")</f>
        <v>0.075</v>
      </c>
      <c r="CU723" t="s">
        <v>1721</v>
      </c>
      <c r="CV723" s="4" t="str">
        <f>HYPERLINK("http://exon.niaid.nih.gov/transcriptome/C_felis/S1/links/PFAM/cf-contig_228-PFAM.txt","Spore_permease")</f>
        <v>Spore_permease</v>
      </c>
      <c r="CW723" t="str">
        <f>HYPERLINK("http://pfam.sanger.ac.uk/family?acc=PF03845","0.069")</f>
        <v>0.069</v>
      </c>
      <c r="CX723" s="4" t="str">
        <f>HYPERLINK("http://exon.niaid.nih.gov/transcriptome/C_felis/S1/links/SMART/cf-contig_228-SMART.txt","PSN")</f>
        <v>PSN</v>
      </c>
      <c r="CY723" t="str">
        <f>HYPERLINK("http://smart.embl-heidelberg.de/smart/do_annotation.pl?DOMAIN=PSN&amp;BLAST=DUMMY","0.12")</f>
        <v>0.12</v>
      </c>
      <c r="CZ723" s="4" t="s">
        <v>42</v>
      </c>
      <c r="DA723" t="s">
        <v>42</v>
      </c>
      <c r="DB723" t="s">
        <v>42</v>
      </c>
      <c r="DC723" t="s">
        <v>42</v>
      </c>
      <c r="DD723" t="s">
        <v>42</v>
      </c>
      <c r="DE723" t="s">
        <v>42</v>
      </c>
      <c r="DF723" t="s">
        <v>42</v>
      </c>
      <c r="DG723" t="s">
        <v>42</v>
      </c>
      <c r="DH723" s="4" t="s">
        <v>42</v>
      </c>
      <c r="DI723" t="s">
        <v>42</v>
      </c>
      <c r="DJ723" s="4" t="s">
        <v>42</v>
      </c>
      <c r="DK723" t="s">
        <v>42</v>
      </c>
      <c r="DL723" s="4">
        <v>182</v>
      </c>
      <c r="DM723">
        <v>1</v>
      </c>
      <c r="DN723" s="4">
        <v>185</v>
      </c>
      <c r="DO723">
        <v>1</v>
      </c>
      <c r="DP723" s="4">
        <v>183</v>
      </c>
      <c r="DQ723">
        <v>1</v>
      </c>
      <c r="DR723" s="4">
        <v>186</v>
      </c>
      <c r="DS723">
        <v>1</v>
      </c>
      <c r="DT723" s="4">
        <v>192</v>
      </c>
      <c r="DU723">
        <v>1</v>
      </c>
      <c r="DV723" s="4">
        <v>204</v>
      </c>
      <c r="DW723">
        <v>1</v>
      </c>
      <c r="DX723" s="4">
        <v>206</v>
      </c>
      <c r="DY723">
        <v>1</v>
      </c>
      <c r="DZ723" s="4">
        <v>210</v>
      </c>
      <c r="EA723">
        <v>1</v>
      </c>
      <c r="EB723" s="4">
        <v>215</v>
      </c>
      <c r="EC723">
        <v>1</v>
      </c>
      <c r="ED723" s="4">
        <v>218</v>
      </c>
      <c r="EE723">
        <v>1</v>
      </c>
      <c r="EF723" s="4">
        <v>221</v>
      </c>
      <c r="EG723">
        <v>1</v>
      </c>
      <c r="EH723" s="4">
        <v>223</v>
      </c>
      <c r="EI723">
        <v>1</v>
      </c>
      <c r="EJ723" s="4">
        <v>228</v>
      </c>
      <c r="EK723">
        <v>1</v>
      </c>
    </row>
    <row r="724" spans="1:141" x14ac:dyDescent="0.2">
      <c r="A724" t="str">
        <f>HYPERLINK("http://exon.niaid.nih.gov/transcriptome/C_felis/S1/links/cf/cf-contig_137.txt","cf-contig_137")</f>
        <v>cf-contig_137</v>
      </c>
      <c r="B724">
        <v>1</v>
      </c>
      <c r="C724" s="10" t="s">
        <v>4600</v>
      </c>
      <c r="D724">
        <v>1</v>
      </c>
      <c r="E724" t="str">
        <f>HYPERLINK("http://exon.niaid.nih.gov/transcriptome/C_felis/S1/links/cf/cf-5-36-asb-137.txt","Contig-137")</f>
        <v>Contig-137</v>
      </c>
      <c r="F724" t="str">
        <f>HYPERLINK("http://exon.niaid.nih.gov/transcriptome/C_felis/S1/links/cf/cf-5-36-137-CLU.txt","Contig137")</f>
        <v>Contig137</v>
      </c>
      <c r="G724" t="str">
        <f>HYPERLINK("http://exon.niaid.nih.gov/transcriptome/C_felis/S1/links/cf/cf-5-36-137-qual.txt","62.6")</f>
        <v>62.6</v>
      </c>
      <c r="H724" t="s">
        <v>11</v>
      </c>
      <c r="I724">
        <v>64.8</v>
      </c>
      <c r="J724">
        <v>487</v>
      </c>
      <c r="K724" t="s">
        <v>12</v>
      </c>
      <c r="L724">
        <v>1</v>
      </c>
      <c r="M724" t="s">
        <v>150</v>
      </c>
      <c r="N724">
        <v>487</v>
      </c>
      <c r="O724">
        <v>506</v>
      </c>
      <c r="P724">
        <v>141</v>
      </c>
      <c r="Q724" t="s">
        <v>957</v>
      </c>
      <c r="R724">
        <v>3</v>
      </c>
      <c r="S724" s="7" t="s">
        <v>4585</v>
      </c>
      <c r="U724">
        <v>1</v>
      </c>
      <c r="V724" s="4">
        <f>HYPERLINK("http://exon.niaid.nih.gov/transcriptome/C_felis/S1/links/cluster/cf-5-36-asb30-50-Id-CLU11.txt", 11)</f>
        <v>11</v>
      </c>
      <c r="W724">
        <f>HYPERLINK("http://exon.niaid.nih.gov/transcriptome/C_felis/S1/links/cluster/cf-5-36-asb30-50-Id-CLTL11.txt", 4)</f>
        <v>4</v>
      </c>
      <c r="X724" s="4">
        <f>HYPERLINK("http://exon.niaid.nih.gov/transcriptome/C_felis/S1/links/cluster/cf-5-36-asb35-50-Id-CLU10.txt", 10)</f>
        <v>10</v>
      </c>
      <c r="Y724">
        <f>HYPERLINK("http://exon.niaid.nih.gov/transcriptome/C_felis/S1/links/cluster/cf-5-36-asb35-50-Id-CLTL10.txt", 4)</f>
        <v>4</v>
      </c>
      <c r="Z724" s="4">
        <f>HYPERLINK("http://exon.niaid.nih.gov/transcriptome/C_felis/S1/links/cluster/cf-5-36-asb40-50-Id-CLU8.txt", 8)</f>
        <v>8</v>
      </c>
      <c r="AA724">
        <f>HYPERLINK("http://exon.niaid.nih.gov/transcriptome/C_felis/S1/links/cluster/cf-5-36-asb40-50-Id-CLTL8.txt", 4)</f>
        <v>4</v>
      </c>
      <c r="AB724" s="4" t="str">
        <f>HYPERLINK("http://exon.niaid.nih.gov/transcriptome/C_felis/S1/links/XC-ASB/cf-contig_137-XC-ASB.txt","XC-contig_118")</f>
        <v>XC-contig_118</v>
      </c>
      <c r="AC724">
        <v>0.74</v>
      </c>
      <c r="AD724" s="10" t="s">
        <v>4600</v>
      </c>
      <c r="AE724" t="s">
        <v>4601</v>
      </c>
      <c r="AI724" s="4" t="str">
        <f>HYPERLINK("http://exon.niaid.nih.gov/transcriptome/C_felis/S1/links/NR/cf-contig_137-NR.txt","thyrotropin-releasing hormone receptor 3")</f>
        <v>thyrotropin-releasing hormone receptor 3</v>
      </c>
      <c r="AJ724" t="str">
        <f>HYPERLINK("http://www.ncbi.nlm.nih.gov/sutils/blink.cgi?pid=283362041","9.6")</f>
        <v>9.6</v>
      </c>
      <c r="AK724" t="str">
        <f>HYPERLINK("http://www.ncbi.nlm.nih.gov/protein/283362041","gi|283362041")</f>
        <v>gi|283362041</v>
      </c>
      <c r="AL724">
        <v>33.9</v>
      </c>
      <c r="AM724">
        <v>50</v>
      </c>
      <c r="AN724">
        <v>402</v>
      </c>
      <c r="AO724">
        <v>31</v>
      </c>
      <c r="AP724">
        <v>13</v>
      </c>
      <c r="AQ724">
        <v>43</v>
      </c>
      <c r="AR724">
        <v>0</v>
      </c>
      <c r="AS724">
        <v>239</v>
      </c>
      <c r="AT724">
        <v>178</v>
      </c>
      <c r="AU724">
        <v>1</v>
      </c>
      <c r="AV724">
        <v>1</v>
      </c>
      <c r="AW724" t="s">
        <v>12</v>
      </c>
      <c r="AX724">
        <v>6</v>
      </c>
      <c r="AY724" t="s">
        <v>1676</v>
      </c>
      <c r="AZ724" t="s">
        <v>2195</v>
      </c>
      <c r="BA724" s="4" t="str">
        <f>HYPERLINK("http://exon.niaid.nih.gov/transcriptome/C_felis/S1/links/SWISSP/cf-contig_137-SWISSP.txt","Nesprin-1")</f>
        <v>Nesprin-1</v>
      </c>
      <c r="BB724" t="str">
        <f>HYPERLINK("http://www.uniprot.org/uniprot/Q6ZWR6","7.8")</f>
        <v>7.8</v>
      </c>
      <c r="BC724" t="s">
        <v>2196</v>
      </c>
      <c r="BD724">
        <v>30</v>
      </c>
      <c r="BE724">
        <v>25</v>
      </c>
      <c r="BF724">
        <v>8799</v>
      </c>
      <c r="BG724">
        <v>50</v>
      </c>
      <c r="BI724">
        <v>13</v>
      </c>
      <c r="BJ724">
        <v>0</v>
      </c>
      <c r="BK724">
        <v>3038</v>
      </c>
      <c r="BL724">
        <v>403</v>
      </c>
      <c r="BM724">
        <v>1</v>
      </c>
      <c r="BN724">
        <v>1</v>
      </c>
      <c r="BO724" t="s">
        <v>12</v>
      </c>
      <c r="BQ724" t="s">
        <v>1676</v>
      </c>
      <c r="BR724" t="s">
        <v>1705</v>
      </c>
      <c r="BS724" s="4" t="str">
        <f>HYPERLINK("http://exon.niaid.nih.gov/transcriptome/C_felis/S1/links/CDD/cf-contig_137-CDD.txt","SMR")</f>
        <v>SMR</v>
      </c>
      <c r="BT724" t="str">
        <f>HYPERLINK("http://www.ncbi.nlm.nih.gov/Structure/cdd/cddsrv.cgi?uid=smart00463&amp;version=v4.0","0.77")</f>
        <v>0.77</v>
      </c>
      <c r="BU724" t="s">
        <v>2197</v>
      </c>
      <c r="BV724" s="4" t="s">
        <v>42</v>
      </c>
      <c r="BW724" t="s">
        <v>42</v>
      </c>
      <c r="BX724" t="s">
        <v>42</v>
      </c>
      <c r="BY724" t="s">
        <v>42</v>
      </c>
      <c r="BZ724" t="s">
        <v>42</v>
      </c>
      <c r="CA724" t="s">
        <v>42</v>
      </c>
      <c r="CB724" t="s">
        <v>42</v>
      </c>
      <c r="CC724" t="s">
        <v>42</v>
      </c>
      <c r="CD724" t="s">
        <v>42</v>
      </c>
      <c r="CE724" t="s">
        <v>42</v>
      </c>
      <c r="CF724" t="s">
        <v>42</v>
      </c>
      <c r="CG724" t="s">
        <v>42</v>
      </c>
      <c r="CH724" t="s">
        <v>42</v>
      </c>
      <c r="CI724" t="s">
        <v>42</v>
      </c>
      <c r="CJ724" t="s">
        <v>42</v>
      </c>
      <c r="CK724" t="s">
        <v>42</v>
      </c>
      <c r="CL724" t="s">
        <v>42</v>
      </c>
      <c r="CM724" t="s">
        <v>42</v>
      </c>
      <c r="CN724" t="s">
        <v>42</v>
      </c>
      <c r="CO724" t="s">
        <v>42</v>
      </c>
      <c r="CP724" t="s">
        <v>42</v>
      </c>
      <c r="CQ724" t="s">
        <v>42</v>
      </c>
      <c r="CR724" t="s">
        <v>42</v>
      </c>
      <c r="CS724" s="4" t="str">
        <f>HYPERLINK("http://exon.niaid.nih.gov/transcriptome/C_felis/S1/links/KOG/cf-contig_137-KOG.txt","Predicted RING-containing E3 ubiquitin ligase")</f>
        <v>Predicted RING-containing E3 ubiquitin ligase</v>
      </c>
      <c r="CT724" t="str">
        <f>HYPERLINK("http://www.ncbi.nlm.nih.gov/COG/grace/shokog.cgi?KOG1734","2.0")</f>
        <v>2.0</v>
      </c>
      <c r="CU724" t="s">
        <v>2198</v>
      </c>
      <c r="CV724" s="4" t="str">
        <f>HYPERLINK("http://exon.niaid.nih.gov/transcriptome/C_felis/S1/links/PFAM/cf-contig_137-PFAM.txt","OLF")</f>
        <v>OLF</v>
      </c>
      <c r="CW724" t="str">
        <f>HYPERLINK("http://pfam.sanger.ac.uk/family?acc=PF02191","0.80")</f>
        <v>0.80</v>
      </c>
      <c r="CX724" s="4" t="str">
        <f>HYPERLINK("http://exon.niaid.nih.gov/transcriptome/C_felis/S1/links/SMART/cf-contig_137-SMART.txt","SMR")</f>
        <v>SMR</v>
      </c>
      <c r="CY724" t="str">
        <f>HYPERLINK("http://smart.embl-heidelberg.de/smart/do_annotation.pl?DOMAIN=SMR&amp;BLAST=DUMMY","0.010")</f>
        <v>0.010</v>
      </c>
      <c r="CZ724" s="4" t="s">
        <v>42</v>
      </c>
      <c r="DA724" t="s">
        <v>42</v>
      </c>
      <c r="DB724" t="s">
        <v>42</v>
      </c>
      <c r="DC724" t="s">
        <v>42</v>
      </c>
      <c r="DD724" t="s">
        <v>42</v>
      </c>
      <c r="DE724" t="s">
        <v>42</v>
      </c>
      <c r="DF724" t="s">
        <v>42</v>
      </c>
      <c r="DG724" t="s">
        <v>42</v>
      </c>
      <c r="DH724" s="4" t="s">
        <v>42</v>
      </c>
      <c r="DI724" t="s">
        <v>42</v>
      </c>
      <c r="DJ724" s="4" t="s">
        <v>42</v>
      </c>
      <c r="DK724" t="s">
        <v>42</v>
      </c>
      <c r="DL724" s="4">
        <f>HYPERLINK("http://exon.niaid.nih.gov/transcriptome/C_felis/S1/links/cluster/cf-5-36-asb30-50-Id-CLU11.txt", 11)</f>
        <v>11</v>
      </c>
      <c r="DM724">
        <f>HYPERLINK("http://exon.niaid.nih.gov/transcriptome/C_felis/S1/links/cluster/cf-5-36-asb30-50-Id-CLTL11.txt", 4)</f>
        <v>4</v>
      </c>
      <c r="DN724" s="4">
        <f>HYPERLINK("http://exon.niaid.nih.gov/transcriptome/C_felis/S1/links/cluster/cf-5-36-asb35-50-Id-CLU10.txt", 10)</f>
        <v>10</v>
      </c>
      <c r="DO724">
        <f>HYPERLINK("http://exon.niaid.nih.gov/transcriptome/C_felis/S1/links/cluster/cf-5-36-asb35-50-Id-CLTL10.txt", 4)</f>
        <v>4</v>
      </c>
      <c r="DP724" s="4">
        <f>HYPERLINK("http://exon.niaid.nih.gov/transcriptome/C_felis/S1/links/cluster/cf-5-36-asb40-50-Id-CLU8.txt", 8)</f>
        <v>8</v>
      </c>
      <c r="DQ724">
        <f>HYPERLINK("http://exon.niaid.nih.gov/transcriptome/C_felis/S1/links/cluster/cf-5-36-asb40-50-Id-CLTL8.txt", 4)</f>
        <v>4</v>
      </c>
      <c r="DR724" s="4">
        <f>HYPERLINK("http://exon.niaid.nih.gov/transcriptome/C_felis/S1/links/cluster/cf-5-36-asb45-50-Id-CLU8.txt", 8)</f>
        <v>8</v>
      </c>
      <c r="DS724">
        <f>HYPERLINK("http://exon.niaid.nih.gov/transcriptome/C_felis/S1/links/cluster/cf-5-36-asb45-50-Id-CLTL8.txt", 4)</f>
        <v>4</v>
      </c>
      <c r="DT724" s="4">
        <f>HYPERLINK("http://exon.niaid.nih.gov/transcriptome/C_felis/S1/links/cluster/cf-5-36-asb50-50-Id-CLU10.txt", 10)</f>
        <v>10</v>
      </c>
      <c r="DU724">
        <f>HYPERLINK("http://exon.niaid.nih.gov/transcriptome/C_felis/S1/links/cluster/cf-5-36-asb50-50-Id-CLTL10.txt", 3)</f>
        <v>3</v>
      </c>
      <c r="DV724" s="4">
        <v>132</v>
      </c>
      <c r="DW724">
        <v>1</v>
      </c>
      <c r="DX724" s="4">
        <v>134</v>
      </c>
      <c r="DY724">
        <v>1</v>
      </c>
      <c r="DZ724" s="4">
        <v>134</v>
      </c>
      <c r="EA724">
        <v>1</v>
      </c>
      <c r="EB724" s="4">
        <v>137</v>
      </c>
      <c r="EC724">
        <v>1</v>
      </c>
      <c r="ED724" s="4">
        <v>138</v>
      </c>
      <c r="EE724">
        <v>1</v>
      </c>
      <c r="EF724" s="4">
        <v>137</v>
      </c>
      <c r="EG724">
        <v>1</v>
      </c>
      <c r="EH724" s="4">
        <v>136</v>
      </c>
      <c r="EI724">
        <v>1</v>
      </c>
      <c r="EJ724" s="4">
        <v>137</v>
      </c>
      <c r="EK724">
        <v>1</v>
      </c>
    </row>
    <row r="725" spans="1:141" x14ac:dyDescent="0.2">
      <c r="A725" t="str">
        <f>HYPERLINK("http://exon.niaid.nih.gov/transcriptome/C_felis/S1/links/cf/cf-contig_723.txt","cf-contig_723")</f>
        <v>cf-contig_723</v>
      </c>
      <c r="B725">
        <v>1</v>
      </c>
      <c r="C725" s="10" t="s">
        <v>4600</v>
      </c>
      <c r="D725">
        <v>1</v>
      </c>
      <c r="E725" t="str">
        <f>HYPERLINK("http://exon.niaid.nih.gov/transcriptome/C_felis/S1/links/cf/cf-5-36-asb-723.txt","Contig-723")</f>
        <v>Contig-723</v>
      </c>
      <c r="F725" t="str">
        <f>HYPERLINK("http://exon.niaid.nih.gov/transcriptome/C_felis/S1/links/cf/cf-5-36-723-CLU.txt","Contig723")</f>
        <v>Contig723</v>
      </c>
      <c r="G725" t="str">
        <f>HYPERLINK("http://exon.niaid.nih.gov/transcriptome/C_felis/S1/links/cf/cf-5-36-723-qual.txt","60.8")</f>
        <v>60.8</v>
      </c>
      <c r="H725" t="s">
        <v>11</v>
      </c>
      <c r="I725">
        <v>70.400000000000006</v>
      </c>
      <c r="J725">
        <v>160</v>
      </c>
      <c r="K725" t="s">
        <v>12</v>
      </c>
      <c r="L725">
        <v>1</v>
      </c>
      <c r="M725" t="s">
        <v>736</v>
      </c>
      <c r="N725">
        <v>160</v>
      </c>
      <c r="O725">
        <v>179</v>
      </c>
      <c r="P725">
        <v>96</v>
      </c>
      <c r="Q725" t="s">
        <v>1542</v>
      </c>
      <c r="R725">
        <v>1</v>
      </c>
      <c r="S725" s="7" t="s">
        <v>4585</v>
      </c>
      <c r="U725">
        <v>1</v>
      </c>
      <c r="V725" s="4">
        <v>586</v>
      </c>
      <c r="W725">
        <v>1</v>
      </c>
      <c r="X725" s="4">
        <v>602</v>
      </c>
      <c r="Y725">
        <v>1</v>
      </c>
      <c r="Z725" s="4">
        <v>615</v>
      </c>
      <c r="AA725">
        <v>1</v>
      </c>
      <c r="AB725" s="4" t="str">
        <f>HYPERLINK("http://exon.niaid.nih.gov/transcriptome/C_felis/S1/links/XC-ASB/cf-contig_723-XC-ASB.txt","XC-contig_233")</f>
        <v>XC-contig_233</v>
      </c>
      <c r="AC725">
        <v>1E-3</v>
      </c>
      <c r="AD725" s="10" t="s">
        <v>4600</v>
      </c>
      <c r="AE725" t="s">
        <v>4601</v>
      </c>
      <c r="AI725" s="4" t="str">
        <f>HYPERLINK("http://exon.niaid.nih.gov/transcriptome/C_felis/S1/links/NR/cf-contig_723-NR.txt","ABC transporter, permease/ATP-binding protein")</f>
        <v>ABC transporter, permease/ATP-binding protein</v>
      </c>
      <c r="AJ725" t="str">
        <f>HYPERLINK("http://www.ncbi.nlm.nih.gov/sutils/blink.cgi?pid=225165212","35")</f>
        <v>35</v>
      </c>
      <c r="AK725" t="str">
        <f>HYPERLINK("http://www.ncbi.nlm.nih.gov/protein/225165212","gi|225165212")</f>
        <v>gi|225165212</v>
      </c>
      <c r="AL725">
        <v>32</v>
      </c>
      <c r="AM725">
        <v>44</v>
      </c>
      <c r="AN725">
        <v>581</v>
      </c>
      <c r="AO725">
        <v>33</v>
      </c>
      <c r="AP725">
        <v>8</v>
      </c>
      <c r="AQ725">
        <v>30</v>
      </c>
      <c r="AR725">
        <v>0</v>
      </c>
      <c r="AS725">
        <v>258</v>
      </c>
      <c r="AT725">
        <v>1</v>
      </c>
      <c r="AU725">
        <v>1</v>
      </c>
      <c r="AV725">
        <v>1</v>
      </c>
      <c r="AW725" t="s">
        <v>12</v>
      </c>
      <c r="AX725">
        <v>2.2730000000000001</v>
      </c>
      <c r="AY725" t="s">
        <v>1676</v>
      </c>
      <c r="AZ725" t="s">
        <v>4286</v>
      </c>
      <c r="BA725" s="4" t="str">
        <f>HYPERLINK("http://exon.niaid.nih.gov/transcriptome/C_felis/S1/links/SWISSP/cf-contig_723-SWISSP.txt","Probable urea active transporter 3")</f>
        <v>Probable urea active transporter 3</v>
      </c>
      <c r="BB725" t="str">
        <f>HYPERLINK("http://www.uniprot.org/uniprot/Q9URY6","1.6")</f>
        <v>1.6</v>
      </c>
      <c r="BC725" t="s">
        <v>4287</v>
      </c>
      <c r="BD725">
        <v>31.6</v>
      </c>
      <c r="BE725">
        <v>46</v>
      </c>
      <c r="BF725">
        <v>661</v>
      </c>
      <c r="BG725">
        <v>34</v>
      </c>
      <c r="BH725">
        <v>7</v>
      </c>
      <c r="BI725">
        <v>31</v>
      </c>
      <c r="BJ725">
        <v>0</v>
      </c>
      <c r="BK725">
        <v>472</v>
      </c>
      <c r="BL725">
        <v>4</v>
      </c>
      <c r="BM725">
        <v>1</v>
      </c>
      <c r="BN725">
        <v>1</v>
      </c>
      <c r="BO725" t="s">
        <v>12</v>
      </c>
      <c r="BP725">
        <v>2.1739999999999999</v>
      </c>
      <c r="BQ725" t="s">
        <v>1676</v>
      </c>
      <c r="BR725" t="s">
        <v>1695</v>
      </c>
      <c r="BS725" s="4" t="str">
        <f>HYPERLINK("http://exon.niaid.nih.gov/transcriptome/C_felis/S1/links/CDD/cf-contig_723-CDD.txt","Dynamin_M")</f>
        <v>Dynamin_M</v>
      </c>
      <c r="BT725" t="str">
        <f>HYPERLINK("http://www.ncbi.nlm.nih.gov/Structure/cdd/cddsrv.cgi?uid=pfam01031&amp;version=v4.0","0.68")</f>
        <v>0.68</v>
      </c>
      <c r="BU725" t="s">
        <v>4288</v>
      </c>
      <c r="BV725" s="4" t="s">
        <v>42</v>
      </c>
      <c r="BW725" t="s">
        <v>42</v>
      </c>
      <c r="BX725" t="s">
        <v>42</v>
      </c>
      <c r="BY725" t="s">
        <v>42</v>
      </c>
      <c r="BZ725" t="s">
        <v>42</v>
      </c>
      <c r="CA725" t="s">
        <v>42</v>
      </c>
      <c r="CB725" t="s">
        <v>42</v>
      </c>
      <c r="CC725" t="s">
        <v>42</v>
      </c>
      <c r="CD725" t="s">
        <v>42</v>
      </c>
      <c r="CE725" t="s">
        <v>42</v>
      </c>
      <c r="CF725" t="s">
        <v>42</v>
      </c>
      <c r="CG725" t="s">
        <v>42</v>
      </c>
      <c r="CH725" t="s">
        <v>42</v>
      </c>
      <c r="CI725" t="s">
        <v>42</v>
      </c>
      <c r="CJ725" t="s">
        <v>42</v>
      </c>
      <c r="CK725" t="s">
        <v>42</v>
      </c>
      <c r="CL725" t="s">
        <v>42</v>
      </c>
      <c r="CM725" t="s">
        <v>42</v>
      </c>
      <c r="CN725" t="s">
        <v>42</v>
      </c>
      <c r="CO725" t="s">
        <v>42</v>
      </c>
      <c r="CP725" t="s">
        <v>42</v>
      </c>
      <c r="CQ725" t="s">
        <v>42</v>
      </c>
      <c r="CR725" t="s">
        <v>42</v>
      </c>
      <c r="CS725" s="4" t="str">
        <f>HYPERLINK("http://exon.niaid.nih.gov/transcriptome/C_felis/S1/links/KOG/cf-contig_723-KOG.txt","Mannosyltransferase")</f>
        <v>Mannosyltransferase</v>
      </c>
      <c r="CT725" t="str">
        <f>HYPERLINK("http://www.ncbi.nlm.nih.gov/COG/grace/shokog.cgi?KOG3893","1.2")</f>
        <v>1.2</v>
      </c>
      <c r="CU725" t="s">
        <v>1823</v>
      </c>
      <c r="CV725" s="4" t="str">
        <f>HYPERLINK("http://exon.niaid.nih.gov/transcriptome/C_felis/S1/links/PFAM/cf-contig_723-PFAM.txt","Dynamin_M")</f>
        <v>Dynamin_M</v>
      </c>
      <c r="CW725" t="str">
        <f>HYPERLINK("http://pfam.sanger.ac.uk/family?acc=PF01031","0.15")</f>
        <v>0.15</v>
      </c>
      <c r="CX725" s="4" t="str">
        <f>HYPERLINK("http://exon.niaid.nih.gov/transcriptome/C_felis/S1/links/SMART/cf-contig_723-SMART.txt","REC")</f>
        <v>REC</v>
      </c>
      <c r="CY725" t="str">
        <f>HYPERLINK("http://smart.embl-heidelberg.de/smart/do_annotation.pl?DOMAIN=REC&amp;BLAST=DUMMY","0.62")</f>
        <v>0.62</v>
      </c>
      <c r="CZ725" s="4" t="s">
        <v>42</v>
      </c>
      <c r="DA725" t="s">
        <v>42</v>
      </c>
      <c r="DB725" t="s">
        <v>42</v>
      </c>
      <c r="DC725" t="s">
        <v>42</v>
      </c>
      <c r="DD725" t="s">
        <v>42</v>
      </c>
      <c r="DE725" t="s">
        <v>42</v>
      </c>
      <c r="DF725" t="s">
        <v>42</v>
      </c>
      <c r="DG725" t="s">
        <v>42</v>
      </c>
      <c r="DH725" s="4" t="s">
        <v>42</v>
      </c>
      <c r="DI725" t="s">
        <v>42</v>
      </c>
      <c r="DJ725" s="4" t="s">
        <v>42</v>
      </c>
      <c r="DK725" t="s">
        <v>42</v>
      </c>
      <c r="DL725" s="4">
        <v>586</v>
      </c>
      <c r="DM725">
        <v>1</v>
      </c>
      <c r="DN725" s="4">
        <v>602</v>
      </c>
      <c r="DO725">
        <v>1</v>
      </c>
      <c r="DP725" s="4">
        <v>615</v>
      </c>
      <c r="DQ725">
        <v>1</v>
      </c>
      <c r="DR725" s="4">
        <v>636</v>
      </c>
      <c r="DS725">
        <v>1</v>
      </c>
      <c r="DT725" s="4">
        <v>651</v>
      </c>
      <c r="DU725">
        <v>1</v>
      </c>
      <c r="DV725" s="4">
        <v>666</v>
      </c>
      <c r="DW725">
        <v>1</v>
      </c>
      <c r="DX725" s="4">
        <v>677</v>
      </c>
      <c r="DY725">
        <v>1</v>
      </c>
      <c r="DZ725" s="4">
        <v>687</v>
      </c>
      <c r="EA725">
        <v>1</v>
      </c>
      <c r="EB725" s="4">
        <v>693</v>
      </c>
      <c r="EC725">
        <v>1</v>
      </c>
      <c r="ED725" s="4">
        <v>698</v>
      </c>
      <c r="EE725">
        <v>1</v>
      </c>
      <c r="EF725" s="4">
        <v>704</v>
      </c>
      <c r="EG725">
        <v>1</v>
      </c>
      <c r="EH725" s="4">
        <v>714</v>
      </c>
      <c r="EI725">
        <v>1</v>
      </c>
      <c r="EJ725" s="4">
        <v>723</v>
      </c>
      <c r="EK725">
        <v>1</v>
      </c>
    </row>
    <row r="726" spans="1:141" x14ac:dyDescent="0.2">
      <c r="A726" t="str">
        <f>HYPERLINK("http://exon.niaid.nih.gov/transcriptome/C_felis/S1/links/cf/cf-contig_287.txt","cf-contig_287")</f>
        <v>cf-contig_287</v>
      </c>
      <c r="B726">
        <v>1</v>
      </c>
      <c r="C726" s="10" t="s">
        <v>4600</v>
      </c>
      <c r="D726">
        <v>1</v>
      </c>
      <c r="E726" t="str">
        <f>HYPERLINK("http://exon.niaid.nih.gov/transcriptome/C_felis/S1/links/cf/cf-5-36-asb-287.txt","Contig-287")</f>
        <v>Contig-287</v>
      </c>
      <c r="F726" t="str">
        <f>HYPERLINK("http://exon.niaid.nih.gov/transcriptome/C_felis/S1/links/cf/cf-5-36-287-CLU.txt","Contig287")</f>
        <v>Contig287</v>
      </c>
      <c r="G726" t="str">
        <f>HYPERLINK("http://exon.niaid.nih.gov/transcriptome/C_felis/S1/links/cf/cf-5-36-287-qual.txt","67.2")</f>
        <v>67.2</v>
      </c>
      <c r="H726" t="s">
        <v>11</v>
      </c>
      <c r="I726">
        <v>69.599999999999994</v>
      </c>
      <c r="J726">
        <v>218</v>
      </c>
      <c r="K726" t="s">
        <v>12</v>
      </c>
      <c r="L726">
        <v>1</v>
      </c>
      <c r="M726" t="s">
        <v>300</v>
      </c>
      <c r="N726">
        <v>218</v>
      </c>
      <c r="O726">
        <v>237</v>
      </c>
      <c r="P726">
        <v>135</v>
      </c>
      <c r="Q726" t="s">
        <v>1107</v>
      </c>
      <c r="R726">
        <v>1</v>
      </c>
      <c r="S726" s="7" t="s">
        <v>4585</v>
      </c>
      <c r="U726">
        <v>1</v>
      </c>
      <c r="V726" s="4">
        <v>230</v>
      </c>
      <c r="W726">
        <v>1</v>
      </c>
      <c r="X726" s="4">
        <v>235</v>
      </c>
      <c r="Y726">
        <v>1</v>
      </c>
      <c r="Z726" s="4">
        <v>234</v>
      </c>
      <c r="AA726">
        <v>1</v>
      </c>
      <c r="AB726" s="4" t="str">
        <f>HYPERLINK("http://exon.niaid.nih.gov/transcriptome/C_felis/S1/links/XC-ASB/cf-contig_287-XC-ASB.txt","XC-contig_86")</f>
        <v>XC-contig_86</v>
      </c>
      <c r="AC726">
        <v>0.51</v>
      </c>
      <c r="AD726" s="10" t="s">
        <v>4600</v>
      </c>
      <c r="AE726" t="s">
        <v>4601</v>
      </c>
      <c r="AI726" s="4" t="str">
        <f>HYPERLINK("http://exon.niaid.nih.gov/transcriptome/C_felis/S1/links/NR/cf-contig_287-NR.txt","calsenilin-like")</f>
        <v>calsenilin-like</v>
      </c>
      <c r="AJ726" t="str">
        <f>HYPERLINK("http://www.ncbi.nlm.nih.gov/sutils/blink.cgi?pid=348527274","4.3")</f>
        <v>4.3</v>
      </c>
      <c r="AK726" t="str">
        <f>HYPERLINK("http://www.ncbi.nlm.nih.gov/protein/348527274","gi|348527274")</f>
        <v>gi|348527274</v>
      </c>
      <c r="AL726">
        <v>35</v>
      </c>
      <c r="AM726">
        <v>57</v>
      </c>
      <c r="AN726">
        <v>334</v>
      </c>
      <c r="AO726">
        <v>32</v>
      </c>
      <c r="AP726">
        <v>17</v>
      </c>
      <c r="AQ726">
        <v>39</v>
      </c>
      <c r="AR726">
        <v>9</v>
      </c>
      <c r="AS726">
        <v>2</v>
      </c>
      <c r="AT726">
        <v>57</v>
      </c>
      <c r="AU726">
        <v>1</v>
      </c>
      <c r="AV726">
        <v>-2</v>
      </c>
      <c r="AW726" t="s">
        <v>12</v>
      </c>
      <c r="AX726">
        <v>1.754</v>
      </c>
      <c r="AY726" t="s">
        <v>1666</v>
      </c>
      <c r="AZ726" t="s">
        <v>2052</v>
      </c>
      <c r="BA726" s="4" t="str">
        <f>HYPERLINK("http://exon.niaid.nih.gov/transcriptome/C_felis/S1/links/SWISSP/cf-contig_287-SWISSP.txt","DNA-directed RNA polymerase subunit beta'")</f>
        <v>DNA-directed RNA polymerase subunit beta'</v>
      </c>
      <c r="BB726" t="str">
        <f>HYPERLINK("http://www.uniprot.org/uniprot/B2X1Z3","6.2")</f>
        <v>6.2</v>
      </c>
      <c r="BC726" t="s">
        <v>2679</v>
      </c>
      <c r="BD726">
        <v>29.6</v>
      </c>
      <c r="BE726">
        <v>38</v>
      </c>
      <c r="BF726">
        <v>1947</v>
      </c>
      <c r="BG726">
        <v>41</v>
      </c>
      <c r="BH726">
        <v>2</v>
      </c>
      <c r="BI726">
        <v>24</v>
      </c>
      <c r="BJ726">
        <v>3</v>
      </c>
      <c r="BK726">
        <v>745</v>
      </c>
      <c r="BL726">
        <v>27</v>
      </c>
      <c r="BM726">
        <v>1</v>
      </c>
      <c r="BN726">
        <v>-2</v>
      </c>
      <c r="BO726" t="s">
        <v>12</v>
      </c>
      <c r="BQ726" t="s">
        <v>1666</v>
      </c>
      <c r="BR726" t="s">
        <v>2680</v>
      </c>
      <c r="BS726" s="4" t="str">
        <f>HYPERLINK("http://exon.niaid.nih.gov/transcriptome/C_felis/S1/links/CDD/cf-contig_287-CDD.txt","PRK15103")</f>
        <v>PRK15103</v>
      </c>
      <c r="BT726" t="str">
        <f>HYPERLINK("http://www.ncbi.nlm.nih.gov/Structure/cdd/cddsrv.cgi?uid=PRK15103&amp;version=v4.0","0.26")</f>
        <v>0.26</v>
      </c>
      <c r="BU726" t="s">
        <v>2681</v>
      </c>
      <c r="BV726" s="4" t="s">
        <v>42</v>
      </c>
      <c r="BW726" t="s">
        <v>42</v>
      </c>
      <c r="BX726" t="s">
        <v>42</v>
      </c>
      <c r="BY726" t="s">
        <v>42</v>
      </c>
      <c r="BZ726" t="s">
        <v>42</v>
      </c>
      <c r="CA726" t="s">
        <v>42</v>
      </c>
      <c r="CB726" t="s">
        <v>42</v>
      </c>
      <c r="CC726" t="s">
        <v>42</v>
      </c>
      <c r="CD726" t="s">
        <v>42</v>
      </c>
      <c r="CE726" t="s">
        <v>42</v>
      </c>
      <c r="CF726" t="s">
        <v>42</v>
      </c>
      <c r="CG726" t="s">
        <v>42</v>
      </c>
      <c r="CH726" t="s">
        <v>42</v>
      </c>
      <c r="CI726" t="s">
        <v>42</v>
      </c>
      <c r="CJ726" t="s">
        <v>42</v>
      </c>
      <c r="CK726" t="s">
        <v>42</v>
      </c>
      <c r="CL726" t="s">
        <v>42</v>
      </c>
      <c r="CM726" t="s">
        <v>42</v>
      </c>
      <c r="CN726" t="s">
        <v>42</v>
      </c>
      <c r="CO726" t="s">
        <v>42</v>
      </c>
      <c r="CP726" t="s">
        <v>42</v>
      </c>
      <c r="CQ726" t="s">
        <v>42</v>
      </c>
      <c r="CR726" t="s">
        <v>42</v>
      </c>
      <c r="CS726" s="4" t="str">
        <f>HYPERLINK("http://exon.niaid.nih.gov/transcriptome/C_felis/S1/links/KOG/cf-contig_287-KOG.txt","Oligosaccharyltransferase, STT3 subunit")</f>
        <v>Oligosaccharyltransferase, STT3 subunit</v>
      </c>
      <c r="CT726" t="str">
        <f>HYPERLINK("http://www.ncbi.nlm.nih.gov/COG/grace/shokog.cgi?KOG2292","0.31")</f>
        <v>0.31</v>
      </c>
      <c r="CU726" t="s">
        <v>2198</v>
      </c>
      <c r="CV726" s="4" t="str">
        <f>HYPERLINK("http://exon.niaid.nih.gov/transcriptome/C_felis/S1/links/PFAM/cf-contig_287-PFAM.txt","DUF2705")</f>
        <v>DUF2705</v>
      </c>
      <c r="CW726" t="str">
        <f>HYPERLINK("http://pfam.sanger.ac.uk/family?acc=PF10920","0.41")</f>
        <v>0.41</v>
      </c>
      <c r="CX726" s="4" t="str">
        <f>HYPERLINK("http://exon.niaid.nih.gov/transcriptome/C_felis/S1/links/SMART/cf-contig_287-SMART.txt","53EXOc")</f>
        <v>53EXOc</v>
      </c>
      <c r="CY726" t="str">
        <f>HYPERLINK("http://smart.embl-heidelberg.de/smart/do_annotation.pl?DOMAIN=53EXOc&amp;BLAST=DUMMY","0.29")</f>
        <v>0.29</v>
      </c>
      <c r="CZ726" s="4" t="s">
        <v>42</v>
      </c>
      <c r="DA726" t="s">
        <v>42</v>
      </c>
      <c r="DB726" t="s">
        <v>42</v>
      </c>
      <c r="DC726" t="s">
        <v>42</v>
      </c>
      <c r="DD726" t="s">
        <v>42</v>
      </c>
      <c r="DE726" t="s">
        <v>42</v>
      </c>
      <c r="DF726" t="s">
        <v>42</v>
      </c>
      <c r="DG726" t="s">
        <v>42</v>
      </c>
      <c r="DH726" s="4" t="s">
        <v>42</v>
      </c>
      <c r="DI726" t="s">
        <v>42</v>
      </c>
      <c r="DJ726" s="4" t="s">
        <v>42</v>
      </c>
      <c r="DK726" t="s">
        <v>42</v>
      </c>
      <c r="DL726" s="4">
        <v>230</v>
      </c>
      <c r="DM726">
        <v>1</v>
      </c>
      <c r="DN726" s="4">
        <v>235</v>
      </c>
      <c r="DO726">
        <v>1</v>
      </c>
      <c r="DP726" s="4">
        <v>234</v>
      </c>
      <c r="DQ726">
        <v>1</v>
      </c>
      <c r="DR726" s="4">
        <v>243</v>
      </c>
      <c r="DS726">
        <v>1</v>
      </c>
      <c r="DT726" s="4">
        <v>249</v>
      </c>
      <c r="DU726">
        <v>1</v>
      </c>
      <c r="DV726" s="4">
        <v>261</v>
      </c>
      <c r="DW726">
        <v>1</v>
      </c>
      <c r="DX726" s="4">
        <v>263</v>
      </c>
      <c r="DY726">
        <v>1</v>
      </c>
      <c r="DZ726" s="4">
        <v>268</v>
      </c>
      <c r="EA726">
        <v>1</v>
      </c>
      <c r="EB726" s="4">
        <v>273</v>
      </c>
      <c r="EC726">
        <v>1</v>
      </c>
      <c r="ED726" s="4">
        <v>276</v>
      </c>
      <c r="EE726">
        <v>1</v>
      </c>
      <c r="EF726" s="4">
        <v>280</v>
      </c>
      <c r="EG726">
        <v>1</v>
      </c>
      <c r="EH726" s="4">
        <v>282</v>
      </c>
      <c r="EI726">
        <v>1</v>
      </c>
      <c r="EJ726" s="4">
        <v>287</v>
      </c>
      <c r="EK726">
        <v>1</v>
      </c>
    </row>
    <row r="727" spans="1:141" x14ac:dyDescent="0.2">
      <c r="A727" t="str">
        <f>HYPERLINK("http://exon.niaid.nih.gov/transcriptome/C_felis/S1/links/cf/cf-contig_101.txt","cf-contig_101")</f>
        <v>cf-contig_101</v>
      </c>
      <c r="B727">
        <v>1</v>
      </c>
      <c r="C727" s="10" t="s">
        <v>4600</v>
      </c>
      <c r="D727">
        <v>1</v>
      </c>
      <c r="E727" t="str">
        <f>HYPERLINK("http://exon.niaid.nih.gov/transcriptome/C_felis/S1/links/cf/cf-5-36-asb-101.txt","Contig-101")</f>
        <v>Contig-101</v>
      </c>
      <c r="F727" t="str">
        <f>HYPERLINK("http://exon.niaid.nih.gov/transcriptome/C_felis/S1/links/cf/cf-5-36-101-CLU.txt","Contig101")</f>
        <v>Contig101</v>
      </c>
      <c r="G727" t="str">
        <f>HYPERLINK("http://exon.niaid.nih.gov/transcriptome/C_felis/S1/links/cf/cf-5-36-101-qual.txt","64.7")</f>
        <v>64.7</v>
      </c>
      <c r="H727" t="s">
        <v>11</v>
      </c>
      <c r="I727">
        <v>78.5</v>
      </c>
      <c r="J727">
        <v>362</v>
      </c>
      <c r="K727" t="s">
        <v>12</v>
      </c>
      <c r="L727">
        <v>1</v>
      </c>
      <c r="M727" t="s">
        <v>114</v>
      </c>
      <c r="N727">
        <v>362</v>
      </c>
      <c r="O727">
        <v>381</v>
      </c>
      <c r="P727">
        <v>108</v>
      </c>
      <c r="Q727" t="s">
        <v>921</v>
      </c>
      <c r="R727">
        <v>1</v>
      </c>
      <c r="S727" s="7" t="s">
        <v>4585</v>
      </c>
      <c r="U727">
        <v>1</v>
      </c>
      <c r="V727" s="4">
        <v>119</v>
      </c>
      <c r="W727">
        <v>1</v>
      </c>
      <c r="X727" s="4">
        <v>114</v>
      </c>
      <c r="Y727">
        <v>1</v>
      </c>
      <c r="Z727" s="4">
        <v>111</v>
      </c>
      <c r="AA727">
        <v>1</v>
      </c>
      <c r="AB727" s="4" t="str">
        <f>HYPERLINK("http://exon.niaid.nih.gov/transcriptome/C_felis/S1/links/XC-ASB/cf-contig_101-XC-ASB.txt","XC-contig_209")</f>
        <v>XC-contig_209</v>
      </c>
      <c r="AC727">
        <v>0.15</v>
      </c>
      <c r="AD727" s="10" t="s">
        <v>4600</v>
      </c>
      <c r="AE727" t="s">
        <v>4601</v>
      </c>
      <c r="AI727" s="4" t="str">
        <f>HYPERLINK("http://exon.niaid.nih.gov/transcriptome/C_felis/S1/links/NR/cf-contig_101-NR.txt","hypothetical protein LOC100709685")</f>
        <v>hypothetical protein LOC100709685</v>
      </c>
      <c r="AJ727" t="str">
        <f>HYPERLINK("http://www.ncbi.nlm.nih.gov/sutils/blink.cgi?pid=348510568","5.5")</f>
        <v>5.5</v>
      </c>
      <c r="AK727" t="str">
        <f>HYPERLINK("http://www.ncbi.nlm.nih.gov/protein/348510568","gi|348510568")</f>
        <v>gi|348510568</v>
      </c>
      <c r="AL727">
        <v>34.700000000000003</v>
      </c>
      <c r="AM727">
        <v>65</v>
      </c>
      <c r="AN727">
        <v>173</v>
      </c>
      <c r="AO727">
        <v>31</v>
      </c>
      <c r="AP727">
        <v>38</v>
      </c>
      <c r="AQ727">
        <v>45</v>
      </c>
      <c r="AR727">
        <v>0</v>
      </c>
      <c r="AS727">
        <v>31</v>
      </c>
      <c r="AT727">
        <v>46</v>
      </c>
      <c r="AU727">
        <v>1</v>
      </c>
      <c r="AV727">
        <v>1</v>
      </c>
      <c r="AW727" t="s">
        <v>12</v>
      </c>
      <c r="AX727">
        <v>4.6150000000000002</v>
      </c>
      <c r="AY727" t="s">
        <v>1676</v>
      </c>
      <c r="AZ727" t="s">
        <v>2052</v>
      </c>
      <c r="BA727" s="4" t="str">
        <f>HYPERLINK("http://exon.niaid.nih.gov/transcriptome/C_felis/S1/links/SWISSP/cf-contig_101-SWISSP.txt","Telomere-binding protein I6 homolog")</f>
        <v>Telomere-binding protein I6 homolog</v>
      </c>
      <c r="BB727" t="str">
        <f>HYPERLINK("http://www.uniprot.org/uniprot/O72902","4.8")</f>
        <v>4.8</v>
      </c>
      <c r="BC727" t="s">
        <v>2053</v>
      </c>
      <c r="BD727">
        <v>30</v>
      </c>
      <c r="BE727">
        <v>43</v>
      </c>
      <c r="BF727">
        <v>390</v>
      </c>
      <c r="BG727">
        <v>38</v>
      </c>
      <c r="BH727">
        <v>11</v>
      </c>
      <c r="BI727">
        <v>27</v>
      </c>
      <c r="BJ727">
        <v>2</v>
      </c>
      <c r="BK727">
        <v>188</v>
      </c>
      <c r="BL727">
        <v>2</v>
      </c>
      <c r="BM727">
        <v>1</v>
      </c>
      <c r="BN727">
        <v>2</v>
      </c>
      <c r="BO727" t="s">
        <v>12</v>
      </c>
      <c r="BP727">
        <v>2.3260000000000001</v>
      </c>
      <c r="BQ727" t="s">
        <v>1676</v>
      </c>
      <c r="BR727" t="s">
        <v>2054</v>
      </c>
      <c r="BS727" s="4" t="str">
        <f>HYPERLINK("http://exon.niaid.nih.gov/transcriptome/C_felis/S1/links/CDD/cf-contig_101-CDD.txt","DUF70")</f>
        <v>DUF70</v>
      </c>
      <c r="BT727" t="str">
        <f>HYPERLINK("http://www.ncbi.nlm.nih.gov/Structure/cdd/cddsrv.cgi?uid=pfam01901&amp;version=v4.0","0.014")</f>
        <v>0.014</v>
      </c>
      <c r="BU727" t="s">
        <v>2055</v>
      </c>
      <c r="BV727" s="4" t="s">
        <v>42</v>
      </c>
      <c r="BW727" t="s">
        <v>42</v>
      </c>
      <c r="BX727" t="s">
        <v>42</v>
      </c>
      <c r="BY727" t="s">
        <v>42</v>
      </c>
      <c r="BZ727" t="s">
        <v>42</v>
      </c>
      <c r="CA727" t="s">
        <v>42</v>
      </c>
      <c r="CB727" t="s">
        <v>42</v>
      </c>
      <c r="CC727" t="s">
        <v>42</v>
      </c>
      <c r="CD727" t="s">
        <v>42</v>
      </c>
      <c r="CE727" t="s">
        <v>42</v>
      </c>
      <c r="CF727" t="s">
        <v>42</v>
      </c>
      <c r="CG727" t="s">
        <v>42</v>
      </c>
      <c r="CH727" t="s">
        <v>42</v>
      </c>
      <c r="CI727" t="s">
        <v>42</v>
      </c>
      <c r="CJ727" t="s">
        <v>42</v>
      </c>
      <c r="CK727" t="s">
        <v>42</v>
      </c>
      <c r="CL727" t="s">
        <v>42</v>
      </c>
      <c r="CM727" t="s">
        <v>42</v>
      </c>
      <c r="CN727" t="s">
        <v>42</v>
      </c>
      <c r="CO727" t="s">
        <v>42</v>
      </c>
      <c r="CP727" t="s">
        <v>42</v>
      </c>
      <c r="CQ727" t="s">
        <v>42</v>
      </c>
      <c r="CR727" t="s">
        <v>42</v>
      </c>
      <c r="CS727" s="4" t="str">
        <f>HYPERLINK("http://exon.niaid.nih.gov/transcriptome/C_felis/S1/links/KOG/cf-contig_101-KOG.txt","Huntingtin interacting protein 1 (Hip1) interactor Hippi")</f>
        <v>Huntingtin interacting protein 1 (Hip1) interactor Hippi</v>
      </c>
      <c r="CT727" t="str">
        <f>HYPERLINK("http://www.ncbi.nlm.nih.gov/COG/grace/shokog.cgi?KOG0972","0.18")</f>
        <v>0.18</v>
      </c>
      <c r="CU727" t="s">
        <v>1780</v>
      </c>
      <c r="CV727" s="4" t="str">
        <f>HYPERLINK("http://exon.niaid.nih.gov/transcriptome/C_felis/S1/links/PFAM/cf-contig_101-PFAM.txt","DUF70")</f>
        <v>DUF70</v>
      </c>
      <c r="CW727" t="str">
        <f>HYPERLINK("http://pfam.sanger.ac.uk/family?acc=PF01901","0.003")</f>
        <v>0.003</v>
      </c>
      <c r="CX727" s="4" t="str">
        <f>HYPERLINK("http://exon.niaid.nih.gov/transcriptome/C_felis/S1/links/SMART/cf-contig_101-SMART.txt","RasGAP")</f>
        <v>RasGAP</v>
      </c>
      <c r="CY727" t="str">
        <f>HYPERLINK("http://smart.embl-heidelberg.de/smart/do_annotation.pl?DOMAIN=RasGAP&amp;BLAST=DUMMY","0.12")</f>
        <v>0.12</v>
      </c>
      <c r="CZ727" s="4" t="s">
        <v>42</v>
      </c>
      <c r="DA727" t="s">
        <v>42</v>
      </c>
      <c r="DB727" t="s">
        <v>42</v>
      </c>
      <c r="DC727" t="s">
        <v>42</v>
      </c>
      <c r="DD727" t="s">
        <v>42</v>
      </c>
      <c r="DE727" t="s">
        <v>42</v>
      </c>
      <c r="DF727" t="s">
        <v>42</v>
      </c>
      <c r="DG727" t="s">
        <v>42</v>
      </c>
      <c r="DH727" s="4" t="s">
        <v>42</v>
      </c>
      <c r="DI727" t="s">
        <v>42</v>
      </c>
      <c r="DJ727" s="4" t="s">
        <v>42</v>
      </c>
      <c r="DK727" t="s">
        <v>42</v>
      </c>
      <c r="DL727" s="4">
        <v>119</v>
      </c>
      <c r="DM727">
        <v>1</v>
      </c>
      <c r="DN727" s="4">
        <v>114</v>
      </c>
      <c r="DO727">
        <v>1</v>
      </c>
      <c r="DP727" s="4">
        <v>111</v>
      </c>
      <c r="DQ727">
        <v>1</v>
      </c>
      <c r="DR727" s="4">
        <v>102</v>
      </c>
      <c r="DS727">
        <v>1</v>
      </c>
      <c r="DT727" s="4">
        <v>100</v>
      </c>
      <c r="DU727">
        <v>1</v>
      </c>
      <c r="DV727" s="4">
        <v>109</v>
      </c>
      <c r="DW727">
        <v>1</v>
      </c>
      <c r="DX727" s="4">
        <v>109</v>
      </c>
      <c r="DY727">
        <v>1</v>
      </c>
      <c r="DZ727" s="4">
        <v>108</v>
      </c>
      <c r="EA727">
        <v>1</v>
      </c>
      <c r="EB727" s="4">
        <v>108</v>
      </c>
      <c r="EC727">
        <v>1</v>
      </c>
      <c r="ED727" s="4">
        <v>109</v>
      </c>
      <c r="EE727">
        <v>1</v>
      </c>
      <c r="EF727" s="4">
        <v>106</v>
      </c>
      <c r="EG727">
        <v>1</v>
      </c>
      <c r="EH727" s="4">
        <v>103</v>
      </c>
      <c r="EI727">
        <v>1</v>
      </c>
      <c r="EJ727" s="4">
        <v>101</v>
      </c>
      <c r="EK727">
        <v>1</v>
      </c>
    </row>
    <row r="728" spans="1:141" x14ac:dyDescent="0.2">
      <c r="A728" t="str">
        <f>HYPERLINK("http://exon.niaid.nih.gov/transcriptome/C_felis/S1/links/cf/cf-contig_78.txt","cf-contig_78")</f>
        <v>cf-contig_78</v>
      </c>
      <c r="B728">
        <v>1</v>
      </c>
      <c r="C728" s="10" t="s">
        <v>4600</v>
      </c>
      <c r="D728">
        <v>1</v>
      </c>
      <c r="E728" t="str">
        <f>HYPERLINK("http://exon.niaid.nih.gov/transcriptome/C_felis/S1/links/cf/cf-5-36-asb-78.txt","Contig-78")</f>
        <v>Contig-78</v>
      </c>
      <c r="F728" t="str">
        <f>HYPERLINK("http://exon.niaid.nih.gov/transcriptome/C_felis/S1/links/cf/cf-5-36-78-CLU.txt","Contig78")</f>
        <v>Contig78</v>
      </c>
      <c r="G728" t="str">
        <f>HYPERLINK("http://exon.niaid.nih.gov/transcriptome/C_felis/S1/links/cf/cf-5-36-78-qual.txt","59.9")</f>
        <v>59.9</v>
      </c>
      <c r="H728" t="s">
        <v>11</v>
      </c>
      <c r="I728">
        <v>70.5</v>
      </c>
      <c r="J728">
        <v>327</v>
      </c>
      <c r="K728" t="s">
        <v>12</v>
      </c>
      <c r="L728">
        <v>1</v>
      </c>
      <c r="M728" t="s">
        <v>91</v>
      </c>
      <c r="N728">
        <v>327</v>
      </c>
      <c r="O728">
        <v>346</v>
      </c>
      <c r="P728">
        <v>165</v>
      </c>
      <c r="Q728" t="s">
        <v>898</v>
      </c>
      <c r="R728">
        <v>3</v>
      </c>
      <c r="S728" s="7" t="str">
        <f>HYPERLINK("http://exon.niaid.nih.gov/transcriptome/C_felis/S1/links/Sigp/CF-CONTIG_78-SigP.txt","Cyt")</f>
        <v>Cyt</v>
      </c>
      <c r="U728">
        <v>1</v>
      </c>
      <c r="V728" s="4">
        <f>HYPERLINK("http://exon.niaid.nih.gov/transcriptome/C_felis/S1/links/cluster/cf-5-36-asb30-50-Id-CLU16.txt", 16)</f>
        <v>16</v>
      </c>
      <c r="W728">
        <f>HYPERLINK("http://exon.niaid.nih.gov/transcriptome/C_felis/S1/links/cluster/cf-5-36-asb30-50-Id-CLTL16.txt", 3)</f>
        <v>3</v>
      </c>
      <c r="X728" s="4">
        <f>HYPERLINK("http://exon.niaid.nih.gov/transcriptome/C_felis/S1/links/cluster/cf-5-36-asb35-50-Id-CLU14.txt", 14)</f>
        <v>14</v>
      </c>
      <c r="Y728">
        <f>HYPERLINK("http://exon.niaid.nih.gov/transcriptome/C_felis/S1/links/cluster/cf-5-36-asb35-50-Id-CLTL14.txt", 3)</f>
        <v>3</v>
      </c>
      <c r="Z728" s="4">
        <f>HYPERLINK("http://exon.niaid.nih.gov/transcriptome/C_felis/S1/links/cluster/cf-5-36-asb40-50-Id-CLU14.txt", 14)</f>
        <v>14</v>
      </c>
      <c r="AA728">
        <f>HYPERLINK("http://exon.niaid.nih.gov/transcriptome/C_felis/S1/links/cluster/cf-5-36-asb40-50-Id-CLTL14.txt", 3)</f>
        <v>3</v>
      </c>
      <c r="AB728" s="4" t="str">
        <f>HYPERLINK("http://exon.niaid.nih.gov/transcriptome/C_felis/S1/links/XC-ASB/cf-contig_78-XC-ASB.txt","XC-contig_71")</f>
        <v>XC-contig_71</v>
      </c>
      <c r="AC728">
        <v>3.5999999999999997E-2</v>
      </c>
      <c r="AD728" s="10" t="s">
        <v>4600</v>
      </c>
      <c r="AE728" t="s">
        <v>4601</v>
      </c>
      <c r="AI728" s="4" t="str">
        <f>HYPERLINK("http://exon.niaid.nih.gov/transcriptome/C_felis/S1/links/NR/cf-contig_78-NR.txt","adrenomodulin-like protein")</f>
        <v>adrenomodulin-like protein</v>
      </c>
      <c r="AJ728" t="str">
        <f>HYPERLINK("http://www.ncbi.nlm.nih.gov/sutils/blink.cgi?pid=149287098","4.3")</f>
        <v>4.3</v>
      </c>
      <c r="AK728" t="str">
        <f>HYPERLINK("http://www.ncbi.nlm.nih.gov/protein/149287098","gi|149287098")</f>
        <v>gi|149287098</v>
      </c>
      <c r="AL728">
        <v>35</v>
      </c>
      <c r="AM728">
        <v>40</v>
      </c>
      <c r="AN728">
        <v>101</v>
      </c>
      <c r="AO728">
        <v>39</v>
      </c>
      <c r="AP728">
        <v>41</v>
      </c>
      <c r="AQ728">
        <v>25</v>
      </c>
      <c r="AR728">
        <v>3</v>
      </c>
      <c r="AS728">
        <v>38</v>
      </c>
      <c r="AT728">
        <v>54</v>
      </c>
      <c r="AU728">
        <v>1</v>
      </c>
      <c r="AV728">
        <v>3</v>
      </c>
      <c r="AW728" t="s">
        <v>12</v>
      </c>
      <c r="AY728" t="s">
        <v>1676</v>
      </c>
      <c r="AZ728" t="s">
        <v>1949</v>
      </c>
      <c r="BA728" s="4" t="str">
        <f>HYPERLINK("http://exon.niaid.nih.gov/transcriptome/C_felis/S1/links/SWISSP/cf-contig_78-SWISSP.txt","Protein ycf2")</f>
        <v>Protein ycf2</v>
      </c>
      <c r="BB728" t="str">
        <f>HYPERLINK("http://www.uniprot.org/uniprot/P61243","2.7")</f>
        <v>2.7</v>
      </c>
      <c r="BC728" t="s">
        <v>1943</v>
      </c>
      <c r="BD728">
        <v>30.8</v>
      </c>
      <c r="BE728">
        <v>23</v>
      </c>
      <c r="BF728">
        <v>2259</v>
      </c>
      <c r="BG728">
        <v>50</v>
      </c>
      <c r="BH728">
        <v>1</v>
      </c>
      <c r="BI728">
        <v>12</v>
      </c>
      <c r="BJ728">
        <v>0</v>
      </c>
      <c r="BK728">
        <v>1235</v>
      </c>
      <c r="BL728">
        <v>131</v>
      </c>
      <c r="BM728">
        <v>1</v>
      </c>
      <c r="BN728">
        <v>2</v>
      </c>
      <c r="BO728" t="s">
        <v>12</v>
      </c>
      <c r="BP728">
        <v>4.3479999999999999</v>
      </c>
      <c r="BQ728" t="s">
        <v>1676</v>
      </c>
      <c r="BR728" t="s">
        <v>1944</v>
      </c>
      <c r="BS728" s="4" t="str">
        <f>HYPERLINK("http://exon.niaid.nih.gov/transcriptome/C_felis/S1/links/CDD/cf-contig_78-CDD.txt","7TM_GPCR_Srz")</f>
        <v>7TM_GPCR_Srz</v>
      </c>
      <c r="BT728" t="str">
        <f>HYPERLINK("http://www.ncbi.nlm.nih.gov/Structure/cdd/cddsrv.cgi?uid=pfam10325&amp;version=v4.0","0.020")</f>
        <v>0.020</v>
      </c>
      <c r="BU728" t="s">
        <v>1950</v>
      </c>
      <c r="BV728" s="4" t="s">
        <v>42</v>
      </c>
      <c r="BW728" t="s">
        <v>42</v>
      </c>
      <c r="BX728" t="s">
        <v>42</v>
      </c>
      <c r="BY728" t="s">
        <v>42</v>
      </c>
      <c r="BZ728" t="s">
        <v>42</v>
      </c>
      <c r="CA728" t="s">
        <v>42</v>
      </c>
      <c r="CB728" t="s">
        <v>42</v>
      </c>
      <c r="CC728" t="s">
        <v>42</v>
      </c>
      <c r="CD728" t="s">
        <v>42</v>
      </c>
      <c r="CE728" t="s">
        <v>42</v>
      </c>
      <c r="CF728" t="s">
        <v>42</v>
      </c>
      <c r="CG728" t="s">
        <v>42</v>
      </c>
      <c r="CH728" t="s">
        <v>42</v>
      </c>
      <c r="CI728" t="s">
        <v>42</v>
      </c>
      <c r="CJ728" t="s">
        <v>42</v>
      </c>
      <c r="CK728" t="s">
        <v>42</v>
      </c>
      <c r="CL728" t="s">
        <v>42</v>
      </c>
      <c r="CM728" t="s">
        <v>42</v>
      </c>
      <c r="CN728" t="s">
        <v>42</v>
      </c>
      <c r="CO728" t="s">
        <v>42</v>
      </c>
      <c r="CP728" t="s">
        <v>42</v>
      </c>
      <c r="CQ728" t="s">
        <v>42</v>
      </c>
      <c r="CR728" t="s">
        <v>42</v>
      </c>
      <c r="CS728" s="4" t="str">
        <f>HYPERLINK("http://exon.niaid.nih.gov/transcriptome/C_felis/S1/links/KOG/cf-contig_78-KOG.txt","ZYG-1-like serine/threonine protein kinases")</f>
        <v>ZYG-1-like serine/threonine protein kinases</v>
      </c>
      <c r="CT728" t="str">
        <f>HYPERLINK("http://www.ncbi.nlm.nih.gov/COG/grace/shokog.cgi?KOG3665","0.33")</f>
        <v>0.33</v>
      </c>
      <c r="CU728" t="s">
        <v>1721</v>
      </c>
      <c r="CV728" s="4" t="str">
        <f>HYPERLINK("http://exon.niaid.nih.gov/transcriptome/C_felis/S1/links/PFAM/cf-contig_78-PFAM.txt","7TM_GPCR_Srz")</f>
        <v>7TM_GPCR_Srz</v>
      </c>
      <c r="CW728" t="str">
        <f>HYPERLINK("http://pfam.sanger.ac.uk/family?acc=PF10325","0.004")</f>
        <v>0.004</v>
      </c>
      <c r="CX728" s="4" t="str">
        <f>HYPERLINK("http://exon.niaid.nih.gov/transcriptome/C_felis/S1/links/SMART/cf-contig_78-SMART.txt","CALCITONIN")</f>
        <v>CALCITONIN</v>
      </c>
      <c r="CY728" t="str">
        <f>HYPERLINK("http://smart.embl-heidelberg.de/smart/do_annotation.pl?DOMAIN=CALCITONIN&amp;BLAST=DUMMY","0.036")</f>
        <v>0.036</v>
      </c>
      <c r="CZ728" s="4" t="s">
        <v>42</v>
      </c>
      <c r="DA728" t="s">
        <v>42</v>
      </c>
      <c r="DB728" t="s">
        <v>42</v>
      </c>
      <c r="DC728" t="s">
        <v>42</v>
      </c>
      <c r="DD728" t="s">
        <v>42</v>
      </c>
      <c r="DE728" t="s">
        <v>42</v>
      </c>
      <c r="DF728" t="s">
        <v>42</v>
      </c>
      <c r="DG728" t="s">
        <v>42</v>
      </c>
      <c r="DH728" s="4" t="s">
        <v>42</v>
      </c>
      <c r="DI728" t="s">
        <v>42</v>
      </c>
      <c r="DJ728" s="4" t="s">
        <v>42</v>
      </c>
      <c r="DK728" t="s">
        <v>42</v>
      </c>
      <c r="DL728" s="4">
        <f>HYPERLINK("http://exon.niaid.nih.gov/transcriptome/C_felis/S1/links/cluster/cf-5-36-asb30-50-Id-CLU16.txt", 16)</f>
        <v>16</v>
      </c>
      <c r="DM728">
        <f>HYPERLINK("http://exon.niaid.nih.gov/transcriptome/C_felis/S1/links/cluster/cf-5-36-asb30-50-Id-CLTL16.txt", 3)</f>
        <v>3</v>
      </c>
      <c r="DN728" s="4">
        <f>HYPERLINK("http://exon.niaid.nih.gov/transcriptome/C_felis/S1/links/cluster/cf-5-36-asb35-50-Id-CLU14.txt", 14)</f>
        <v>14</v>
      </c>
      <c r="DO728">
        <f>HYPERLINK("http://exon.niaid.nih.gov/transcriptome/C_felis/S1/links/cluster/cf-5-36-asb35-50-Id-CLTL14.txt", 3)</f>
        <v>3</v>
      </c>
      <c r="DP728" s="4">
        <f>HYPERLINK("http://exon.niaid.nih.gov/transcriptome/C_felis/S1/links/cluster/cf-5-36-asb40-50-Id-CLU14.txt", 14)</f>
        <v>14</v>
      </c>
      <c r="DQ728">
        <f>HYPERLINK("http://exon.niaid.nih.gov/transcriptome/C_felis/S1/links/cluster/cf-5-36-asb40-50-Id-CLTL14.txt", 3)</f>
        <v>3</v>
      </c>
      <c r="DR728" s="4">
        <f>HYPERLINK("http://exon.niaid.nih.gov/transcriptome/C_felis/S1/links/cluster/cf-5-36-asb45-50-Id-CLU12.txt", 12)</f>
        <v>12</v>
      </c>
      <c r="DS728">
        <f>HYPERLINK("http://exon.niaid.nih.gov/transcriptome/C_felis/S1/links/cluster/cf-5-36-asb45-50-Id-CLTL12.txt", 3)</f>
        <v>3</v>
      </c>
      <c r="DT728" s="4">
        <f>HYPERLINK("http://exon.niaid.nih.gov/transcriptome/C_felis/S1/links/cluster/cf-5-36-asb50-50-Id-CLU20.txt", 20)</f>
        <v>20</v>
      </c>
      <c r="DU728">
        <f>HYPERLINK("http://exon.niaid.nih.gov/transcriptome/C_felis/S1/links/cluster/cf-5-36-asb50-50-Id-CLTL20.txt", 2)</f>
        <v>2</v>
      </c>
      <c r="DV728" s="4">
        <v>90</v>
      </c>
      <c r="DW728">
        <v>1</v>
      </c>
      <c r="DX728" s="4">
        <v>89</v>
      </c>
      <c r="DY728">
        <v>1</v>
      </c>
      <c r="DZ728" s="4">
        <v>87</v>
      </c>
      <c r="EA728">
        <v>1</v>
      </c>
      <c r="EB728" s="4">
        <v>87</v>
      </c>
      <c r="EC728">
        <v>1</v>
      </c>
      <c r="ED728" s="4">
        <v>88</v>
      </c>
      <c r="EE728">
        <v>1</v>
      </c>
      <c r="EF728" s="4">
        <v>85</v>
      </c>
      <c r="EG728">
        <v>1</v>
      </c>
      <c r="EH728" s="4">
        <v>80</v>
      </c>
      <c r="EI728">
        <v>1</v>
      </c>
      <c r="EJ728" s="4">
        <v>78</v>
      </c>
      <c r="EK728">
        <v>1</v>
      </c>
    </row>
    <row r="729" spans="1:141" x14ac:dyDescent="0.2">
      <c r="A729" t="str">
        <f>HYPERLINK("http://exon.niaid.nih.gov/transcriptome/C_felis/S1/links/cf/cf-contig_227.txt","cf-contig_227")</f>
        <v>cf-contig_227</v>
      </c>
      <c r="B729">
        <v>1</v>
      </c>
      <c r="C729" s="10" t="s">
        <v>4600</v>
      </c>
      <c r="D729">
        <v>1</v>
      </c>
      <c r="E729" t="str">
        <f>HYPERLINK("http://exon.niaid.nih.gov/transcriptome/C_felis/S1/links/cf/cf-5-36-asb-227.txt","Contig-227")</f>
        <v>Contig-227</v>
      </c>
      <c r="F729" t="str">
        <f>HYPERLINK("http://exon.niaid.nih.gov/transcriptome/C_felis/S1/links/cf/cf-5-36-227-CLU.txt","Contig227")</f>
        <v>Contig227</v>
      </c>
      <c r="G729" t="str">
        <f>HYPERLINK("http://exon.niaid.nih.gov/transcriptome/C_felis/S1/links/cf/cf-5-36-227-qual.txt","64.5")</f>
        <v>64.5</v>
      </c>
      <c r="H729" t="s">
        <v>11</v>
      </c>
      <c r="I729">
        <v>56.1</v>
      </c>
      <c r="J729">
        <v>323</v>
      </c>
      <c r="K729" t="s">
        <v>12</v>
      </c>
      <c r="L729">
        <v>1</v>
      </c>
      <c r="M729" t="s">
        <v>240</v>
      </c>
      <c r="N729">
        <v>323</v>
      </c>
      <c r="O729">
        <v>342</v>
      </c>
      <c r="P729">
        <v>180</v>
      </c>
      <c r="Q729" t="s">
        <v>1047</v>
      </c>
      <c r="R729">
        <v>2</v>
      </c>
      <c r="S729" s="7" t="s">
        <v>4585</v>
      </c>
      <c r="U729">
        <v>1</v>
      </c>
      <c r="V729" s="4">
        <f>HYPERLINK("http://exon.niaid.nih.gov/transcriptome/C_felis/S1/links/cluster/cf-5-36-asb30-50-Id-CLU55.txt", 55)</f>
        <v>55</v>
      </c>
      <c r="W729">
        <f>HYPERLINK("http://exon.niaid.nih.gov/transcriptome/C_felis/S1/links/cluster/cf-5-36-asb30-50-Id-CLTL55.txt", 2)</f>
        <v>2</v>
      </c>
      <c r="X729" s="4">
        <f>HYPERLINK("http://exon.niaid.nih.gov/transcriptome/C_felis/S1/links/cluster/cf-5-36-asb35-50-Id-CLU48.txt", 48)</f>
        <v>48</v>
      </c>
      <c r="Y729">
        <f>HYPERLINK("http://exon.niaid.nih.gov/transcriptome/C_felis/S1/links/cluster/cf-5-36-asb35-50-Id-CLTL48.txt", 2)</f>
        <v>2</v>
      </c>
      <c r="Z729" s="4">
        <f>HYPERLINK("http://exon.niaid.nih.gov/transcriptome/C_felis/S1/links/cluster/cf-5-36-asb40-50-Id-CLU45.txt", 45)</f>
        <v>45</v>
      </c>
      <c r="AA729">
        <f>HYPERLINK("http://exon.niaid.nih.gov/transcriptome/C_felis/S1/links/cluster/cf-5-36-asb40-50-Id-CLTL45.txt", 2)</f>
        <v>2</v>
      </c>
      <c r="AB729" s="4" t="str">
        <f>HYPERLINK("http://exon.niaid.nih.gov/transcriptome/C_felis/S1/links/XC-ASB/cf-contig_227-XC-ASB.txt","XC-contig_155")</f>
        <v>XC-contig_155</v>
      </c>
      <c r="AC729">
        <v>3</v>
      </c>
      <c r="AD729" s="10" t="s">
        <v>4600</v>
      </c>
      <c r="AE729" t="s">
        <v>4601</v>
      </c>
      <c r="AI729" s="4" t="str">
        <f>HYPERLINK("http://exon.niaid.nih.gov/transcriptome/C_felis/S1/links/NR/cf-contig_227-NR.txt","protein FAM102B-like, partial")</f>
        <v>protein FAM102B-like, partial</v>
      </c>
      <c r="AJ729" t="str">
        <f>HYPERLINK("http://www.ncbi.nlm.nih.gov/sutils/blink.cgi?pid=345308652","27")</f>
        <v>27</v>
      </c>
      <c r="AK729" t="str">
        <f>HYPERLINK("http://www.ncbi.nlm.nih.gov/protein/345308652","gi|345308652")</f>
        <v>gi|345308652</v>
      </c>
      <c r="AL729">
        <v>32.299999999999997</v>
      </c>
      <c r="AM729">
        <v>31</v>
      </c>
      <c r="AN729">
        <v>290</v>
      </c>
      <c r="AO729">
        <v>46</v>
      </c>
      <c r="AP729">
        <v>11</v>
      </c>
      <c r="AQ729">
        <v>17</v>
      </c>
      <c r="AR729">
        <v>0</v>
      </c>
      <c r="AS729">
        <v>24</v>
      </c>
      <c r="AT729">
        <v>5</v>
      </c>
      <c r="AU729">
        <v>1</v>
      </c>
      <c r="AV729">
        <v>-3</v>
      </c>
      <c r="AW729" t="s">
        <v>12</v>
      </c>
      <c r="AY729" t="s">
        <v>1666</v>
      </c>
      <c r="AZ729" t="s">
        <v>2521</v>
      </c>
      <c r="BA729" s="4" t="str">
        <f>HYPERLINK("http://exon.niaid.nih.gov/transcriptome/C_felis/S1/links/SWISSP/cf-contig_227-SWISSP.txt","Uncharacterized protein F26C11.3")</f>
        <v>Uncharacterized protein F26C11.3</v>
      </c>
      <c r="BB729" t="str">
        <f>HYPERLINK("http://www.uniprot.org/uniprot/Q09550","4.7")</f>
        <v>4.7</v>
      </c>
      <c r="BC729" t="s">
        <v>2522</v>
      </c>
      <c r="BD729">
        <v>30</v>
      </c>
      <c r="BE729">
        <v>50</v>
      </c>
      <c r="BF729">
        <v>1317</v>
      </c>
      <c r="BG729">
        <v>32</v>
      </c>
      <c r="BH729">
        <v>4</v>
      </c>
      <c r="BI729">
        <v>36</v>
      </c>
      <c r="BJ729">
        <v>5</v>
      </c>
      <c r="BK729">
        <v>896</v>
      </c>
      <c r="BL729">
        <v>2</v>
      </c>
      <c r="BM729">
        <v>1</v>
      </c>
      <c r="BN729">
        <v>-3</v>
      </c>
      <c r="BO729" t="s">
        <v>12</v>
      </c>
      <c r="BP729">
        <v>2</v>
      </c>
      <c r="BQ729" t="s">
        <v>1666</v>
      </c>
      <c r="BR729" t="s">
        <v>1735</v>
      </c>
      <c r="BS729" s="4" t="str">
        <f>HYPERLINK("http://exon.niaid.nih.gov/transcriptome/C_felis/S1/links/CDD/cf-contig_227-CDD.txt","SRPBCC_7")</f>
        <v>SRPBCC_7</v>
      </c>
      <c r="BT729" t="str">
        <f>HYPERLINK("http://www.ncbi.nlm.nih.gov/Structure/cdd/cddsrv.cgi?uid=cd07825&amp;version=v4.0","0.56")</f>
        <v>0.56</v>
      </c>
      <c r="BU729" t="s">
        <v>2523</v>
      </c>
      <c r="BV729" s="4" t="s">
        <v>42</v>
      </c>
      <c r="BW729" t="s">
        <v>42</v>
      </c>
      <c r="BX729" t="s">
        <v>42</v>
      </c>
      <c r="BY729" t="s">
        <v>42</v>
      </c>
      <c r="BZ729" t="s">
        <v>42</v>
      </c>
      <c r="CA729" t="s">
        <v>42</v>
      </c>
      <c r="CB729" t="s">
        <v>42</v>
      </c>
      <c r="CC729" t="s">
        <v>42</v>
      </c>
      <c r="CD729" t="s">
        <v>42</v>
      </c>
      <c r="CE729" t="s">
        <v>42</v>
      </c>
      <c r="CF729" t="s">
        <v>42</v>
      </c>
      <c r="CG729" t="s">
        <v>42</v>
      </c>
      <c r="CH729" t="s">
        <v>42</v>
      </c>
      <c r="CI729" t="s">
        <v>42</v>
      </c>
      <c r="CJ729" t="s">
        <v>42</v>
      </c>
      <c r="CK729" t="s">
        <v>42</v>
      </c>
      <c r="CL729" t="s">
        <v>42</v>
      </c>
      <c r="CM729" t="s">
        <v>42</v>
      </c>
      <c r="CN729" t="s">
        <v>42</v>
      </c>
      <c r="CO729" t="s">
        <v>42</v>
      </c>
      <c r="CP729" t="s">
        <v>42</v>
      </c>
      <c r="CQ729" t="s">
        <v>42</v>
      </c>
      <c r="CR729" t="s">
        <v>42</v>
      </c>
      <c r="CS729" s="4" t="str">
        <f>HYPERLINK("http://exon.niaid.nih.gov/transcriptome/C_felis/S1/links/KOG/cf-contig_227-KOG.txt","Predicted guanosine polyphosphate pyrophosphohydrolase/synthase")</f>
        <v>Predicted guanosine polyphosphate pyrophosphohydrolase/synthase</v>
      </c>
      <c r="CT729" t="str">
        <f>HYPERLINK("http://www.ncbi.nlm.nih.gov/COG/grace/shokog.cgi?KOG1157","0.55")</f>
        <v>0.55</v>
      </c>
      <c r="CU729" t="s">
        <v>1780</v>
      </c>
      <c r="CV729" s="4" t="str">
        <f>HYPERLINK("http://exon.niaid.nih.gov/transcriptome/C_felis/S1/links/PFAM/cf-contig_227-PFAM.txt","DAGAT")</f>
        <v>DAGAT</v>
      </c>
      <c r="CW729" t="str">
        <f>HYPERLINK("http://pfam.sanger.ac.uk/family?acc=PF03982","0.32")</f>
        <v>0.32</v>
      </c>
      <c r="CX729" s="4" t="str">
        <f>HYPERLINK("http://exon.niaid.nih.gov/transcriptome/C_felis/S1/links/SMART/cf-contig_227-SMART.txt","MUTSd")</f>
        <v>MUTSd</v>
      </c>
      <c r="CY729" t="str">
        <f>HYPERLINK("http://smart.embl-heidelberg.de/smart/do_annotation.pl?DOMAIN=MUTSd&amp;BLAST=DUMMY","0.14")</f>
        <v>0.14</v>
      </c>
      <c r="CZ729" s="4" t="s">
        <v>42</v>
      </c>
      <c r="DA729" t="s">
        <v>42</v>
      </c>
      <c r="DB729" t="s">
        <v>42</v>
      </c>
      <c r="DC729" t="s">
        <v>42</v>
      </c>
      <c r="DD729" t="s">
        <v>42</v>
      </c>
      <c r="DE729" t="s">
        <v>42</v>
      </c>
      <c r="DF729" t="s">
        <v>42</v>
      </c>
      <c r="DG729" t="s">
        <v>42</v>
      </c>
      <c r="DH729" s="4" t="s">
        <v>42</v>
      </c>
      <c r="DI729" t="s">
        <v>42</v>
      </c>
      <c r="DJ729" s="4" t="s">
        <v>42</v>
      </c>
      <c r="DK729" t="s">
        <v>42</v>
      </c>
      <c r="DL729" s="4">
        <f>HYPERLINK("http://exon.niaid.nih.gov/transcriptome/C_felis/S1/links/cluster/cf-5-36-asb30-50-Id-CLU55.txt", 55)</f>
        <v>55</v>
      </c>
      <c r="DM729">
        <f>HYPERLINK("http://exon.niaid.nih.gov/transcriptome/C_felis/S1/links/cluster/cf-5-36-asb30-50-Id-CLTL55.txt", 2)</f>
        <v>2</v>
      </c>
      <c r="DN729" s="4">
        <f>HYPERLINK("http://exon.niaid.nih.gov/transcriptome/C_felis/S1/links/cluster/cf-5-36-asb35-50-Id-CLU48.txt", 48)</f>
        <v>48</v>
      </c>
      <c r="DO729">
        <f>HYPERLINK("http://exon.niaid.nih.gov/transcriptome/C_felis/S1/links/cluster/cf-5-36-asb35-50-Id-CLTL48.txt", 2)</f>
        <v>2</v>
      </c>
      <c r="DP729" s="4">
        <f>HYPERLINK("http://exon.niaid.nih.gov/transcriptome/C_felis/S1/links/cluster/cf-5-36-asb40-50-Id-CLU45.txt", 45)</f>
        <v>45</v>
      </c>
      <c r="DQ729">
        <f>HYPERLINK("http://exon.niaid.nih.gov/transcriptome/C_felis/S1/links/cluster/cf-5-36-asb40-50-Id-CLTL45.txt", 2)</f>
        <v>2</v>
      </c>
      <c r="DR729" s="4">
        <f>HYPERLINK("http://exon.niaid.nih.gov/transcriptome/C_felis/S1/links/cluster/cf-5-36-asb45-50-Id-CLU40.txt", 40)</f>
        <v>40</v>
      </c>
      <c r="DS729">
        <f>HYPERLINK("http://exon.niaid.nih.gov/transcriptome/C_felis/S1/links/cluster/cf-5-36-asb45-50-Id-CLTL40.txt", 2)</f>
        <v>2</v>
      </c>
      <c r="DT729" s="4">
        <v>191</v>
      </c>
      <c r="DU729">
        <v>1</v>
      </c>
      <c r="DV729" s="4">
        <v>203</v>
      </c>
      <c r="DW729">
        <v>1</v>
      </c>
      <c r="DX729" s="4">
        <v>205</v>
      </c>
      <c r="DY729">
        <v>1</v>
      </c>
      <c r="DZ729" s="4">
        <v>209</v>
      </c>
      <c r="EA729">
        <v>1</v>
      </c>
      <c r="EB729" s="4">
        <v>214</v>
      </c>
      <c r="EC729">
        <v>1</v>
      </c>
      <c r="ED729" s="4">
        <v>217</v>
      </c>
      <c r="EE729">
        <v>1</v>
      </c>
      <c r="EF729" s="4">
        <v>220</v>
      </c>
      <c r="EG729">
        <v>1</v>
      </c>
      <c r="EH729" s="4">
        <v>222</v>
      </c>
      <c r="EI729">
        <v>1</v>
      </c>
      <c r="EJ729" s="4">
        <v>227</v>
      </c>
      <c r="EK729">
        <v>1</v>
      </c>
    </row>
    <row r="730" spans="1:141" x14ac:dyDescent="0.2">
      <c r="A730" t="str">
        <f>HYPERLINK("http://exon.niaid.nih.gov/transcriptome/C_felis/S1/links/cf/cf-contig_8.txt","cf-contig_8")</f>
        <v>cf-contig_8</v>
      </c>
      <c r="B730">
        <v>37</v>
      </c>
      <c r="C730" s="10" t="s">
        <v>4600</v>
      </c>
      <c r="D730">
        <v>37</v>
      </c>
      <c r="E730" t="str">
        <f>HYPERLINK("http://exon.niaid.nih.gov/transcriptome/C_felis/S1/links/cf/cf-5-36-asb-8.txt","Contig-8")</f>
        <v>Contig-8</v>
      </c>
      <c r="F730" t="str">
        <f>HYPERLINK("http://exon.niaid.nih.gov/transcriptome/C_felis/S1/links/cf/cf-5-36-8-CLU.txt","Contig8")</f>
        <v>Contig8</v>
      </c>
      <c r="G730" t="str">
        <f>HYPERLINK("http://exon.niaid.nih.gov/transcriptome/C_felis/S1/links/cf/cf-5-36-8-qual.txt","88.8")</f>
        <v>88.8</v>
      </c>
      <c r="H730" t="s">
        <v>11</v>
      </c>
      <c r="I730">
        <v>68.8</v>
      </c>
      <c r="J730">
        <v>210</v>
      </c>
      <c r="K730" t="s">
        <v>12</v>
      </c>
      <c r="L730">
        <v>37</v>
      </c>
      <c r="M730" t="s">
        <v>20</v>
      </c>
      <c r="N730">
        <v>212</v>
      </c>
      <c r="O730">
        <v>231</v>
      </c>
      <c r="P730">
        <v>135</v>
      </c>
      <c r="Q730" t="s">
        <v>831</v>
      </c>
      <c r="R730">
        <v>2</v>
      </c>
      <c r="S730" s="7" t="s">
        <v>4585</v>
      </c>
      <c r="U730">
        <v>37</v>
      </c>
      <c r="V730" s="4">
        <f>HYPERLINK("http://exon.niaid.nih.gov/transcriptome/C_felis/S1/links/cluster/cf-5-36-asb30-50-Id-CLU2.txt", 2)</f>
        <v>2</v>
      </c>
      <c r="W730">
        <f>HYPERLINK("http://exon.niaid.nih.gov/transcriptome/C_felis/S1/links/cluster/cf-5-36-asb30-50-Id-CLTL2.txt", 11)</f>
        <v>11</v>
      </c>
      <c r="X730" s="4">
        <f>HYPERLINK("http://exon.niaid.nih.gov/transcriptome/C_felis/S1/links/cluster/cf-5-36-asb35-50-Id-CLU1.txt", 1)</f>
        <v>1</v>
      </c>
      <c r="Y730">
        <f>HYPERLINK("http://exon.niaid.nih.gov/transcriptome/C_felis/S1/links/cluster/cf-5-36-asb35-50-Id-CLTL1.txt", 11)</f>
        <v>11</v>
      </c>
      <c r="Z730" s="4">
        <f>HYPERLINK("http://exon.niaid.nih.gov/transcriptome/C_felis/S1/links/cluster/cf-5-36-asb40-50-Id-CLU1.txt", 1)</f>
        <v>1</v>
      </c>
      <c r="AA730">
        <f>HYPERLINK("http://exon.niaid.nih.gov/transcriptome/C_felis/S1/links/cluster/cf-5-36-asb40-50-Id-CLTL1.txt", 11)</f>
        <v>11</v>
      </c>
      <c r="AB730" s="4" t="str">
        <f>HYPERLINK("http://exon.niaid.nih.gov/transcriptome/C_felis/S1/links/XC-ASB/cf-contig_8-XC-ASB.txt","XC-contig_77")</f>
        <v>XC-contig_77</v>
      </c>
      <c r="AC730">
        <v>2.9000000000000001E-2</v>
      </c>
      <c r="AD730" s="10" t="s">
        <v>4600</v>
      </c>
      <c r="AE730" t="s">
        <v>4601</v>
      </c>
      <c r="AI730" s="4" t="str">
        <f>HYPERLINK("http://exon.niaid.nih.gov/transcriptome/C_felis/S1/links/NR/cf-contig_8-NR.txt","solute carrier family 22, member 23 isoform 2")</f>
        <v>solute carrier family 22, member 23 isoform 2</v>
      </c>
      <c r="AJ730" t="str">
        <f>HYPERLINK("http://www.ncbi.nlm.nih.gov/sutils/blink.cgi?pid=291409419","7.3")</f>
        <v>7.3</v>
      </c>
      <c r="AK730" t="str">
        <f>HYPERLINK("http://www.ncbi.nlm.nih.gov/protein/291409419","gi|291409419")</f>
        <v>gi|291409419</v>
      </c>
      <c r="AL730">
        <v>34.299999999999997</v>
      </c>
      <c r="AM730">
        <v>30</v>
      </c>
      <c r="AN730">
        <v>685</v>
      </c>
      <c r="AO730">
        <v>48</v>
      </c>
      <c r="AP730">
        <v>5</v>
      </c>
      <c r="AQ730">
        <v>16</v>
      </c>
      <c r="AR730">
        <v>0</v>
      </c>
      <c r="AS730">
        <v>25</v>
      </c>
      <c r="AT730">
        <v>4</v>
      </c>
      <c r="AU730">
        <v>1</v>
      </c>
      <c r="AV730">
        <v>1</v>
      </c>
      <c r="AW730" t="s">
        <v>12</v>
      </c>
      <c r="AY730" t="s">
        <v>1676</v>
      </c>
      <c r="AZ730" t="s">
        <v>1703</v>
      </c>
      <c r="BA730" s="4" t="str">
        <f>HYPERLINK("http://exon.niaid.nih.gov/transcriptome/C_felis/S1/links/SWISSP/cf-contig_8-SWISSP.txt","Formin-like protein 2")</f>
        <v>Formin-like protein 2</v>
      </c>
      <c r="BB730" t="str">
        <f>HYPERLINK("http://www.uniprot.org/uniprot/A2APV2","0.54")</f>
        <v>0.54</v>
      </c>
      <c r="BC730" t="s">
        <v>1704</v>
      </c>
      <c r="BD730">
        <v>29.3</v>
      </c>
      <c r="BE730">
        <v>63</v>
      </c>
      <c r="BF730">
        <v>1086</v>
      </c>
      <c r="BG730">
        <v>56</v>
      </c>
      <c r="BH730">
        <v>6</v>
      </c>
      <c r="BI730">
        <v>11</v>
      </c>
      <c r="BJ730">
        <v>0</v>
      </c>
      <c r="BK730">
        <v>523</v>
      </c>
      <c r="BL730">
        <v>3</v>
      </c>
      <c r="BM730">
        <v>2</v>
      </c>
      <c r="BN730">
        <v>-2</v>
      </c>
      <c r="BO730" t="s">
        <v>12</v>
      </c>
      <c r="BQ730" t="s">
        <v>1666</v>
      </c>
      <c r="BR730" t="s">
        <v>1705</v>
      </c>
      <c r="BS730" s="4" t="str">
        <f>HYPERLINK("http://exon.niaid.nih.gov/transcriptome/C_felis/S1/links/CDD/cf-contig_8-CDD.txt","COG1284")</f>
        <v>COG1284</v>
      </c>
      <c r="BT730" t="str">
        <f>HYPERLINK("http://www.ncbi.nlm.nih.gov/Structure/cdd/cddsrv.cgi?uid=COG1284&amp;version=v4.0","0.047")</f>
        <v>0.047</v>
      </c>
      <c r="BU730" t="s">
        <v>1706</v>
      </c>
      <c r="BV730" s="4" t="s">
        <v>42</v>
      </c>
      <c r="BW730" t="s">
        <v>42</v>
      </c>
      <c r="BX730" t="s">
        <v>42</v>
      </c>
      <c r="BY730" t="s">
        <v>42</v>
      </c>
      <c r="BZ730" t="s">
        <v>42</v>
      </c>
      <c r="CA730" t="s">
        <v>42</v>
      </c>
      <c r="CB730" t="s">
        <v>42</v>
      </c>
      <c r="CC730" t="s">
        <v>42</v>
      </c>
      <c r="CD730" t="s">
        <v>42</v>
      </c>
      <c r="CE730" t="s">
        <v>42</v>
      </c>
      <c r="CF730" t="s">
        <v>42</v>
      </c>
      <c r="CG730" t="s">
        <v>42</v>
      </c>
      <c r="CH730" t="s">
        <v>42</v>
      </c>
      <c r="CI730" t="s">
        <v>42</v>
      </c>
      <c r="CJ730" t="s">
        <v>42</v>
      </c>
      <c r="CK730" t="s">
        <v>42</v>
      </c>
      <c r="CL730" t="s">
        <v>42</v>
      </c>
      <c r="CM730" t="s">
        <v>42</v>
      </c>
      <c r="CN730" t="s">
        <v>42</v>
      </c>
      <c r="CO730" t="s">
        <v>42</v>
      </c>
      <c r="CP730" t="s">
        <v>42</v>
      </c>
      <c r="CQ730" t="s">
        <v>42</v>
      </c>
      <c r="CR730" t="s">
        <v>42</v>
      </c>
      <c r="CS730" s="4" t="str">
        <f>HYPERLINK("http://exon.niaid.nih.gov/transcriptome/C_felis/S1/links/KOG/cf-contig_8-KOG.txt","eIF-2alpha kinase GCN2")</f>
        <v>eIF-2alpha kinase GCN2</v>
      </c>
      <c r="CT730" t="str">
        <f>HYPERLINK("http://www.ncbi.nlm.nih.gov/COG/grace/shokog.cgi?KOG1035","0.21")</f>
        <v>0.21</v>
      </c>
      <c r="CU730" t="s">
        <v>1707</v>
      </c>
      <c r="CV730" s="4" t="str">
        <f>HYPERLINK("http://exon.niaid.nih.gov/transcriptome/C_felis/S1/links/PFAM/cf-contig_8-PFAM.txt","Pectate_lyase_3")</f>
        <v>Pectate_lyase_3</v>
      </c>
      <c r="CW730" t="str">
        <f>HYPERLINK("http://pfam.sanger.ac.uk/family?acc=PF12708","0.27")</f>
        <v>0.27</v>
      </c>
      <c r="CX730" s="4" t="str">
        <f>HYPERLINK("http://exon.niaid.nih.gov/transcriptome/C_felis/S1/links/SMART/cf-contig_8-SMART.txt","Spc7")</f>
        <v>Spc7</v>
      </c>
      <c r="CY730" t="str">
        <f>HYPERLINK("http://smart.embl-heidelberg.de/smart/do_annotation.pl?DOMAIN=Spc7&amp;BLAST=DUMMY","0.61")</f>
        <v>0.61</v>
      </c>
      <c r="CZ730" s="4" t="s">
        <v>42</v>
      </c>
      <c r="DA730" t="s">
        <v>42</v>
      </c>
      <c r="DB730" t="s">
        <v>42</v>
      </c>
      <c r="DC730" t="s">
        <v>42</v>
      </c>
      <c r="DD730" t="s">
        <v>42</v>
      </c>
      <c r="DE730" t="s">
        <v>42</v>
      </c>
      <c r="DF730" t="s">
        <v>42</v>
      </c>
      <c r="DG730" t="s">
        <v>42</v>
      </c>
      <c r="DH730" s="4" t="s">
        <v>42</v>
      </c>
      <c r="DI730" t="s">
        <v>42</v>
      </c>
      <c r="DJ730" s="4" t="s">
        <v>42</v>
      </c>
      <c r="DK730" t="s">
        <v>42</v>
      </c>
      <c r="DL730" s="4">
        <f>HYPERLINK("http://exon.niaid.nih.gov/transcriptome/C_felis/S1/links/cluster/cf-5-36-asb30-50-Id-CLU2.txt", 2)</f>
        <v>2</v>
      </c>
      <c r="DM730">
        <f>HYPERLINK("http://exon.niaid.nih.gov/transcriptome/C_felis/S1/links/cluster/cf-5-36-asb30-50-Id-CLTL2.txt", 11)</f>
        <v>11</v>
      </c>
      <c r="DN730" s="4">
        <f>HYPERLINK("http://exon.niaid.nih.gov/transcriptome/C_felis/S1/links/cluster/cf-5-36-asb35-50-Id-CLU1.txt", 1)</f>
        <v>1</v>
      </c>
      <c r="DO730">
        <f>HYPERLINK("http://exon.niaid.nih.gov/transcriptome/C_felis/S1/links/cluster/cf-5-36-asb35-50-Id-CLTL1.txt", 11)</f>
        <v>11</v>
      </c>
      <c r="DP730" s="4">
        <f>HYPERLINK("http://exon.niaid.nih.gov/transcriptome/C_felis/S1/links/cluster/cf-5-36-asb40-50-Id-CLU1.txt", 1)</f>
        <v>1</v>
      </c>
      <c r="DQ730">
        <f>HYPERLINK("http://exon.niaid.nih.gov/transcriptome/C_felis/S1/links/cluster/cf-5-36-asb40-50-Id-CLTL1.txt", 11)</f>
        <v>11</v>
      </c>
      <c r="DR730" s="4">
        <f>HYPERLINK("http://exon.niaid.nih.gov/transcriptome/C_felis/S1/links/cluster/cf-5-36-asb45-50-Id-CLU1.txt", 1)</f>
        <v>1</v>
      </c>
      <c r="DS730">
        <f>HYPERLINK("http://exon.niaid.nih.gov/transcriptome/C_felis/S1/links/cluster/cf-5-36-asb45-50-Id-CLTL1.txt", 9)</f>
        <v>9</v>
      </c>
      <c r="DT730" s="4">
        <v>61</v>
      </c>
      <c r="DU730">
        <v>1</v>
      </c>
      <c r="DV730" s="4">
        <v>56</v>
      </c>
      <c r="DW730">
        <v>1</v>
      </c>
      <c r="DX730" s="4">
        <v>48</v>
      </c>
      <c r="DY730">
        <v>1</v>
      </c>
      <c r="DZ730" s="4">
        <v>42</v>
      </c>
      <c r="EA730">
        <v>1</v>
      </c>
      <c r="EB730" s="4">
        <v>36</v>
      </c>
      <c r="EC730">
        <v>1</v>
      </c>
      <c r="ED730" s="4">
        <v>33</v>
      </c>
      <c r="EE730">
        <v>1</v>
      </c>
      <c r="EF730" s="4">
        <v>27</v>
      </c>
      <c r="EG730">
        <v>1</v>
      </c>
      <c r="EH730" s="4">
        <v>15</v>
      </c>
      <c r="EI730">
        <v>1</v>
      </c>
      <c r="EJ730" s="4">
        <v>8</v>
      </c>
      <c r="EK730">
        <v>1</v>
      </c>
    </row>
    <row r="731" spans="1:141" x14ac:dyDescent="0.2">
      <c r="A731" t="str">
        <f>HYPERLINK("http://exon.niaid.nih.gov/transcriptome/C_felis/S1/links/cf/cf-contig_32.txt","cf-contig_32")</f>
        <v>cf-contig_32</v>
      </c>
      <c r="B731">
        <v>3</v>
      </c>
      <c r="C731" s="10" t="s">
        <v>4600</v>
      </c>
      <c r="D731">
        <v>3</v>
      </c>
      <c r="E731" t="str">
        <f>HYPERLINK("http://exon.niaid.nih.gov/transcriptome/C_felis/S1/links/cf/cf-5-36-asb-32.txt","Contig-32")</f>
        <v>Contig-32</v>
      </c>
      <c r="F731" t="str">
        <f>HYPERLINK("http://exon.niaid.nih.gov/transcriptome/C_felis/S1/links/cf/cf-5-36-32-CLU.txt","Contig32")</f>
        <v>Contig32</v>
      </c>
      <c r="G731" t="str">
        <f>HYPERLINK("http://exon.niaid.nih.gov/transcriptome/C_felis/S1/links/cf/cf-5-36-32-qual.txt","72.6")</f>
        <v>72.6</v>
      </c>
      <c r="H731" t="s">
        <v>11</v>
      </c>
      <c r="I731">
        <v>67.2</v>
      </c>
      <c r="J731">
        <v>511</v>
      </c>
      <c r="K731" t="s">
        <v>12</v>
      </c>
      <c r="L731">
        <v>3</v>
      </c>
      <c r="M731" t="s">
        <v>45</v>
      </c>
      <c r="N731">
        <v>495</v>
      </c>
      <c r="O731">
        <v>530</v>
      </c>
      <c r="P731">
        <v>231</v>
      </c>
      <c r="Q731" t="s">
        <v>854</v>
      </c>
      <c r="R731">
        <v>1</v>
      </c>
      <c r="S731" s="7" t="str">
        <f>HYPERLINK("http://exon.niaid.nih.gov/transcriptome/C_felis/S1/links/Sigp/CF-CONTIG_32-SigP.txt","Cyt")</f>
        <v>Cyt</v>
      </c>
      <c r="U731">
        <v>3</v>
      </c>
      <c r="V731" s="4">
        <v>102</v>
      </c>
      <c r="W731">
        <v>1</v>
      </c>
      <c r="X731" s="4">
        <v>94</v>
      </c>
      <c r="Y731">
        <v>1</v>
      </c>
      <c r="Z731" s="4">
        <v>87</v>
      </c>
      <c r="AA731">
        <v>1</v>
      </c>
      <c r="AB731" s="4" t="str">
        <f>HYPERLINK("http://exon.niaid.nih.gov/transcriptome/C_felis/S1/links/XC-ASB/cf-contig_32-XC-ASB.txt","XC-contig_60")</f>
        <v>XC-contig_60</v>
      </c>
      <c r="AC731">
        <v>7.0999999999999994E-2</v>
      </c>
      <c r="AD731" s="10" t="s">
        <v>4600</v>
      </c>
      <c r="AE731" t="s">
        <v>4601</v>
      </c>
      <c r="AI731" s="4" t="str">
        <f>HYPERLINK("http://exon.niaid.nih.gov/transcriptome/C_felis/S1/links/NR/cf-contig_32-NR.txt","hypothetical protein OsJ_31365")</f>
        <v>hypothetical protein OsJ_31365</v>
      </c>
      <c r="AJ731" t="str">
        <f>HYPERLINK("http://www.ncbi.nlm.nih.gov/sutils/blink.cgi?pid=222612755","0.031")</f>
        <v>0.031</v>
      </c>
      <c r="AK731" t="str">
        <f>HYPERLINK("http://www.ncbi.nlm.nih.gov/protein/222612755","gi|222612755")</f>
        <v>gi|222612755</v>
      </c>
      <c r="AL731">
        <v>42.4</v>
      </c>
      <c r="AM731">
        <v>35</v>
      </c>
      <c r="AN731">
        <v>445</v>
      </c>
      <c r="AO731">
        <v>53</v>
      </c>
      <c r="AP731">
        <v>8</v>
      </c>
      <c r="AQ731">
        <v>18</v>
      </c>
      <c r="AR731">
        <v>0</v>
      </c>
      <c r="AS731">
        <v>23</v>
      </c>
      <c r="AT731">
        <v>3</v>
      </c>
      <c r="AU731">
        <v>1</v>
      </c>
      <c r="AV731">
        <v>-1</v>
      </c>
      <c r="AW731" t="s">
        <v>12</v>
      </c>
      <c r="AX731">
        <v>2.8570000000000002</v>
      </c>
      <c r="AY731" t="s">
        <v>1666</v>
      </c>
      <c r="AZ731" t="s">
        <v>1786</v>
      </c>
      <c r="BA731" s="4" t="str">
        <f>HYPERLINK("http://exon.niaid.nih.gov/transcriptome/C_felis/S1/links/SWISSP/cf-contig_32-SWISSP.txt","Pollen-specific leucine-rich repeat extensin-like protein 2")</f>
        <v>Pollen-specific leucine-rich repeat extensin-like protein 2</v>
      </c>
      <c r="BB731" t="str">
        <f>HYPERLINK("http://www.uniprot.org/uniprot/Q9XIB6","0.024")</f>
        <v>0.024</v>
      </c>
      <c r="BC731" t="s">
        <v>1787</v>
      </c>
      <c r="BD731">
        <v>38.5</v>
      </c>
      <c r="BE731">
        <v>117</v>
      </c>
      <c r="BF731">
        <v>847</v>
      </c>
      <c r="BG731">
        <v>48</v>
      </c>
      <c r="BH731">
        <v>14</v>
      </c>
      <c r="BI731">
        <v>19</v>
      </c>
      <c r="BJ731">
        <v>4</v>
      </c>
      <c r="BK731">
        <v>524</v>
      </c>
      <c r="BL731">
        <v>3</v>
      </c>
      <c r="BM731">
        <v>8</v>
      </c>
      <c r="BN731">
        <v>-1</v>
      </c>
      <c r="BO731" t="s">
        <v>12</v>
      </c>
      <c r="BQ731" t="s">
        <v>1666</v>
      </c>
      <c r="BR731" t="s">
        <v>1714</v>
      </c>
      <c r="BS731" s="4" t="str">
        <f>HYPERLINK("http://exon.niaid.nih.gov/transcriptome/C_felis/S1/links/CDD/cf-contig_32-CDD.txt","FAP")</f>
        <v>FAP</v>
      </c>
      <c r="BT731" t="str">
        <f>HYPERLINK("http://www.ncbi.nlm.nih.gov/Structure/cdd/cddsrv.cgi?uid=pfam07174&amp;version=v4.0","0.010")</f>
        <v>0.010</v>
      </c>
      <c r="BU731" t="s">
        <v>1788</v>
      </c>
      <c r="BV731" s="4" t="s">
        <v>42</v>
      </c>
      <c r="BW731" t="s">
        <v>42</v>
      </c>
      <c r="BX731" t="s">
        <v>42</v>
      </c>
      <c r="BY731" t="s">
        <v>42</v>
      </c>
      <c r="BZ731" t="s">
        <v>42</v>
      </c>
      <c r="CA731" t="s">
        <v>42</v>
      </c>
      <c r="CB731" t="s">
        <v>42</v>
      </c>
      <c r="CC731" t="s">
        <v>42</v>
      </c>
      <c r="CD731" t="s">
        <v>42</v>
      </c>
      <c r="CE731" t="s">
        <v>42</v>
      </c>
      <c r="CF731" t="s">
        <v>42</v>
      </c>
      <c r="CG731" t="s">
        <v>42</v>
      </c>
      <c r="CH731" t="s">
        <v>42</v>
      </c>
      <c r="CI731" t="s">
        <v>42</v>
      </c>
      <c r="CJ731" t="s">
        <v>42</v>
      </c>
      <c r="CK731" t="s">
        <v>42</v>
      </c>
      <c r="CL731" t="s">
        <v>42</v>
      </c>
      <c r="CM731" t="s">
        <v>42</v>
      </c>
      <c r="CN731" t="s">
        <v>42</v>
      </c>
      <c r="CO731" t="s">
        <v>42</v>
      </c>
      <c r="CP731" t="s">
        <v>42</v>
      </c>
      <c r="CQ731" t="s">
        <v>42</v>
      </c>
      <c r="CR731" t="s">
        <v>42</v>
      </c>
      <c r="CS731" s="4" t="str">
        <f>HYPERLINK("http://exon.niaid.nih.gov/transcriptome/C_felis/S1/links/KOG/cf-contig_32-KOG.txt","RhoA GTPase effector DIA/Diaphanous")</f>
        <v>RhoA GTPase effector DIA/Diaphanous</v>
      </c>
      <c r="CT731" t="str">
        <f>HYPERLINK("http://www.ncbi.nlm.nih.gov/COG/grace/shokog.cgi?KOG1924","0.012")</f>
        <v>0.012</v>
      </c>
      <c r="CU731" t="s">
        <v>1671</v>
      </c>
      <c r="CV731" s="4" t="str">
        <f>HYPERLINK("http://exon.niaid.nih.gov/transcriptome/C_felis/S1/links/PFAM/cf-contig_32-PFAM.txt","FAP")</f>
        <v>FAP</v>
      </c>
      <c r="CW731" t="str">
        <f>HYPERLINK("http://pfam.sanger.ac.uk/family?acc=PF07174","0.002")</f>
        <v>0.002</v>
      </c>
      <c r="CX731" s="4" t="str">
        <f>HYPERLINK("http://exon.niaid.nih.gov/transcriptome/C_felis/S1/links/SMART/cf-contig_32-SMART.txt","LITAF")</f>
        <v>LITAF</v>
      </c>
      <c r="CY731" t="str">
        <f>HYPERLINK("http://smart.embl-heidelberg.de/smart/do_annotation.pl?DOMAIN=LITAF&amp;BLAST=DUMMY","0.030")</f>
        <v>0.030</v>
      </c>
      <c r="CZ731" s="4" t="s">
        <v>42</v>
      </c>
      <c r="DA731" t="s">
        <v>42</v>
      </c>
      <c r="DB731" t="s">
        <v>42</v>
      </c>
      <c r="DC731" t="s">
        <v>42</v>
      </c>
      <c r="DD731" t="s">
        <v>42</v>
      </c>
      <c r="DE731" t="s">
        <v>42</v>
      </c>
      <c r="DF731" t="s">
        <v>42</v>
      </c>
      <c r="DG731" t="s">
        <v>42</v>
      </c>
      <c r="DH731" s="4" t="s">
        <v>42</v>
      </c>
      <c r="DI731" t="s">
        <v>42</v>
      </c>
      <c r="DJ731" s="4" t="s">
        <v>42</v>
      </c>
      <c r="DK731" t="s">
        <v>42</v>
      </c>
      <c r="DL731" s="4">
        <v>102</v>
      </c>
      <c r="DM731">
        <v>1</v>
      </c>
      <c r="DN731" s="4">
        <v>94</v>
      </c>
      <c r="DO731">
        <v>1</v>
      </c>
      <c r="DP731" s="4">
        <v>87</v>
      </c>
      <c r="DQ731">
        <v>1</v>
      </c>
      <c r="DR731" s="4">
        <v>78</v>
      </c>
      <c r="DS731">
        <v>1</v>
      </c>
      <c r="DT731" s="4">
        <v>70</v>
      </c>
      <c r="DU731">
        <v>1</v>
      </c>
      <c r="DV731" s="4">
        <v>65</v>
      </c>
      <c r="DW731">
        <v>1</v>
      </c>
      <c r="DX731" s="4">
        <v>60</v>
      </c>
      <c r="DY731">
        <v>1</v>
      </c>
      <c r="DZ731" s="4">
        <v>55</v>
      </c>
      <c r="EA731">
        <v>1</v>
      </c>
      <c r="EB731" s="4">
        <v>54</v>
      </c>
      <c r="EC731">
        <v>1</v>
      </c>
      <c r="ED731" s="4">
        <v>54</v>
      </c>
      <c r="EE731">
        <v>1</v>
      </c>
      <c r="EF731" s="4">
        <v>48</v>
      </c>
      <c r="EG731">
        <v>1</v>
      </c>
      <c r="EH731" s="4">
        <v>36</v>
      </c>
      <c r="EI731">
        <v>1</v>
      </c>
      <c r="EJ731" s="4">
        <v>32</v>
      </c>
      <c r="EK731">
        <v>1</v>
      </c>
    </row>
    <row r="732" spans="1:141" x14ac:dyDescent="0.2">
      <c r="A732" t="str">
        <f>HYPERLINK("http://exon.niaid.nih.gov/transcriptome/C_felis/S1/links/cf/cf-contig_570.txt","cf-contig_570")</f>
        <v>cf-contig_570</v>
      </c>
      <c r="B732">
        <v>1</v>
      </c>
      <c r="C732" s="10" t="s">
        <v>4600</v>
      </c>
      <c r="D732">
        <v>1</v>
      </c>
      <c r="E732" t="str">
        <f>HYPERLINK("http://exon.niaid.nih.gov/transcriptome/C_felis/S1/links/cf/cf-5-36-asb-570.txt","Contig-570")</f>
        <v>Contig-570</v>
      </c>
      <c r="F732" t="str">
        <f>HYPERLINK("http://exon.niaid.nih.gov/transcriptome/C_felis/S1/links/cf/cf-5-36-570-CLU.txt","Contig570")</f>
        <v>Contig570</v>
      </c>
      <c r="G732" t="str">
        <f>HYPERLINK("http://exon.niaid.nih.gov/transcriptome/C_felis/S1/links/cf/cf-5-36-570-qual.txt","35.2")</f>
        <v>35.2</v>
      </c>
      <c r="H732" t="s">
        <v>11</v>
      </c>
      <c r="I732">
        <v>72</v>
      </c>
      <c r="J732">
        <v>138</v>
      </c>
      <c r="K732" t="s">
        <v>12</v>
      </c>
      <c r="L732">
        <v>1</v>
      </c>
      <c r="M732" t="s">
        <v>583</v>
      </c>
      <c r="N732">
        <v>138</v>
      </c>
      <c r="O732">
        <v>157</v>
      </c>
      <c r="P732">
        <v>111</v>
      </c>
      <c r="Q732" t="s">
        <v>1389</v>
      </c>
      <c r="R732">
        <v>2</v>
      </c>
      <c r="S732" s="7" t="s">
        <v>4585</v>
      </c>
      <c r="U732">
        <v>1</v>
      </c>
      <c r="V732" s="4">
        <v>464</v>
      </c>
      <c r="W732">
        <v>1</v>
      </c>
      <c r="X732" s="4">
        <v>474</v>
      </c>
      <c r="Y732">
        <v>1</v>
      </c>
      <c r="Z732" s="4">
        <v>482</v>
      </c>
      <c r="AA732">
        <v>1</v>
      </c>
      <c r="AB732" s="4" t="str">
        <f>HYPERLINK("http://exon.niaid.nih.gov/transcriptome/C_felis/S1/links/XC-ASB/cf-contig_570-XC-ASB.txt","XC-contig_50")</f>
        <v>XC-contig_50</v>
      </c>
      <c r="AC732">
        <v>1.4999999999999999E-2</v>
      </c>
      <c r="AD732" s="10" t="s">
        <v>4600</v>
      </c>
      <c r="AE732" t="s">
        <v>4601</v>
      </c>
      <c r="AI732" s="4" t="str">
        <f>HYPERLINK("http://exon.niaid.nih.gov/transcriptome/C_felis/S1/links/NR/cf-contig_570-NR.txt","NADH dehydrogenase (quinone)")</f>
        <v>NADH dehydrogenase (quinone)</v>
      </c>
      <c r="AJ732" t="str">
        <f>HYPERLINK("http://www.ncbi.nlm.nih.gov/sutils/blink.cgi?pid=309792512","16")</f>
        <v>16</v>
      </c>
      <c r="AK732" t="str">
        <f>HYPERLINK("http://www.ncbi.nlm.nih.gov/protein/309792512","gi|309792512")</f>
        <v>gi|309792512</v>
      </c>
      <c r="AL732">
        <v>33.1</v>
      </c>
      <c r="AM732">
        <v>30</v>
      </c>
      <c r="AN732">
        <v>443</v>
      </c>
      <c r="AO732">
        <v>38</v>
      </c>
      <c r="AP732">
        <v>7</v>
      </c>
      <c r="AQ732">
        <v>21</v>
      </c>
      <c r="AR732">
        <v>0</v>
      </c>
      <c r="AS732">
        <v>320</v>
      </c>
      <c r="AT732">
        <v>35</v>
      </c>
      <c r="AU732">
        <v>1</v>
      </c>
      <c r="AV732">
        <v>2</v>
      </c>
      <c r="AW732" t="s">
        <v>12</v>
      </c>
      <c r="AX732">
        <v>3.3330000000000002</v>
      </c>
      <c r="AY732" t="s">
        <v>1676</v>
      </c>
      <c r="AZ732" t="s">
        <v>3738</v>
      </c>
      <c r="BA732" s="4" t="str">
        <f>HYPERLINK("http://exon.niaid.nih.gov/transcriptome/C_felis/S1/links/SWISSP/cf-contig_570-SWISSP.txt","Putative uncharacterized protein DDB_G0292940")</f>
        <v>Putative uncharacterized protein DDB_G0292940</v>
      </c>
      <c r="BB732" t="str">
        <f>HYPERLINK("http://www.uniprot.org/uniprot/Q54CM6","18")</f>
        <v>18</v>
      </c>
      <c r="BC732" t="s">
        <v>3739</v>
      </c>
      <c r="BD732">
        <v>28.1</v>
      </c>
      <c r="BE732">
        <v>18</v>
      </c>
      <c r="BF732">
        <v>72</v>
      </c>
      <c r="BG732">
        <v>52</v>
      </c>
      <c r="BH732">
        <v>26</v>
      </c>
      <c r="BI732">
        <v>9</v>
      </c>
      <c r="BJ732">
        <v>1</v>
      </c>
      <c r="BK732">
        <v>34</v>
      </c>
      <c r="BL732">
        <v>53</v>
      </c>
      <c r="BM732">
        <v>1</v>
      </c>
      <c r="BN732">
        <v>2</v>
      </c>
      <c r="BO732" t="s">
        <v>12</v>
      </c>
      <c r="BQ732" t="s">
        <v>1676</v>
      </c>
      <c r="BR732" t="s">
        <v>1976</v>
      </c>
      <c r="BS732" s="4" t="str">
        <f>HYPERLINK("http://exon.niaid.nih.gov/transcriptome/C_felis/S1/links/CDD/cf-contig_570-CDD.txt","VKG_Carbox")</f>
        <v>VKG_Carbox</v>
      </c>
      <c r="BT732" t="str">
        <f>HYPERLINK("http://www.ncbi.nlm.nih.gov/Structure/cdd/cddsrv.cgi?uid=pfam05090&amp;version=v4.0","0.37")</f>
        <v>0.37</v>
      </c>
      <c r="BU732" t="s">
        <v>3740</v>
      </c>
      <c r="BV732" s="4" t="s">
        <v>42</v>
      </c>
      <c r="BW732" t="s">
        <v>42</v>
      </c>
      <c r="BX732" t="s">
        <v>42</v>
      </c>
      <c r="BY732" t="s">
        <v>42</v>
      </c>
      <c r="BZ732" t="s">
        <v>42</v>
      </c>
      <c r="CA732" t="s">
        <v>42</v>
      </c>
      <c r="CB732" t="s">
        <v>42</v>
      </c>
      <c r="CC732" t="s">
        <v>42</v>
      </c>
      <c r="CD732" t="s">
        <v>42</v>
      </c>
      <c r="CE732" t="s">
        <v>42</v>
      </c>
      <c r="CF732" t="s">
        <v>42</v>
      </c>
      <c r="CG732" t="s">
        <v>42</v>
      </c>
      <c r="CH732" t="s">
        <v>42</v>
      </c>
      <c r="CI732" t="s">
        <v>42</v>
      </c>
      <c r="CJ732" t="s">
        <v>42</v>
      </c>
      <c r="CK732" t="s">
        <v>42</v>
      </c>
      <c r="CL732" t="s">
        <v>42</v>
      </c>
      <c r="CM732" t="s">
        <v>42</v>
      </c>
      <c r="CN732" t="s">
        <v>42</v>
      </c>
      <c r="CO732" t="s">
        <v>42</v>
      </c>
      <c r="CP732" t="s">
        <v>42</v>
      </c>
      <c r="CQ732" t="s">
        <v>42</v>
      </c>
      <c r="CR732" t="s">
        <v>42</v>
      </c>
      <c r="CS732" s="4" t="str">
        <f>HYPERLINK("http://exon.niaid.nih.gov/transcriptome/C_felis/S1/links/KOG/cf-contig_570-KOG.txt","Predicted membrane proteins, contain hemolysin III domain")</f>
        <v>Predicted membrane proteins, contain hemolysin III domain</v>
      </c>
      <c r="CT732" t="str">
        <f>HYPERLINK("http://www.ncbi.nlm.nih.gov/COG/grace/shokog.cgi?KOG0748","2.1")</f>
        <v>2.1</v>
      </c>
      <c r="CU732" t="s">
        <v>3625</v>
      </c>
      <c r="CV732" s="4" t="str">
        <f>HYPERLINK("http://exon.niaid.nih.gov/transcriptome/C_felis/S1/links/PFAM/cf-contig_570-PFAM.txt","VKG_Carbox")</f>
        <v>VKG_Carbox</v>
      </c>
      <c r="CW732" t="str">
        <f>HYPERLINK("http://pfam.sanger.ac.uk/family?acc=PF05090","0.079")</f>
        <v>0.079</v>
      </c>
      <c r="CX732" s="4" t="str">
        <f>HYPERLINK("http://exon.niaid.nih.gov/transcriptome/C_felis/S1/links/SMART/cf-contig_570-SMART.txt","PSN")</f>
        <v>PSN</v>
      </c>
      <c r="CY732" t="str">
        <f>HYPERLINK("http://smart.embl-heidelberg.de/smart/do_annotation.pl?DOMAIN=PSN&amp;BLAST=DUMMY","0.57")</f>
        <v>0.57</v>
      </c>
      <c r="CZ732" s="4" t="s">
        <v>42</v>
      </c>
      <c r="DA732" t="s">
        <v>42</v>
      </c>
      <c r="DB732" t="s">
        <v>42</v>
      </c>
      <c r="DC732" t="s">
        <v>42</v>
      </c>
      <c r="DD732" t="s">
        <v>42</v>
      </c>
      <c r="DE732" t="s">
        <v>42</v>
      </c>
      <c r="DF732" t="s">
        <v>42</v>
      </c>
      <c r="DG732" t="s">
        <v>42</v>
      </c>
      <c r="DH732" s="4" t="s">
        <v>42</v>
      </c>
      <c r="DI732" t="s">
        <v>42</v>
      </c>
      <c r="DJ732" s="4" t="s">
        <v>42</v>
      </c>
      <c r="DK732" t="s">
        <v>42</v>
      </c>
      <c r="DL732" s="4">
        <v>464</v>
      </c>
      <c r="DM732">
        <v>1</v>
      </c>
      <c r="DN732" s="4">
        <v>474</v>
      </c>
      <c r="DO732">
        <v>1</v>
      </c>
      <c r="DP732" s="4">
        <v>482</v>
      </c>
      <c r="DQ732">
        <v>1</v>
      </c>
      <c r="DR732" s="4">
        <v>500</v>
      </c>
      <c r="DS732">
        <v>1</v>
      </c>
      <c r="DT732" s="4">
        <v>512</v>
      </c>
      <c r="DU732">
        <v>1</v>
      </c>
      <c r="DV732" s="4">
        <v>526</v>
      </c>
      <c r="DW732">
        <v>1</v>
      </c>
      <c r="DX732" s="4">
        <v>534</v>
      </c>
      <c r="DY732">
        <v>1</v>
      </c>
      <c r="DZ732" s="4">
        <v>542</v>
      </c>
      <c r="EA732">
        <v>1</v>
      </c>
      <c r="EB732" s="4">
        <v>547</v>
      </c>
      <c r="EC732">
        <v>1</v>
      </c>
      <c r="ED732" s="4">
        <v>551</v>
      </c>
      <c r="EE732">
        <v>1</v>
      </c>
      <c r="EF732" s="4">
        <v>556</v>
      </c>
      <c r="EG732">
        <v>1</v>
      </c>
      <c r="EH732" s="4">
        <v>563</v>
      </c>
      <c r="EI732">
        <v>1</v>
      </c>
      <c r="EJ732" s="4">
        <v>570</v>
      </c>
      <c r="EK732">
        <v>1</v>
      </c>
    </row>
    <row r="733" spans="1:141" x14ac:dyDescent="0.2">
      <c r="A733" t="str">
        <f>HYPERLINK("http://exon.niaid.nih.gov/transcriptome/C_felis/S1/links/cf/cf-contig_771.txt","cf-contig_771")</f>
        <v>cf-contig_771</v>
      </c>
      <c r="B733">
        <v>1</v>
      </c>
      <c r="C733" s="10" t="s">
        <v>4600</v>
      </c>
      <c r="D733">
        <v>1</v>
      </c>
      <c r="E733" t="str">
        <f>HYPERLINK("http://exon.niaid.nih.gov/transcriptome/C_felis/S1/links/cf/cf-5-36-asb-771.txt","Contig-771")</f>
        <v>Contig-771</v>
      </c>
      <c r="F733" t="str">
        <f>HYPERLINK("http://exon.niaid.nih.gov/transcriptome/C_felis/S1/links/cf/cf-5-36-771-CLU.txt","Contig771")</f>
        <v>Contig771</v>
      </c>
      <c r="G733" t="str">
        <f>HYPERLINK("http://exon.niaid.nih.gov/transcriptome/C_felis/S1/links/cf/cf-5-36-771-qual.txt","51.")</f>
        <v>51.</v>
      </c>
      <c r="H733" t="s">
        <v>11</v>
      </c>
      <c r="I733">
        <v>58.9</v>
      </c>
      <c r="J733">
        <v>239</v>
      </c>
      <c r="K733" t="s">
        <v>12</v>
      </c>
      <c r="L733">
        <v>1</v>
      </c>
      <c r="M733" t="s">
        <v>784</v>
      </c>
      <c r="N733">
        <v>239</v>
      </c>
      <c r="O733">
        <v>258</v>
      </c>
      <c r="P733">
        <v>174</v>
      </c>
      <c r="Q733" t="s">
        <v>1590</v>
      </c>
      <c r="R733">
        <v>3</v>
      </c>
      <c r="S733" s="7" t="s">
        <v>4585</v>
      </c>
      <c r="U733">
        <v>1</v>
      </c>
      <c r="V733" s="4">
        <v>618</v>
      </c>
      <c r="W733">
        <v>1</v>
      </c>
      <c r="X733" s="4">
        <v>639</v>
      </c>
      <c r="Y733">
        <v>1</v>
      </c>
      <c r="Z733" s="4">
        <v>655</v>
      </c>
      <c r="AA733">
        <v>1</v>
      </c>
      <c r="AB733" s="4" t="str">
        <f>HYPERLINK("http://exon.niaid.nih.gov/transcriptome/C_felis/S1/links/XC-ASB/cf-contig_771-XC-ASB.txt","XC-contig_178")</f>
        <v>XC-contig_178</v>
      </c>
      <c r="AC733">
        <v>0.59</v>
      </c>
      <c r="AD733" s="10" t="s">
        <v>4600</v>
      </c>
      <c r="AE733" t="s">
        <v>4601</v>
      </c>
      <c r="AI733" s="4" t="str">
        <f>HYPERLINK("http://exon.niaid.nih.gov/transcriptome/C_felis/S1/links/NR/cf-contig_771-NR.txt","Cytochrome c oxidase, subunit Vb/COX4 (ISS)")</f>
        <v>Cytochrome c oxidase, subunit Vb/COX4 (ISS)</v>
      </c>
      <c r="AJ733" t="str">
        <f>HYPERLINK("http://www.ncbi.nlm.nih.gov/sutils/blink.cgi?pid=308799181","0.035")</f>
        <v>0.035</v>
      </c>
      <c r="AK733" t="str">
        <f>HYPERLINK("http://www.ncbi.nlm.nih.gov/protein/308799181","gi|308799181")</f>
        <v>gi|308799181</v>
      </c>
      <c r="AL733">
        <v>42</v>
      </c>
      <c r="AM733">
        <v>22</v>
      </c>
      <c r="AN733">
        <v>202</v>
      </c>
      <c r="AO733">
        <v>82</v>
      </c>
      <c r="AP733">
        <v>11</v>
      </c>
      <c r="AQ733">
        <v>4</v>
      </c>
      <c r="AR733">
        <v>0</v>
      </c>
      <c r="AS733">
        <v>150</v>
      </c>
      <c r="AT733">
        <v>25</v>
      </c>
      <c r="AU733">
        <v>1</v>
      </c>
      <c r="AV733">
        <v>-1</v>
      </c>
      <c r="AW733" t="s">
        <v>12</v>
      </c>
      <c r="AY733" t="s">
        <v>1666</v>
      </c>
      <c r="AZ733" t="s">
        <v>4472</v>
      </c>
      <c r="BA733" s="4" t="str">
        <f>HYPERLINK("http://exon.niaid.nih.gov/transcriptome/C_felis/S1/links/SWISSP/cf-contig_771-SWISSP.txt","Fermitin family homolog 2")</f>
        <v>Fermitin family homolog 2</v>
      </c>
      <c r="BB733" t="str">
        <f>HYPERLINK("http://www.uniprot.org/uniprot/Q8CIB5","2.7")</f>
        <v>2.7</v>
      </c>
      <c r="BC733" t="s">
        <v>4473</v>
      </c>
      <c r="BD733">
        <v>30.8</v>
      </c>
      <c r="BE733">
        <v>50</v>
      </c>
      <c r="BF733">
        <v>680</v>
      </c>
      <c r="BG733">
        <v>29</v>
      </c>
      <c r="BH733">
        <v>8</v>
      </c>
      <c r="BI733">
        <v>36</v>
      </c>
      <c r="BJ733">
        <v>0</v>
      </c>
      <c r="BK733">
        <v>601</v>
      </c>
      <c r="BL733">
        <v>72</v>
      </c>
      <c r="BM733">
        <v>1</v>
      </c>
      <c r="BN733">
        <v>3</v>
      </c>
      <c r="BO733" t="s">
        <v>12</v>
      </c>
      <c r="BQ733" t="s">
        <v>1676</v>
      </c>
      <c r="BR733" t="s">
        <v>1705</v>
      </c>
      <c r="BS733" s="4" t="str">
        <f>HYPERLINK("http://exon.niaid.nih.gov/transcriptome/C_felis/S1/links/CDD/cf-contig_771-CDD.txt","Pox_I1")</f>
        <v>Pox_I1</v>
      </c>
      <c r="BT733" t="str">
        <f>HYPERLINK("http://www.ncbi.nlm.nih.gov/Structure/cdd/cddsrv.cgi?uid=pfam03289&amp;version=v4.0","0.22")</f>
        <v>0.22</v>
      </c>
      <c r="BU733" t="s">
        <v>4474</v>
      </c>
      <c r="BV733" s="4" t="s">
        <v>42</v>
      </c>
      <c r="BW733" t="s">
        <v>42</v>
      </c>
      <c r="BX733" t="s">
        <v>42</v>
      </c>
      <c r="BY733" t="s">
        <v>42</v>
      </c>
      <c r="BZ733" t="s">
        <v>42</v>
      </c>
      <c r="CA733" t="s">
        <v>42</v>
      </c>
      <c r="CB733" t="s">
        <v>42</v>
      </c>
      <c r="CC733" t="s">
        <v>42</v>
      </c>
      <c r="CD733" t="s">
        <v>42</v>
      </c>
      <c r="CE733" t="s">
        <v>42</v>
      </c>
      <c r="CF733" t="s">
        <v>42</v>
      </c>
      <c r="CG733" t="s">
        <v>42</v>
      </c>
      <c r="CH733" t="s">
        <v>42</v>
      </c>
      <c r="CI733" t="s">
        <v>42</v>
      </c>
      <c r="CJ733" t="s">
        <v>42</v>
      </c>
      <c r="CK733" t="s">
        <v>42</v>
      </c>
      <c r="CL733" t="s">
        <v>42</v>
      </c>
      <c r="CM733" t="s">
        <v>42</v>
      </c>
      <c r="CN733" t="s">
        <v>42</v>
      </c>
      <c r="CO733" t="s">
        <v>42</v>
      </c>
      <c r="CP733" t="s">
        <v>42</v>
      </c>
      <c r="CQ733" t="s">
        <v>42</v>
      </c>
      <c r="CR733" t="s">
        <v>42</v>
      </c>
      <c r="CS733" s="4" t="str">
        <f>HYPERLINK("http://exon.niaid.nih.gov/transcriptome/C_felis/S1/links/KOG/cf-contig_771-KOG.txt","DNA polymerase epsilon, catalytic subunit A")</f>
        <v>DNA polymerase epsilon, catalytic subunit A</v>
      </c>
      <c r="CT733" t="str">
        <f>HYPERLINK("http://www.ncbi.nlm.nih.gov/COG/grace/shokog.cgi?KOG1798","1.5")</f>
        <v>1.5</v>
      </c>
      <c r="CU733" t="s">
        <v>2520</v>
      </c>
      <c r="CV733" s="4" t="str">
        <f>HYPERLINK("http://exon.niaid.nih.gov/transcriptome/C_felis/S1/links/PFAM/cf-contig_771-PFAM.txt","Pox_I1")</f>
        <v>Pox_I1</v>
      </c>
      <c r="CW733" t="str">
        <f>HYPERLINK("http://pfam.sanger.ac.uk/family?acc=PF03289","0.048")</f>
        <v>0.048</v>
      </c>
      <c r="CX733" s="4" t="str">
        <f>HYPERLINK("http://exon.niaid.nih.gov/transcriptome/C_felis/S1/links/SMART/cf-contig_771-SMART.txt","CysPc")</f>
        <v>CysPc</v>
      </c>
      <c r="CY733" t="str">
        <f>HYPERLINK("http://smart.embl-heidelberg.de/smart/do_annotation.pl?DOMAIN=CysPc&amp;BLAST=DUMMY","0.20")</f>
        <v>0.20</v>
      </c>
      <c r="CZ733" s="4" t="s">
        <v>42</v>
      </c>
      <c r="DA733" t="s">
        <v>42</v>
      </c>
      <c r="DB733" t="s">
        <v>42</v>
      </c>
      <c r="DC733" t="s">
        <v>42</v>
      </c>
      <c r="DD733" t="s">
        <v>42</v>
      </c>
      <c r="DE733" t="s">
        <v>42</v>
      </c>
      <c r="DF733" t="s">
        <v>42</v>
      </c>
      <c r="DG733" t="s">
        <v>42</v>
      </c>
      <c r="DH733" s="4" t="s">
        <v>42</v>
      </c>
      <c r="DI733" t="s">
        <v>42</v>
      </c>
      <c r="DJ733" s="4" t="s">
        <v>42</v>
      </c>
      <c r="DK733" t="s">
        <v>42</v>
      </c>
      <c r="DL733" s="4">
        <v>618</v>
      </c>
      <c r="DM733">
        <v>1</v>
      </c>
      <c r="DN733" s="4">
        <v>639</v>
      </c>
      <c r="DO733">
        <v>1</v>
      </c>
      <c r="DP733" s="4">
        <v>655</v>
      </c>
      <c r="DQ733">
        <v>1</v>
      </c>
      <c r="DR733" s="4">
        <v>677</v>
      </c>
      <c r="DS733">
        <v>1</v>
      </c>
      <c r="DT733" s="4">
        <v>693</v>
      </c>
      <c r="DU733">
        <v>1</v>
      </c>
      <c r="DV733" s="4">
        <v>708</v>
      </c>
      <c r="DW733">
        <v>1</v>
      </c>
      <c r="DX733" s="4">
        <v>722</v>
      </c>
      <c r="DY733">
        <v>1</v>
      </c>
      <c r="DZ733" s="4">
        <v>733</v>
      </c>
      <c r="EA733">
        <v>1</v>
      </c>
      <c r="EB733" s="4">
        <v>739</v>
      </c>
      <c r="EC733">
        <v>1</v>
      </c>
      <c r="ED733" s="4">
        <v>744</v>
      </c>
      <c r="EE733">
        <v>1</v>
      </c>
      <c r="EF733" s="4">
        <v>750</v>
      </c>
      <c r="EG733">
        <v>1</v>
      </c>
      <c r="EH733" s="4">
        <v>762</v>
      </c>
      <c r="EI733">
        <v>1</v>
      </c>
      <c r="EJ733" s="4">
        <v>771</v>
      </c>
      <c r="EK733">
        <v>1</v>
      </c>
    </row>
    <row r="734" spans="1:141" x14ac:dyDescent="0.2">
      <c r="A734" t="str">
        <f>HYPERLINK("http://exon.niaid.nih.gov/transcriptome/C_felis/S1/links/cf/cf-contig_762.txt","cf-contig_762")</f>
        <v>cf-contig_762</v>
      </c>
      <c r="B734">
        <v>1</v>
      </c>
      <c r="C734" s="10" t="s">
        <v>4600</v>
      </c>
      <c r="D734">
        <v>1</v>
      </c>
      <c r="E734" t="str">
        <f>HYPERLINK("http://exon.niaid.nih.gov/transcriptome/C_felis/S1/links/cf/cf-5-36-asb-762.txt","Contig-762")</f>
        <v>Contig-762</v>
      </c>
      <c r="F734" t="str">
        <f>HYPERLINK("http://exon.niaid.nih.gov/transcriptome/C_felis/S1/links/cf/cf-5-36-762-CLU.txt","Contig762")</f>
        <v>Contig762</v>
      </c>
      <c r="G734" t="str">
        <f>HYPERLINK("http://exon.niaid.nih.gov/transcriptome/C_felis/S1/links/cf/cf-5-36-762-qual.txt","65.1")</f>
        <v>65.1</v>
      </c>
      <c r="H734" t="s">
        <v>11</v>
      </c>
      <c r="I734">
        <v>75.099999999999994</v>
      </c>
      <c r="J734">
        <v>467</v>
      </c>
      <c r="K734" t="s">
        <v>12</v>
      </c>
      <c r="L734">
        <v>1</v>
      </c>
      <c r="M734" t="s">
        <v>775</v>
      </c>
      <c r="N734">
        <v>467</v>
      </c>
      <c r="O734">
        <v>486</v>
      </c>
      <c r="P734">
        <v>96</v>
      </c>
      <c r="Q734" t="s">
        <v>1581</v>
      </c>
      <c r="R734">
        <v>1</v>
      </c>
      <c r="S734" s="7" t="s">
        <v>4585</v>
      </c>
      <c r="U734">
        <v>1</v>
      </c>
      <c r="V734" s="4">
        <v>612</v>
      </c>
      <c r="W734">
        <v>1</v>
      </c>
      <c r="X734" s="4">
        <v>632</v>
      </c>
      <c r="Y734">
        <v>1</v>
      </c>
      <c r="Z734" s="4">
        <v>647</v>
      </c>
      <c r="AA734">
        <v>1</v>
      </c>
      <c r="AB734" s="4" t="str">
        <f>HYPERLINK("http://exon.niaid.nih.gov/transcriptome/C_felis/S1/links/XC-ASB/cf-contig_762-XC-ASB.txt","XC-contig_250")</f>
        <v>XC-contig_250</v>
      </c>
      <c r="AC734">
        <v>0.1</v>
      </c>
      <c r="AD734" s="10" t="s">
        <v>4600</v>
      </c>
      <c r="AE734" t="s">
        <v>4601</v>
      </c>
      <c r="AI734" s="4" t="str">
        <f>HYPERLINK("http://exon.niaid.nih.gov/transcriptome/C_felis/S1/links/NR/cf-contig_762-NR.txt","AraC family transcriptional regulator")</f>
        <v>AraC family transcriptional regulator</v>
      </c>
      <c r="AJ734" t="str">
        <f>HYPERLINK("http://www.ncbi.nlm.nih.gov/sutils/blink.cgi?pid=251799494","12")</f>
        <v>12</v>
      </c>
      <c r="AK734" t="str">
        <f>HYPERLINK("http://www.ncbi.nlm.nih.gov/protein/251799494","gi|251799494")</f>
        <v>gi|251799494</v>
      </c>
      <c r="AL734">
        <v>33.5</v>
      </c>
      <c r="AM734">
        <v>51</v>
      </c>
      <c r="AN734">
        <v>421</v>
      </c>
      <c r="AO734">
        <v>33</v>
      </c>
      <c r="AP734">
        <v>12</v>
      </c>
      <c r="AQ734">
        <v>38</v>
      </c>
      <c r="AR734">
        <v>0</v>
      </c>
      <c r="AS734">
        <v>307</v>
      </c>
      <c r="AT734">
        <v>241</v>
      </c>
      <c r="AU734">
        <v>1</v>
      </c>
      <c r="AV734">
        <v>-1</v>
      </c>
      <c r="AW734" t="s">
        <v>12</v>
      </c>
      <c r="AX734">
        <v>5.8819999999999997</v>
      </c>
      <c r="AY734" t="s">
        <v>1666</v>
      </c>
      <c r="AZ734" t="s">
        <v>4446</v>
      </c>
      <c r="BA734" s="4" t="str">
        <f>HYPERLINK("http://exon.niaid.nih.gov/transcriptome/C_felis/S1/links/SWISSP/cf-contig_762-SWISSP.txt","Glutamyl-tRNA synthetase 2")</f>
        <v>Glutamyl-tRNA synthetase 2</v>
      </c>
      <c r="BB734" t="str">
        <f>HYPERLINK("http://www.uniprot.org/uniprot/A5CFB7","21")</f>
        <v>21</v>
      </c>
      <c r="BC734" t="s">
        <v>4447</v>
      </c>
      <c r="BD734">
        <v>28.5</v>
      </c>
      <c r="BE734">
        <v>15</v>
      </c>
      <c r="BF734">
        <v>448</v>
      </c>
      <c r="BG734">
        <v>56</v>
      </c>
      <c r="BH734">
        <v>4</v>
      </c>
      <c r="BI734">
        <v>7</v>
      </c>
      <c r="BJ734">
        <v>0</v>
      </c>
      <c r="BK734">
        <v>143</v>
      </c>
      <c r="BL734">
        <v>389</v>
      </c>
      <c r="BM734">
        <v>1</v>
      </c>
      <c r="BN734">
        <v>-3</v>
      </c>
      <c r="BO734" t="s">
        <v>12</v>
      </c>
      <c r="BQ734" t="s">
        <v>1666</v>
      </c>
      <c r="BR734" t="s">
        <v>2857</v>
      </c>
      <c r="BS734" s="4" t="str">
        <f>HYPERLINK("http://exon.niaid.nih.gov/transcriptome/C_felis/S1/links/CDD/cf-contig_762-CDD.txt","PRK09573")</f>
        <v>PRK09573</v>
      </c>
      <c r="BT734" t="str">
        <f>HYPERLINK("http://www.ncbi.nlm.nih.gov/Structure/cdd/cddsrv.cgi?uid=PRK09573&amp;version=v4.0","0.92")</f>
        <v>0.92</v>
      </c>
      <c r="BU734" t="s">
        <v>4448</v>
      </c>
      <c r="BV734" s="4" t="s">
        <v>42</v>
      </c>
      <c r="BW734" t="s">
        <v>42</v>
      </c>
      <c r="BX734" t="s">
        <v>42</v>
      </c>
      <c r="BY734" t="s">
        <v>42</v>
      </c>
      <c r="BZ734" t="s">
        <v>42</v>
      </c>
      <c r="CA734" t="s">
        <v>42</v>
      </c>
      <c r="CB734" t="s">
        <v>42</v>
      </c>
      <c r="CC734" t="s">
        <v>42</v>
      </c>
      <c r="CD734" t="s">
        <v>42</v>
      </c>
      <c r="CE734" t="s">
        <v>42</v>
      </c>
      <c r="CF734" t="s">
        <v>42</v>
      </c>
      <c r="CG734" t="s">
        <v>42</v>
      </c>
      <c r="CH734" t="s">
        <v>42</v>
      </c>
      <c r="CI734" t="s">
        <v>42</v>
      </c>
      <c r="CJ734" t="s">
        <v>42</v>
      </c>
      <c r="CK734" t="s">
        <v>42</v>
      </c>
      <c r="CL734" t="s">
        <v>42</v>
      </c>
      <c r="CM734" t="s">
        <v>42</v>
      </c>
      <c r="CN734" t="s">
        <v>42</v>
      </c>
      <c r="CO734" t="s">
        <v>42</v>
      </c>
      <c r="CP734" t="s">
        <v>42</v>
      </c>
      <c r="CQ734" t="s">
        <v>42</v>
      </c>
      <c r="CR734" t="s">
        <v>42</v>
      </c>
      <c r="CS734" s="4" t="str">
        <f>HYPERLINK("http://exon.niaid.nih.gov/transcriptome/C_felis/S1/links/KOG/cf-contig_762-KOG.txt","Forkhead/HNF-3-related transcription factor")</f>
        <v>Forkhead/HNF-3-related transcription factor</v>
      </c>
      <c r="CT734" t="str">
        <f>HYPERLINK("http://www.ncbi.nlm.nih.gov/COG/grace/shokog.cgi?KOG3563","0.62")</f>
        <v>0.62</v>
      </c>
      <c r="CU734" t="s">
        <v>1692</v>
      </c>
      <c r="CV734" s="4" t="str">
        <f>HYPERLINK("http://exon.niaid.nih.gov/transcriptome/C_felis/S1/links/PFAM/cf-contig_762-PFAM.txt","DUF2972")</f>
        <v>DUF2972</v>
      </c>
      <c r="CW734" t="str">
        <f>HYPERLINK("http://pfam.sanger.ac.uk/family?acc=PF11186","0.37")</f>
        <v>0.37</v>
      </c>
      <c r="CX734" s="4" t="str">
        <f>HYPERLINK("http://exon.niaid.nih.gov/transcriptome/C_felis/S1/links/SMART/cf-contig_762-SMART.txt","dDENN")</f>
        <v>dDENN</v>
      </c>
      <c r="CY734" t="str">
        <f>HYPERLINK("http://smart.embl-heidelberg.de/smart/do_annotation.pl?DOMAIN=dDENN&amp;BLAST=DUMMY","0.39")</f>
        <v>0.39</v>
      </c>
      <c r="CZ734" s="4" t="s">
        <v>42</v>
      </c>
      <c r="DA734" t="s">
        <v>42</v>
      </c>
      <c r="DB734" t="s">
        <v>42</v>
      </c>
      <c r="DC734" t="s">
        <v>42</v>
      </c>
      <c r="DD734" t="s">
        <v>42</v>
      </c>
      <c r="DE734" t="s">
        <v>42</v>
      </c>
      <c r="DF734" t="s">
        <v>42</v>
      </c>
      <c r="DG734" t="s">
        <v>42</v>
      </c>
      <c r="DH734" s="4" t="s">
        <v>42</v>
      </c>
      <c r="DI734" t="s">
        <v>42</v>
      </c>
      <c r="DJ734" s="4" t="s">
        <v>42</v>
      </c>
      <c r="DK734" t="s">
        <v>42</v>
      </c>
      <c r="DL734" s="4">
        <v>612</v>
      </c>
      <c r="DM734">
        <v>1</v>
      </c>
      <c r="DN734" s="4">
        <v>632</v>
      </c>
      <c r="DO734">
        <v>1</v>
      </c>
      <c r="DP734" s="4">
        <v>647</v>
      </c>
      <c r="DQ734">
        <v>1</v>
      </c>
      <c r="DR734" s="4">
        <v>669</v>
      </c>
      <c r="DS734">
        <v>1</v>
      </c>
      <c r="DT734" s="4">
        <v>684</v>
      </c>
      <c r="DU734">
        <v>1</v>
      </c>
      <c r="DV734" s="4">
        <v>699</v>
      </c>
      <c r="DW734">
        <v>1</v>
      </c>
      <c r="DX734" s="4">
        <v>713</v>
      </c>
      <c r="DY734">
        <v>1</v>
      </c>
      <c r="DZ734" s="4">
        <v>724</v>
      </c>
      <c r="EA734">
        <v>1</v>
      </c>
      <c r="EB734" s="4">
        <v>730</v>
      </c>
      <c r="EC734">
        <v>1</v>
      </c>
      <c r="ED734" s="4">
        <v>735</v>
      </c>
      <c r="EE734">
        <v>1</v>
      </c>
      <c r="EF734" s="4">
        <v>741</v>
      </c>
      <c r="EG734">
        <v>1</v>
      </c>
      <c r="EH734" s="4">
        <v>753</v>
      </c>
      <c r="EI734">
        <v>1</v>
      </c>
      <c r="EJ734" s="4">
        <v>762</v>
      </c>
      <c r="EK734">
        <v>1</v>
      </c>
    </row>
    <row r="735" spans="1:141" x14ac:dyDescent="0.2">
      <c r="A735" t="str">
        <f>HYPERLINK("http://exon.niaid.nih.gov/transcriptome/C_felis/S1/links/cf/cf-contig_610.txt","cf-contig_610")</f>
        <v>cf-contig_610</v>
      </c>
      <c r="B735">
        <v>1</v>
      </c>
      <c r="C735" s="10" t="s">
        <v>4600</v>
      </c>
      <c r="D735">
        <v>1</v>
      </c>
      <c r="E735" t="str">
        <f>HYPERLINK("http://exon.niaid.nih.gov/transcriptome/C_felis/S1/links/cf/cf-5-36-asb-610.txt","Contig-610")</f>
        <v>Contig-610</v>
      </c>
      <c r="F735" t="str">
        <f>HYPERLINK("http://exon.niaid.nih.gov/transcriptome/C_felis/S1/links/cf/cf-5-36-610-CLU.txt","Contig610")</f>
        <v>Contig610</v>
      </c>
      <c r="G735" t="str">
        <f>HYPERLINK("http://exon.niaid.nih.gov/transcriptome/C_felis/S1/links/cf/cf-5-36-610-qual.txt","51.2")</f>
        <v>51.2</v>
      </c>
      <c r="H735" t="s">
        <v>11</v>
      </c>
      <c r="I735">
        <v>61.8</v>
      </c>
      <c r="J735">
        <v>151</v>
      </c>
      <c r="K735" t="s">
        <v>12</v>
      </c>
      <c r="L735">
        <v>1</v>
      </c>
      <c r="M735" t="s">
        <v>623</v>
      </c>
      <c r="N735">
        <v>151</v>
      </c>
      <c r="O735">
        <v>170</v>
      </c>
      <c r="P735">
        <v>123</v>
      </c>
      <c r="Q735" t="s">
        <v>1429</v>
      </c>
      <c r="R735">
        <v>3</v>
      </c>
      <c r="S735" s="7" t="s">
        <v>4585</v>
      </c>
      <c r="U735">
        <v>1</v>
      </c>
      <c r="V735" s="4">
        <v>496</v>
      </c>
      <c r="W735">
        <v>1</v>
      </c>
      <c r="X735" s="4">
        <v>508</v>
      </c>
      <c r="Y735">
        <v>1</v>
      </c>
      <c r="Z735" s="4">
        <v>518</v>
      </c>
      <c r="AA735">
        <v>1</v>
      </c>
      <c r="AB735" s="4" t="str">
        <f>HYPERLINK("http://exon.niaid.nih.gov/transcriptome/C_felis/S1/links/XC-ASB/cf-contig_610-XC-ASB.txt","XC-contig_54")</f>
        <v>XC-contig_54</v>
      </c>
      <c r="AC735">
        <v>0.23</v>
      </c>
      <c r="AD735" s="10" t="s">
        <v>4600</v>
      </c>
      <c r="AE735" t="s">
        <v>4601</v>
      </c>
      <c r="AI735" s="4" t="str">
        <f>HYPERLINK("http://exon.niaid.nih.gov/transcriptome/C_felis/S1/links/NR/cf-contig_610-NR.txt","LOW QUALITY PROTEIN: tyrosine-protein kinase STYK1-like")</f>
        <v>LOW QUALITY PROTEIN: tyrosine-protein kinase STYK1-like</v>
      </c>
      <c r="AJ735" t="str">
        <f>HYPERLINK("http://www.ncbi.nlm.nih.gov/sutils/blink.cgi?pid=332838643","80")</f>
        <v>80</v>
      </c>
      <c r="AK735" t="str">
        <f>HYPERLINK("http://www.ncbi.nlm.nih.gov/protein/332838643","gi|332838643")</f>
        <v>gi|332838643</v>
      </c>
      <c r="AL735">
        <v>30.8</v>
      </c>
      <c r="AM735">
        <v>50</v>
      </c>
      <c r="AN735">
        <v>373</v>
      </c>
      <c r="AO735">
        <v>31</v>
      </c>
      <c r="AP735">
        <v>14</v>
      </c>
      <c r="AQ735">
        <v>35</v>
      </c>
      <c r="AR735">
        <v>3</v>
      </c>
      <c r="AS735">
        <v>21</v>
      </c>
      <c r="AT735">
        <v>2</v>
      </c>
      <c r="AU735">
        <v>1</v>
      </c>
      <c r="AV735">
        <v>-2</v>
      </c>
      <c r="AW735" t="s">
        <v>12</v>
      </c>
      <c r="AX735">
        <v>4</v>
      </c>
      <c r="AY735" t="s">
        <v>1666</v>
      </c>
      <c r="AZ735" t="s">
        <v>2796</v>
      </c>
      <c r="BA735" s="4" t="str">
        <f>HYPERLINK("http://exon.niaid.nih.gov/transcriptome/C_felis/S1/links/SWISSP/cf-contig_610-SWISSP.txt","Tyrosine-protein kinase STYK1")</f>
        <v>Tyrosine-protein kinase STYK1</v>
      </c>
      <c r="BB735" t="str">
        <f>HYPERLINK("http://www.uniprot.org/uniprot/Q6J9G0","2.8")</f>
        <v>2.8</v>
      </c>
      <c r="BC735" t="s">
        <v>3923</v>
      </c>
      <c r="BD735">
        <v>30.8</v>
      </c>
      <c r="BE735">
        <v>50</v>
      </c>
      <c r="BF735">
        <v>422</v>
      </c>
      <c r="BG735">
        <v>31</v>
      </c>
      <c r="BH735">
        <v>12</v>
      </c>
      <c r="BI735">
        <v>35</v>
      </c>
      <c r="BJ735">
        <v>3</v>
      </c>
      <c r="BK735">
        <v>21</v>
      </c>
      <c r="BL735">
        <v>2</v>
      </c>
      <c r="BM735">
        <v>1</v>
      </c>
      <c r="BN735">
        <v>-2</v>
      </c>
      <c r="BO735" t="s">
        <v>12</v>
      </c>
      <c r="BP735">
        <v>4</v>
      </c>
      <c r="BQ735" t="s">
        <v>1666</v>
      </c>
      <c r="BR735" t="s">
        <v>1690</v>
      </c>
      <c r="BS735" s="4" t="str">
        <f>HYPERLINK("http://exon.niaid.nih.gov/transcriptome/C_felis/S1/links/CDD/cf-contig_610-CDD.txt","PLN02943")</f>
        <v>PLN02943</v>
      </c>
      <c r="BT735" t="str">
        <f>HYPERLINK("http://www.ncbi.nlm.nih.gov/Structure/cdd/cddsrv.cgi?uid=PLN02943&amp;version=v4.0","0.25")</f>
        <v>0.25</v>
      </c>
      <c r="BU735" t="s">
        <v>3924</v>
      </c>
      <c r="BV735" s="4" t="s">
        <v>42</v>
      </c>
      <c r="BW735" t="s">
        <v>42</v>
      </c>
      <c r="BX735" t="s">
        <v>42</v>
      </c>
      <c r="BY735" t="s">
        <v>42</v>
      </c>
      <c r="BZ735" t="s">
        <v>42</v>
      </c>
      <c r="CA735" t="s">
        <v>42</v>
      </c>
      <c r="CB735" t="s">
        <v>42</v>
      </c>
      <c r="CC735" t="s">
        <v>42</v>
      </c>
      <c r="CD735" t="s">
        <v>42</v>
      </c>
      <c r="CE735" t="s">
        <v>42</v>
      </c>
      <c r="CF735" t="s">
        <v>42</v>
      </c>
      <c r="CG735" t="s">
        <v>42</v>
      </c>
      <c r="CH735" t="s">
        <v>42</v>
      </c>
      <c r="CI735" t="s">
        <v>42</v>
      </c>
      <c r="CJ735" t="s">
        <v>42</v>
      </c>
      <c r="CK735" t="s">
        <v>42</v>
      </c>
      <c r="CL735" t="s">
        <v>42</v>
      </c>
      <c r="CM735" t="s">
        <v>42</v>
      </c>
      <c r="CN735" t="s">
        <v>42</v>
      </c>
      <c r="CO735" t="s">
        <v>42</v>
      </c>
      <c r="CP735" t="s">
        <v>42</v>
      </c>
      <c r="CQ735" t="s">
        <v>42</v>
      </c>
      <c r="CR735" t="s">
        <v>42</v>
      </c>
      <c r="CS735" s="4" t="str">
        <f>HYPERLINK("http://exon.niaid.nih.gov/transcriptome/C_felis/S1/links/KOG/cf-contig_610-KOG.txt","Predicted DNA helicase, DEAD-box superfamily")</f>
        <v>Predicted DNA helicase, DEAD-box superfamily</v>
      </c>
      <c r="CT735" t="str">
        <f>HYPERLINK("http://www.ncbi.nlm.nih.gov/COG/grace/shokog.cgi?KOG1016","5.8")</f>
        <v>5.8</v>
      </c>
      <c r="CU735" t="s">
        <v>1721</v>
      </c>
      <c r="CV735" s="4" t="str">
        <f>HYPERLINK("http://exon.niaid.nih.gov/transcriptome/C_felis/S1/links/PFAM/cf-contig_610-PFAM.txt","7TM_GPCR_Srw")</f>
        <v>7TM_GPCR_Srw</v>
      </c>
      <c r="CW735" t="str">
        <f>HYPERLINK("http://pfam.sanger.ac.uk/family?acc=PF10324","1.0")</f>
        <v>1.0</v>
      </c>
      <c r="CX735" s="4" t="str">
        <f>HYPERLINK("http://exon.niaid.nih.gov/transcriptome/C_felis/S1/links/SMART/cf-contig_610-SMART.txt","HECTc")</f>
        <v>HECTc</v>
      </c>
      <c r="CY735" t="str">
        <f>HYPERLINK("http://smart.embl-heidelberg.de/smart/do_annotation.pl?DOMAIN=HECTc&amp;BLAST=DUMMY","0.82")</f>
        <v>0.82</v>
      </c>
      <c r="CZ735" s="4" t="s">
        <v>42</v>
      </c>
      <c r="DA735" t="s">
        <v>42</v>
      </c>
      <c r="DB735" t="s">
        <v>42</v>
      </c>
      <c r="DC735" t="s">
        <v>42</v>
      </c>
      <c r="DD735" t="s">
        <v>42</v>
      </c>
      <c r="DE735" t="s">
        <v>42</v>
      </c>
      <c r="DF735" t="s">
        <v>42</v>
      </c>
      <c r="DG735" t="s">
        <v>42</v>
      </c>
      <c r="DH735" s="4" t="s">
        <v>42</v>
      </c>
      <c r="DI735" t="s">
        <v>42</v>
      </c>
      <c r="DJ735" s="4" t="s">
        <v>42</v>
      </c>
      <c r="DK735" t="s">
        <v>42</v>
      </c>
      <c r="DL735" s="4">
        <v>496</v>
      </c>
      <c r="DM735">
        <v>1</v>
      </c>
      <c r="DN735" s="4">
        <v>508</v>
      </c>
      <c r="DO735">
        <v>1</v>
      </c>
      <c r="DP735" s="4">
        <v>518</v>
      </c>
      <c r="DQ735">
        <v>1</v>
      </c>
      <c r="DR735" s="4">
        <v>537</v>
      </c>
      <c r="DS735">
        <v>1</v>
      </c>
      <c r="DT735" s="4">
        <v>549</v>
      </c>
      <c r="DU735">
        <v>1</v>
      </c>
      <c r="DV735" s="4">
        <v>563</v>
      </c>
      <c r="DW735">
        <v>1</v>
      </c>
      <c r="DX735" s="4">
        <v>572</v>
      </c>
      <c r="DY735">
        <v>1</v>
      </c>
      <c r="DZ735" s="4">
        <v>580</v>
      </c>
      <c r="EA735">
        <v>1</v>
      </c>
      <c r="EB735" s="4">
        <v>585</v>
      </c>
      <c r="EC735">
        <v>1</v>
      </c>
      <c r="ED735" s="4">
        <v>589</v>
      </c>
      <c r="EE735">
        <v>1</v>
      </c>
      <c r="EF735" s="4">
        <v>595</v>
      </c>
      <c r="EG735">
        <v>1</v>
      </c>
      <c r="EH735" s="4">
        <v>603</v>
      </c>
      <c r="EI735">
        <v>1</v>
      </c>
      <c r="EJ735" s="4">
        <v>610</v>
      </c>
      <c r="EK735">
        <v>1</v>
      </c>
    </row>
    <row r="736" spans="1:141" x14ac:dyDescent="0.2">
      <c r="A736" t="str">
        <f>HYPERLINK("http://exon.niaid.nih.gov/transcriptome/C_felis/S1/links/cf/cf-contig_414.txt","cf-contig_414")</f>
        <v>cf-contig_414</v>
      </c>
      <c r="B736">
        <v>1</v>
      </c>
      <c r="C736" s="10" t="s">
        <v>4600</v>
      </c>
      <c r="D736">
        <v>1</v>
      </c>
      <c r="E736" t="str">
        <f>HYPERLINK("http://exon.niaid.nih.gov/transcriptome/C_felis/S1/links/cf/cf-5-36-asb-414.txt","Contig-414")</f>
        <v>Contig-414</v>
      </c>
      <c r="F736" t="str">
        <f>HYPERLINK("http://exon.niaid.nih.gov/transcriptome/C_felis/S1/links/cf/cf-5-36-414-CLU.txt","Contig414")</f>
        <v>Contig414</v>
      </c>
      <c r="G736" t="str">
        <f>HYPERLINK("http://exon.niaid.nih.gov/transcriptome/C_felis/S1/links/cf/cf-5-36-414-qual.txt","61.9")</f>
        <v>61.9</v>
      </c>
      <c r="H736" t="s">
        <v>11</v>
      </c>
      <c r="I736">
        <v>68.2</v>
      </c>
      <c r="J736">
        <v>302</v>
      </c>
      <c r="K736" t="s">
        <v>12</v>
      </c>
      <c r="L736">
        <v>1</v>
      </c>
      <c r="M736" t="s">
        <v>427</v>
      </c>
      <c r="N736">
        <v>302</v>
      </c>
      <c r="O736">
        <v>321</v>
      </c>
      <c r="P736">
        <v>105</v>
      </c>
      <c r="Q736" t="s">
        <v>1234</v>
      </c>
      <c r="R736">
        <v>2</v>
      </c>
      <c r="S736" s="7" t="s">
        <v>4585</v>
      </c>
      <c r="U736">
        <v>1</v>
      </c>
      <c r="V736" s="4">
        <v>338</v>
      </c>
      <c r="W736">
        <v>1</v>
      </c>
      <c r="X736" s="4">
        <v>346</v>
      </c>
      <c r="Y736">
        <v>1</v>
      </c>
      <c r="Z736" s="4">
        <v>349</v>
      </c>
      <c r="AA736">
        <v>1</v>
      </c>
      <c r="AB736" s="4" t="str">
        <f>HYPERLINK("http://exon.niaid.nih.gov/transcriptome/C_felis/S1/links/XC-ASB/cf-contig_414-XC-ASB.txt","XC-contig_57")</f>
        <v>XC-contig_57</v>
      </c>
      <c r="AC736">
        <v>6.2E-2</v>
      </c>
      <c r="AD736" s="10" t="s">
        <v>4600</v>
      </c>
      <c r="AE736" t="s">
        <v>4601</v>
      </c>
      <c r="AI736" s="4" t="str">
        <f>HYPERLINK("http://exon.niaid.nih.gov/transcriptome/C_felis/S1/links/NR/cf-contig_414-NR.txt","cytochrome oxidase subunit I")</f>
        <v>cytochrome oxidase subunit I</v>
      </c>
      <c r="AJ736" t="str">
        <f>HYPERLINK("http://www.ncbi.nlm.nih.gov/sutils/blink.cgi?pid=224962035","7.3")</f>
        <v>7.3</v>
      </c>
      <c r="AK736" t="str">
        <f>HYPERLINK("http://www.ncbi.nlm.nih.gov/protein/224962035","gi|224962035")</f>
        <v>gi|224962035</v>
      </c>
      <c r="AL736">
        <v>34.299999999999997</v>
      </c>
      <c r="AM736">
        <v>72</v>
      </c>
      <c r="AN736">
        <v>255</v>
      </c>
      <c r="AO736">
        <v>34</v>
      </c>
      <c r="AP736">
        <v>29</v>
      </c>
      <c r="AQ736">
        <v>48</v>
      </c>
      <c r="AR736">
        <v>4</v>
      </c>
      <c r="AS736">
        <v>56</v>
      </c>
      <c r="AT736">
        <v>71</v>
      </c>
      <c r="AU736">
        <v>1</v>
      </c>
      <c r="AV736">
        <v>2</v>
      </c>
      <c r="AW736" t="s">
        <v>12</v>
      </c>
      <c r="AX736">
        <v>2.778</v>
      </c>
      <c r="AY736" t="s">
        <v>1676</v>
      </c>
      <c r="AZ736" t="s">
        <v>3151</v>
      </c>
      <c r="BA736" s="4" t="str">
        <f>HYPERLINK("http://exon.niaid.nih.gov/transcriptome/C_felis/S1/links/SWISSP/cf-contig_414-SWISSP.txt","Cytochrome c oxidase subunit 1")</f>
        <v>Cytochrome c oxidase subunit 1</v>
      </c>
      <c r="BB736" t="str">
        <f>HYPERLINK("http://www.uniprot.org/uniprot/P05489","2.7")</f>
        <v>2.7</v>
      </c>
      <c r="BC736" t="s">
        <v>3152</v>
      </c>
      <c r="BD736">
        <v>30.8</v>
      </c>
      <c r="BE736">
        <v>72</v>
      </c>
      <c r="BF736">
        <v>645</v>
      </c>
      <c r="BG736">
        <v>34</v>
      </c>
      <c r="BH736">
        <v>11</v>
      </c>
      <c r="BI736">
        <v>48</v>
      </c>
      <c r="BJ736">
        <v>4</v>
      </c>
      <c r="BK736">
        <v>102</v>
      </c>
      <c r="BL736">
        <v>71</v>
      </c>
      <c r="BM736">
        <v>1</v>
      </c>
      <c r="BN736">
        <v>2</v>
      </c>
      <c r="BO736" t="s">
        <v>12</v>
      </c>
      <c r="BP736">
        <v>2.778</v>
      </c>
      <c r="BQ736" t="s">
        <v>1676</v>
      </c>
      <c r="BR736" t="s">
        <v>1700</v>
      </c>
      <c r="BS736" s="4" t="str">
        <f>HYPERLINK("http://exon.niaid.nih.gov/transcriptome/C_felis/S1/links/CDD/cf-contig_414-CDD.txt","ND6")</f>
        <v>ND6</v>
      </c>
      <c r="BT736" t="str">
        <f>HYPERLINK("http://www.ncbi.nlm.nih.gov/Structure/cdd/cddsrv.cgi?uid=MTH00097&amp;version=v4.0","0.021")</f>
        <v>0.021</v>
      </c>
      <c r="BU736" t="s">
        <v>3153</v>
      </c>
      <c r="BV736" s="4" t="s">
        <v>42</v>
      </c>
      <c r="BW736" t="s">
        <v>42</v>
      </c>
      <c r="BX736" t="s">
        <v>42</v>
      </c>
      <c r="BY736" t="s">
        <v>42</v>
      </c>
      <c r="BZ736" t="s">
        <v>42</v>
      </c>
      <c r="CA736" t="s">
        <v>42</v>
      </c>
      <c r="CB736" t="s">
        <v>42</v>
      </c>
      <c r="CC736" t="s">
        <v>42</v>
      </c>
      <c r="CD736" t="s">
        <v>42</v>
      </c>
      <c r="CE736" t="s">
        <v>42</v>
      </c>
      <c r="CF736" t="s">
        <v>42</v>
      </c>
      <c r="CG736" t="s">
        <v>42</v>
      </c>
      <c r="CH736" t="s">
        <v>42</v>
      </c>
      <c r="CI736" t="s">
        <v>42</v>
      </c>
      <c r="CJ736" t="s">
        <v>42</v>
      </c>
      <c r="CK736" t="s">
        <v>42</v>
      </c>
      <c r="CL736" t="s">
        <v>42</v>
      </c>
      <c r="CM736" t="s">
        <v>42</v>
      </c>
      <c r="CN736" t="s">
        <v>42</v>
      </c>
      <c r="CO736" t="s">
        <v>42</v>
      </c>
      <c r="CP736" t="s">
        <v>42</v>
      </c>
      <c r="CQ736" t="s">
        <v>42</v>
      </c>
      <c r="CR736" t="s">
        <v>42</v>
      </c>
      <c r="CS736" s="4" t="str">
        <f>HYPERLINK("http://exon.niaid.nih.gov/transcriptome/C_felis/S1/links/KOG/cf-contig_414-KOG.txt","Uncharacterized conserved protein")</f>
        <v>Uncharacterized conserved protein</v>
      </c>
      <c r="CT736" t="str">
        <f>HYPERLINK("http://www.ncbi.nlm.nih.gov/COG/grace/shokog.cgi?KOG3012","0.34")</f>
        <v>0.34</v>
      </c>
      <c r="CU736" t="s">
        <v>1711</v>
      </c>
      <c r="CV736" s="4" t="str">
        <f>HYPERLINK("http://exon.niaid.nih.gov/transcriptome/C_felis/S1/links/PFAM/cf-contig_414-PFAM.txt","ELO")</f>
        <v>ELO</v>
      </c>
      <c r="CW736" t="str">
        <f>HYPERLINK("http://pfam.sanger.ac.uk/family?acc=PF01151","0.12")</f>
        <v>0.12</v>
      </c>
      <c r="CX736" s="4" t="str">
        <f>HYPERLINK("http://exon.niaid.nih.gov/transcriptome/C_felis/S1/links/SMART/cf-contig_414-SMART.txt","PKS_AT")</f>
        <v>PKS_AT</v>
      </c>
      <c r="CY736" t="str">
        <f>HYPERLINK("http://smart.embl-heidelberg.de/smart/do_annotation.pl?DOMAIN=PKS_AT&amp;BLAST=DUMMY","0.24")</f>
        <v>0.24</v>
      </c>
      <c r="CZ736" s="4" t="s">
        <v>42</v>
      </c>
      <c r="DA736" t="s">
        <v>42</v>
      </c>
      <c r="DB736" t="s">
        <v>42</v>
      </c>
      <c r="DC736" t="s">
        <v>42</v>
      </c>
      <c r="DD736" t="s">
        <v>42</v>
      </c>
      <c r="DE736" t="s">
        <v>42</v>
      </c>
      <c r="DF736" t="s">
        <v>42</v>
      </c>
      <c r="DG736" t="s">
        <v>42</v>
      </c>
      <c r="DH736" s="4" t="s">
        <v>42</v>
      </c>
      <c r="DI736" t="s">
        <v>42</v>
      </c>
      <c r="DJ736" s="4" t="s">
        <v>42</v>
      </c>
      <c r="DK736" t="s">
        <v>42</v>
      </c>
      <c r="DL736" s="4">
        <v>338</v>
      </c>
      <c r="DM736">
        <v>1</v>
      </c>
      <c r="DN736" s="4">
        <v>346</v>
      </c>
      <c r="DO736">
        <v>1</v>
      </c>
      <c r="DP736" s="4">
        <v>349</v>
      </c>
      <c r="DQ736">
        <v>1</v>
      </c>
      <c r="DR736" s="4">
        <v>360</v>
      </c>
      <c r="DS736">
        <v>1</v>
      </c>
      <c r="DT736" s="4">
        <v>370</v>
      </c>
      <c r="DU736">
        <v>1</v>
      </c>
      <c r="DV736" s="4">
        <v>383</v>
      </c>
      <c r="DW736">
        <v>1</v>
      </c>
      <c r="DX736" s="4">
        <v>386</v>
      </c>
      <c r="DY736">
        <v>1</v>
      </c>
      <c r="DZ736" s="4">
        <v>391</v>
      </c>
      <c r="EA736">
        <v>1</v>
      </c>
      <c r="EB736" s="4">
        <v>396</v>
      </c>
      <c r="EC736">
        <v>1</v>
      </c>
      <c r="ED736" s="4">
        <v>400</v>
      </c>
      <c r="EE736">
        <v>1</v>
      </c>
      <c r="EF736" s="4">
        <v>405</v>
      </c>
      <c r="EG736">
        <v>1</v>
      </c>
      <c r="EH736" s="4">
        <v>408</v>
      </c>
      <c r="EI736">
        <v>1</v>
      </c>
      <c r="EJ736" s="4">
        <v>414</v>
      </c>
      <c r="EK736">
        <v>1</v>
      </c>
    </row>
    <row r="737" spans="1:141" x14ac:dyDescent="0.2">
      <c r="A737" t="str">
        <f>HYPERLINK("http://exon.niaid.nih.gov/transcriptome/C_felis/S1/links/cf/cf-contig_236.txt","cf-contig_236")</f>
        <v>cf-contig_236</v>
      </c>
      <c r="B737">
        <v>3</v>
      </c>
      <c r="C737" s="10" t="s">
        <v>4600</v>
      </c>
      <c r="D737">
        <v>3</v>
      </c>
      <c r="E737" t="str">
        <f>HYPERLINK("http://exon.niaid.nih.gov/transcriptome/C_felis/S1/links/cf/cf-5-36-asb-236.txt","Contig-236")</f>
        <v>Contig-236</v>
      </c>
      <c r="F737" t="str">
        <f>HYPERLINK("http://exon.niaid.nih.gov/transcriptome/C_felis/S1/links/cf/cf-5-36-236-CLU.txt","Contig236")</f>
        <v>Contig236</v>
      </c>
      <c r="G737" t="str">
        <f>HYPERLINK("http://exon.niaid.nih.gov/transcriptome/C_felis/S1/links/cf/cf-5-36-236-qual.txt","88.5")</f>
        <v>88.5</v>
      </c>
      <c r="H737" t="s">
        <v>11</v>
      </c>
      <c r="I737">
        <v>78.900000000000006</v>
      </c>
      <c r="J737">
        <v>194</v>
      </c>
      <c r="K737" t="s">
        <v>12</v>
      </c>
      <c r="L737">
        <v>3</v>
      </c>
      <c r="M737" t="s">
        <v>249</v>
      </c>
      <c r="N737">
        <v>198</v>
      </c>
      <c r="O737">
        <v>213</v>
      </c>
      <c r="P737">
        <v>84</v>
      </c>
      <c r="Q737" t="s">
        <v>1056</v>
      </c>
      <c r="R737">
        <v>2</v>
      </c>
      <c r="S737" s="7" t="s">
        <v>4585</v>
      </c>
      <c r="U737">
        <v>3</v>
      </c>
      <c r="V737" s="4">
        <v>186</v>
      </c>
      <c r="W737">
        <v>1</v>
      </c>
      <c r="X737" s="4">
        <v>189</v>
      </c>
      <c r="Y737">
        <v>1</v>
      </c>
      <c r="Z737" s="4">
        <v>187</v>
      </c>
      <c r="AA737">
        <v>1</v>
      </c>
      <c r="AB737" s="4" t="str">
        <f>HYPERLINK("http://exon.niaid.nih.gov/transcriptome/C_felis/S1/links/XC-ASB/cf-contig_236-XC-ASB.txt","XC-contig_135")</f>
        <v>XC-contig_135</v>
      </c>
      <c r="AC737">
        <v>3.5999999999999997E-2</v>
      </c>
      <c r="AD737" s="10" t="s">
        <v>4600</v>
      </c>
      <c r="AE737" t="s">
        <v>4601</v>
      </c>
      <c r="AI737" s="4" t="str">
        <f>HYPERLINK("http://exon.niaid.nih.gov/transcriptome/C_felis/S1/links/NR/cf-contig_236-NR.txt","hypothetical protein")</f>
        <v>hypothetical protein</v>
      </c>
      <c r="AJ737" t="str">
        <f>HYPERLINK("http://www.ncbi.nlm.nih.gov/sutils/blink.cgi?pid=145534095","46")</f>
        <v>46</v>
      </c>
      <c r="AK737" t="str">
        <f>HYPERLINK("http://www.ncbi.nlm.nih.gov/protein/145534095","gi|145534095")</f>
        <v>gi|145534095</v>
      </c>
      <c r="AL737">
        <v>31.6</v>
      </c>
      <c r="AM737">
        <v>44</v>
      </c>
      <c r="AN737">
        <v>901</v>
      </c>
      <c r="AO737">
        <v>40</v>
      </c>
      <c r="AP737">
        <v>5</v>
      </c>
      <c r="AQ737">
        <v>27</v>
      </c>
      <c r="AR737">
        <v>0</v>
      </c>
      <c r="AS737">
        <v>274</v>
      </c>
      <c r="AT737">
        <v>11</v>
      </c>
      <c r="AU737">
        <v>1</v>
      </c>
      <c r="AV737">
        <v>2</v>
      </c>
      <c r="AW737" t="s">
        <v>12</v>
      </c>
      <c r="AX737">
        <v>2.2730000000000001</v>
      </c>
      <c r="AY737" t="s">
        <v>1676</v>
      </c>
      <c r="AZ737" t="s">
        <v>1700</v>
      </c>
      <c r="BA737" s="4" t="str">
        <f>HYPERLINK("http://exon.niaid.nih.gov/transcriptome/C_felis/S1/links/SWISSP/cf-contig_236-SWISSP.txt","DNA-directed RNA polymerase 147 kDa polypeptide")</f>
        <v>DNA-directed RNA polymerase 147 kDa polypeptide</v>
      </c>
      <c r="BB737" t="str">
        <f>HYPERLINK("http://www.uniprot.org/uniprot/Q9J593","37")</f>
        <v>37</v>
      </c>
      <c r="BC737" t="s">
        <v>2557</v>
      </c>
      <c r="BD737">
        <v>23.9</v>
      </c>
      <c r="BE737">
        <v>72</v>
      </c>
      <c r="BF737">
        <v>1287</v>
      </c>
      <c r="BG737">
        <v>20</v>
      </c>
      <c r="BH737">
        <v>6</v>
      </c>
      <c r="BI737">
        <v>27</v>
      </c>
      <c r="BJ737">
        <v>0</v>
      </c>
      <c r="BK737">
        <v>1014</v>
      </c>
      <c r="BL737">
        <v>8</v>
      </c>
      <c r="BM737">
        <v>2</v>
      </c>
      <c r="BN737">
        <v>-2</v>
      </c>
      <c r="BO737" t="s">
        <v>1689</v>
      </c>
      <c r="BP737">
        <v>1.389</v>
      </c>
      <c r="BQ737" t="s">
        <v>1666</v>
      </c>
      <c r="BR737" t="s">
        <v>2054</v>
      </c>
      <c r="BS737" s="4" t="str">
        <f>HYPERLINK("http://exon.niaid.nih.gov/transcriptome/C_felis/S1/links/CDD/cf-contig_236-CDD.txt","ND4")</f>
        <v>ND4</v>
      </c>
      <c r="BT737" t="str">
        <f>HYPERLINK("http://www.ncbi.nlm.nih.gov/Structure/cdd/cddsrv.cgi?uid=MTH00094&amp;version=v4.0","0.071")</f>
        <v>0.071</v>
      </c>
      <c r="BU737" t="s">
        <v>2558</v>
      </c>
      <c r="BV737" s="4" t="s">
        <v>42</v>
      </c>
      <c r="BW737" t="s">
        <v>42</v>
      </c>
      <c r="BX737" t="s">
        <v>42</v>
      </c>
      <c r="BY737" t="s">
        <v>42</v>
      </c>
      <c r="BZ737" t="s">
        <v>42</v>
      </c>
      <c r="CA737" t="s">
        <v>42</v>
      </c>
      <c r="CB737" t="s">
        <v>42</v>
      </c>
      <c r="CC737" t="s">
        <v>42</v>
      </c>
      <c r="CD737" t="s">
        <v>42</v>
      </c>
      <c r="CE737" t="s">
        <v>42</v>
      </c>
      <c r="CF737" t="s">
        <v>42</v>
      </c>
      <c r="CG737" t="s">
        <v>42</v>
      </c>
      <c r="CH737" t="s">
        <v>42</v>
      </c>
      <c r="CI737" t="s">
        <v>42</v>
      </c>
      <c r="CJ737" t="s">
        <v>42</v>
      </c>
      <c r="CK737" t="s">
        <v>42</v>
      </c>
      <c r="CL737" t="s">
        <v>42</v>
      </c>
      <c r="CM737" t="s">
        <v>42</v>
      </c>
      <c r="CN737" t="s">
        <v>42</v>
      </c>
      <c r="CO737" t="s">
        <v>42</v>
      </c>
      <c r="CP737" t="s">
        <v>42</v>
      </c>
      <c r="CQ737" t="s">
        <v>42</v>
      </c>
      <c r="CR737" t="s">
        <v>42</v>
      </c>
      <c r="CS737" s="4" t="str">
        <f>HYPERLINK("http://exon.niaid.nih.gov/transcriptome/C_felis/S1/links/KOG/cf-contig_236-KOG.txt","K+-dependent Na+:Ca2+ antiporter")</f>
        <v>K+-dependent Na+:Ca2+ antiporter</v>
      </c>
      <c r="CT737" t="str">
        <f>HYPERLINK("http://www.ncbi.nlm.nih.gov/COG/grace/shokog.cgi?KOG2399","2.3")</f>
        <v>2.3</v>
      </c>
      <c r="CU737" t="s">
        <v>1681</v>
      </c>
      <c r="CV737" s="4" t="str">
        <f>HYPERLINK("http://exon.niaid.nih.gov/transcriptome/C_felis/S1/links/PFAM/cf-contig_236-PFAM.txt","Baculo_p47")</f>
        <v>Baculo_p47</v>
      </c>
      <c r="CW737" t="str">
        <f>HYPERLINK("http://pfam.sanger.ac.uk/family?acc=PF05112","0.13")</f>
        <v>0.13</v>
      </c>
      <c r="CX737" s="4" t="str">
        <f>HYPERLINK("http://exon.niaid.nih.gov/transcriptome/C_felis/S1/links/SMART/cf-contig_236-SMART.txt","GIYc")</f>
        <v>GIYc</v>
      </c>
      <c r="CY737" t="str">
        <f>HYPERLINK("http://smart.embl-heidelberg.de/smart/do_annotation.pl?DOMAIN=GIYc&amp;BLAST=DUMMY","0.035")</f>
        <v>0.035</v>
      </c>
      <c r="CZ737" s="4" t="s">
        <v>42</v>
      </c>
      <c r="DA737" t="s">
        <v>42</v>
      </c>
      <c r="DB737" t="s">
        <v>42</v>
      </c>
      <c r="DC737" t="s">
        <v>42</v>
      </c>
      <c r="DD737" t="s">
        <v>42</v>
      </c>
      <c r="DE737" t="s">
        <v>42</v>
      </c>
      <c r="DF737" t="s">
        <v>42</v>
      </c>
      <c r="DG737" t="s">
        <v>42</v>
      </c>
      <c r="DH737" s="4" t="s">
        <v>42</v>
      </c>
      <c r="DI737" t="s">
        <v>42</v>
      </c>
      <c r="DJ737" s="4" t="s">
        <v>42</v>
      </c>
      <c r="DK737" t="s">
        <v>42</v>
      </c>
      <c r="DL737" s="4">
        <v>186</v>
      </c>
      <c r="DM737">
        <v>1</v>
      </c>
      <c r="DN737" s="4">
        <v>189</v>
      </c>
      <c r="DO737">
        <v>1</v>
      </c>
      <c r="DP737" s="4">
        <v>187</v>
      </c>
      <c r="DQ737">
        <v>1</v>
      </c>
      <c r="DR737" s="4">
        <v>194</v>
      </c>
      <c r="DS737">
        <v>1</v>
      </c>
      <c r="DT737" s="4">
        <v>200</v>
      </c>
      <c r="DU737">
        <v>1</v>
      </c>
      <c r="DV737" s="4">
        <v>212</v>
      </c>
      <c r="DW737">
        <v>1</v>
      </c>
      <c r="DX737" s="4">
        <v>214</v>
      </c>
      <c r="DY737">
        <v>1</v>
      </c>
      <c r="DZ737" s="4">
        <v>218</v>
      </c>
      <c r="EA737">
        <v>1</v>
      </c>
      <c r="EB737" s="4">
        <v>223</v>
      </c>
      <c r="EC737">
        <v>1</v>
      </c>
      <c r="ED737" s="4">
        <v>226</v>
      </c>
      <c r="EE737">
        <v>1</v>
      </c>
      <c r="EF737" s="4">
        <v>229</v>
      </c>
      <c r="EG737">
        <v>1</v>
      </c>
      <c r="EH737" s="4">
        <v>231</v>
      </c>
      <c r="EI737">
        <v>1</v>
      </c>
      <c r="EJ737" s="4">
        <v>236</v>
      </c>
      <c r="EK737">
        <v>1</v>
      </c>
    </row>
    <row r="738" spans="1:141" x14ac:dyDescent="0.2">
      <c r="A738" t="str">
        <f>HYPERLINK("http://exon.niaid.nih.gov/transcriptome/C_felis/S1/links/cf/cf-contig_273.txt","cf-contig_273")</f>
        <v>cf-contig_273</v>
      </c>
      <c r="B738">
        <v>1</v>
      </c>
      <c r="C738" s="10" t="s">
        <v>4600</v>
      </c>
      <c r="D738">
        <v>1</v>
      </c>
      <c r="E738" t="str">
        <f>HYPERLINK("http://exon.niaid.nih.gov/transcriptome/C_felis/S1/links/cf/cf-5-36-asb-273.txt","Contig-273")</f>
        <v>Contig-273</v>
      </c>
      <c r="F738" t="str">
        <f>HYPERLINK("http://exon.niaid.nih.gov/transcriptome/C_felis/S1/links/cf/cf-5-36-273-CLU.txt","Contig273")</f>
        <v>Contig273</v>
      </c>
      <c r="G738" t="str">
        <f>HYPERLINK("http://exon.niaid.nih.gov/transcriptome/C_felis/S1/links/cf/cf-5-36-273-qual.txt","62.1")</f>
        <v>62.1</v>
      </c>
      <c r="H738" t="s">
        <v>11</v>
      </c>
      <c r="I738">
        <v>80.5</v>
      </c>
      <c r="J738">
        <v>145</v>
      </c>
      <c r="K738" t="s">
        <v>12</v>
      </c>
      <c r="L738">
        <v>1</v>
      </c>
      <c r="M738" t="s">
        <v>286</v>
      </c>
      <c r="N738">
        <v>145</v>
      </c>
      <c r="O738">
        <v>164</v>
      </c>
      <c r="P738">
        <v>78</v>
      </c>
      <c r="Q738" t="s">
        <v>1093</v>
      </c>
      <c r="R738">
        <v>3</v>
      </c>
      <c r="S738" s="7" t="s">
        <v>4585</v>
      </c>
      <c r="U738">
        <v>1</v>
      </c>
      <c r="V738" s="4">
        <v>217</v>
      </c>
      <c r="W738">
        <v>1</v>
      </c>
      <c r="X738" s="4">
        <v>222</v>
      </c>
      <c r="Y738">
        <v>1</v>
      </c>
      <c r="Z738" s="4">
        <v>221</v>
      </c>
      <c r="AA738">
        <v>1</v>
      </c>
      <c r="AB738" s="4" t="str">
        <f>HYPERLINK("http://exon.niaid.nih.gov/transcriptome/C_felis/S1/links/XC-ASB/cf-contig_273-XC-ASB.txt","XC-contig_244")</f>
        <v>XC-contig_244</v>
      </c>
      <c r="AC738">
        <v>1</v>
      </c>
      <c r="AD738" s="10" t="s">
        <v>4600</v>
      </c>
      <c r="AE738" t="s">
        <v>4601</v>
      </c>
      <c r="AI738" s="4" t="str">
        <f>HYPERLINK("http://exon.niaid.nih.gov/transcriptome/C_felis/S1/links/NR/cf-contig_273-NR.txt","hypothetical protein")</f>
        <v>hypothetical protein</v>
      </c>
      <c r="AJ738" t="str">
        <f>HYPERLINK("http://www.ncbi.nlm.nih.gov/sutils/blink.cgi?pid=145504727","61")</f>
        <v>61</v>
      </c>
      <c r="AK738" t="str">
        <f>HYPERLINK("http://www.ncbi.nlm.nih.gov/protein/145504727","gi|145504727")</f>
        <v>gi|145504727</v>
      </c>
      <c r="AL738">
        <v>31.2</v>
      </c>
      <c r="AM738">
        <v>35</v>
      </c>
      <c r="AN738">
        <v>1631</v>
      </c>
      <c r="AO738">
        <v>51</v>
      </c>
      <c r="AP738">
        <v>2</v>
      </c>
      <c r="AQ738">
        <v>19</v>
      </c>
      <c r="AR738">
        <v>0</v>
      </c>
      <c r="AS738">
        <v>83</v>
      </c>
      <c r="AT738">
        <v>24</v>
      </c>
      <c r="AU738">
        <v>1</v>
      </c>
      <c r="AV738">
        <v>-1</v>
      </c>
      <c r="AW738" t="s">
        <v>12</v>
      </c>
      <c r="AX738">
        <v>2.8570000000000002</v>
      </c>
      <c r="AY738" t="s">
        <v>1666</v>
      </c>
      <c r="AZ738" t="s">
        <v>1700</v>
      </c>
      <c r="BA738" s="4" t="str">
        <f>HYPERLINK("http://exon.niaid.nih.gov/transcriptome/C_felis/S1/links/SWISSP/cf-contig_273-SWISSP.txt","Argininosuccinate lyase")</f>
        <v>Argininosuccinate lyase</v>
      </c>
      <c r="BB738" t="str">
        <f>HYPERLINK("http://www.uniprot.org/uniprot/Q4FNK3","11")</f>
        <v>11</v>
      </c>
      <c r="BC738" t="s">
        <v>2660</v>
      </c>
      <c r="BD738">
        <v>28.9</v>
      </c>
      <c r="BE738">
        <v>25</v>
      </c>
      <c r="BF738">
        <v>462</v>
      </c>
      <c r="BG738">
        <v>50</v>
      </c>
      <c r="BH738">
        <v>6</v>
      </c>
      <c r="BI738">
        <v>13</v>
      </c>
      <c r="BJ738">
        <v>0</v>
      </c>
      <c r="BK738">
        <v>333</v>
      </c>
      <c r="BL738">
        <v>26</v>
      </c>
      <c r="BM738">
        <v>1</v>
      </c>
      <c r="BN738">
        <v>-2</v>
      </c>
      <c r="BO738" t="s">
        <v>12</v>
      </c>
      <c r="BQ738" t="s">
        <v>1666</v>
      </c>
      <c r="BR738" t="s">
        <v>2661</v>
      </c>
      <c r="BS738" s="4" t="str">
        <f>HYPERLINK("http://exon.niaid.nih.gov/transcriptome/C_felis/S1/links/CDD/cf-contig_273-CDD.txt","PRK09573")</f>
        <v>PRK09573</v>
      </c>
      <c r="BT738" t="str">
        <f>HYPERLINK("http://www.ncbi.nlm.nih.gov/Structure/cdd/cddsrv.cgi?uid=PRK09573&amp;version=v4.0","1.1")</f>
        <v>1.1</v>
      </c>
      <c r="BU738" t="s">
        <v>2662</v>
      </c>
      <c r="BV738" s="4" t="s">
        <v>42</v>
      </c>
      <c r="BW738" t="s">
        <v>42</v>
      </c>
      <c r="BX738" t="s">
        <v>42</v>
      </c>
      <c r="BY738" t="s">
        <v>42</v>
      </c>
      <c r="BZ738" t="s">
        <v>42</v>
      </c>
      <c r="CA738" t="s">
        <v>42</v>
      </c>
      <c r="CB738" t="s">
        <v>42</v>
      </c>
      <c r="CC738" t="s">
        <v>42</v>
      </c>
      <c r="CD738" t="s">
        <v>42</v>
      </c>
      <c r="CE738" t="s">
        <v>42</v>
      </c>
      <c r="CF738" t="s">
        <v>42</v>
      </c>
      <c r="CG738" t="s">
        <v>42</v>
      </c>
      <c r="CH738" t="s">
        <v>42</v>
      </c>
      <c r="CI738" t="s">
        <v>42</v>
      </c>
      <c r="CJ738" t="s">
        <v>42</v>
      </c>
      <c r="CK738" t="s">
        <v>42</v>
      </c>
      <c r="CL738" t="s">
        <v>42</v>
      </c>
      <c r="CM738" t="s">
        <v>42</v>
      </c>
      <c r="CN738" t="s">
        <v>42</v>
      </c>
      <c r="CO738" t="s">
        <v>42</v>
      </c>
      <c r="CP738" t="s">
        <v>42</v>
      </c>
      <c r="CQ738" t="s">
        <v>42</v>
      </c>
      <c r="CR738" t="s">
        <v>42</v>
      </c>
      <c r="CS738" s="4" t="str">
        <f>HYPERLINK("http://exon.niaid.nih.gov/transcriptome/C_felis/S1/links/KOG/cf-contig_273-KOG.txt","Predicted membrane protein")</f>
        <v>Predicted membrane protein</v>
      </c>
      <c r="CT738" t="str">
        <f>HYPERLINK("http://www.ncbi.nlm.nih.gov/COG/grace/shokog.cgi?KOG2765","1.5")</f>
        <v>1.5</v>
      </c>
      <c r="CU738" t="s">
        <v>1711</v>
      </c>
      <c r="CV738" s="4" t="str">
        <f>HYPERLINK("http://exon.niaid.nih.gov/transcriptome/C_felis/S1/links/PFAM/cf-contig_273-PFAM.txt","PAZ")</f>
        <v>PAZ</v>
      </c>
      <c r="CW738" t="str">
        <f>HYPERLINK("http://pfam.sanger.ac.uk/family?acc=PF02170","0.45")</f>
        <v>0.45</v>
      </c>
      <c r="CX738" s="4" t="str">
        <f>HYPERLINK("http://exon.niaid.nih.gov/transcriptome/C_felis/S1/links/SMART/cf-contig_273-SMART.txt","PAZ")</f>
        <v>PAZ</v>
      </c>
      <c r="CY738" t="str">
        <f>HYPERLINK("http://smart.embl-heidelberg.de/smart/do_annotation.pl?DOMAIN=PAZ&amp;BLAST=DUMMY","0.48")</f>
        <v>0.48</v>
      </c>
      <c r="CZ738" s="4" t="s">
        <v>42</v>
      </c>
      <c r="DA738" t="s">
        <v>42</v>
      </c>
      <c r="DB738" t="s">
        <v>42</v>
      </c>
      <c r="DC738" t="s">
        <v>42</v>
      </c>
      <c r="DD738" t="s">
        <v>42</v>
      </c>
      <c r="DE738" t="s">
        <v>42</v>
      </c>
      <c r="DF738" t="s">
        <v>42</v>
      </c>
      <c r="DG738" t="s">
        <v>42</v>
      </c>
      <c r="DH738" s="4" t="s">
        <v>42</v>
      </c>
      <c r="DI738" t="s">
        <v>42</v>
      </c>
      <c r="DJ738" s="4" t="s">
        <v>42</v>
      </c>
      <c r="DK738" t="s">
        <v>42</v>
      </c>
      <c r="DL738" s="4">
        <v>217</v>
      </c>
      <c r="DM738">
        <v>1</v>
      </c>
      <c r="DN738" s="4">
        <v>222</v>
      </c>
      <c r="DO738">
        <v>1</v>
      </c>
      <c r="DP738" s="4">
        <v>221</v>
      </c>
      <c r="DQ738">
        <v>1</v>
      </c>
      <c r="DR738" s="4">
        <v>230</v>
      </c>
      <c r="DS738">
        <v>1</v>
      </c>
      <c r="DT738" s="4">
        <v>236</v>
      </c>
      <c r="DU738">
        <v>1</v>
      </c>
      <c r="DV738" s="4">
        <v>248</v>
      </c>
      <c r="DW738">
        <v>1</v>
      </c>
      <c r="DX738" s="4">
        <v>250</v>
      </c>
      <c r="DY738">
        <v>1</v>
      </c>
      <c r="DZ738" s="4">
        <v>255</v>
      </c>
      <c r="EA738">
        <v>1</v>
      </c>
      <c r="EB738" s="4">
        <v>260</v>
      </c>
      <c r="EC738">
        <v>1</v>
      </c>
      <c r="ED738" s="4">
        <v>263</v>
      </c>
      <c r="EE738">
        <v>1</v>
      </c>
      <c r="EF738" s="4">
        <v>266</v>
      </c>
      <c r="EG738">
        <v>1</v>
      </c>
      <c r="EH738" s="4">
        <v>268</v>
      </c>
      <c r="EI738">
        <v>1</v>
      </c>
      <c r="EJ738" s="4">
        <v>273</v>
      </c>
      <c r="EK738">
        <v>1</v>
      </c>
    </row>
    <row r="739" spans="1:141" x14ac:dyDescent="0.2">
      <c r="A739" t="str">
        <f>HYPERLINK("http://exon.niaid.nih.gov/transcriptome/C_felis/S1/links/cf/cf-contig_343.txt","cf-contig_343")</f>
        <v>cf-contig_343</v>
      </c>
      <c r="B739">
        <v>1</v>
      </c>
      <c r="C739" s="10" t="s">
        <v>4600</v>
      </c>
      <c r="D739">
        <v>1</v>
      </c>
      <c r="E739" t="str">
        <f>HYPERLINK("http://exon.niaid.nih.gov/transcriptome/C_felis/S1/links/cf/cf-5-36-asb-343.txt","Contig-343")</f>
        <v>Contig-343</v>
      </c>
      <c r="F739" t="str">
        <f>HYPERLINK("http://exon.niaid.nih.gov/transcriptome/C_felis/S1/links/cf/cf-5-36-343-CLU.txt","Contig343")</f>
        <v>Contig343</v>
      </c>
      <c r="G739" t="str">
        <f>HYPERLINK("http://exon.niaid.nih.gov/transcriptome/C_felis/S1/links/cf/cf-5-36-343-qual.txt","53.9")</f>
        <v>53.9</v>
      </c>
      <c r="H739" t="s">
        <v>11</v>
      </c>
      <c r="I739">
        <v>71</v>
      </c>
      <c r="J739">
        <v>274</v>
      </c>
      <c r="K739" t="s">
        <v>12</v>
      </c>
      <c r="L739">
        <v>1</v>
      </c>
      <c r="M739" t="s">
        <v>356</v>
      </c>
      <c r="N739">
        <v>274</v>
      </c>
      <c r="O739">
        <v>293</v>
      </c>
      <c r="P739">
        <v>99</v>
      </c>
      <c r="Q739" t="s">
        <v>1163</v>
      </c>
      <c r="R739">
        <v>3</v>
      </c>
      <c r="S739" s="7" t="s">
        <v>4585</v>
      </c>
      <c r="U739">
        <v>1</v>
      </c>
      <c r="V739" s="4">
        <v>276</v>
      </c>
      <c r="W739">
        <v>1</v>
      </c>
      <c r="X739" s="4">
        <v>282</v>
      </c>
      <c r="Y739">
        <v>1</v>
      </c>
      <c r="Z739" s="4">
        <v>281</v>
      </c>
      <c r="AA739">
        <v>1</v>
      </c>
      <c r="AB739" s="4" t="str">
        <f>HYPERLINK("http://exon.niaid.nih.gov/transcriptome/C_felis/S1/links/XC-ASB/cf-contig_343-XC-ASB.txt","XC-contig_175")</f>
        <v>XC-contig_175</v>
      </c>
      <c r="AC739">
        <v>1.3</v>
      </c>
      <c r="AD739" s="10" t="s">
        <v>4600</v>
      </c>
      <c r="AE739" t="s">
        <v>4601</v>
      </c>
      <c r="AI739" s="4" t="str">
        <f>HYPERLINK("http://exon.niaid.nih.gov/transcriptome/C_felis/S1/links/NR/cf-contig_343-NR.txt","hypothetical protein")</f>
        <v>hypothetical protein</v>
      </c>
      <c r="AJ739" t="str">
        <f>HYPERLINK("http://www.ncbi.nlm.nih.gov/sutils/blink.cgi?pid=145475435","21")</f>
        <v>21</v>
      </c>
      <c r="AK739" t="str">
        <f>HYPERLINK("http://www.ncbi.nlm.nih.gov/protein/145475435","gi|145475435")</f>
        <v>gi|145475435</v>
      </c>
      <c r="AL739">
        <v>32.700000000000003</v>
      </c>
      <c r="AM739">
        <v>50</v>
      </c>
      <c r="AN739">
        <v>247</v>
      </c>
      <c r="AO739">
        <v>38</v>
      </c>
      <c r="AP739">
        <v>21</v>
      </c>
      <c r="AQ739">
        <v>32</v>
      </c>
      <c r="AR739">
        <v>0</v>
      </c>
      <c r="AS739">
        <v>6</v>
      </c>
      <c r="AT739">
        <v>118</v>
      </c>
      <c r="AU739">
        <v>1</v>
      </c>
      <c r="AV739">
        <v>-3</v>
      </c>
      <c r="AW739" t="s">
        <v>12</v>
      </c>
      <c r="AX739">
        <v>2</v>
      </c>
      <c r="AY739" t="s">
        <v>1666</v>
      </c>
      <c r="AZ739" t="s">
        <v>1700</v>
      </c>
      <c r="BA739" s="4" t="str">
        <f>HYPERLINK("http://exon.niaid.nih.gov/transcriptome/C_felis/S1/links/SWISSP/cf-contig_343-SWISSP.txt","Protein TIF31 homolog")</f>
        <v>Protein TIF31 homolog</v>
      </c>
      <c r="BB739" t="str">
        <f>HYPERLINK("http://www.uniprot.org/uniprot/O59742","24")</f>
        <v>24</v>
      </c>
      <c r="BC739" t="s">
        <v>2892</v>
      </c>
      <c r="BD739">
        <v>27.7</v>
      </c>
      <c r="BE739">
        <v>50</v>
      </c>
      <c r="BF739">
        <v>1173</v>
      </c>
      <c r="BG739">
        <v>27</v>
      </c>
      <c r="BH739">
        <v>4</v>
      </c>
      <c r="BI739">
        <v>37</v>
      </c>
      <c r="BJ739">
        <v>0</v>
      </c>
      <c r="BK739">
        <v>815</v>
      </c>
      <c r="BL739">
        <v>120</v>
      </c>
      <c r="BM739">
        <v>1</v>
      </c>
      <c r="BN739">
        <v>-1</v>
      </c>
      <c r="BO739" t="s">
        <v>12</v>
      </c>
      <c r="BP739">
        <v>4</v>
      </c>
      <c r="BQ739" t="s">
        <v>1666</v>
      </c>
      <c r="BR739" t="s">
        <v>1695</v>
      </c>
      <c r="BS739" s="4" t="str">
        <f>HYPERLINK("http://exon.niaid.nih.gov/transcriptome/C_felis/S1/links/CDD/cf-contig_343-CDD.txt","CLN3")</f>
        <v>CLN3</v>
      </c>
      <c r="BT739" t="str">
        <f>HYPERLINK("http://www.ncbi.nlm.nih.gov/Structure/cdd/cddsrv.cgi?uid=pfam02487&amp;version=v4.0","0.045")</f>
        <v>0.045</v>
      </c>
      <c r="BU739" t="s">
        <v>2893</v>
      </c>
      <c r="BV739" s="4" t="s">
        <v>42</v>
      </c>
      <c r="BW739" t="s">
        <v>42</v>
      </c>
      <c r="BX739" t="s">
        <v>42</v>
      </c>
      <c r="BY739" t="s">
        <v>42</v>
      </c>
      <c r="BZ739" t="s">
        <v>42</v>
      </c>
      <c r="CA739" t="s">
        <v>42</v>
      </c>
      <c r="CB739" t="s">
        <v>42</v>
      </c>
      <c r="CC739" t="s">
        <v>42</v>
      </c>
      <c r="CD739" t="s">
        <v>42</v>
      </c>
      <c r="CE739" t="s">
        <v>42</v>
      </c>
      <c r="CF739" t="s">
        <v>42</v>
      </c>
      <c r="CG739" t="s">
        <v>42</v>
      </c>
      <c r="CH739" t="s">
        <v>42</v>
      </c>
      <c r="CI739" t="s">
        <v>42</v>
      </c>
      <c r="CJ739" t="s">
        <v>42</v>
      </c>
      <c r="CK739" t="s">
        <v>42</v>
      </c>
      <c r="CL739" t="s">
        <v>42</v>
      </c>
      <c r="CM739" t="s">
        <v>42</v>
      </c>
      <c r="CN739" t="s">
        <v>42</v>
      </c>
      <c r="CO739" t="s">
        <v>42</v>
      </c>
      <c r="CP739" t="s">
        <v>42</v>
      </c>
      <c r="CQ739" t="s">
        <v>42</v>
      </c>
      <c r="CR739" t="s">
        <v>42</v>
      </c>
      <c r="CS739" s="4" t="str">
        <f>HYPERLINK("http://exon.niaid.nih.gov/transcriptome/C_felis/S1/links/KOG/cf-contig_343-KOG.txt","Predicted small molecule transporter involved in cellular pH homeostasis (Batten disease protein in human)")</f>
        <v>Predicted small molecule transporter involved in cellular pH homeostasis (Batten disease protein in human)</v>
      </c>
      <c r="CT739" t="str">
        <f>HYPERLINK("http://www.ncbi.nlm.nih.gov/COG/grace/shokog.cgi?KOG3880","0.083")</f>
        <v>0.083</v>
      </c>
      <c r="CU739" t="s">
        <v>1721</v>
      </c>
      <c r="CV739" s="4" t="str">
        <f>HYPERLINK("http://exon.niaid.nih.gov/transcriptome/C_felis/S1/links/PFAM/cf-contig_343-PFAM.txt","CLN3")</f>
        <v>CLN3</v>
      </c>
      <c r="CW739" t="str">
        <f>HYPERLINK("http://pfam.sanger.ac.uk/family?acc=PF02487","0.009")</f>
        <v>0.009</v>
      </c>
      <c r="CX739" s="4" t="str">
        <f>HYPERLINK("http://exon.niaid.nih.gov/transcriptome/C_felis/S1/links/SMART/cf-contig_343-SMART.txt","CAMSAP_CKK")</f>
        <v>CAMSAP_CKK</v>
      </c>
      <c r="CY739" t="str">
        <f>HYPERLINK("http://smart.embl-heidelberg.de/smart/do_annotation.pl?DOMAIN=CAMSAP_CKK&amp;BLAST=DUMMY","0.068")</f>
        <v>0.068</v>
      </c>
      <c r="CZ739" s="4" t="s">
        <v>42</v>
      </c>
      <c r="DA739" t="s">
        <v>42</v>
      </c>
      <c r="DB739" t="s">
        <v>42</v>
      </c>
      <c r="DC739" t="s">
        <v>42</v>
      </c>
      <c r="DD739" t="s">
        <v>42</v>
      </c>
      <c r="DE739" t="s">
        <v>42</v>
      </c>
      <c r="DF739" t="s">
        <v>42</v>
      </c>
      <c r="DG739" t="s">
        <v>42</v>
      </c>
      <c r="DH739" s="4" t="s">
        <v>42</v>
      </c>
      <c r="DI739" t="s">
        <v>42</v>
      </c>
      <c r="DJ739" s="4" t="s">
        <v>42</v>
      </c>
      <c r="DK739" t="s">
        <v>42</v>
      </c>
      <c r="DL739" s="4">
        <v>276</v>
      </c>
      <c r="DM739">
        <v>1</v>
      </c>
      <c r="DN739" s="4">
        <v>282</v>
      </c>
      <c r="DO739">
        <v>1</v>
      </c>
      <c r="DP739" s="4">
        <v>281</v>
      </c>
      <c r="DQ739">
        <v>1</v>
      </c>
      <c r="DR739" s="4">
        <v>291</v>
      </c>
      <c r="DS739">
        <v>1</v>
      </c>
      <c r="DT739" s="4">
        <v>301</v>
      </c>
      <c r="DU739">
        <v>1</v>
      </c>
      <c r="DV739" s="4">
        <v>314</v>
      </c>
      <c r="DW739">
        <v>1</v>
      </c>
      <c r="DX739" s="4">
        <v>317</v>
      </c>
      <c r="DY739">
        <v>1</v>
      </c>
      <c r="DZ739" s="4">
        <v>322</v>
      </c>
      <c r="EA739">
        <v>1</v>
      </c>
      <c r="EB739" s="4">
        <v>327</v>
      </c>
      <c r="EC739">
        <v>1</v>
      </c>
      <c r="ED739" s="4">
        <v>331</v>
      </c>
      <c r="EE739">
        <v>1</v>
      </c>
      <c r="EF739" s="4">
        <v>336</v>
      </c>
      <c r="EG739">
        <v>1</v>
      </c>
      <c r="EH739" s="4">
        <v>338</v>
      </c>
      <c r="EI739">
        <v>1</v>
      </c>
      <c r="EJ739" s="4">
        <v>343</v>
      </c>
      <c r="EK739">
        <v>1</v>
      </c>
    </row>
    <row r="740" spans="1:141" x14ac:dyDescent="0.2">
      <c r="A740" t="str">
        <f>HYPERLINK("http://exon.niaid.nih.gov/transcriptome/C_felis/S1/links/cf/cf-contig_353.txt","cf-contig_353")</f>
        <v>cf-contig_353</v>
      </c>
      <c r="B740">
        <v>1</v>
      </c>
      <c r="C740" s="10" t="s">
        <v>4600</v>
      </c>
      <c r="D740">
        <v>1</v>
      </c>
      <c r="E740" t="str">
        <f>HYPERLINK("http://exon.niaid.nih.gov/transcriptome/C_felis/S1/links/cf/cf-5-36-asb-353.txt","Contig-353")</f>
        <v>Contig-353</v>
      </c>
      <c r="F740" t="str">
        <f>HYPERLINK("http://exon.niaid.nih.gov/transcriptome/C_felis/S1/links/cf/cf-5-36-353-CLU.txt","Contig353")</f>
        <v>Contig353</v>
      </c>
      <c r="G740" t="str">
        <f>HYPERLINK("http://exon.niaid.nih.gov/transcriptome/C_felis/S1/links/cf/cf-5-36-353-qual.txt","62.7")</f>
        <v>62.7</v>
      </c>
      <c r="H740" t="s">
        <v>11</v>
      </c>
      <c r="I740">
        <v>75.900000000000006</v>
      </c>
      <c r="J740">
        <v>259</v>
      </c>
      <c r="K740" t="s">
        <v>12</v>
      </c>
      <c r="L740">
        <v>1</v>
      </c>
      <c r="M740" t="s">
        <v>366</v>
      </c>
      <c r="N740">
        <v>259</v>
      </c>
      <c r="O740">
        <v>278</v>
      </c>
      <c r="P740">
        <v>96</v>
      </c>
      <c r="Q740" t="s">
        <v>1173</v>
      </c>
      <c r="R740">
        <v>3</v>
      </c>
      <c r="S740" s="7" t="s">
        <v>4585</v>
      </c>
      <c r="U740">
        <v>1</v>
      </c>
      <c r="V740" s="4">
        <v>284</v>
      </c>
      <c r="W740">
        <v>1</v>
      </c>
      <c r="X740" s="4">
        <v>291</v>
      </c>
      <c r="Y740">
        <v>1</v>
      </c>
      <c r="Z740" s="4">
        <v>291</v>
      </c>
      <c r="AA740">
        <v>1</v>
      </c>
      <c r="AB740" s="4" t="str">
        <f>HYPERLINK("http://exon.niaid.nih.gov/transcriptome/C_felis/S1/links/XC-ASB/cf-contig_353-XC-ASB.txt","XC-contig_72")</f>
        <v>XC-contig_72</v>
      </c>
      <c r="AC740">
        <v>0.35</v>
      </c>
      <c r="AD740" s="10" t="s">
        <v>4600</v>
      </c>
      <c r="AE740" t="s">
        <v>4601</v>
      </c>
      <c r="AI740" s="4" t="str">
        <f>HYPERLINK("http://exon.niaid.nih.gov/transcriptome/C_felis/S1/links/NR/cf-contig_353-NR.txt","hypothetical protein")</f>
        <v>hypothetical protein</v>
      </c>
      <c r="AJ740" t="str">
        <f>HYPERLINK("http://www.ncbi.nlm.nih.gov/sutils/blink.cgi?pid=145553070","12")</f>
        <v>12</v>
      </c>
      <c r="AK740" t="str">
        <f>HYPERLINK("http://www.ncbi.nlm.nih.gov/protein/145553070","gi|145553070")</f>
        <v>gi|145553070</v>
      </c>
      <c r="AL740">
        <v>33.5</v>
      </c>
      <c r="AM740">
        <v>69</v>
      </c>
      <c r="AN740">
        <v>2285</v>
      </c>
      <c r="AO740">
        <v>27</v>
      </c>
      <c r="AP740">
        <v>3</v>
      </c>
      <c r="AQ740">
        <v>53</v>
      </c>
      <c r="AR740">
        <v>6</v>
      </c>
      <c r="AS740">
        <v>1944</v>
      </c>
      <c r="AT740">
        <v>57</v>
      </c>
      <c r="AU740">
        <v>1</v>
      </c>
      <c r="AV740">
        <v>3</v>
      </c>
      <c r="AW740" t="s">
        <v>12</v>
      </c>
      <c r="AX740">
        <v>4.3479999999999999</v>
      </c>
      <c r="AY740" t="s">
        <v>1676</v>
      </c>
      <c r="AZ740" t="s">
        <v>1700</v>
      </c>
      <c r="BA740" s="4" t="str">
        <f>HYPERLINK("http://exon.niaid.nih.gov/transcriptome/C_felis/S1/links/SWISSP/cf-contig_353-SWISSP.txt","Universal stress protein B")</f>
        <v>Universal stress protein B</v>
      </c>
      <c r="BB740" t="str">
        <f>HYPERLINK("http://www.uniprot.org/uniprot/A1JSP6","8.1")</f>
        <v>8.1</v>
      </c>
      <c r="BC740" t="s">
        <v>2917</v>
      </c>
      <c r="BD740">
        <v>29.3</v>
      </c>
      <c r="BE740">
        <v>30</v>
      </c>
      <c r="BF740">
        <v>111</v>
      </c>
      <c r="BG740">
        <v>38</v>
      </c>
      <c r="BH740">
        <v>28</v>
      </c>
      <c r="BI740">
        <v>19</v>
      </c>
      <c r="BJ740">
        <v>0</v>
      </c>
      <c r="BK740">
        <v>1</v>
      </c>
      <c r="BL740">
        <v>84</v>
      </c>
      <c r="BM740">
        <v>1</v>
      </c>
      <c r="BN740">
        <v>3</v>
      </c>
      <c r="BO740" t="s">
        <v>12</v>
      </c>
      <c r="BP740">
        <v>6.6669999999999998</v>
      </c>
      <c r="BQ740" t="s">
        <v>1676</v>
      </c>
      <c r="BR740" t="s">
        <v>2918</v>
      </c>
      <c r="BS740" s="4" t="str">
        <f>HYPERLINK("http://exon.niaid.nih.gov/transcriptome/C_felis/S1/links/CDD/cf-contig_353-CDD.txt","PHA03027")</f>
        <v>PHA03027</v>
      </c>
      <c r="BT740" t="str">
        <f>HYPERLINK("http://www.ncbi.nlm.nih.gov/Structure/cdd/cddsrv.cgi?uid=PHA03027&amp;version=v4.0","0.26")</f>
        <v>0.26</v>
      </c>
      <c r="BU740" t="s">
        <v>2919</v>
      </c>
      <c r="BV740" s="4" t="s">
        <v>42</v>
      </c>
      <c r="BW740" t="s">
        <v>42</v>
      </c>
      <c r="BX740" t="s">
        <v>42</v>
      </c>
      <c r="BY740" t="s">
        <v>42</v>
      </c>
      <c r="BZ740" t="s">
        <v>42</v>
      </c>
      <c r="CA740" t="s">
        <v>42</v>
      </c>
      <c r="CB740" t="s">
        <v>42</v>
      </c>
      <c r="CC740" t="s">
        <v>42</v>
      </c>
      <c r="CD740" t="s">
        <v>42</v>
      </c>
      <c r="CE740" t="s">
        <v>42</v>
      </c>
      <c r="CF740" t="s">
        <v>42</v>
      </c>
      <c r="CG740" t="s">
        <v>42</v>
      </c>
      <c r="CH740" t="s">
        <v>42</v>
      </c>
      <c r="CI740" t="s">
        <v>42</v>
      </c>
      <c r="CJ740" t="s">
        <v>42</v>
      </c>
      <c r="CK740" t="s">
        <v>42</v>
      </c>
      <c r="CL740" t="s">
        <v>42</v>
      </c>
      <c r="CM740" t="s">
        <v>42</v>
      </c>
      <c r="CN740" t="s">
        <v>42</v>
      </c>
      <c r="CO740" t="s">
        <v>42</v>
      </c>
      <c r="CP740" t="s">
        <v>42</v>
      </c>
      <c r="CQ740" t="s">
        <v>42</v>
      </c>
      <c r="CR740" t="s">
        <v>42</v>
      </c>
      <c r="CS740" s="4" t="str">
        <f>HYPERLINK("http://exon.niaid.nih.gov/transcriptome/C_felis/S1/links/KOG/cf-contig_353-KOG.txt","Na+/H+ antiporter")</f>
        <v>Na+/H+ antiporter</v>
      </c>
      <c r="CT740" t="str">
        <f>HYPERLINK("http://www.ncbi.nlm.nih.gov/COG/grace/shokog.cgi?KOG4505","0.40")</f>
        <v>0.40</v>
      </c>
      <c r="CU740" t="s">
        <v>1681</v>
      </c>
      <c r="CV740" s="4" t="str">
        <f>HYPERLINK("http://exon.niaid.nih.gov/transcriptome/C_felis/S1/links/PFAM/cf-contig_353-PFAM.txt","UvrD-helicase")</f>
        <v>UvrD-helicase</v>
      </c>
      <c r="CW740" t="str">
        <f>HYPERLINK("http://pfam.sanger.ac.uk/family?acc=PF00580","0.24")</f>
        <v>0.24</v>
      </c>
      <c r="CX740" s="4" t="str">
        <f>HYPERLINK("http://exon.niaid.nih.gov/transcriptome/C_felis/S1/links/SMART/cf-contig_353-SMART.txt","ACTIN")</f>
        <v>ACTIN</v>
      </c>
      <c r="CY740" t="str">
        <f>HYPERLINK("http://smart.embl-heidelberg.de/smart/do_annotation.pl?DOMAIN=ACTIN&amp;BLAST=DUMMY","0.25")</f>
        <v>0.25</v>
      </c>
      <c r="CZ740" s="4" t="s">
        <v>42</v>
      </c>
      <c r="DA740" t="s">
        <v>42</v>
      </c>
      <c r="DB740" t="s">
        <v>42</v>
      </c>
      <c r="DC740" t="s">
        <v>42</v>
      </c>
      <c r="DD740" t="s">
        <v>42</v>
      </c>
      <c r="DE740" t="s">
        <v>42</v>
      </c>
      <c r="DF740" t="s">
        <v>42</v>
      </c>
      <c r="DG740" t="s">
        <v>42</v>
      </c>
      <c r="DH740" s="4" t="s">
        <v>42</v>
      </c>
      <c r="DI740" t="s">
        <v>42</v>
      </c>
      <c r="DJ740" s="4" t="s">
        <v>42</v>
      </c>
      <c r="DK740" t="s">
        <v>42</v>
      </c>
      <c r="DL740" s="4">
        <v>284</v>
      </c>
      <c r="DM740">
        <v>1</v>
      </c>
      <c r="DN740" s="4">
        <v>291</v>
      </c>
      <c r="DO740">
        <v>1</v>
      </c>
      <c r="DP740" s="4">
        <v>291</v>
      </c>
      <c r="DQ740">
        <v>1</v>
      </c>
      <c r="DR740" s="4">
        <v>301</v>
      </c>
      <c r="DS740">
        <v>1</v>
      </c>
      <c r="DT740" s="4">
        <v>311</v>
      </c>
      <c r="DU740">
        <v>1</v>
      </c>
      <c r="DV740" s="4">
        <v>324</v>
      </c>
      <c r="DW740">
        <v>1</v>
      </c>
      <c r="DX740" s="4">
        <v>327</v>
      </c>
      <c r="DY740">
        <v>1</v>
      </c>
      <c r="DZ740" s="4">
        <v>332</v>
      </c>
      <c r="EA740">
        <v>1</v>
      </c>
      <c r="EB740" s="4">
        <v>337</v>
      </c>
      <c r="EC740">
        <v>1</v>
      </c>
      <c r="ED740" s="4">
        <v>341</v>
      </c>
      <c r="EE740">
        <v>1</v>
      </c>
      <c r="EF740" s="4">
        <v>346</v>
      </c>
      <c r="EG740">
        <v>1</v>
      </c>
      <c r="EH740" s="4">
        <v>348</v>
      </c>
      <c r="EI740">
        <v>1</v>
      </c>
      <c r="EJ740" s="4">
        <v>353</v>
      </c>
      <c r="EK740">
        <v>1</v>
      </c>
    </row>
    <row r="741" spans="1:141" x14ac:dyDescent="0.2">
      <c r="A741" t="str">
        <f>HYPERLINK("http://exon.niaid.nih.gov/transcriptome/C_felis/S1/links/cf/cf-contig_522.txt","cf-contig_522")</f>
        <v>cf-contig_522</v>
      </c>
      <c r="B741">
        <v>1</v>
      </c>
      <c r="C741" s="10" t="s">
        <v>4600</v>
      </c>
      <c r="D741">
        <v>1</v>
      </c>
      <c r="E741" t="str">
        <f>HYPERLINK("http://exon.niaid.nih.gov/transcriptome/C_felis/S1/links/cf/cf-5-36-asb-522.txt","Contig-522")</f>
        <v>Contig-522</v>
      </c>
      <c r="F741" t="str">
        <f>HYPERLINK("http://exon.niaid.nih.gov/transcriptome/C_felis/S1/links/cf/cf-5-36-522-CLU.txt","Contig522")</f>
        <v>Contig522</v>
      </c>
      <c r="G741" t="str">
        <f>HYPERLINK("http://exon.niaid.nih.gov/transcriptome/C_felis/S1/links/cf/cf-5-36-522-qual.txt","62.6")</f>
        <v>62.6</v>
      </c>
      <c r="H741" t="s">
        <v>11</v>
      </c>
      <c r="I741">
        <v>77.7</v>
      </c>
      <c r="J741">
        <v>245</v>
      </c>
      <c r="K741" t="s">
        <v>12</v>
      </c>
      <c r="L741">
        <v>1</v>
      </c>
      <c r="M741" t="s">
        <v>535</v>
      </c>
      <c r="N741">
        <v>245</v>
      </c>
      <c r="O741">
        <v>264</v>
      </c>
      <c r="P741">
        <v>96</v>
      </c>
      <c r="Q741" t="s">
        <v>1341</v>
      </c>
      <c r="R741">
        <v>1</v>
      </c>
      <c r="S741" s="7" t="s">
        <v>4585</v>
      </c>
      <c r="U741">
        <v>1</v>
      </c>
      <c r="V741" s="4">
        <f>HYPERLINK("http://exon.niaid.nih.gov/transcriptome/C_felis/S1/links/cluster/cf-5-36-asb30-50-Id-CLU64.txt", 64)</f>
        <v>64</v>
      </c>
      <c r="W741">
        <f>HYPERLINK("http://exon.niaid.nih.gov/transcriptome/C_felis/S1/links/cluster/cf-5-36-asb30-50-Id-CLTL64.txt", 2)</f>
        <v>2</v>
      </c>
      <c r="X741" s="4">
        <f>HYPERLINK("http://exon.niaid.nih.gov/transcriptome/C_felis/S1/links/cluster/cf-5-36-asb35-50-Id-CLU57.txt", 57)</f>
        <v>57</v>
      </c>
      <c r="Y741">
        <f>HYPERLINK("http://exon.niaid.nih.gov/transcriptome/C_felis/S1/links/cluster/cf-5-36-asb35-50-Id-CLTL57.txt", 2)</f>
        <v>2</v>
      </c>
      <c r="Z741" s="4">
        <f>HYPERLINK("http://exon.niaid.nih.gov/transcriptome/C_felis/S1/links/cluster/cf-5-36-asb40-50-Id-CLU54.txt", 54)</f>
        <v>54</v>
      </c>
      <c r="AA741">
        <f>HYPERLINK("http://exon.niaid.nih.gov/transcriptome/C_felis/S1/links/cluster/cf-5-36-asb40-50-Id-CLTL54.txt", 2)</f>
        <v>2</v>
      </c>
      <c r="AB741" s="4" t="str">
        <f>HYPERLINK("http://exon.niaid.nih.gov/transcriptome/C_felis/S1/links/XC-ASB/cf-contig_522-XC-ASB.txt","XC-contig_176")</f>
        <v>XC-contig_176</v>
      </c>
      <c r="AC741">
        <v>6.6000000000000003E-2</v>
      </c>
      <c r="AD741" s="10" t="s">
        <v>4600</v>
      </c>
      <c r="AE741" t="s">
        <v>4601</v>
      </c>
      <c r="AI741" s="4" t="str">
        <f>HYPERLINK("http://exon.niaid.nih.gov/transcriptome/C_felis/S1/links/NR/cf-contig_522-NR.txt","hypothetical protein")</f>
        <v>hypothetical protein</v>
      </c>
      <c r="AJ741" t="str">
        <f>HYPERLINK("http://www.ncbi.nlm.nih.gov/sutils/blink.cgi?pid=145489315","12")</f>
        <v>12</v>
      </c>
      <c r="AK741" t="str">
        <f>HYPERLINK("http://www.ncbi.nlm.nih.gov/protein/145489315","gi|145489315")</f>
        <v>gi|145489315</v>
      </c>
      <c r="AL741">
        <v>33.5</v>
      </c>
      <c r="AM741">
        <v>50</v>
      </c>
      <c r="AN741">
        <v>1596</v>
      </c>
      <c r="AO741">
        <v>37</v>
      </c>
      <c r="AP741">
        <v>3</v>
      </c>
      <c r="AQ741">
        <v>32</v>
      </c>
      <c r="AR741">
        <v>0</v>
      </c>
      <c r="AS741">
        <v>1227</v>
      </c>
      <c r="AT741">
        <v>79</v>
      </c>
      <c r="AU741">
        <v>1</v>
      </c>
      <c r="AV741">
        <v>-1</v>
      </c>
      <c r="AW741" t="s">
        <v>12</v>
      </c>
      <c r="AX741">
        <v>2</v>
      </c>
      <c r="AY741" t="s">
        <v>1666</v>
      </c>
      <c r="AZ741" t="s">
        <v>1700</v>
      </c>
      <c r="BA741" s="4" t="str">
        <f>HYPERLINK("http://exon.niaid.nih.gov/transcriptome/C_felis/S1/links/SWISSP/cf-contig_522-SWISSP.txt","Exocyst complex protein EXO70")</f>
        <v>Exocyst complex protein EXO70</v>
      </c>
      <c r="BB741" t="str">
        <f>HYPERLINK("http://www.uniprot.org/uniprot/Q5AH25","14")</f>
        <v>14</v>
      </c>
      <c r="BC741" t="s">
        <v>3583</v>
      </c>
      <c r="BD741">
        <v>28.5</v>
      </c>
      <c r="BE741">
        <v>40</v>
      </c>
      <c r="BF741">
        <v>667</v>
      </c>
      <c r="BG741">
        <v>39</v>
      </c>
      <c r="BH741">
        <v>6</v>
      </c>
      <c r="BI741">
        <v>25</v>
      </c>
      <c r="BJ741">
        <v>1</v>
      </c>
      <c r="BK741">
        <v>358</v>
      </c>
      <c r="BL741">
        <v>82</v>
      </c>
      <c r="BM741">
        <v>1</v>
      </c>
      <c r="BN741">
        <v>-1</v>
      </c>
      <c r="BO741" t="s">
        <v>12</v>
      </c>
      <c r="BQ741" t="s">
        <v>1666</v>
      </c>
      <c r="BR741" t="s">
        <v>3584</v>
      </c>
      <c r="BS741" s="4" t="str">
        <f>HYPERLINK("http://exon.niaid.nih.gov/transcriptome/C_felis/S1/links/CDD/cf-contig_522-CDD.txt","235kDa-fam")</f>
        <v>235kDa-fam</v>
      </c>
      <c r="BT741" t="str">
        <f>HYPERLINK("http://www.ncbi.nlm.nih.gov/Structure/cdd/cddsrv.cgi?uid=TIGR01612&amp;version=v4.0","0.046")</f>
        <v>0.046</v>
      </c>
      <c r="BU741" t="s">
        <v>3585</v>
      </c>
      <c r="BV741" s="4" t="s">
        <v>42</v>
      </c>
      <c r="BW741" t="s">
        <v>42</v>
      </c>
      <c r="BX741" t="s">
        <v>42</v>
      </c>
      <c r="BY741" t="s">
        <v>42</v>
      </c>
      <c r="BZ741" t="s">
        <v>42</v>
      </c>
      <c r="CA741" t="s">
        <v>42</v>
      </c>
      <c r="CB741" t="s">
        <v>42</v>
      </c>
      <c r="CC741" t="s">
        <v>42</v>
      </c>
      <c r="CD741" t="s">
        <v>42</v>
      </c>
      <c r="CE741" t="s">
        <v>42</v>
      </c>
      <c r="CF741" t="s">
        <v>42</v>
      </c>
      <c r="CG741" t="s">
        <v>42</v>
      </c>
      <c r="CH741" t="s">
        <v>42</v>
      </c>
      <c r="CI741" t="s">
        <v>42</v>
      </c>
      <c r="CJ741" t="s">
        <v>42</v>
      </c>
      <c r="CK741" t="s">
        <v>42</v>
      </c>
      <c r="CL741" t="s">
        <v>42</v>
      </c>
      <c r="CM741" t="s">
        <v>42</v>
      </c>
      <c r="CN741" t="s">
        <v>42</v>
      </c>
      <c r="CO741" t="s">
        <v>42</v>
      </c>
      <c r="CP741" t="s">
        <v>42</v>
      </c>
      <c r="CQ741" t="s">
        <v>42</v>
      </c>
      <c r="CR741" t="s">
        <v>42</v>
      </c>
      <c r="CS741" s="4" t="str">
        <f>HYPERLINK("http://exon.niaid.nih.gov/transcriptome/C_felis/S1/links/KOG/cf-contig_522-KOG.txt","DNA replication helicase")</f>
        <v>DNA replication helicase</v>
      </c>
      <c r="CT741" t="str">
        <f>HYPERLINK("http://www.ncbi.nlm.nih.gov/COG/grace/shokog.cgi?KOG1805","0.93")</f>
        <v>0.93</v>
      </c>
      <c r="CU741" t="s">
        <v>2520</v>
      </c>
      <c r="CV741" s="4" t="str">
        <f>HYPERLINK("http://exon.niaid.nih.gov/transcriptome/C_felis/S1/links/PFAM/cf-contig_522-PFAM.txt","MpPF26")</f>
        <v>MpPF26</v>
      </c>
      <c r="CW741" t="str">
        <f>HYPERLINK("http://pfam.sanger.ac.uk/family?acc=PF07666","0.057")</f>
        <v>0.057</v>
      </c>
      <c r="CX741" s="4" t="str">
        <f>HYPERLINK("http://exon.niaid.nih.gov/transcriptome/C_felis/S1/links/SMART/cf-contig_522-SMART.txt","Sec63")</f>
        <v>Sec63</v>
      </c>
      <c r="CY741" t="str">
        <f>HYPERLINK("http://smart.embl-heidelberg.de/smart/do_annotation.pl?DOMAIN=Sec63&amp;BLAST=DUMMY","0.24")</f>
        <v>0.24</v>
      </c>
      <c r="CZ741" s="4" t="s">
        <v>42</v>
      </c>
      <c r="DA741" t="s">
        <v>42</v>
      </c>
      <c r="DB741" t="s">
        <v>42</v>
      </c>
      <c r="DC741" t="s">
        <v>42</v>
      </c>
      <c r="DD741" t="s">
        <v>42</v>
      </c>
      <c r="DE741" t="s">
        <v>42</v>
      </c>
      <c r="DF741" t="s">
        <v>42</v>
      </c>
      <c r="DG741" t="s">
        <v>42</v>
      </c>
      <c r="DH741" s="4" t="s">
        <v>42</v>
      </c>
      <c r="DI741" t="s">
        <v>42</v>
      </c>
      <c r="DJ741" s="4" t="s">
        <v>42</v>
      </c>
      <c r="DK741" t="s">
        <v>42</v>
      </c>
      <c r="DL741" s="4">
        <f>HYPERLINK("http://exon.niaid.nih.gov/transcriptome/C_felis/S1/links/cluster/cf-5-36-asb30-50-Id-CLU64.txt", 64)</f>
        <v>64</v>
      </c>
      <c r="DM741">
        <f>HYPERLINK("http://exon.niaid.nih.gov/transcriptome/C_felis/S1/links/cluster/cf-5-36-asb30-50-Id-CLTL64.txt", 2)</f>
        <v>2</v>
      </c>
      <c r="DN741" s="4">
        <f>HYPERLINK("http://exon.niaid.nih.gov/transcriptome/C_felis/S1/links/cluster/cf-5-36-asb35-50-Id-CLU57.txt", 57)</f>
        <v>57</v>
      </c>
      <c r="DO741">
        <f>HYPERLINK("http://exon.niaid.nih.gov/transcriptome/C_felis/S1/links/cluster/cf-5-36-asb35-50-Id-CLTL57.txt", 2)</f>
        <v>2</v>
      </c>
      <c r="DP741" s="4">
        <f>HYPERLINK("http://exon.niaid.nih.gov/transcriptome/C_felis/S1/links/cluster/cf-5-36-asb40-50-Id-CLU54.txt", 54)</f>
        <v>54</v>
      </c>
      <c r="DQ741">
        <f>HYPERLINK("http://exon.niaid.nih.gov/transcriptome/C_felis/S1/links/cluster/cf-5-36-asb40-50-Id-CLTL54.txt", 2)</f>
        <v>2</v>
      </c>
      <c r="DR741" s="4">
        <f>HYPERLINK("http://exon.niaid.nih.gov/transcriptome/C_felis/S1/links/cluster/cf-5-36-asb45-50-Id-CLU45.txt", 45)</f>
        <v>45</v>
      </c>
      <c r="DS741">
        <f>HYPERLINK("http://exon.niaid.nih.gov/transcriptome/C_felis/S1/links/cluster/cf-5-36-asb45-50-Id-CLTL45.txt", 2)</f>
        <v>2</v>
      </c>
      <c r="DT741" s="4">
        <v>467</v>
      </c>
      <c r="DU741">
        <v>1</v>
      </c>
      <c r="DV741" s="4">
        <v>481</v>
      </c>
      <c r="DW741">
        <v>1</v>
      </c>
      <c r="DX741" s="4">
        <v>487</v>
      </c>
      <c r="DY741">
        <v>1</v>
      </c>
      <c r="DZ741" s="4">
        <v>495</v>
      </c>
      <c r="EA741">
        <v>1</v>
      </c>
      <c r="EB741" s="4">
        <v>500</v>
      </c>
      <c r="EC741">
        <v>1</v>
      </c>
      <c r="ED741" s="4">
        <v>504</v>
      </c>
      <c r="EE741">
        <v>1</v>
      </c>
      <c r="EF741" s="4">
        <v>509</v>
      </c>
      <c r="EG741">
        <v>1</v>
      </c>
      <c r="EH741" s="4">
        <v>515</v>
      </c>
      <c r="EI741">
        <v>1</v>
      </c>
      <c r="EJ741" s="4">
        <v>522</v>
      </c>
      <c r="EK741">
        <v>1</v>
      </c>
    </row>
    <row r="742" spans="1:141" x14ac:dyDescent="0.2">
      <c r="A742" t="str">
        <f>HYPERLINK("http://exon.niaid.nih.gov/transcriptome/C_felis/S1/links/cf/cf-contig_674.txt","cf-contig_674")</f>
        <v>cf-contig_674</v>
      </c>
      <c r="B742">
        <v>1</v>
      </c>
      <c r="C742" s="10" t="s">
        <v>4600</v>
      </c>
      <c r="D742">
        <v>1</v>
      </c>
      <c r="E742" t="str">
        <f>HYPERLINK("http://exon.niaid.nih.gov/transcriptome/C_felis/S1/links/cf/cf-5-36-asb-674.txt","Contig-674")</f>
        <v>Contig-674</v>
      </c>
      <c r="F742" t="str">
        <f>HYPERLINK("http://exon.niaid.nih.gov/transcriptome/C_felis/S1/links/cf/cf-5-36-674-CLU.txt","Contig674")</f>
        <v>Contig674</v>
      </c>
      <c r="G742" t="str">
        <f>HYPERLINK("http://exon.niaid.nih.gov/transcriptome/C_felis/S1/links/cf/cf-5-36-674-qual.txt","64.4")</f>
        <v>64.4</v>
      </c>
      <c r="H742" t="s">
        <v>11</v>
      </c>
      <c r="I742">
        <v>81.099999999999994</v>
      </c>
      <c r="J742">
        <v>240</v>
      </c>
      <c r="K742" t="s">
        <v>12</v>
      </c>
      <c r="L742">
        <v>1</v>
      </c>
      <c r="M742" t="s">
        <v>687</v>
      </c>
      <c r="N742">
        <v>240</v>
      </c>
      <c r="O742">
        <v>259</v>
      </c>
      <c r="P742">
        <v>135</v>
      </c>
      <c r="Q742" t="s">
        <v>1493</v>
      </c>
      <c r="R742">
        <v>1</v>
      </c>
      <c r="S742" s="7" t="s">
        <v>4585</v>
      </c>
      <c r="U742">
        <v>1</v>
      </c>
      <c r="V742" s="4">
        <v>550</v>
      </c>
      <c r="W742">
        <v>1</v>
      </c>
      <c r="X742" s="4">
        <v>563</v>
      </c>
      <c r="Y742">
        <v>1</v>
      </c>
      <c r="Z742" s="4">
        <v>575</v>
      </c>
      <c r="AA742">
        <v>1</v>
      </c>
      <c r="AB742" s="4" t="str">
        <f>HYPERLINK("http://exon.niaid.nih.gov/transcriptome/C_felis/S1/links/XC-ASB/cf-contig_674-XC-ASB.txt","XC-contig_209")</f>
        <v>XC-contig_209</v>
      </c>
      <c r="AC742">
        <v>0.14000000000000001</v>
      </c>
      <c r="AD742" s="10" t="s">
        <v>4600</v>
      </c>
      <c r="AE742" t="s">
        <v>4601</v>
      </c>
      <c r="AI742" s="4" t="str">
        <f>HYPERLINK("http://exon.niaid.nih.gov/transcriptome/C_felis/S1/links/NR/cf-contig_674-NR.txt","hypothetical protein")</f>
        <v>hypothetical protein</v>
      </c>
      <c r="AJ742" t="str">
        <f>HYPERLINK("http://www.ncbi.nlm.nih.gov/sutils/blink.cgi?pid=145516540","1.5")</f>
        <v>1.5</v>
      </c>
      <c r="AK742" t="str">
        <f>HYPERLINK("http://www.ncbi.nlm.nih.gov/protein/145516540","gi|145516540")</f>
        <v>gi|145516540</v>
      </c>
      <c r="AL742">
        <v>36.6</v>
      </c>
      <c r="AM742">
        <v>38</v>
      </c>
      <c r="AN742">
        <v>366</v>
      </c>
      <c r="AO742">
        <v>35</v>
      </c>
      <c r="AP742">
        <v>11</v>
      </c>
      <c r="AQ742">
        <v>25</v>
      </c>
      <c r="AR742">
        <v>0</v>
      </c>
      <c r="AS742">
        <v>253</v>
      </c>
      <c r="AT742">
        <v>7</v>
      </c>
      <c r="AU742">
        <v>1</v>
      </c>
      <c r="AV742">
        <v>1</v>
      </c>
      <c r="AW742" t="s">
        <v>12</v>
      </c>
      <c r="AY742" t="s">
        <v>1676</v>
      </c>
      <c r="AZ742" t="s">
        <v>1700</v>
      </c>
      <c r="BA742" s="4" t="str">
        <f>HYPERLINK("http://exon.niaid.nih.gov/transcriptome/C_felis/S1/links/SWISSP/cf-contig_674-SWISSP.txt","Ribonuclease Y")</f>
        <v>Ribonuclease Y</v>
      </c>
      <c r="BB742" t="str">
        <f>HYPERLINK("http://www.uniprot.org/uniprot/P47376","14")</f>
        <v>14</v>
      </c>
      <c r="BC742" t="s">
        <v>4123</v>
      </c>
      <c r="BD742">
        <v>28.5</v>
      </c>
      <c r="BE742">
        <v>26</v>
      </c>
      <c r="BF742">
        <v>484</v>
      </c>
      <c r="BG742">
        <v>44</v>
      </c>
      <c r="BH742">
        <v>6</v>
      </c>
      <c r="BI742">
        <v>15</v>
      </c>
      <c r="BJ742">
        <v>0</v>
      </c>
      <c r="BK742">
        <v>12</v>
      </c>
      <c r="BL742">
        <v>19</v>
      </c>
      <c r="BM742">
        <v>1</v>
      </c>
      <c r="BN742">
        <v>1</v>
      </c>
      <c r="BO742" t="s">
        <v>12</v>
      </c>
      <c r="BQ742" t="s">
        <v>1676</v>
      </c>
      <c r="BR742" t="s">
        <v>1815</v>
      </c>
      <c r="BS742" s="4" t="str">
        <f>HYPERLINK("http://exon.niaid.nih.gov/transcriptome/C_felis/S1/links/CDD/cf-contig_674-CDD.txt","PHA03042")</f>
        <v>PHA03042</v>
      </c>
      <c r="BT742" t="str">
        <f>HYPERLINK("http://www.ncbi.nlm.nih.gov/Structure/cdd/cddsrv.cgi?uid=PHA03042&amp;version=v4.0","0.002")</f>
        <v>0.002</v>
      </c>
      <c r="BU742" t="s">
        <v>4124</v>
      </c>
      <c r="BV742" s="4" t="s">
        <v>42</v>
      </c>
      <c r="BW742" t="s">
        <v>42</v>
      </c>
      <c r="BX742" t="s">
        <v>42</v>
      </c>
      <c r="BY742" t="s">
        <v>42</v>
      </c>
      <c r="BZ742" t="s">
        <v>42</v>
      </c>
      <c r="CA742" t="s">
        <v>42</v>
      </c>
      <c r="CB742" t="s">
        <v>42</v>
      </c>
      <c r="CC742" t="s">
        <v>42</v>
      </c>
      <c r="CD742" t="s">
        <v>42</v>
      </c>
      <c r="CE742" t="s">
        <v>42</v>
      </c>
      <c r="CF742" t="s">
        <v>42</v>
      </c>
      <c r="CG742" t="s">
        <v>42</v>
      </c>
      <c r="CH742" t="s">
        <v>42</v>
      </c>
      <c r="CI742" t="s">
        <v>42</v>
      </c>
      <c r="CJ742" t="s">
        <v>42</v>
      </c>
      <c r="CK742" t="s">
        <v>42</v>
      </c>
      <c r="CL742" t="s">
        <v>42</v>
      </c>
      <c r="CM742" t="s">
        <v>42</v>
      </c>
      <c r="CN742" t="s">
        <v>42</v>
      </c>
      <c r="CO742" t="s">
        <v>42</v>
      </c>
      <c r="CP742" t="s">
        <v>42</v>
      </c>
      <c r="CQ742" t="s">
        <v>42</v>
      </c>
      <c r="CR742" t="s">
        <v>42</v>
      </c>
      <c r="CS742" s="4" t="str">
        <f>HYPERLINK("http://exon.niaid.nih.gov/transcriptome/C_felis/S1/links/KOG/cf-contig_674-KOG.txt","Voltage-gated Ca2+ channels, alpha1 subunits")</f>
        <v>Voltage-gated Ca2+ channels, alpha1 subunits</v>
      </c>
      <c r="CT742" t="str">
        <f>HYPERLINK("http://www.ncbi.nlm.nih.gov/COG/grace/shokog.cgi?KOG2301","1.2")</f>
        <v>1.2</v>
      </c>
      <c r="CU742" t="s">
        <v>1702</v>
      </c>
      <c r="CV742" s="4" t="str">
        <f>HYPERLINK("http://exon.niaid.nih.gov/transcriptome/C_felis/S1/links/PFAM/cf-contig_674-PFAM.txt","7TM_GPCR_Srz")</f>
        <v>7TM_GPCR_Srz</v>
      </c>
      <c r="CW742" t="str">
        <f>HYPERLINK("http://pfam.sanger.ac.uk/family?acc=PF10325","0.033")</f>
        <v>0.033</v>
      </c>
      <c r="CX742" s="4" t="str">
        <f>HYPERLINK("http://exon.niaid.nih.gov/transcriptome/C_felis/S1/links/SMART/cf-contig_674-SMART.txt","B2-adapt-app_C")</f>
        <v>B2-adapt-app_C</v>
      </c>
      <c r="CY742" t="str">
        <f>HYPERLINK("http://smart.embl-heidelberg.de/smart/do_annotation.pl?DOMAIN=B2-adapt-app_C&amp;BLAST=DUMMY","0.055")</f>
        <v>0.055</v>
      </c>
      <c r="CZ742" s="4" t="s">
        <v>42</v>
      </c>
      <c r="DA742" t="s">
        <v>42</v>
      </c>
      <c r="DB742" t="s">
        <v>42</v>
      </c>
      <c r="DC742" t="s">
        <v>42</v>
      </c>
      <c r="DD742" t="s">
        <v>42</v>
      </c>
      <c r="DE742" t="s">
        <v>42</v>
      </c>
      <c r="DF742" t="s">
        <v>42</v>
      </c>
      <c r="DG742" t="s">
        <v>42</v>
      </c>
      <c r="DH742" s="4" t="s">
        <v>42</v>
      </c>
      <c r="DI742" t="s">
        <v>42</v>
      </c>
      <c r="DJ742" s="4" t="s">
        <v>42</v>
      </c>
      <c r="DK742" t="s">
        <v>42</v>
      </c>
      <c r="DL742" s="4">
        <v>550</v>
      </c>
      <c r="DM742">
        <v>1</v>
      </c>
      <c r="DN742" s="4">
        <v>563</v>
      </c>
      <c r="DO742">
        <v>1</v>
      </c>
      <c r="DP742" s="4">
        <v>575</v>
      </c>
      <c r="DQ742">
        <v>1</v>
      </c>
      <c r="DR742" s="4">
        <v>596</v>
      </c>
      <c r="DS742">
        <v>1</v>
      </c>
      <c r="DT742" s="4">
        <v>610</v>
      </c>
      <c r="DU742">
        <v>1</v>
      </c>
      <c r="DV742" s="4">
        <v>624</v>
      </c>
      <c r="DW742">
        <v>1</v>
      </c>
      <c r="DX742" s="4">
        <v>633</v>
      </c>
      <c r="DY742">
        <v>1</v>
      </c>
      <c r="DZ742" s="4">
        <v>643</v>
      </c>
      <c r="EA742">
        <v>1</v>
      </c>
      <c r="EB742" s="4">
        <v>648</v>
      </c>
      <c r="EC742">
        <v>1</v>
      </c>
      <c r="ED742" s="4">
        <v>652</v>
      </c>
      <c r="EE742">
        <v>1</v>
      </c>
      <c r="EF742" s="4">
        <v>658</v>
      </c>
      <c r="EG742">
        <v>1</v>
      </c>
      <c r="EH742" s="4">
        <v>666</v>
      </c>
      <c r="EI742">
        <v>1</v>
      </c>
      <c r="EJ742" s="4">
        <v>674</v>
      </c>
      <c r="EK742">
        <v>1</v>
      </c>
    </row>
    <row r="743" spans="1:141" x14ac:dyDescent="0.2">
      <c r="A743" t="str">
        <f>HYPERLINK("http://exon.niaid.nih.gov/transcriptome/C_felis/S1/links/cf/cf-contig_734.txt","cf-contig_734")</f>
        <v>cf-contig_734</v>
      </c>
      <c r="B743">
        <v>1</v>
      </c>
      <c r="C743" s="10" t="s">
        <v>4600</v>
      </c>
      <c r="D743">
        <v>1</v>
      </c>
      <c r="E743" t="str">
        <f>HYPERLINK("http://exon.niaid.nih.gov/transcriptome/C_felis/S1/links/cf/cf-5-36-asb-734.txt","Contig-734")</f>
        <v>Contig-734</v>
      </c>
      <c r="F743" t="str">
        <f>HYPERLINK("http://exon.niaid.nih.gov/transcriptome/C_felis/S1/links/cf/cf-5-36-734-CLU.txt","Contig734")</f>
        <v>Contig734</v>
      </c>
      <c r="G743" t="str">
        <f>HYPERLINK("http://exon.niaid.nih.gov/transcriptome/C_felis/S1/links/cf/cf-5-36-734-qual.txt","66.")</f>
        <v>66.</v>
      </c>
      <c r="H743" t="s">
        <v>11</v>
      </c>
      <c r="I743">
        <v>73</v>
      </c>
      <c r="J743">
        <v>529</v>
      </c>
      <c r="K743" t="s">
        <v>12</v>
      </c>
      <c r="L743">
        <v>1</v>
      </c>
      <c r="M743" t="s">
        <v>747</v>
      </c>
      <c r="N743">
        <v>529</v>
      </c>
      <c r="O743">
        <v>548</v>
      </c>
      <c r="P743">
        <v>138</v>
      </c>
      <c r="Q743" t="s">
        <v>1553</v>
      </c>
      <c r="R743">
        <v>3</v>
      </c>
      <c r="S743" s="7" t="s">
        <v>4585</v>
      </c>
      <c r="U743">
        <v>1</v>
      </c>
      <c r="V743" s="4">
        <v>594</v>
      </c>
      <c r="W743">
        <v>1</v>
      </c>
      <c r="X743" s="4">
        <v>610</v>
      </c>
      <c r="Y743">
        <v>1</v>
      </c>
      <c r="Z743" s="4">
        <v>624</v>
      </c>
      <c r="AA743">
        <v>1</v>
      </c>
      <c r="AB743" s="4" t="str">
        <f>HYPERLINK("http://exon.niaid.nih.gov/transcriptome/C_felis/S1/links/XC-ASB/cf-contig_734-XC-ASB.txt","XC-contig_64")</f>
        <v>XC-contig_64</v>
      </c>
      <c r="AC743">
        <v>0.59</v>
      </c>
      <c r="AD743" s="10" t="s">
        <v>4600</v>
      </c>
      <c r="AE743" t="s">
        <v>4601</v>
      </c>
      <c r="AI743" s="4" t="str">
        <f>HYPERLINK("http://exon.niaid.nih.gov/transcriptome/C_felis/S1/links/NR/cf-contig_734-NR.txt","hypothetical protein")</f>
        <v>hypothetical protein</v>
      </c>
      <c r="AJ743" t="str">
        <f>HYPERLINK("http://www.ncbi.nlm.nih.gov/sutils/blink.cgi?pid=145549946","7.0")</f>
        <v>7.0</v>
      </c>
      <c r="AK743" t="str">
        <f>HYPERLINK("http://www.ncbi.nlm.nih.gov/protein/145549946","gi|145549946")</f>
        <v>gi|145549946</v>
      </c>
      <c r="AL743">
        <v>34.700000000000003</v>
      </c>
      <c r="AM743">
        <v>33</v>
      </c>
      <c r="AN743">
        <v>166</v>
      </c>
      <c r="AO743">
        <v>47</v>
      </c>
      <c r="AP743">
        <v>20</v>
      </c>
      <c r="AQ743">
        <v>18</v>
      </c>
      <c r="AR743">
        <v>0</v>
      </c>
      <c r="AS743">
        <v>123</v>
      </c>
      <c r="AT743">
        <v>427</v>
      </c>
      <c r="AU743">
        <v>1</v>
      </c>
      <c r="AV743">
        <v>-3</v>
      </c>
      <c r="AW743" t="s">
        <v>12</v>
      </c>
      <c r="AX743">
        <v>3.03</v>
      </c>
      <c r="AY743" t="s">
        <v>1666</v>
      </c>
      <c r="AZ743" t="s">
        <v>1700</v>
      </c>
      <c r="BA743" s="4" t="str">
        <f>HYPERLINK("http://exon.niaid.nih.gov/transcriptome/C_felis/S1/links/SWISSP/cf-contig_734-SWISSP.txt","Uncharacterized protein A284L")</f>
        <v>Uncharacterized protein A284L</v>
      </c>
      <c r="BB743" t="str">
        <f>HYPERLINK("http://www.uniprot.org/uniprot/P54966","36")</f>
        <v>36</v>
      </c>
      <c r="BC743" t="s">
        <v>4328</v>
      </c>
      <c r="BD743">
        <v>28.1</v>
      </c>
      <c r="BE743">
        <v>41</v>
      </c>
      <c r="BF743">
        <v>279</v>
      </c>
      <c r="BG743">
        <v>31</v>
      </c>
      <c r="BH743">
        <v>15</v>
      </c>
      <c r="BI743">
        <v>33</v>
      </c>
      <c r="BJ743">
        <v>0</v>
      </c>
      <c r="BK743">
        <v>222</v>
      </c>
      <c r="BL743">
        <v>96</v>
      </c>
      <c r="BM743">
        <v>1</v>
      </c>
      <c r="BN743">
        <v>-1</v>
      </c>
      <c r="BO743" t="s">
        <v>12</v>
      </c>
      <c r="BP743">
        <v>2.4390000000000001</v>
      </c>
      <c r="BQ743" t="s">
        <v>1666</v>
      </c>
      <c r="BR743" t="s">
        <v>4329</v>
      </c>
      <c r="BS743" s="4" t="str">
        <f>HYPERLINK("http://exon.niaid.nih.gov/transcriptome/C_felis/S1/links/CDD/cf-contig_734-CDD.txt","Arv1")</f>
        <v>Arv1</v>
      </c>
      <c r="BT743" t="str">
        <f>HYPERLINK("http://www.ncbi.nlm.nih.gov/Structure/cdd/cddsrv.cgi?uid=pfam04161&amp;version=v4.0","0.10")</f>
        <v>0.10</v>
      </c>
      <c r="BU743" t="s">
        <v>4330</v>
      </c>
      <c r="BV743" s="4" t="s">
        <v>42</v>
      </c>
      <c r="BW743" t="s">
        <v>42</v>
      </c>
      <c r="BX743" t="s">
        <v>42</v>
      </c>
      <c r="BY743" t="s">
        <v>42</v>
      </c>
      <c r="BZ743" t="s">
        <v>42</v>
      </c>
      <c r="CA743" t="s">
        <v>42</v>
      </c>
      <c r="CB743" t="s">
        <v>42</v>
      </c>
      <c r="CC743" t="s">
        <v>42</v>
      </c>
      <c r="CD743" t="s">
        <v>42</v>
      </c>
      <c r="CE743" t="s">
        <v>42</v>
      </c>
      <c r="CF743" t="s">
        <v>42</v>
      </c>
      <c r="CG743" t="s">
        <v>42</v>
      </c>
      <c r="CH743" t="s">
        <v>42</v>
      </c>
      <c r="CI743" t="s">
        <v>42</v>
      </c>
      <c r="CJ743" t="s">
        <v>42</v>
      </c>
      <c r="CK743" t="s">
        <v>42</v>
      </c>
      <c r="CL743" t="s">
        <v>42</v>
      </c>
      <c r="CM743" t="s">
        <v>42</v>
      </c>
      <c r="CN743" t="s">
        <v>42</v>
      </c>
      <c r="CO743" t="s">
        <v>42</v>
      </c>
      <c r="CP743" t="s">
        <v>42</v>
      </c>
      <c r="CQ743" t="s">
        <v>42</v>
      </c>
      <c r="CR743" t="s">
        <v>42</v>
      </c>
      <c r="CS743" s="4" t="str">
        <f>HYPERLINK("http://exon.niaid.nih.gov/transcriptome/C_felis/S1/links/KOG/cf-contig_734-KOG.txt","WD40 repeat-containing protein")</f>
        <v>WD40 repeat-containing protein</v>
      </c>
      <c r="CT743" t="str">
        <f>HYPERLINK("http://www.ncbi.nlm.nih.gov/COG/grace/shokog.cgi?KOG2247","1.1")</f>
        <v>1.1</v>
      </c>
      <c r="CU743" t="s">
        <v>1721</v>
      </c>
      <c r="CV743" s="4" t="str">
        <f>HYPERLINK("http://exon.niaid.nih.gov/transcriptome/C_felis/S1/links/PFAM/cf-contig_734-PFAM.txt","Arv1")</f>
        <v>Arv1</v>
      </c>
      <c r="CW743" t="str">
        <f>HYPERLINK("http://pfam.sanger.ac.uk/family?acc=PF04161","0.022")</f>
        <v>0.022</v>
      </c>
      <c r="CX743" s="4" t="str">
        <f>HYPERLINK("http://exon.niaid.nih.gov/transcriptome/C_felis/S1/links/SMART/cf-contig_734-SMART.txt","SEC63")</f>
        <v>SEC63</v>
      </c>
      <c r="CY743" t="str">
        <f>HYPERLINK("http://smart.embl-heidelberg.de/smart/do_annotation.pl?DOMAIN=SEC63&amp;BLAST=DUMMY","0.18")</f>
        <v>0.18</v>
      </c>
      <c r="CZ743" s="4" t="s">
        <v>42</v>
      </c>
      <c r="DA743" t="s">
        <v>42</v>
      </c>
      <c r="DB743" t="s">
        <v>42</v>
      </c>
      <c r="DC743" t="s">
        <v>42</v>
      </c>
      <c r="DD743" t="s">
        <v>42</v>
      </c>
      <c r="DE743" t="s">
        <v>42</v>
      </c>
      <c r="DF743" t="s">
        <v>42</v>
      </c>
      <c r="DG743" t="s">
        <v>42</v>
      </c>
      <c r="DH743" s="4" t="s">
        <v>42</v>
      </c>
      <c r="DI743" t="s">
        <v>42</v>
      </c>
      <c r="DJ743" s="4" t="s">
        <v>42</v>
      </c>
      <c r="DK743" t="s">
        <v>42</v>
      </c>
      <c r="DL743" s="4">
        <v>594</v>
      </c>
      <c r="DM743">
        <v>1</v>
      </c>
      <c r="DN743" s="4">
        <v>610</v>
      </c>
      <c r="DO743">
        <v>1</v>
      </c>
      <c r="DP743" s="4">
        <v>624</v>
      </c>
      <c r="DQ743">
        <v>1</v>
      </c>
      <c r="DR743" s="4">
        <v>646</v>
      </c>
      <c r="DS743">
        <v>1</v>
      </c>
      <c r="DT743" s="4">
        <v>661</v>
      </c>
      <c r="DU743">
        <v>1</v>
      </c>
      <c r="DV743" s="4">
        <v>676</v>
      </c>
      <c r="DW743">
        <v>1</v>
      </c>
      <c r="DX743" s="4">
        <v>687</v>
      </c>
      <c r="DY743">
        <v>1</v>
      </c>
      <c r="DZ743" s="4">
        <v>697</v>
      </c>
      <c r="EA743">
        <v>1</v>
      </c>
      <c r="EB743" s="4">
        <v>703</v>
      </c>
      <c r="EC743">
        <v>1</v>
      </c>
      <c r="ED743" s="4">
        <v>708</v>
      </c>
      <c r="EE743">
        <v>1</v>
      </c>
      <c r="EF743" s="4">
        <v>714</v>
      </c>
      <c r="EG743">
        <v>1</v>
      </c>
      <c r="EH743" s="4">
        <v>725</v>
      </c>
      <c r="EI743">
        <v>1</v>
      </c>
      <c r="EJ743" s="4">
        <v>734</v>
      </c>
      <c r="EK743">
        <v>1</v>
      </c>
    </row>
    <row r="744" spans="1:141" x14ac:dyDescent="0.2">
      <c r="A744" t="str">
        <f>HYPERLINK("http://exon.niaid.nih.gov/transcriptome/C_felis/S1/links/cf/cf-contig_737.txt","cf-contig_737")</f>
        <v>cf-contig_737</v>
      </c>
      <c r="B744">
        <v>1</v>
      </c>
      <c r="C744" s="10" t="s">
        <v>4600</v>
      </c>
      <c r="D744">
        <v>1</v>
      </c>
      <c r="E744" t="str">
        <f>HYPERLINK("http://exon.niaid.nih.gov/transcriptome/C_felis/S1/links/cf/cf-5-36-asb-737.txt","Contig-737")</f>
        <v>Contig-737</v>
      </c>
      <c r="F744" t="str">
        <f>HYPERLINK("http://exon.niaid.nih.gov/transcriptome/C_felis/S1/links/cf/cf-5-36-737-CLU.txt","Contig737")</f>
        <v>Contig737</v>
      </c>
      <c r="G744" t="str">
        <f>HYPERLINK("http://exon.niaid.nih.gov/transcriptome/C_felis/S1/links/cf/cf-5-36-737-qual.txt","48.4")</f>
        <v>48.4</v>
      </c>
      <c r="H744" t="s">
        <v>11</v>
      </c>
      <c r="I744">
        <v>76.2</v>
      </c>
      <c r="J744">
        <v>1011</v>
      </c>
      <c r="K744" t="s">
        <v>12</v>
      </c>
      <c r="L744">
        <v>1</v>
      </c>
      <c r="M744" t="s">
        <v>750</v>
      </c>
      <c r="N744">
        <v>1011</v>
      </c>
      <c r="O744">
        <v>1030</v>
      </c>
      <c r="P744">
        <v>174</v>
      </c>
      <c r="Q744" t="s">
        <v>1556</v>
      </c>
      <c r="R744">
        <v>3</v>
      </c>
      <c r="S744" s="7" t="s">
        <v>4585</v>
      </c>
      <c r="U744">
        <v>1</v>
      </c>
      <c r="V744" s="4">
        <v>597</v>
      </c>
      <c r="W744">
        <v>1</v>
      </c>
      <c r="X744" s="4">
        <v>613</v>
      </c>
      <c r="Y744">
        <v>1</v>
      </c>
      <c r="Z744" s="4">
        <v>627</v>
      </c>
      <c r="AA744">
        <v>1</v>
      </c>
      <c r="AB744" s="4" t="str">
        <f>HYPERLINK("http://exon.niaid.nih.gov/transcriptome/C_felis/S1/links/XC-ASB/cf-contig_737-XC-ASB.txt","XC-contig_190")</f>
        <v>XC-contig_190</v>
      </c>
      <c r="AC744">
        <v>1E-3</v>
      </c>
      <c r="AD744" s="10" t="s">
        <v>4600</v>
      </c>
      <c r="AE744" t="s">
        <v>4601</v>
      </c>
      <c r="AI744" s="4" t="str">
        <f>HYPERLINK("http://exon.niaid.nih.gov/transcriptome/C_felis/S1/links/NR/cf-contig_737-NR.txt","hypothetical protein")</f>
        <v>hypothetical protein</v>
      </c>
      <c r="AJ744" t="str">
        <f>HYPERLINK("http://www.ncbi.nlm.nih.gov/sutils/blink.cgi?pid=145520901","1.9")</f>
        <v>1.9</v>
      </c>
      <c r="AK744" t="str">
        <f>HYPERLINK("http://www.ncbi.nlm.nih.gov/protein/145520901","gi|145520901")</f>
        <v>gi|145520901</v>
      </c>
      <c r="AL744">
        <v>38.5</v>
      </c>
      <c r="AM744">
        <v>83</v>
      </c>
      <c r="AN744">
        <v>219</v>
      </c>
      <c r="AO744">
        <v>25</v>
      </c>
      <c r="AP744">
        <v>38</v>
      </c>
      <c r="AQ744">
        <v>64</v>
      </c>
      <c r="AR744">
        <v>3</v>
      </c>
      <c r="AS744">
        <v>88</v>
      </c>
      <c r="AT744">
        <v>319</v>
      </c>
      <c r="AU744">
        <v>1</v>
      </c>
      <c r="AV744">
        <v>-2</v>
      </c>
      <c r="AW744" t="s">
        <v>12</v>
      </c>
      <c r="AX744">
        <v>2.41</v>
      </c>
      <c r="AY744" t="s">
        <v>1666</v>
      </c>
      <c r="AZ744" t="s">
        <v>1700</v>
      </c>
      <c r="BA744" s="4" t="str">
        <f>HYPERLINK("http://exon.niaid.nih.gov/transcriptome/C_felis/S1/links/SWISSP/cf-contig_737-SWISSP.txt","Sister chromatid cohesion protein 2")</f>
        <v>Sister chromatid cohesion protein 2</v>
      </c>
      <c r="BB744" t="str">
        <f>HYPERLINK("http://www.uniprot.org/uniprot/Q04002","2.6")</f>
        <v>2.6</v>
      </c>
      <c r="BC744" t="s">
        <v>4336</v>
      </c>
      <c r="BD744">
        <v>33.5</v>
      </c>
      <c r="BE744">
        <v>37</v>
      </c>
      <c r="BF744">
        <v>1493</v>
      </c>
      <c r="BG744">
        <v>46</v>
      </c>
      <c r="BH744">
        <v>3</v>
      </c>
      <c r="BI744">
        <v>23</v>
      </c>
      <c r="BJ744">
        <v>0</v>
      </c>
      <c r="BK744">
        <v>669</v>
      </c>
      <c r="BL744">
        <v>828</v>
      </c>
      <c r="BM744">
        <v>1</v>
      </c>
      <c r="BN744">
        <v>3</v>
      </c>
      <c r="BO744" t="s">
        <v>12</v>
      </c>
      <c r="BQ744" t="s">
        <v>1676</v>
      </c>
      <c r="BR744" t="s">
        <v>1796</v>
      </c>
      <c r="BS744" s="4" t="str">
        <f>HYPERLINK("http://exon.niaid.nih.gov/transcriptome/C_felis/S1/links/CDD/cf-contig_737-CDD.txt","Sre")</f>
        <v>Sre</v>
      </c>
      <c r="BT744" t="str">
        <f>HYPERLINK("http://www.ncbi.nlm.nih.gov/Structure/cdd/cddsrv.cgi?uid=pfam03125&amp;version=v4.0","0.35")</f>
        <v>0.35</v>
      </c>
      <c r="BU744" t="s">
        <v>4337</v>
      </c>
      <c r="BV744" s="4" t="s">
        <v>42</v>
      </c>
      <c r="BW744" t="s">
        <v>42</v>
      </c>
      <c r="BX744" t="s">
        <v>42</v>
      </c>
      <c r="BY744" t="s">
        <v>42</v>
      </c>
      <c r="BZ744" t="s">
        <v>42</v>
      </c>
      <c r="CA744" t="s">
        <v>42</v>
      </c>
      <c r="CB744" t="s">
        <v>42</v>
      </c>
      <c r="CC744" t="s">
        <v>42</v>
      </c>
      <c r="CD744" t="s">
        <v>42</v>
      </c>
      <c r="CE744" t="s">
        <v>42</v>
      </c>
      <c r="CF744" t="s">
        <v>42</v>
      </c>
      <c r="CG744" t="s">
        <v>42</v>
      </c>
      <c r="CH744" t="s">
        <v>42</v>
      </c>
      <c r="CI744" t="s">
        <v>42</v>
      </c>
      <c r="CJ744" t="s">
        <v>42</v>
      </c>
      <c r="CK744" t="s">
        <v>42</v>
      </c>
      <c r="CL744" t="s">
        <v>42</v>
      </c>
      <c r="CM744" t="s">
        <v>42</v>
      </c>
      <c r="CN744" t="s">
        <v>42</v>
      </c>
      <c r="CO744" t="s">
        <v>42</v>
      </c>
      <c r="CP744" t="s">
        <v>42</v>
      </c>
      <c r="CQ744" t="s">
        <v>42</v>
      </c>
      <c r="CR744" t="s">
        <v>42</v>
      </c>
      <c r="CS744" s="4" t="str">
        <f>HYPERLINK("http://exon.niaid.nih.gov/transcriptome/C_felis/S1/links/KOG/cf-contig_737-KOG.txt","Nuclear division RFT1 protein")</f>
        <v>Nuclear division RFT1 protein</v>
      </c>
      <c r="CT744" t="str">
        <f>HYPERLINK("http://www.ncbi.nlm.nih.gov/COG/grace/shokog.cgi?KOG2864","0.097")</f>
        <v>0.097</v>
      </c>
      <c r="CU744" t="s">
        <v>1750</v>
      </c>
      <c r="CV744" s="4" t="str">
        <f>HYPERLINK("http://exon.niaid.nih.gov/transcriptome/C_felis/S1/links/PFAM/cf-contig_737-PFAM.txt","Sre")</f>
        <v>Sre</v>
      </c>
      <c r="CW744" t="str">
        <f>HYPERLINK("http://pfam.sanger.ac.uk/family?acc=PF03125","0.066")</f>
        <v>0.066</v>
      </c>
      <c r="CX744" s="4" t="str">
        <f>HYPERLINK("http://exon.niaid.nih.gov/transcriptome/C_felis/S1/links/SMART/cf-contig_737-SMART.txt","MYSc")</f>
        <v>MYSc</v>
      </c>
      <c r="CY744" t="str">
        <f>HYPERLINK("http://smart.embl-heidelberg.de/smart/do_annotation.pl?DOMAIN=MYSc&amp;BLAST=DUMMY","0.20")</f>
        <v>0.20</v>
      </c>
      <c r="CZ744" s="4" t="s">
        <v>42</v>
      </c>
      <c r="DA744" t="s">
        <v>42</v>
      </c>
      <c r="DB744" t="s">
        <v>42</v>
      </c>
      <c r="DC744" t="s">
        <v>42</v>
      </c>
      <c r="DD744" t="s">
        <v>42</v>
      </c>
      <c r="DE744" t="s">
        <v>42</v>
      </c>
      <c r="DF744" t="s">
        <v>42</v>
      </c>
      <c r="DG744" t="s">
        <v>42</v>
      </c>
      <c r="DH744" s="4" t="s">
        <v>42</v>
      </c>
      <c r="DI744" t="s">
        <v>42</v>
      </c>
      <c r="DJ744" s="4" t="s">
        <v>42</v>
      </c>
      <c r="DK744" t="s">
        <v>42</v>
      </c>
      <c r="DL744" s="4">
        <v>597</v>
      </c>
      <c r="DM744">
        <v>1</v>
      </c>
      <c r="DN744" s="4">
        <v>613</v>
      </c>
      <c r="DO744">
        <v>1</v>
      </c>
      <c r="DP744" s="4">
        <v>627</v>
      </c>
      <c r="DQ744">
        <v>1</v>
      </c>
      <c r="DR744" s="4">
        <v>649</v>
      </c>
      <c r="DS744">
        <v>1</v>
      </c>
      <c r="DT744" s="4">
        <v>664</v>
      </c>
      <c r="DU744">
        <v>1</v>
      </c>
      <c r="DV744" s="4">
        <v>679</v>
      </c>
      <c r="DW744">
        <v>1</v>
      </c>
      <c r="DX744" s="4">
        <v>690</v>
      </c>
      <c r="DY744">
        <v>1</v>
      </c>
      <c r="DZ744" s="4">
        <v>700</v>
      </c>
      <c r="EA744">
        <v>1</v>
      </c>
      <c r="EB744" s="4">
        <v>706</v>
      </c>
      <c r="EC744">
        <v>1</v>
      </c>
      <c r="ED744" s="4">
        <v>711</v>
      </c>
      <c r="EE744">
        <v>1</v>
      </c>
      <c r="EF744" s="4">
        <v>717</v>
      </c>
      <c r="EG744">
        <v>1</v>
      </c>
      <c r="EH744" s="4">
        <v>728</v>
      </c>
      <c r="EI744">
        <v>1</v>
      </c>
      <c r="EJ744" s="4">
        <v>737</v>
      </c>
      <c r="EK744">
        <v>1</v>
      </c>
    </row>
    <row r="745" spans="1:141" x14ac:dyDescent="0.2">
      <c r="A745" t="str">
        <f>HYPERLINK("http://exon.niaid.nih.gov/transcriptome/C_felis/S1/links/cf/cf-contig_629.txt","cf-contig_629")</f>
        <v>cf-contig_629</v>
      </c>
      <c r="B745">
        <v>1</v>
      </c>
      <c r="C745" s="10" t="s">
        <v>4600</v>
      </c>
      <c r="D745">
        <v>1</v>
      </c>
      <c r="E745" t="str">
        <f>HYPERLINK("http://exon.niaid.nih.gov/transcriptome/C_felis/S1/links/cf/cf-5-36-asb-629.txt","Contig-629")</f>
        <v>Contig-629</v>
      </c>
      <c r="F745" t="str">
        <f>HYPERLINK("http://exon.niaid.nih.gov/transcriptome/C_felis/S1/links/cf/cf-5-36-629-CLU.txt","Contig629")</f>
        <v>Contig629</v>
      </c>
      <c r="G745" t="str">
        <f>HYPERLINK("http://exon.niaid.nih.gov/transcriptome/C_felis/S1/links/cf/cf-5-36-629-qual.txt","65.7")</f>
        <v>65.7</v>
      </c>
      <c r="H745" t="s">
        <v>11</v>
      </c>
      <c r="I745">
        <v>74</v>
      </c>
      <c r="J745">
        <v>559</v>
      </c>
      <c r="K745" t="s">
        <v>12</v>
      </c>
      <c r="L745">
        <v>1</v>
      </c>
      <c r="M745" t="s">
        <v>642</v>
      </c>
      <c r="N745">
        <v>559</v>
      </c>
      <c r="O745">
        <v>578</v>
      </c>
      <c r="P745">
        <v>216</v>
      </c>
      <c r="Q745" t="s">
        <v>1448</v>
      </c>
      <c r="R745">
        <v>2</v>
      </c>
      <c r="S745" s="7" t="s">
        <v>4585</v>
      </c>
      <c r="U745">
        <v>1</v>
      </c>
      <c r="V745" s="4">
        <v>514</v>
      </c>
      <c r="W745">
        <v>1</v>
      </c>
      <c r="X745" s="4">
        <v>526</v>
      </c>
      <c r="Y745">
        <v>1</v>
      </c>
      <c r="Z745" s="4">
        <v>536</v>
      </c>
      <c r="AA745">
        <v>1</v>
      </c>
      <c r="AB745" s="4" t="str">
        <f>HYPERLINK("http://exon.niaid.nih.gov/transcriptome/C_felis/S1/links/XC-ASB/cf-contig_629-XC-ASB.txt","XC-contig_185")</f>
        <v>XC-contig_185</v>
      </c>
      <c r="AC745">
        <v>1.9999999999999999E-11</v>
      </c>
      <c r="AD745" s="10" t="s">
        <v>4600</v>
      </c>
      <c r="AE745" t="s">
        <v>4601</v>
      </c>
      <c r="AI745" s="4" t="str">
        <f>HYPERLINK("http://exon.niaid.nih.gov/transcriptome/C_felis/S1/links/NR/cf-contig_629-NR.txt","Endocuticle structural glycoprotein SgAbd-8, putative")</f>
        <v>Endocuticle structural glycoprotein SgAbd-8, putative</v>
      </c>
      <c r="AJ745" t="str">
        <f>HYPERLINK("http://www.ncbi.nlm.nih.gov/sutils/blink.cgi?pid=242025078","2E-004")</f>
        <v>2E-004</v>
      </c>
      <c r="AK745" t="str">
        <f>HYPERLINK("http://www.ncbi.nlm.nih.gov/protein/242025078","gi|242025078")</f>
        <v>gi|242025078</v>
      </c>
      <c r="AL745">
        <v>50.1</v>
      </c>
      <c r="AM745">
        <v>28</v>
      </c>
      <c r="AN745">
        <v>158</v>
      </c>
      <c r="AO745">
        <v>75</v>
      </c>
      <c r="AP745">
        <v>18</v>
      </c>
      <c r="AQ745">
        <v>7</v>
      </c>
      <c r="AR745">
        <v>0</v>
      </c>
      <c r="AS745">
        <v>58</v>
      </c>
      <c r="AT745">
        <v>14</v>
      </c>
      <c r="AU745">
        <v>1</v>
      </c>
      <c r="AV745">
        <v>-2</v>
      </c>
      <c r="AW745" t="s">
        <v>12</v>
      </c>
      <c r="AY745" t="s">
        <v>1666</v>
      </c>
      <c r="AZ745" t="s">
        <v>1751</v>
      </c>
      <c r="BA745" s="4" t="str">
        <f>HYPERLINK("http://exon.niaid.nih.gov/transcriptome/C_felis/S1/links/SWISSP/cf-contig_629-SWISSP.txt","Endocuticle structural glycoprotein SgAbd-2")</f>
        <v>Endocuticle structural glycoprotein SgAbd-2</v>
      </c>
      <c r="BB745" t="str">
        <f>HYPERLINK("http://www.uniprot.org/uniprot/Q7M4F3","0.005")</f>
        <v>0.005</v>
      </c>
      <c r="BC745" t="s">
        <v>3986</v>
      </c>
      <c r="BD745">
        <v>41.2</v>
      </c>
      <c r="BE745">
        <v>27</v>
      </c>
      <c r="BF745">
        <v>135</v>
      </c>
      <c r="BG745">
        <v>60</v>
      </c>
      <c r="BH745">
        <v>21</v>
      </c>
      <c r="BI745">
        <v>11</v>
      </c>
      <c r="BJ745">
        <v>0</v>
      </c>
      <c r="BK745">
        <v>37</v>
      </c>
      <c r="BL745">
        <v>17</v>
      </c>
      <c r="BM745">
        <v>1</v>
      </c>
      <c r="BN745">
        <v>-2</v>
      </c>
      <c r="BO745" t="s">
        <v>12</v>
      </c>
      <c r="BQ745" t="s">
        <v>1666</v>
      </c>
      <c r="BR745" t="s">
        <v>3987</v>
      </c>
      <c r="BS745" s="4" t="str">
        <f>HYPERLINK("http://exon.niaid.nih.gov/transcriptome/C_felis/S1/links/CDD/cf-contig_629-CDD.txt","ND6")</f>
        <v>ND6</v>
      </c>
      <c r="BT745" t="str">
        <f>HYPERLINK("http://www.ncbi.nlm.nih.gov/Structure/cdd/cddsrv.cgi?uid=MTH00097&amp;version=v4.0","1E-004")</f>
        <v>1E-004</v>
      </c>
      <c r="BU745" t="s">
        <v>3988</v>
      </c>
      <c r="BV745" s="4" t="s">
        <v>42</v>
      </c>
      <c r="BW745" t="s">
        <v>42</v>
      </c>
      <c r="BX745" t="s">
        <v>42</v>
      </c>
      <c r="BY745" t="s">
        <v>42</v>
      </c>
      <c r="BZ745" t="s">
        <v>42</v>
      </c>
      <c r="CA745" t="s">
        <v>42</v>
      </c>
      <c r="CB745" t="s">
        <v>42</v>
      </c>
      <c r="CC745" t="s">
        <v>42</v>
      </c>
      <c r="CD745" t="s">
        <v>42</v>
      </c>
      <c r="CE745" t="s">
        <v>42</v>
      </c>
      <c r="CF745" t="s">
        <v>42</v>
      </c>
      <c r="CG745" t="s">
        <v>42</v>
      </c>
      <c r="CH745" t="s">
        <v>42</v>
      </c>
      <c r="CI745" t="s">
        <v>42</v>
      </c>
      <c r="CJ745" t="s">
        <v>42</v>
      </c>
      <c r="CK745" t="s">
        <v>42</v>
      </c>
      <c r="CL745" t="s">
        <v>42</v>
      </c>
      <c r="CM745" t="s">
        <v>42</v>
      </c>
      <c r="CN745" t="s">
        <v>42</v>
      </c>
      <c r="CO745" t="s">
        <v>42</v>
      </c>
      <c r="CP745" t="s">
        <v>42</v>
      </c>
      <c r="CQ745" t="s">
        <v>42</v>
      </c>
      <c r="CR745" t="s">
        <v>42</v>
      </c>
      <c r="CS745" s="4" t="str">
        <f>HYPERLINK("http://exon.niaid.nih.gov/transcriptome/C_felis/S1/links/KOG/cf-contig_629-KOG.txt","40S ribosomal protein S11")</f>
        <v>40S ribosomal protein S11</v>
      </c>
      <c r="CT745" t="str">
        <f>HYPERLINK("http://www.ncbi.nlm.nih.gov/COG/grace/shokog.cgi?KOG1728","0.027")</f>
        <v>0.027</v>
      </c>
      <c r="CU745" t="s">
        <v>1707</v>
      </c>
      <c r="CV745" s="4" t="str">
        <f>HYPERLINK("http://exon.niaid.nih.gov/transcriptome/C_felis/S1/links/PFAM/cf-contig_629-PFAM.txt","7TM_GPCR_Srz")</f>
        <v>7TM_GPCR_Srz</v>
      </c>
      <c r="CW745" t="str">
        <f>HYPERLINK("http://pfam.sanger.ac.uk/family?acc=PF10325","0.002")</f>
        <v>0.002</v>
      </c>
      <c r="CX745" s="4" t="str">
        <f>HYPERLINK("http://exon.niaid.nih.gov/transcriptome/C_felis/S1/links/SMART/cf-contig_629-SMART.txt","AgrB")</f>
        <v>AgrB</v>
      </c>
      <c r="CY745" t="str">
        <f>HYPERLINK("http://smart.embl-heidelberg.de/smart/do_annotation.pl?DOMAIN=AgrB&amp;BLAST=DUMMY","0.36")</f>
        <v>0.36</v>
      </c>
      <c r="CZ745" s="4" t="s">
        <v>42</v>
      </c>
      <c r="DA745" t="s">
        <v>42</v>
      </c>
      <c r="DB745" t="s">
        <v>42</v>
      </c>
      <c r="DC745" t="s">
        <v>42</v>
      </c>
      <c r="DD745" t="s">
        <v>42</v>
      </c>
      <c r="DE745" t="s">
        <v>42</v>
      </c>
      <c r="DF745" t="s">
        <v>42</v>
      </c>
      <c r="DG745" t="s">
        <v>42</v>
      </c>
      <c r="DH745" s="4" t="s">
        <v>42</v>
      </c>
      <c r="DI745" t="s">
        <v>42</v>
      </c>
      <c r="DJ745" s="4" t="s">
        <v>42</v>
      </c>
      <c r="DK745" t="s">
        <v>42</v>
      </c>
      <c r="DL745" s="4">
        <v>514</v>
      </c>
      <c r="DM745">
        <v>1</v>
      </c>
      <c r="DN745" s="4">
        <v>526</v>
      </c>
      <c r="DO745">
        <v>1</v>
      </c>
      <c r="DP745" s="4">
        <v>536</v>
      </c>
      <c r="DQ745">
        <v>1</v>
      </c>
      <c r="DR745" s="4">
        <v>555</v>
      </c>
      <c r="DS745">
        <v>1</v>
      </c>
      <c r="DT745" s="4">
        <v>568</v>
      </c>
      <c r="DU745">
        <v>1</v>
      </c>
      <c r="DV745" s="4">
        <v>582</v>
      </c>
      <c r="DW745">
        <v>1</v>
      </c>
      <c r="DX745" s="4">
        <v>591</v>
      </c>
      <c r="DY745">
        <v>1</v>
      </c>
      <c r="DZ745" s="4">
        <v>599</v>
      </c>
      <c r="EA745">
        <v>1</v>
      </c>
      <c r="EB745" s="4">
        <v>604</v>
      </c>
      <c r="EC745">
        <v>1</v>
      </c>
      <c r="ED745" s="4">
        <v>608</v>
      </c>
      <c r="EE745">
        <v>1</v>
      </c>
      <c r="EF745" s="4">
        <v>614</v>
      </c>
      <c r="EG745">
        <v>1</v>
      </c>
      <c r="EH745" s="4">
        <v>622</v>
      </c>
      <c r="EI745">
        <v>1</v>
      </c>
      <c r="EJ745" s="4">
        <v>629</v>
      </c>
      <c r="EK745">
        <v>1</v>
      </c>
    </row>
    <row r="746" spans="1:141" x14ac:dyDescent="0.2">
      <c r="A746" t="str">
        <f>HYPERLINK("http://exon.niaid.nih.gov/transcriptome/C_felis/S1/links/cf/cf-contig_22.txt","cf-contig_22")</f>
        <v>cf-contig_22</v>
      </c>
      <c r="B746">
        <v>37</v>
      </c>
      <c r="C746" s="10" t="s">
        <v>4600</v>
      </c>
      <c r="D746">
        <v>37</v>
      </c>
      <c r="E746" t="str">
        <f>HYPERLINK("http://exon.niaid.nih.gov/transcriptome/C_felis/S1/links/cf/cf-5-36-asb-22.txt","Contig-22")</f>
        <v>Contig-22</v>
      </c>
      <c r="F746" t="str">
        <f>HYPERLINK("http://exon.niaid.nih.gov/transcriptome/C_felis/S1/links/cf/cf-5-36-22-CLU.txt","Contig22")</f>
        <v>Contig22</v>
      </c>
      <c r="G746" t="str">
        <f>HYPERLINK("http://exon.niaid.nih.gov/transcriptome/C_felis/S1/links/cf/cf-5-36-22-qual.txt","69.2")</f>
        <v>69.2</v>
      </c>
      <c r="H746" t="s">
        <v>11</v>
      </c>
      <c r="I746">
        <v>70.5</v>
      </c>
      <c r="J746">
        <v>608</v>
      </c>
      <c r="K746" t="s">
        <v>12</v>
      </c>
      <c r="L746">
        <v>37</v>
      </c>
      <c r="M746" t="s">
        <v>34</v>
      </c>
      <c r="N746">
        <v>609</v>
      </c>
      <c r="O746">
        <v>631</v>
      </c>
      <c r="P746">
        <v>360</v>
      </c>
      <c r="Q746" t="s">
        <v>844</v>
      </c>
      <c r="R746">
        <v>3</v>
      </c>
      <c r="S746" s="7" t="str">
        <f>HYPERLINK("http://exon.niaid.nih.gov/transcriptome/C_felis/S1/links/Sigp/CF-CONTIG_22-SigP.txt","Cyt")</f>
        <v>Cyt</v>
      </c>
      <c r="U746">
        <v>37</v>
      </c>
      <c r="V746" s="4">
        <v>100</v>
      </c>
      <c r="W746">
        <v>1</v>
      </c>
      <c r="X746" s="4">
        <v>92</v>
      </c>
      <c r="Y746">
        <v>1</v>
      </c>
      <c r="Z746" s="4">
        <v>84</v>
      </c>
      <c r="AA746">
        <v>1</v>
      </c>
      <c r="AB746" s="4" t="str">
        <f>HYPERLINK("http://exon.niaid.nih.gov/transcriptome/C_felis/S1/links/XC-ASB/cf-contig_22-XC-ASB.txt","XC-contig_206")</f>
        <v>XC-contig_206</v>
      </c>
      <c r="AC746">
        <v>1.0999999999999999E-2</v>
      </c>
      <c r="AD746" s="10" t="s">
        <v>4600</v>
      </c>
      <c r="AE746" t="s">
        <v>4601</v>
      </c>
      <c r="AI746" s="4" t="str">
        <f>HYPERLINK("http://exon.niaid.nih.gov/transcriptome/C_felis/S1/links/NR/cf-contig_22-NR.txt","Osmotic avoidance abnormal protein, putative")</f>
        <v>Osmotic avoidance abnormal protein, putative</v>
      </c>
      <c r="AJ746" t="str">
        <f>HYPERLINK("http://www.ncbi.nlm.nih.gov/sutils/blink.cgi?pid=242020702","7E-004")</f>
        <v>7E-004</v>
      </c>
      <c r="AK746" t="str">
        <f>HYPERLINK("http://www.ncbi.nlm.nih.gov/protein/242020702","gi|242020702")</f>
        <v>gi|242020702</v>
      </c>
      <c r="AL746">
        <v>48.5</v>
      </c>
      <c r="AM746">
        <v>115</v>
      </c>
      <c r="AN746">
        <v>813</v>
      </c>
      <c r="AO746">
        <v>24</v>
      </c>
      <c r="AP746">
        <v>14</v>
      </c>
      <c r="AQ746">
        <v>94</v>
      </c>
      <c r="AR746">
        <v>2</v>
      </c>
      <c r="AS746">
        <v>341</v>
      </c>
      <c r="AT746">
        <v>168</v>
      </c>
      <c r="AU746">
        <v>1</v>
      </c>
      <c r="AV746">
        <v>3</v>
      </c>
      <c r="AW746" t="s">
        <v>12</v>
      </c>
      <c r="AX746">
        <v>0.87</v>
      </c>
      <c r="AY746" t="s">
        <v>1676</v>
      </c>
      <c r="AZ746" t="s">
        <v>1751</v>
      </c>
      <c r="BA746" s="4" t="str">
        <f>HYPERLINK("http://exon.niaid.nih.gov/transcriptome/C_felis/S1/links/SWISSP/cf-contig_22-SWISSP.txt","Glutamic acid-rich protein")</f>
        <v>Glutamic acid-rich protein</v>
      </c>
      <c r="BB746" t="str">
        <f>HYPERLINK("http://www.uniprot.org/uniprot/P13816","3E-004")</f>
        <v>3E-004</v>
      </c>
      <c r="BC746" t="s">
        <v>1752</v>
      </c>
      <c r="BD746">
        <v>45.4</v>
      </c>
      <c r="BE746">
        <v>121</v>
      </c>
      <c r="BF746">
        <v>678</v>
      </c>
      <c r="BG746">
        <v>28</v>
      </c>
      <c r="BH746">
        <v>18</v>
      </c>
      <c r="BI746">
        <v>67</v>
      </c>
      <c r="BJ746">
        <v>7</v>
      </c>
      <c r="BK746">
        <v>217</v>
      </c>
      <c r="BL746">
        <v>255</v>
      </c>
      <c r="BM746">
        <v>3</v>
      </c>
      <c r="BN746">
        <v>3</v>
      </c>
      <c r="BO746" t="s">
        <v>12</v>
      </c>
      <c r="BP746">
        <v>0.82599999999999996</v>
      </c>
      <c r="BQ746" t="s">
        <v>1676</v>
      </c>
      <c r="BR746" t="s">
        <v>1753</v>
      </c>
      <c r="BS746" s="4" t="str">
        <f>HYPERLINK("http://exon.niaid.nih.gov/transcriptome/C_felis/S1/links/CDD/cf-contig_22-CDD.txt","ND4")</f>
        <v>ND4</v>
      </c>
      <c r="BT746" t="str">
        <f>HYPERLINK("http://www.ncbi.nlm.nih.gov/Structure/cdd/cddsrv.cgi?uid=MTH00094&amp;version=v4.0","2E-005")</f>
        <v>2E-005</v>
      </c>
      <c r="BU746" t="s">
        <v>1754</v>
      </c>
      <c r="BV746" s="4" t="s">
        <v>42</v>
      </c>
      <c r="BW746" t="s">
        <v>42</v>
      </c>
      <c r="BX746" t="s">
        <v>42</v>
      </c>
      <c r="BY746" t="s">
        <v>42</v>
      </c>
      <c r="BZ746" t="s">
        <v>42</v>
      </c>
      <c r="CA746" t="s">
        <v>42</v>
      </c>
      <c r="CB746" t="s">
        <v>42</v>
      </c>
      <c r="CC746" t="s">
        <v>42</v>
      </c>
      <c r="CD746" t="s">
        <v>42</v>
      </c>
      <c r="CE746" t="s">
        <v>42</v>
      </c>
      <c r="CF746" t="s">
        <v>42</v>
      </c>
      <c r="CG746" t="s">
        <v>42</v>
      </c>
      <c r="CH746" t="s">
        <v>42</v>
      </c>
      <c r="CI746" t="s">
        <v>42</v>
      </c>
      <c r="CJ746" t="s">
        <v>42</v>
      </c>
      <c r="CK746" t="s">
        <v>42</v>
      </c>
      <c r="CL746" t="s">
        <v>42</v>
      </c>
      <c r="CM746" t="s">
        <v>42</v>
      </c>
      <c r="CN746" t="s">
        <v>42</v>
      </c>
      <c r="CO746" t="s">
        <v>42</v>
      </c>
      <c r="CP746" t="s">
        <v>42</v>
      </c>
      <c r="CQ746" t="s">
        <v>42</v>
      </c>
      <c r="CR746" t="s">
        <v>42</v>
      </c>
      <c r="CS746" s="4" t="str">
        <f>HYPERLINK("http://exon.niaid.nih.gov/transcriptome/C_felis/S1/links/KOG/cf-contig_22-KOG.txt","Mannose lectin ERGIC-53, involved in glycoprotein traffic")</f>
        <v>Mannose lectin ERGIC-53, involved in glycoprotein traffic</v>
      </c>
      <c r="CT746" t="str">
        <f>HYPERLINK("http://www.ncbi.nlm.nih.gov/COG/grace/shokog.cgi?KOG3838","0.003")</f>
        <v>0.003</v>
      </c>
      <c r="CU746" t="s">
        <v>1686</v>
      </c>
      <c r="CV746" s="4" t="str">
        <f>HYPERLINK("http://exon.niaid.nih.gov/transcriptome/C_felis/S1/links/PFAM/cf-contig_22-PFAM.txt","7TMR-DISM_7TM")</f>
        <v>7TMR-DISM_7TM</v>
      </c>
      <c r="CW746" t="str">
        <f>HYPERLINK("http://pfam.sanger.ac.uk/family?acc=PF07695","2E-004")</f>
        <v>2E-004</v>
      </c>
      <c r="CX746" s="4" t="str">
        <f>HYPERLINK("http://exon.niaid.nih.gov/transcriptome/C_felis/S1/links/SMART/cf-contig_22-SMART.txt","OmpH")</f>
        <v>OmpH</v>
      </c>
      <c r="CY746" t="str">
        <f>HYPERLINK("http://smart.embl-heidelberg.de/smart/do_annotation.pl?DOMAIN=OmpH&amp;BLAST=DUMMY","4E-004")</f>
        <v>4E-004</v>
      </c>
      <c r="CZ746" s="4" t="s">
        <v>42</v>
      </c>
      <c r="DA746" t="s">
        <v>42</v>
      </c>
      <c r="DB746" t="s">
        <v>42</v>
      </c>
      <c r="DC746" t="s">
        <v>42</v>
      </c>
      <c r="DD746" t="s">
        <v>42</v>
      </c>
      <c r="DE746" t="s">
        <v>42</v>
      </c>
      <c r="DF746" t="s">
        <v>42</v>
      </c>
      <c r="DG746" t="s">
        <v>42</v>
      </c>
      <c r="DH746" s="4" t="s">
        <v>42</v>
      </c>
      <c r="DI746" t="s">
        <v>42</v>
      </c>
      <c r="DJ746" s="4" t="s">
        <v>42</v>
      </c>
      <c r="DK746" t="s">
        <v>42</v>
      </c>
      <c r="DL746" s="4">
        <v>100</v>
      </c>
      <c r="DM746">
        <v>1</v>
      </c>
      <c r="DN746" s="4">
        <v>92</v>
      </c>
      <c r="DO746">
        <v>1</v>
      </c>
      <c r="DP746" s="4">
        <v>84</v>
      </c>
      <c r="DQ746">
        <v>1</v>
      </c>
      <c r="DR746" s="4">
        <v>73</v>
      </c>
      <c r="DS746">
        <v>1</v>
      </c>
      <c r="DT746" s="4">
        <v>65</v>
      </c>
      <c r="DU746">
        <v>1</v>
      </c>
      <c r="DV746" s="4">
        <v>60</v>
      </c>
      <c r="DW746">
        <v>1</v>
      </c>
      <c r="DX746" s="4">
        <v>54</v>
      </c>
      <c r="DY746">
        <v>1</v>
      </c>
      <c r="DZ746" s="4">
        <v>49</v>
      </c>
      <c r="EA746">
        <v>1</v>
      </c>
      <c r="EB746" s="4">
        <v>45</v>
      </c>
      <c r="EC746">
        <v>1</v>
      </c>
      <c r="ED746" s="4">
        <v>45</v>
      </c>
      <c r="EE746">
        <v>1</v>
      </c>
      <c r="EF746" s="4">
        <v>39</v>
      </c>
      <c r="EG746">
        <v>1</v>
      </c>
      <c r="EH746" s="4">
        <v>27</v>
      </c>
      <c r="EI746">
        <v>1</v>
      </c>
      <c r="EJ746" s="4">
        <v>22</v>
      </c>
      <c r="EK746">
        <v>1</v>
      </c>
    </row>
    <row r="747" spans="1:141" x14ac:dyDescent="0.2">
      <c r="A747" t="str">
        <f>HYPERLINK("http://exon.niaid.nih.gov/transcriptome/C_felis/S1/links/cf/cf-contig_703.txt","cf-contig_703")</f>
        <v>cf-contig_703</v>
      </c>
      <c r="B747">
        <v>1</v>
      </c>
      <c r="C747" s="10" t="s">
        <v>4600</v>
      </c>
      <c r="D747">
        <v>1</v>
      </c>
      <c r="E747" t="str">
        <f>HYPERLINK("http://exon.niaid.nih.gov/transcriptome/C_felis/S1/links/cf/cf-5-36-asb-703.txt","Contig-703")</f>
        <v>Contig-703</v>
      </c>
      <c r="F747" t="str">
        <f>HYPERLINK("http://exon.niaid.nih.gov/transcriptome/C_felis/S1/links/cf/cf-5-36-703-CLU.txt","Contig703")</f>
        <v>Contig703</v>
      </c>
      <c r="G747" t="str">
        <f>HYPERLINK("http://exon.niaid.nih.gov/transcriptome/C_felis/S1/links/cf/cf-5-36-703-qual.txt","55.5")</f>
        <v>55.5</v>
      </c>
      <c r="H747" t="s">
        <v>11</v>
      </c>
      <c r="I747">
        <v>73</v>
      </c>
      <c r="J747">
        <v>596</v>
      </c>
      <c r="K747" t="s">
        <v>12</v>
      </c>
      <c r="L747">
        <v>1</v>
      </c>
      <c r="M747" t="s">
        <v>716</v>
      </c>
      <c r="N747">
        <v>596</v>
      </c>
      <c r="O747">
        <v>615</v>
      </c>
      <c r="P747">
        <v>168</v>
      </c>
      <c r="Q747" t="s">
        <v>1522</v>
      </c>
      <c r="R747">
        <v>2</v>
      </c>
      <c r="S747" s="7" t="s">
        <v>4585</v>
      </c>
      <c r="U747">
        <v>1</v>
      </c>
      <c r="V747" s="4">
        <v>573</v>
      </c>
      <c r="W747">
        <v>1</v>
      </c>
      <c r="X747" s="4">
        <v>588</v>
      </c>
      <c r="Y747">
        <v>1</v>
      </c>
      <c r="Z747" s="4">
        <v>600</v>
      </c>
      <c r="AA747">
        <v>1</v>
      </c>
      <c r="AB747" s="4" t="str">
        <f>HYPERLINK("http://exon.niaid.nih.gov/transcriptome/C_felis/S1/links/XC-ASB/cf-contig_703-XC-ASB.txt","XC-contig_52")</f>
        <v>XC-contig_52</v>
      </c>
      <c r="AC747">
        <v>0.26</v>
      </c>
      <c r="AD747" s="10" t="s">
        <v>4600</v>
      </c>
      <c r="AE747" t="s">
        <v>4601</v>
      </c>
      <c r="AI747" s="4" t="str">
        <f>HYPERLINK("http://exon.niaid.nih.gov/transcriptome/C_felis/S1/links/NR/cf-contig_703-NR.txt","Type II inositol-1,4,5-trisphosphate 5-phosphatase precursor, putative")</f>
        <v>Type II inositol-1,4,5-trisphosphate 5-phosphatase precursor, putative</v>
      </c>
      <c r="AJ747" t="str">
        <f>HYPERLINK("http://www.ncbi.nlm.nih.gov/sutils/blink.cgi?pid=242010076","0.012")</f>
        <v>0.012</v>
      </c>
      <c r="AK747" t="str">
        <f>HYPERLINK("http://www.ncbi.nlm.nih.gov/protein/242010076","gi|242010076")</f>
        <v>gi|242010076</v>
      </c>
      <c r="AL747">
        <v>44.3</v>
      </c>
      <c r="AM747">
        <v>25</v>
      </c>
      <c r="AN747">
        <v>893</v>
      </c>
      <c r="AO747">
        <v>73</v>
      </c>
      <c r="AP747">
        <v>3</v>
      </c>
      <c r="AQ747">
        <v>7</v>
      </c>
      <c r="AR747">
        <v>0</v>
      </c>
      <c r="AS747">
        <v>865</v>
      </c>
      <c r="AT747">
        <v>50</v>
      </c>
      <c r="AU747">
        <v>1</v>
      </c>
      <c r="AV747">
        <v>2</v>
      </c>
      <c r="AW747" t="s">
        <v>12</v>
      </c>
      <c r="AY747" t="s">
        <v>1676</v>
      </c>
      <c r="AZ747" t="s">
        <v>1751</v>
      </c>
      <c r="BA747" s="4" t="str">
        <f>HYPERLINK("http://exon.niaid.nih.gov/transcriptome/C_felis/S1/links/SWISSP/cf-contig_703-SWISSP.txt","Guard cell S-type anion channel SLAC1")</f>
        <v>Guard cell S-type anion channel SLAC1</v>
      </c>
      <c r="BB747" t="str">
        <f>HYPERLINK("http://www.uniprot.org/uniprot/Q9LD83","2.4")</f>
        <v>2.4</v>
      </c>
      <c r="BC747" t="s">
        <v>4219</v>
      </c>
      <c r="BD747">
        <v>32.299999999999997</v>
      </c>
      <c r="BE747">
        <v>97</v>
      </c>
      <c r="BF747">
        <v>556</v>
      </c>
      <c r="BG747">
        <v>29</v>
      </c>
      <c r="BH747">
        <v>18</v>
      </c>
      <c r="BI747">
        <v>75</v>
      </c>
      <c r="BJ747">
        <v>3</v>
      </c>
      <c r="BK747">
        <v>214</v>
      </c>
      <c r="BL747">
        <v>281</v>
      </c>
      <c r="BM747">
        <v>1</v>
      </c>
      <c r="BN747">
        <v>2</v>
      </c>
      <c r="BO747" t="s">
        <v>12</v>
      </c>
      <c r="BP747">
        <v>2.0619999999999998</v>
      </c>
      <c r="BQ747" t="s">
        <v>1676</v>
      </c>
      <c r="BR747" t="s">
        <v>1714</v>
      </c>
      <c r="BS747" s="4" t="str">
        <f>HYPERLINK("http://exon.niaid.nih.gov/transcriptome/C_felis/S1/links/CDD/cf-contig_703-CDD.txt","AgrB")</f>
        <v>AgrB</v>
      </c>
      <c r="BT747" t="str">
        <f>HYPERLINK("http://www.ncbi.nlm.nih.gov/Structure/cdd/cddsrv.cgi?uid=pfam04647&amp;version=v4.0","0.022")</f>
        <v>0.022</v>
      </c>
      <c r="BU747" t="s">
        <v>4220</v>
      </c>
      <c r="BV747" s="4" t="s">
        <v>42</v>
      </c>
      <c r="BW747" t="s">
        <v>42</v>
      </c>
      <c r="BX747" t="s">
        <v>42</v>
      </c>
      <c r="BY747" t="s">
        <v>42</v>
      </c>
      <c r="BZ747" t="s">
        <v>42</v>
      </c>
      <c r="CA747" t="s">
        <v>42</v>
      </c>
      <c r="CB747" t="s">
        <v>42</v>
      </c>
      <c r="CC747" t="s">
        <v>42</v>
      </c>
      <c r="CD747" t="s">
        <v>42</v>
      </c>
      <c r="CE747" t="s">
        <v>42</v>
      </c>
      <c r="CF747" t="s">
        <v>42</v>
      </c>
      <c r="CG747" t="s">
        <v>42</v>
      </c>
      <c r="CH747" t="s">
        <v>42</v>
      </c>
      <c r="CI747" t="s">
        <v>42</v>
      </c>
      <c r="CJ747" t="s">
        <v>42</v>
      </c>
      <c r="CK747" t="s">
        <v>42</v>
      </c>
      <c r="CL747" t="s">
        <v>42</v>
      </c>
      <c r="CM747" t="s">
        <v>42</v>
      </c>
      <c r="CN747" t="s">
        <v>42</v>
      </c>
      <c r="CO747" t="s">
        <v>42</v>
      </c>
      <c r="CP747" t="s">
        <v>42</v>
      </c>
      <c r="CQ747" t="s">
        <v>42</v>
      </c>
      <c r="CR747" t="s">
        <v>42</v>
      </c>
      <c r="CS747" s="4" t="str">
        <f>HYPERLINK("http://exon.niaid.nih.gov/transcriptome/C_felis/S1/links/KOG/cf-contig_703-KOG.txt","Cyclic nucleotide-gated cation channel CNGA1-3 and related proteins")</f>
        <v>Cyclic nucleotide-gated cation channel CNGA1-3 and related proteins</v>
      </c>
      <c r="CT747" t="str">
        <f>HYPERLINK("http://www.ncbi.nlm.nih.gov/COG/grace/shokog.cgi?KOG0500","1.6")</f>
        <v>1.6</v>
      </c>
      <c r="CU747" t="s">
        <v>1702</v>
      </c>
      <c r="CV747" s="4" t="str">
        <f>HYPERLINK("http://exon.niaid.nih.gov/transcriptome/C_felis/S1/links/PFAM/cf-contig_703-PFAM.txt","AgrB")</f>
        <v>AgrB</v>
      </c>
      <c r="CW747" t="str">
        <f>HYPERLINK("http://pfam.sanger.ac.uk/family?acc=PF04647","0.004")</f>
        <v>0.004</v>
      </c>
      <c r="CX747" s="4" t="str">
        <f>HYPERLINK("http://exon.niaid.nih.gov/transcriptome/C_felis/S1/links/SMART/cf-contig_703-SMART.txt","PSN")</f>
        <v>PSN</v>
      </c>
      <c r="CY747" t="str">
        <f>HYPERLINK("http://smart.embl-heidelberg.de/smart/do_annotation.pl?DOMAIN=PSN&amp;BLAST=DUMMY","0.12")</f>
        <v>0.12</v>
      </c>
      <c r="CZ747" s="4" t="s">
        <v>42</v>
      </c>
      <c r="DA747" t="s">
        <v>42</v>
      </c>
      <c r="DB747" t="s">
        <v>42</v>
      </c>
      <c r="DC747" t="s">
        <v>42</v>
      </c>
      <c r="DD747" t="s">
        <v>42</v>
      </c>
      <c r="DE747" t="s">
        <v>42</v>
      </c>
      <c r="DF747" t="s">
        <v>42</v>
      </c>
      <c r="DG747" t="s">
        <v>42</v>
      </c>
      <c r="DH747" s="4" t="s">
        <v>42</v>
      </c>
      <c r="DI747" t="s">
        <v>42</v>
      </c>
      <c r="DJ747" s="4" t="s">
        <v>42</v>
      </c>
      <c r="DK747" t="s">
        <v>42</v>
      </c>
      <c r="DL747" s="4">
        <v>573</v>
      </c>
      <c r="DM747">
        <v>1</v>
      </c>
      <c r="DN747" s="4">
        <v>588</v>
      </c>
      <c r="DO747">
        <v>1</v>
      </c>
      <c r="DP747" s="4">
        <v>600</v>
      </c>
      <c r="DQ747">
        <v>1</v>
      </c>
      <c r="DR747" s="4">
        <v>621</v>
      </c>
      <c r="DS747">
        <v>1</v>
      </c>
      <c r="DT747" s="4">
        <v>635</v>
      </c>
      <c r="DU747">
        <v>1</v>
      </c>
      <c r="DV747" s="4">
        <v>650</v>
      </c>
      <c r="DW747">
        <v>1</v>
      </c>
      <c r="DX747" s="4">
        <v>660</v>
      </c>
      <c r="DY747">
        <v>1</v>
      </c>
      <c r="DZ747" s="4">
        <v>670</v>
      </c>
      <c r="EA747">
        <v>1</v>
      </c>
      <c r="EB747" s="4">
        <v>675</v>
      </c>
      <c r="EC747">
        <v>1</v>
      </c>
      <c r="ED747" s="4">
        <v>679</v>
      </c>
      <c r="EE747">
        <v>1</v>
      </c>
      <c r="EF747" s="4">
        <v>685</v>
      </c>
      <c r="EG747">
        <v>1</v>
      </c>
      <c r="EH747" s="4">
        <v>694</v>
      </c>
      <c r="EI747">
        <v>1</v>
      </c>
      <c r="EJ747" s="4">
        <v>703</v>
      </c>
      <c r="EK747">
        <v>1</v>
      </c>
    </row>
    <row r="748" spans="1:141" x14ac:dyDescent="0.2">
      <c r="A748" t="str">
        <f>HYPERLINK("http://exon.niaid.nih.gov/transcriptome/C_felis/S1/links/cf/cf-contig_270.txt","cf-contig_270")</f>
        <v>cf-contig_270</v>
      </c>
      <c r="B748">
        <v>1</v>
      </c>
      <c r="C748" s="10" t="s">
        <v>4600</v>
      </c>
      <c r="D748">
        <v>1</v>
      </c>
      <c r="E748" t="str">
        <f>HYPERLINK("http://exon.niaid.nih.gov/transcriptome/C_felis/S1/links/cf/cf-5-36-asb-270.txt","Contig-270")</f>
        <v>Contig-270</v>
      </c>
      <c r="F748" t="str">
        <f>HYPERLINK("http://exon.niaid.nih.gov/transcriptome/C_felis/S1/links/cf/cf-5-36-270-CLU.txt","Contig270")</f>
        <v>Contig270</v>
      </c>
      <c r="G748" t="str">
        <f>HYPERLINK("http://exon.niaid.nih.gov/transcriptome/C_felis/S1/links/cf/cf-5-36-270-qual.txt","58.6")</f>
        <v>58.6</v>
      </c>
      <c r="H748" t="s">
        <v>11</v>
      </c>
      <c r="I748">
        <v>71.7</v>
      </c>
      <c r="J748">
        <v>133</v>
      </c>
      <c r="K748" t="s">
        <v>12</v>
      </c>
      <c r="L748">
        <v>1</v>
      </c>
      <c r="M748" t="s">
        <v>283</v>
      </c>
      <c r="N748">
        <v>133</v>
      </c>
      <c r="O748">
        <v>152</v>
      </c>
      <c r="P748">
        <v>99</v>
      </c>
      <c r="Q748" t="s">
        <v>1090</v>
      </c>
      <c r="R748">
        <v>1</v>
      </c>
      <c r="S748" s="7" t="s">
        <v>4585</v>
      </c>
      <c r="U748">
        <v>1</v>
      </c>
      <c r="V748" s="4">
        <f>HYPERLINK("http://exon.niaid.nih.gov/transcriptome/C_felis/S1/links/cluster/cf-5-36-asb30-50-Id-CLU9.txt", 9)</f>
        <v>9</v>
      </c>
      <c r="W748">
        <f>HYPERLINK("http://exon.niaid.nih.gov/transcriptome/C_felis/S1/links/cluster/cf-5-36-asb30-50-Id-CLTL9.txt", 4)</f>
        <v>4</v>
      </c>
      <c r="X748" s="4">
        <v>219</v>
      </c>
      <c r="Y748">
        <v>1</v>
      </c>
      <c r="Z748" s="4">
        <v>218</v>
      </c>
      <c r="AA748">
        <v>1</v>
      </c>
      <c r="AB748" s="4" t="str">
        <f>HYPERLINK("http://exon.niaid.nih.gov/transcriptome/C_felis/S1/links/XC-ASB/cf-contig_270-XC-ASB.txt","XC-contig_41")</f>
        <v>XC-contig_41</v>
      </c>
      <c r="AC748">
        <v>3.9999999999999998E-7</v>
      </c>
      <c r="AD748" s="10" t="s">
        <v>4600</v>
      </c>
      <c r="AE748" t="s">
        <v>4601</v>
      </c>
      <c r="AI748" s="4" t="str">
        <f>HYPERLINK("http://exon.niaid.nih.gov/transcriptome/C_felis/S1/links/NR/cf-contig_270-NR.txt","Pc12g15920")</f>
        <v>Pc12g15920</v>
      </c>
      <c r="AJ748" t="str">
        <f>HYPERLINK("http://www.ncbi.nlm.nih.gov/sutils/blink.cgi?pid=255934422","7.3")</f>
        <v>7.3</v>
      </c>
      <c r="AK748" t="str">
        <f>HYPERLINK("http://www.ncbi.nlm.nih.gov/protein/255934422","gi|255934422")</f>
        <v>gi|255934422</v>
      </c>
      <c r="AL748">
        <v>34.299999999999997</v>
      </c>
      <c r="AM748">
        <v>28</v>
      </c>
      <c r="AN748">
        <v>608</v>
      </c>
      <c r="AO748">
        <v>48</v>
      </c>
      <c r="AP748">
        <v>5</v>
      </c>
      <c r="AQ748">
        <v>15</v>
      </c>
      <c r="AR748">
        <v>0</v>
      </c>
      <c r="AS748">
        <v>122</v>
      </c>
      <c r="AT748">
        <v>17</v>
      </c>
      <c r="AU748">
        <v>1</v>
      </c>
      <c r="AV748">
        <v>-2</v>
      </c>
      <c r="AW748" t="s">
        <v>12</v>
      </c>
      <c r="AY748" t="s">
        <v>1666</v>
      </c>
      <c r="AZ748" t="s">
        <v>2649</v>
      </c>
      <c r="BA748" s="4" t="str">
        <f>HYPERLINK("http://exon.niaid.nih.gov/transcriptome/C_felis/S1/links/SWISSP/cf-contig_270-SWISSP.txt","Mitosis inhibitor protein kinase wee1")</f>
        <v>Mitosis inhibitor protein kinase wee1</v>
      </c>
      <c r="BB748" t="str">
        <f>HYPERLINK("http://www.uniprot.org/uniprot/P07527","18")</f>
        <v>18</v>
      </c>
      <c r="BC748" t="s">
        <v>2650</v>
      </c>
      <c r="BD748">
        <v>28.1</v>
      </c>
      <c r="BE748">
        <v>23</v>
      </c>
      <c r="BF748">
        <v>877</v>
      </c>
      <c r="BG748">
        <v>50</v>
      </c>
      <c r="BH748">
        <v>3</v>
      </c>
      <c r="BI748">
        <v>12</v>
      </c>
      <c r="BJ748">
        <v>0</v>
      </c>
      <c r="BK748">
        <v>352</v>
      </c>
      <c r="BL748">
        <v>17</v>
      </c>
      <c r="BM748">
        <v>1</v>
      </c>
      <c r="BN748">
        <v>-2</v>
      </c>
      <c r="BO748" t="s">
        <v>12</v>
      </c>
      <c r="BQ748" t="s">
        <v>1666</v>
      </c>
      <c r="BR748" t="s">
        <v>1695</v>
      </c>
      <c r="BS748" s="4" t="str">
        <f>HYPERLINK("http://exon.niaid.nih.gov/transcriptome/C_felis/S1/links/CDD/cf-contig_270-CDD.txt","Vps52")</f>
        <v>Vps52</v>
      </c>
      <c r="BT748" t="str">
        <f>HYPERLINK("http://www.ncbi.nlm.nih.gov/Structure/cdd/cddsrv.cgi?uid=pfam04129&amp;version=v4.0","0.21")</f>
        <v>0.21</v>
      </c>
      <c r="BU748" t="s">
        <v>2651</v>
      </c>
      <c r="BV748" s="4" t="s">
        <v>42</v>
      </c>
      <c r="BW748" t="s">
        <v>42</v>
      </c>
      <c r="BX748" t="s">
        <v>42</v>
      </c>
      <c r="BY748" t="s">
        <v>42</v>
      </c>
      <c r="BZ748" t="s">
        <v>42</v>
      </c>
      <c r="CA748" t="s">
        <v>42</v>
      </c>
      <c r="CB748" t="s">
        <v>42</v>
      </c>
      <c r="CC748" t="s">
        <v>42</v>
      </c>
      <c r="CD748" t="s">
        <v>42</v>
      </c>
      <c r="CE748" t="s">
        <v>42</v>
      </c>
      <c r="CF748" t="s">
        <v>42</v>
      </c>
      <c r="CG748" t="s">
        <v>42</v>
      </c>
      <c r="CH748" t="s">
        <v>42</v>
      </c>
      <c r="CI748" t="s">
        <v>42</v>
      </c>
      <c r="CJ748" t="s">
        <v>42</v>
      </c>
      <c r="CK748" t="s">
        <v>42</v>
      </c>
      <c r="CL748" t="s">
        <v>42</v>
      </c>
      <c r="CM748" t="s">
        <v>42</v>
      </c>
      <c r="CN748" t="s">
        <v>42</v>
      </c>
      <c r="CO748" t="s">
        <v>42</v>
      </c>
      <c r="CP748" t="s">
        <v>42</v>
      </c>
      <c r="CQ748" t="s">
        <v>42</v>
      </c>
      <c r="CR748" t="s">
        <v>42</v>
      </c>
      <c r="CS748" s="4" t="str">
        <f>HYPERLINK("http://exon.niaid.nih.gov/transcriptome/C_felis/S1/links/KOG/cf-contig_270-KOG.txt","Vacuolar sorting protein VPS52/suppressor of actin Sac2")</f>
        <v>Vacuolar sorting protein VPS52/suppressor of actin Sac2</v>
      </c>
      <c r="CT748" t="str">
        <f>HYPERLINK("http://www.ncbi.nlm.nih.gov/COG/grace/shokog.cgi?KOG1961","0.16")</f>
        <v>0.16</v>
      </c>
      <c r="CU748" t="s">
        <v>2652</v>
      </c>
      <c r="CV748" s="4" t="str">
        <f>HYPERLINK("http://exon.niaid.nih.gov/transcriptome/C_felis/S1/links/PFAM/cf-contig_270-PFAM.txt","Vps52")</f>
        <v>Vps52</v>
      </c>
      <c r="CW748" t="str">
        <f>HYPERLINK("http://pfam.sanger.ac.uk/family?acc=PF04129","0.045")</f>
        <v>0.045</v>
      </c>
      <c r="CX748" s="4" t="str">
        <f>HYPERLINK("http://exon.niaid.nih.gov/transcriptome/C_felis/S1/links/SMART/cf-contig_270-SMART.txt","HECTc")</f>
        <v>HECTc</v>
      </c>
      <c r="CY748" t="str">
        <f>HYPERLINK("http://smart.embl-heidelberg.de/smart/do_annotation.pl?DOMAIN=HECTc&amp;BLAST=DUMMY","0.44")</f>
        <v>0.44</v>
      </c>
      <c r="CZ748" s="4" t="s">
        <v>42</v>
      </c>
      <c r="DA748" t="s">
        <v>42</v>
      </c>
      <c r="DB748" t="s">
        <v>42</v>
      </c>
      <c r="DC748" t="s">
        <v>42</v>
      </c>
      <c r="DD748" t="s">
        <v>42</v>
      </c>
      <c r="DE748" t="s">
        <v>42</v>
      </c>
      <c r="DF748" t="s">
        <v>42</v>
      </c>
      <c r="DG748" t="s">
        <v>42</v>
      </c>
      <c r="DH748" s="4" t="s">
        <v>42</v>
      </c>
      <c r="DI748" t="s">
        <v>42</v>
      </c>
      <c r="DJ748" s="4" t="s">
        <v>42</v>
      </c>
      <c r="DK748" t="s">
        <v>42</v>
      </c>
      <c r="DL748" s="4">
        <f>HYPERLINK("http://exon.niaid.nih.gov/transcriptome/C_felis/S1/links/cluster/cf-5-36-asb30-50-Id-CLU9.txt", 9)</f>
        <v>9</v>
      </c>
      <c r="DM748">
        <f>HYPERLINK("http://exon.niaid.nih.gov/transcriptome/C_felis/S1/links/cluster/cf-5-36-asb30-50-Id-CLTL9.txt", 4)</f>
        <v>4</v>
      </c>
      <c r="DN748" s="4">
        <v>219</v>
      </c>
      <c r="DO748">
        <v>1</v>
      </c>
      <c r="DP748" s="4">
        <v>218</v>
      </c>
      <c r="DQ748">
        <v>1</v>
      </c>
      <c r="DR748" s="4">
        <v>227</v>
      </c>
      <c r="DS748">
        <v>1</v>
      </c>
      <c r="DT748" s="4">
        <v>233</v>
      </c>
      <c r="DU748">
        <v>1</v>
      </c>
      <c r="DV748" s="4">
        <v>245</v>
      </c>
      <c r="DW748">
        <v>1</v>
      </c>
      <c r="DX748" s="4">
        <v>247</v>
      </c>
      <c r="DY748">
        <v>1</v>
      </c>
      <c r="DZ748" s="4">
        <v>252</v>
      </c>
      <c r="EA748">
        <v>1</v>
      </c>
      <c r="EB748" s="4">
        <v>257</v>
      </c>
      <c r="EC748">
        <v>1</v>
      </c>
      <c r="ED748" s="4">
        <v>260</v>
      </c>
      <c r="EE748">
        <v>1</v>
      </c>
      <c r="EF748" s="4">
        <v>263</v>
      </c>
      <c r="EG748">
        <v>1</v>
      </c>
      <c r="EH748" s="4">
        <v>265</v>
      </c>
      <c r="EI748">
        <v>1</v>
      </c>
      <c r="EJ748" s="4">
        <v>270</v>
      </c>
      <c r="EK748">
        <v>1</v>
      </c>
    </row>
    <row r="749" spans="1:141" x14ac:dyDescent="0.2">
      <c r="A749" t="str">
        <f>HYPERLINK("http://exon.niaid.nih.gov/transcriptome/C_felis/S1/links/cf/cf-contig_404.txt","cf-contig_404")</f>
        <v>cf-contig_404</v>
      </c>
      <c r="B749">
        <v>1</v>
      </c>
      <c r="C749" s="10" t="s">
        <v>4600</v>
      </c>
      <c r="D749">
        <v>1</v>
      </c>
      <c r="E749" t="str">
        <f>HYPERLINK("http://exon.niaid.nih.gov/transcriptome/C_felis/S1/links/cf/cf-5-36-asb-404.txt","Contig-404")</f>
        <v>Contig-404</v>
      </c>
      <c r="F749" t="str">
        <f>HYPERLINK("http://exon.niaid.nih.gov/transcriptome/C_felis/S1/links/cf/cf-5-36-404-CLU.txt","Contig404")</f>
        <v>Contig404</v>
      </c>
      <c r="G749" t="str">
        <f>HYPERLINK("http://exon.niaid.nih.gov/transcriptome/C_felis/S1/links/cf/cf-5-36-404-qual.txt","64.3")</f>
        <v>64.3</v>
      </c>
      <c r="H749">
        <v>0.3</v>
      </c>
      <c r="I749">
        <v>63.9</v>
      </c>
      <c r="J749">
        <v>607</v>
      </c>
      <c r="K749" t="s">
        <v>12</v>
      </c>
      <c r="L749">
        <v>1</v>
      </c>
      <c r="M749" t="s">
        <v>417</v>
      </c>
      <c r="N749">
        <v>607</v>
      </c>
      <c r="O749">
        <v>626</v>
      </c>
      <c r="P749">
        <v>378</v>
      </c>
      <c r="Q749" t="s">
        <v>1224</v>
      </c>
      <c r="R749">
        <v>3</v>
      </c>
      <c r="S749" s="7" t="s">
        <v>4585</v>
      </c>
      <c r="U749">
        <v>1</v>
      </c>
      <c r="V749" s="4">
        <v>330</v>
      </c>
      <c r="W749">
        <v>1</v>
      </c>
      <c r="X749" s="4">
        <v>338</v>
      </c>
      <c r="Y749">
        <v>1</v>
      </c>
      <c r="Z749" s="4">
        <v>339</v>
      </c>
      <c r="AA749">
        <v>1</v>
      </c>
      <c r="AB749" s="4" t="str">
        <f>HYPERLINK("http://exon.niaid.nih.gov/transcriptome/C_felis/S1/links/XC-ASB/cf-contig_404-XC-ASB.txt","XC-contig_175")</f>
        <v>XC-contig_175</v>
      </c>
      <c r="AC749">
        <v>0.36</v>
      </c>
      <c r="AD749" s="10" t="s">
        <v>4600</v>
      </c>
      <c r="AE749" t="s">
        <v>4601</v>
      </c>
      <c r="AI749" s="4" t="str">
        <f>HYPERLINK("http://exon.niaid.nih.gov/transcriptome/C_felis/S1/links/NR/cf-contig_404-NR.txt","MYB DNA-binding domain protein")</f>
        <v>MYB DNA-binding domain protein</v>
      </c>
      <c r="AJ749" t="str">
        <f>HYPERLINK("http://www.ncbi.nlm.nih.gov/sutils/blink.cgi?pid=212543073","4E-004")</f>
        <v>4E-004</v>
      </c>
      <c r="AK749" t="str">
        <f>HYPERLINK("http://www.ncbi.nlm.nih.gov/protein/212543073","gi|212543073")</f>
        <v>gi|212543073</v>
      </c>
      <c r="AL749">
        <v>49.3</v>
      </c>
      <c r="AM749">
        <v>132</v>
      </c>
      <c r="AN749">
        <v>691</v>
      </c>
      <c r="AO749">
        <v>31</v>
      </c>
      <c r="AP749">
        <v>19</v>
      </c>
      <c r="AQ749">
        <v>95</v>
      </c>
      <c r="AR749">
        <v>20</v>
      </c>
      <c r="AS749">
        <v>438</v>
      </c>
      <c r="AT749">
        <v>21</v>
      </c>
      <c r="AU749">
        <v>1</v>
      </c>
      <c r="AV749">
        <v>3</v>
      </c>
      <c r="AW749" t="s">
        <v>12</v>
      </c>
      <c r="AY749" t="s">
        <v>1676</v>
      </c>
      <c r="AZ749" t="s">
        <v>3096</v>
      </c>
      <c r="BA749" s="4" t="str">
        <f>HYPERLINK("http://exon.niaid.nih.gov/transcriptome/C_felis/S1/links/SWISSP/cf-contig_404-SWISSP.txt","Enolase-phosphatase E1")</f>
        <v>Enolase-phosphatase E1</v>
      </c>
      <c r="BB749" t="str">
        <f>HYPERLINK("http://www.uniprot.org/uniprot/B0WQG0","3E-005")</f>
        <v>3E-005</v>
      </c>
      <c r="BC749" t="s">
        <v>3097</v>
      </c>
      <c r="BD749">
        <v>48.9</v>
      </c>
      <c r="BE749">
        <v>137</v>
      </c>
      <c r="BF749">
        <v>723</v>
      </c>
      <c r="BG749">
        <v>33</v>
      </c>
      <c r="BH749">
        <v>19</v>
      </c>
      <c r="BI749">
        <v>95</v>
      </c>
      <c r="BJ749">
        <v>26</v>
      </c>
      <c r="BK749">
        <v>584</v>
      </c>
      <c r="BL749">
        <v>30</v>
      </c>
      <c r="BM749">
        <v>1</v>
      </c>
      <c r="BN749">
        <v>3</v>
      </c>
      <c r="BO749" t="s">
        <v>12</v>
      </c>
      <c r="BQ749" t="s">
        <v>1676</v>
      </c>
      <c r="BR749" t="s">
        <v>1769</v>
      </c>
      <c r="BS749" s="4" t="str">
        <f>HYPERLINK("http://exon.niaid.nih.gov/transcriptome/C_felis/S1/links/CDD/cf-contig_404-CDD.txt","7TM_GPCR_Srbc")</f>
        <v>7TM_GPCR_Srbc</v>
      </c>
      <c r="BT749" t="str">
        <f>HYPERLINK("http://www.ncbi.nlm.nih.gov/Structure/cdd/cddsrv.cgi?uid=pfam10316&amp;version=v4.0","5E-004")</f>
        <v>5E-004</v>
      </c>
      <c r="BU749" t="s">
        <v>3098</v>
      </c>
      <c r="BV749" s="4" t="s">
        <v>42</v>
      </c>
      <c r="BW749" t="s">
        <v>42</v>
      </c>
      <c r="BX749" t="s">
        <v>42</v>
      </c>
      <c r="BY749" t="s">
        <v>42</v>
      </c>
      <c r="BZ749" t="s">
        <v>42</v>
      </c>
      <c r="CA749" t="s">
        <v>42</v>
      </c>
      <c r="CB749" t="s">
        <v>42</v>
      </c>
      <c r="CC749" t="s">
        <v>42</v>
      </c>
      <c r="CD749" t="s">
        <v>42</v>
      </c>
      <c r="CE749" t="s">
        <v>42</v>
      </c>
      <c r="CF749" t="s">
        <v>42</v>
      </c>
      <c r="CG749" t="s">
        <v>42</v>
      </c>
      <c r="CH749" t="s">
        <v>42</v>
      </c>
      <c r="CI749" t="s">
        <v>42</v>
      </c>
      <c r="CJ749" t="s">
        <v>42</v>
      </c>
      <c r="CK749" t="s">
        <v>42</v>
      </c>
      <c r="CL749" t="s">
        <v>42</v>
      </c>
      <c r="CM749" t="s">
        <v>42</v>
      </c>
      <c r="CN749" t="s">
        <v>42</v>
      </c>
      <c r="CO749" t="s">
        <v>42</v>
      </c>
      <c r="CP749" t="s">
        <v>42</v>
      </c>
      <c r="CQ749" t="s">
        <v>42</v>
      </c>
      <c r="CR749" t="s">
        <v>42</v>
      </c>
      <c r="CS749" s="4" t="str">
        <f>HYPERLINK("http://exon.niaid.nih.gov/transcriptome/C_felis/S1/links/KOG/cf-contig_404-KOG.txt","Predicted transporter (major facilitator superfamily)")</f>
        <v>Predicted transporter (major facilitator superfamily)</v>
      </c>
      <c r="CT749" t="str">
        <f>HYPERLINK("http://www.ncbi.nlm.nih.gov/COG/grace/shokog.cgi?KOG0254","0.007")</f>
        <v>0.007</v>
      </c>
      <c r="CU749" t="s">
        <v>1721</v>
      </c>
      <c r="CV749" s="4" t="str">
        <f>HYPERLINK("http://exon.niaid.nih.gov/transcriptome/C_felis/S1/links/PFAM/cf-contig_404-PFAM.txt","7TM_GPCR_Srbc")</f>
        <v>7TM_GPCR_Srbc</v>
      </c>
      <c r="CW749" t="str">
        <f>HYPERLINK("http://pfam.sanger.ac.uk/family?acc=PF10316","1E-004")</f>
        <v>1E-004</v>
      </c>
      <c r="CX749" s="4" t="str">
        <f>HYPERLINK("http://exon.niaid.nih.gov/transcriptome/C_felis/S1/links/SMART/cf-contig_404-SMART.txt","APC2")</f>
        <v>APC2</v>
      </c>
      <c r="CY749" t="str">
        <f>HYPERLINK("http://smart.embl-heidelberg.de/smart/do_annotation.pl?DOMAIN=APC2&amp;BLAST=DUMMY","0.17")</f>
        <v>0.17</v>
      </c>
      <c r="CZ749" s="4" t="s">
        <v>42</v>
      </c>
      <c r="DA749" t="s">
        <v>42</v>
      </c>
      <c r="DB749" t="s">
        <v>42</v>
      </c>
      <c r="DC749" t="s">
        <v>42</v>
      </c>
      <c r="DD749" t="s">
        <v>42</v>
      </c>
      <c r="DE749" t="s">
        <v>42</v>
      </c>
      <c r="DF749" t="s">
        <v>42</v>
      </c>
      <c r="DG749" t="s">
        <v>42</v>
      </c>
      <c r="DH749" s="4" t="s">
        <v>42</v>
      </c>
      <c r="DI749" t="s">
        <v>42</v>
      </c>
      <c r="DJ749" s="4" t="s">
        <v>42</v>
      </c>
      <c r="DK749" t="s">
        <v>42</v>
      </c>
      <c r="DL749" s="4">
        <v>330</v>
      </c>
      <c r="DM749">
        <v>1</v>
      </c>
      <c r="DN749" s="4">
        <v>338</v>
      </c>
      <c r="DO749">
        <v>1</v>
      </c>
      <c r="DP749" s="4">
        <v>339</v>
      </c>
      <c r="DQ749">
        <v>1</v>
      </c>
      <c r="DR749" s="4">
        <v>350</v>
      </c>
      <c r="DS749">
        <v>1</v>
      </c>
      <c r="DT749" s="4">
        <v>360</v>
      </c>
      <c r="DU749">
        <v>1</v>
      </c>
      <c r="DV749" s="4">
        <v>373</v>
      </c>
      <c r="DW749">
        <v>1</v>
      </c>
      <c r="DX749" s="4">
        <v>376</v>
      </c>
      <c r="DY749">
        <v>1</v>
      </c>
      <c r="DZ749" s="4">
        <v>381</v>
      </c>
      <c r="EA749">
        <v>1</v>
      </c>
      <c r="EB749" s="4">
        <v>386</v>
      </c>
      <c r="EC749">
        <v>1</v>
      </c>
      <c r="ED749" s="4">
        <v>390</v>
      </c>
      <c r="EE749">
        <v>1</v>
      </c>
      <c r="EF749" s="4">
        <v>395</v>
      </c>
      <c r="EG749">
        <v>1</v>
      </c>
      <c r="EH749" s="4">
        <v>398</v>
      </c>
      <c r="EI749">
        <v>1</v>
      </c>
      <c r="EJ749" s="4">
        <v>404</v>
      </c>
      <c r="EK749">
        <v>1</v>
      </c>
    </row>
    <row r="750" spans="1:141" x14ac:dyDescent="0.2">
      <c r="A750" t="str">
        <f>HYPERLINK("http://exon.niaid.nih.gov/transcriptome/C_felis/S1/links/cf/cf-contig_499.txt","cf-contig_499")</f>
        <v>cf-contig_499</v>
      </c>
      <c r="B750">
        <v>1</v>
      </c>
      <c r="C750" s="10" t="s">
        <v>4600</v>
      </c>
      <c r="D750">
        <v>1</v>
      </c>
      <c r="E750" t="str">
        <f>HYPERLINK("http://exon.niaid.nih.gov/transcriptome/C_felis/S1/links/cf/cf-5-36-asb-499.txt","Contig-499")</f>
        <v>Contig-499</v>
      </c>
      <c r="F750" t="str">
        <f>HYPERLINK("http://exon.niaid.nih.gov/transcriptome/C_felis/S1/links/cf/cf-5-36-499-CLU.txt","Contig499")</f>
        <v>Contig499</v>
      </c>
      <c r="G750" t="str">
        <f>HYPERLINK("http://exon.niaid.nih.gov/transcriptome/C_felis/S1/links/cf/cf-5-36-499-qual.txt","62.1")</f>
        <v>62.1</v>
      </c>
      <c r="H750" t="s">
        <v>11</v>
      </c>
      <c r="I750">
        <v>62.5</v>
      </c>
      <c r="J750">
        <v>549</v>
      </c>
      <c r="K750" t="s">
        <v>12</v>
      </c>
      <c r="L750">
        <v>1</v>
      </c>
      <c r="M750" t="s">
        <v>512</v>
      </c>
      <c r="N750">
        <v>549</v>
      </c>
      <c r="O750">
        <v>568</v>
      </c>
      <c r="P750">
        <v>309</v>
      </c>
      <c r="Q750" t="s">
        <v>1318</v>
      </c>
      <c r="R750">
        <v>1</v>
      </c>
      <c r="S750" s="7" t="s">
        <v>4585</v>
      </c>
      <c r="U750">
        <v>1</v>
      </c>
      <c r="V750" s="4">
        <v>407</v>
      </c>
      <c r="W750">
        <v>1</v>
      </c>
      <c r="X750" s="4">
        <v>416</v>
      </c>
      <c r="Y750">
        <v>1</v>
      </c>
      <c r="Z750" s="4">
        <v>421</v>
      </c>
      <c r="AA750">
        <v>1</v>
      </c>
      <c r="AB750" s="4" t="str">
        <f>HYPERLINK("http://exon.niaid.nih.gov/transcriptome/C_felis/S1/links/XC-ASB/cf-contig_499-XC-ASB.txt","XC-contig_150")</f>
        <v>XC-contig_150</v>
      </c>
      <c r="AC750">
        <v>0.27</v>
      </c>
      <c r="AD750" s="10" t="s">
        <v>4600</v>
      </c>
      <c r="AE750" t="s">
        <v>4601</v>
      </c>
      <c r="AI750" s="4" t="str">
        <f>HYPERLINK("http://exon.niaid.nih.gov/transcriptome/C_felis/S1/links/NR/cf-contig_499-NR.txt","predicted protein")</f>
        <v>predicted protein</v>
      </c>
      <c r="AJ750" t="str">
        <f>HYPERLINK("http://www.ncbi.nlm.nih.gov/sutils/blink.cgi?pid=168018021","0.24")</f>
        <v>0.24</v>
      </c>
      <c r="AK750" t="str">
        <f>HYPERLINK("http://www.ncbi.nlm.nih.gov/protein/168018021","gi|168018021")</f>
        <v>gi|168018021</v>
      </c>
      <c r="AL750">
        <v>39.700000000000003</v>
      </c>
      <c r="AM750">
        <v>62</v>
      </c>
      <c r="AN750">
        <v>361</v>
      </c>
      <c r="AO750">
        <v>35</v>
      </c>
      <c r="AP750">
        <v>17</v>
      </c>
      <c r="AQ750">
        <v>42</v>
      </c>
      <c r="AR750">
        <v>3</v>
      </c>
      <c r="AS750">
        <v>287</v>
      </c>
      <c r="AT750">
        <v>6</v>
      </c>
      <c r="AU750">
        <v>1</v>
      </c>
      <c r="AV750">
        <v>3</v>
      </c>
      <c r="AW750" t="s">
        <v>12</v>
      </c>
      <c r="AX750">
        <v>1.613</v>
      </c>
      <c r="AY750" t="s">
        <v>1676</v>
      </c>
      <c r="AZ750" t="s">
        <v>1944</v>
      </c>
      <c r="BA750" s="4" t="str">
        <f>HYPERLINK("http://exon.niaid.nih.gov/transcriptome/C_felis/S1/links/SWISSP/cf-contig_499-SWISSP.txt","Trigger factor")</f>
        <v>Trigger factor</v>
      </c>
      <c r="BB750" t="str">
        <f>HYPERLINK("http://www.uniprot.org/uniprot/Q5FUR2","3.5")</f>
        <v>3.5</v>
      </c>
      <c r="BC750" t="s">
        <v>3481</v>
      </c>
      <c r="BD750">
        <v>31.6</v>
      </c>
      <c r="BE750">
        <v>59</v>
      </c>
      <c r="BF750">
        <v>443</v>
      </c>
      <c r="BG750">
        <v>34</v>
      </c>
      <c r="BH750">
        <v>14</v>
      </c>
      <c r="BI750">
        <v>41</v>
      </c>
      <c r="BJ750">
        <v>5</v>
      </c>
      <c r="BK750">
        <v>121</v>
      </c>
      <c r="BL750">
        <v>55</v>
      </c>
      <c r="BM750">
        <v>1</v>
      </c>
      <c r="BN750">
        <v>-2</v>
      </c>
      <c r="BO750" t="s">
        <v>12</v>
      </c>
      <c r="BQ750" t="s">
        <v>1666</v>
      </c>
      <c r="BR750" t="s">
        <v>2667</v>
      </c>
      <c r="BS750" s="4" t="str">
        <f>HYPERLINK("http://exon.niaid.nih.gov/transcriptome/C_felis/S1/links/CDD/cf-contig_499-CDD.txt","DUF1777")</f>
        <v>DUF1777</v>
      </c>
      <c r="BT750" t="str">
        <f>HYPERLINK("http://www.ncbi.nlm.nih.gov/Structure/cdd/cddsrv.cgi?uid=pfam08648&amp;version=v4.0","0.055")</f>
        <v>0.055</v>
      </c>
      <c r="BU750" t="s">
        <v>3482</v>
      </c>
      <c r="BV750" s="4" t="s">
        <v>42</v>
      </c>
      <c r="BW750" t="s">
        <v>42</v>
      </c>
      <c r="BX750" t="s">
        <v>42</v>
      </c>
      <c r="BY750" t="s">
        <v>42</v>
      </c>
      <c r="BZ750" t="s">
        <v>42</v>
      </c>
      <c r="CA750" t="s">
        <v>42</v>
      </c>
      <c r="CB750" t="s">
        <v>42</v>
      </c>
      <c r="CC750" t="s">
        <v>42</v>
      </c>
      <c r="CD750" t="s">
        <v>42</v>
      </c>
      <c r="CE750" t="s">
        <v>42</v>
      </c>
      <c r="CF750" t="s">
        <v>42</v>
      </c>
      <c r="CG750" t="s">
        <v>42</v>
      </c>
      <c r="CH750" t="s">
        <v>42</v>
      </c>
      <c r="CI750" t="s">
        <v>42</v>
      </c>
      <c r="CJ750" t="s">
        <v>42</v>
      </c>
      <c r="CK750" t="s">
        <v>42</v>
      </c>
      <c r="CL750" t="s">
        <v>42</v>
      </c>
      <c r="CM750" t="s">
        <v>42</v>
      </c>
      <c r="CN750" t="s">
        <v>42</v>
      </c>
      <c r="CO750" t="s">
        <v>42</v>
      </c>
      <c r="CP750" t="s">
        <v>42</v>
      </c>
      <c r="CQ750" t="s">
        <v>42</v>
      </c>
      <c r="CR750" t="s">
        <v>42</v>
      </c>
      <c r="CS750" s="4" t="str">
        <f>HYPERLINK("http://exon.niaid.nih.gov/transcriptome/C_felis/S1/links/KOG/cf-contig_499-KOG.txt","Dystrophin-like protein")</f>
        <v>Dystrophin-like protein</v>
      </c>
      <c r="CT750" t="str">
        <f>HYPERLINK("http://www.ncbi.nlm.nih.gov/COG/grace/shokog.cgi?KOG4286","0.034")</f>
        <v>0.034</v>
      </c>
      <c r="CU750" t="s">
        <v>3483</v>
      </c>
      <c r="CV750" s="4" t="str">
        <f>HYPERLINK("http://exon.niaid.nih.gov/transcriptome/C_felis/S1/links/PFAM/cf-contig_499-PFAM.txt","DUF1777")</f>
        <v>DUF1777</v>
      </c>
      <c r="CW750" t="str">
        <f>HYPERLINK("http://pfam.sanger.ac.uk/family?acc=PF08648","0.011")</f>
        <v>0.011</v>
      </c>
      <c r="CX750" s="4" t="str">
        <f>HYPERLINK("http://exon.niaid.nih.gov/transcriptome/C_felis/S1/links/SMART/cf-contig_499-SMART.txt","Alpha_kinase")</f>
        <v>Alpha_kinase</v>
      </c>
      <c r="CY750" t="str">
        <f>HYPERLINK("http://smart.embl-heidelberg.de/smart/do_annotation.pl?DOMAIN=Alpha_kinase&amp;BLAST=DUMMY","0.091")</f>
        <v>0.091</v>
      </c>
      <c r="CZ750" s="4" t="s">
        <v>42</v>
      </c>
      <c r="DA750" t="s">
        <v>42</v>
      </c>
      <c r="DB750" t="s">
        <v>42</v>
      </c>
      <c r="DC750" t="s">
        <v>42</v>
      </c>
      <c r="DD750" t="s">
        <v>42</v>
      </c>
      <c r="DE750" t="s">
        <v>42</v>
      </c>
      <c r="DF750" t="s">
        <v>42</v>
      </c>
      <c r="DG750" t="s">
        <v>42</v>
      </c>
      <c r="DH750" s="4" t="s">
        <v>42</v>
      </c>
      <c r="DI750" t="s">
        <v>42</v>
      </c>
      <c r="DJ750" s="4" t="s">
        <v>42</v>
      </c>
      <c r="DK750" t="s">
        <v>42</v>
      </c>
      <c r="DL750" s="4">
        <v>407</v>
      </c>
      <c r="DM750">
        <v>1</v>
      </c>
      <c r="DN750" s="4">
        <v>416</v>
      </c>
      <c r="DO750">
        <v>1</v>
      </c>
      <c r="DP750" s="4">
        <v>421</v>
      </c>
      <c r="DQ750">
        <v>1</v>
      </c>
      <c r="DR750" s="4">
        <v>436</v>
      </c>
      <c r="DS750">
        <v>1</v>
      </c>
      <c r="DT750" s="4">
        <v>446</v>
      </c>
      <c r="DU750">
        <v>1</v>
      </c>
      <c r="DV750" s="4">
        <v>460</v>
      </c>
      <c r="DW750">
        <v>1</v>
      </c>
      <c r="DX750" s="4">
        <v>466</v>
      </c>
      <c r="DY750">
        <v>1</v>
      </c>
      <c r="DZ750" s="4">
        <v>473</v>
      </c>
      <c r="EA750">
        <v>1</v>
      </c>
      <c r="EB750" s="4">
        <v>478</v>
      </c>
      <c r="EC750">
        <v>1</v>
      </c>
      <c r="ED750" s="4">
        <v>482</v>
      </c>
      <c r="EE750">
        <v>1</v>
      </c>
      <c r="EF750" s="4">
        <v>487</v>
      </c>
      <c r="EG750">
        <v>1</v>
      </c>
      <c r="EH750" s="4">
        <v>493</v>
      </c>
      <c r="EI750">
        <v>1</v>
      </c>
      <c r="EJ750" s="4">
        <v>499</v>
      </c>
      <c r="EK750">
        <v>1</v>
      </c>
    </row>
    <row r="751" spans="1:141" x14ac:dyDescent="0.2">
      <c r="A751" t="str">
        <f>HYPERLINK("http://exon.niaid.nih.gov/transcriptome/C_felis/S1/links/cf/cf-contig_656.txt","cf-contig_656")</f>
        <v>cf-contig_656</v>
      </c>
      <c r="B751">
        <v>1</v>
      </c>
      <c r="C751" s="10" t="s">
        <v>4600</v>
      </c>
      <c r="D751">
        <v>1</v>
      </c>
      <c r="E751" t="str">
        <f>HYPERLINK("http://exon.niaid.nih.gov/transcriptome/C_felis/S1/links/cf/cf-5-36-asb-656.txt","Contig-656")</f>
        <v>Contig-656</v>
      </c>
      <c r="F751" t="str">
        <f>HYPERLINK("http://exon.niaid.nih.gov/transcriptome/C_felis/S1/links/cf/cf-5-36-656-CLU.txt","Contig656")</f>
        <v>Contig656</v>
      </c>
      <c r="G751" t="str">
        <f>HYPERLINK("http://exon.niaid.nih.gov/transcriptome/C_felis/S1/links/cf/cf-5-36-656-qual.txt","37.8")</f>
        <v>37.8</v>
      </c>
      <c r="H751" t="s">
        <v>11</v>
      </c>
      <c r="I751">
        <v>71.7</v>
      </c>
      <c r="J751">
        <v>550</v>
      </c>
      <c r="K751" t="s">
        <v>12</v>
      </c>
      <c r="L751">
        <v>1</v>
      </c>
      <c r="M751" t="s">
        <v>669</v>
      </c>
      <c r="N751">
        <v>550</v>
      </c>
      <c r="O751">
        <v>569</v>
      </c>
      <c r="P751">
        <v>180</v>
      </c>
      <c r="Q751" t="s">
        <v>1475</v>
      </c>
      <c r="R751">
        <v>3</v>
      </c>
      <c r="S751" s="7" t="str">
        <f>HYPERLINK("http://exon.niaid.nih.gov/transcriptome/C_felis/S1/links/Sigp/CF-CONTIG_656-SigP.txt","Cyt")</f>
        <v>Cyt</v>
      </c>
      <c r="U751">
        <v>1</v>
      </c>
      <c r="V751" s="4">
        <f>HYPERLINK("http://exon.niaid.nih.gov/transcriptome/C_felis/S1/links/cluster/cf-5-36-asb30-50-Id-CLU92.txt", 92)</f>
        <v>92</v>
      </c>
      <c r="W751">
        <f>HYPERLINK("http://exon.niaid.nih.gov/transcriptome/C_felis/S1/links/cluster/cf-5-36-asb30-50-Id-CLTL92.txt", 2)</f>
        <v>2</v>
      </c>
      <c r="X751" s="4">
        <f>HYPERLINK("http://exon.niaid.nih.gov/transcriptome/C_felis/S1/links/cluster/cf-5-36-asb35-50-Id-CLU85.txt", 85)</f>
        <v>85</v>
      </c>
      <c r="Y751">
        <f>HYPERLINK("http://exon.niaid.nih.gov/transcriptome/C_felis/S1/links/cluster/cf-5-36-asb35-50-Id-CLTL85.txt", 2)</f>
        <v>2</v>
      </c>
      <c r="Z751" s="4">
        <f>HYPERLINK("http://exon.niaid.nih.gov/transcriptome/C_felis/S1/links/cluster/cf-5-36-asb40-50-Id-CLU76.txt", 76)</f>
        <v>76</v>
      </c>
      <c r="AA751">
        <f>HYPERLINK("http://exon.niaid.nih.gov/transcriptome/C_felis/S1/links/cluster/cf-5-36-asb40-50-Id-CLTL76.txt", 2)</f>
        <v>2</v>
      </c>
      <c r="AB751" s="4" t="str">
        <f>HYPERLINK("http://exon.niaid.nih.gov/transcriptome/C_felis/S1/links/XC-ASB/cf-contig_656-XC-ASB.txt","XC-contig_219")</f>
        <v>XC-contig_219</v>
      </c>
      <c r="AC751">
        <v>0.24</v>
      </c>
      <c r="AD751" s="10" t="s">
        <v>4600</v>
      </c>
      <c r="AE751" t="s">
        <v>4601</v>
      </c>
      <c r="AI751" s="4" t="str">
        <f>HYPERLINK("http://exon.niaid.nih.gov/transcriptome/C_felis/S1/links/NR/cf-contig_656-NR.txt","conserved hypothetical protein")</f>
        <v>conserved hypothetical protein</v>
      </c>
      <c r="AJ751" t="str">
        <f>HYPERLINK("http://www.ncbi.nlm.nih.gov/sutils/blink.cgi?pid=301097553","4.6")</f>
        <v>4.6</v>
      </c>
      <c r="AK751" t="str">
        <f>HYPERLINK("http://www.ncbi.nlm.nih.gov/protein/301097553","gi|301097553")</f>
        <v>gi|301097553</v>
      </c>
      <c r="AL751">
        <v>35.4</v>
      </c>
      <c r="AM751">
        <v>76</v>
      </c>
      <c r="AN751">
        <v>1418</v>
      </c>
      <c r="AO751">
        <v>24</v>
      </c>
      <c r="AP751">
        <v>5</v>
      </c>
      <c r="AQ751">
        <v>59</v>
      </c>
      <c r="AR751">
        <v>0</v>
      </c>
      <c r="AS751">
        <v>408</v>
      </c>
      <c r="AT751">
        <v>210</v>
      </c>
      <c r="AU751">
        <v>1</v>
      </c>
      <c r="AV751">
        <v>-1</v>
      </c>
      <c r="AW751" t="s">
        <v>12</v>
      </c>
      <c r="AX751">
        <v>2.6320000000000001</v>
      </c>
      <c r="AY751" t="s">
        <v>1666</v>
      </c>
      <c r="AZ751" t="s">
        <v>4075</v>
      </c>
      <c r="BA751" s="4" t="str">
        <f>HYPERLINK("http://exon.niaid.nih.gov/transcriptome/C_felis/S1/links/SWISSP/cf-contig_656-SWISSP.txt","Glucosamine-6-phosphate deaminase")</f>
        <v>Glucosamine-6-phosphate deaminase</v>
      </c>
      <c r="BB751" t="str">
        <f>HYPERLINK("http://www.uniprot.org/uniprot/B7J183","2.1")</f>
        <v>2.1</v>
      </c>
      <c r="BC751" t="s">
        <v>4076</v>
      </c>
      <c r="BD751">
        <v>32.299999999999997</v>
      </c>
      <c r="BE751">
        <v>67</v>
      </c>
      <c r="BF751">
        <v>268</v>
      </c>
      <c r="BG751">
        <v>31</v>
      </c>
      <c r="BH751">
        <v>25</v>
      </c>
      <c r="BI751">
        <v>48</v>
      </c>
      <c r="BJ751">
        <v>10</v>
      </c>
      <c r="BK751">
        <v>49</v>
      </c>
      <c r="BL751">
        <v>288</v>
      </c>
      <c r="BM751">
        <v>1</v>
      </c>
      <c r="BN751">
        <v>-1</v>
      </c>
      <c r="BO751" t="s">
        <v>12</v>
      </c>
      <c r="BP751">
        <v>1.4930000000000001</v>
      </c>
      <c r="BQ751" t="s">
        <v>1666</v>
      </c>
      <c r="BR751" t="s">
        <v>4077</v>
      </c>
      <c r="BS751" s="4" t="str">
        <f>HYPERLINK("http://exon.niaid.nih.gov/transcriptome/C_felis/S1/links/CDD/cf-contig_656-CDD.txt","ND2")</f>
        <v>ND2</v>
      </c>
      <c r="BT751" t="str">
        <f>HYPERLINK("http://www.ncbi.nlm.nih.gov/Structure/cdd/cddsrv.cgi?uid=MTH00091&amp;version=v4.0","0.24")</f>
        <v>0.24</v>
      </c>
      <c r="BU751" t="s">
        <v>4078</v>
      </c>
      <c r="BV751" s="4" t="s">
        <v>42</v>
      </c>
      <c r="BW751" t="s">
        <v>42</v>
      </c>
      <c r="BX751" t="s">
        <v>42</v>
      </c>
      <c r="BY751" t="s">
        <v>42</v>
      </c>
      <c r="BZ751" t="s">
        <v>42</v>
      </c>
      <c r="CA751" t="s">
        <v>42</v>
      </c>
      <c r="CB751" t="s">
        <v>42</v>
      </c>
      <c r="CC751" t="s">
        <v>42</v>
      </c>
      <c r="CD751" t="s">
        <v>42</v>
      </c>
      <c r="CE751" t="s">
        <v>42</v>
      </c>
      <c r="CF751" t="s">
        <v>42</v>
      </c>
      <c r="CG751" t="s">
        <v>42</v>
      </c>
      <c r="CH751" t="s">
        <v>42</v>
      </c>
      <c r="CI751" t="s">
        <v>42</v>
      </c>
      <c r="CJ751" t="s">
        <v>42</v>
      </c>
      <c r="CK751" t="s">
        <v>42</v>
      </c>
      <c r="CL751" t="s">
        <v>42</v>
      </c>
      <c r="CM751" t="s">
        <v>42</v>
      </c>
      <c r="CN751" t="s">
        <v>42</v>
      </c>
      <c r="CO751" t="s">
        <v>42</v>
      </c>
      <c r="CP751" t="s">
        <v>42</v>
      </c>
      <c r="CQ751" t="s">
        <v>42</v>
      </c>
      <c r="CR751" t="s">
        <v>42</v>
      </c>
      <c r="CS751" s="4" t="str">
        <f>HYPERLINK("http://exon.niaid.nih.gov/transcriptome/C_felis/S1/links/KOG/cf-contig_656-KOG.txt","Predicted NUDIX hydrolase FGF-2 and related proteins")</f>
        <v>Predicted NUDIX hydrolase FGF-2 and related proteins</v>
      </c>
      <c r="CT751" t="str">
        <f>HYPERLINK("http://www.ncbi.nlm.nih.gov/COG/grace/shokog.cgi?KOG0648","1.9")</f>
        <v>1.9</v>
      </c>
      <c r="CU751" t="s">
        <v>1780</v>
      </c>
      <c r="CV751" s="4" t="str">
        <f>HYPERLINK("http://exon.niaid.nih.gov/transcriptome/C_felis/S1/links/PFAM/cf-contig_656-PFAM.txt","Aph-1")</f>
        <v>Aph-1</v>
      </c>
      <c r="CW751" t="str">
        <f>HYPERLINK("http://pfam.sanger.ac.uk/family?acc=PF06105","0.56")</f>
        <v>0.56</v>
      </c>
      <c r="CX751" s="4" t="str">
        <f>HYPERLINK("http://exon.niaid.nih.gov/transcriptome/C_felis/S1/links/SMART/cf-contig_656-SMART.txt","POL3Bc")</f>
        <v>POL3Bc</v>
      </c>
      <c r="CY751" t="str">
        <f>HYPERLINK("http://smart.embl-heidelberg.de/smart/do_annotation.pl?DOMAIN=POL3Bc&amp;BLAST=DUMMY","0.057")</f>
        <v>0.057</v>
      </c>
      <c r="CZ751" s="4" t="s">
        <v>42</v>
      </c>
      <c r="DA751" t="s">
        <v>42</v>
      </c>
      <c r="DB751" t="s">
        <v>42</v>
      </c>
      <c r="DC751" t="s">
        <v>42</v>
      </c>
      <c r="DD751" t="s">
        <v>42</v>
      </c>
      <c r="DE751" t="s">
        <v>42</v>
      </c>
      <c r="DF751" t="s">
        <v>42</v>
      </c>
      <c r="DG751" t="s">
        <v>42</v>
      </c>
      <c r="DH751" s="4" t="s">
        <v>42</v>
      </c>
      <c r="DI751" t="s">
        <v>42</v>
      </c>
      <c r="DJ751" s="4" t="s">
        <v>42</v>
      </c>
      <c r="DK751" t="s">
        <v>42</v>
      </c>
      <c r="DL751" s="4">
        <f>HYPERLINK("http://exon.niaid.nih.gov/transcriptome/C_felis/S1/links/cluster/cf-5-36-asb30-50-Id-CLU92.txt", 92)</f>
        <v>92</v>
      </c>
      <c r="DM751">
        <f>HYPERLINK("http://exon.niaid.nih.gov/transcriptome/C_felis/S1/links/cluster/cf-5-36-asb30-50-Id-CLTL92.txt", 2)</f>
        <v>2</v>
      </c>
      <c r="DN751" s="4">
        <f>HYPERLINK("http://exon.niaid.nih.gov/transcriptome/C_felis/S1/links/cluster/cf-5-36-asb35-50-Id-CLU85.txt", 85)</f>
        <v>85</v>
      </c>
      <c r="DO751">
        <f>HYPERLINK("http://exon.niaid.nih.gov/transcriptome/C_felis/S1/links/cluster/cf-5-36-asb35-50-Id-CLTL85.txt", 2)</f>
        <v>2</v>
      </c>
      <c r="DP751" s="4">
        <f>HYPERLINK("http://exon.niaid.nih.gov/transcriptome/C_felis/S1/links/cluster/cf-5-36-asb40-50-Id-CLU76.txt", 76)</f>
        <v>76</v>
      </c>
      <c r="DQ751">
        <f>HYPERLINK("http://exon.niaid.nih.gov/transcriptome/C_felis/S1/links/cluster/cf-5-36-asb40-50-Id-CLTL76.txt", 2)</f>
        <v>2</v>
      </c>
      <c r="DR751" s="4">
        <f>HYPERLINK("http://exon.niaid.nih.gov/transcriptome/C_felis/S1/links/cluster/cf-5-36-asb45-50-Id-CLU62.txt", 62)</f>
        <v>62</v>
      </c>
      <c r="DS751">
        <f>HYPERLINK("http://exon.niaid.nih.gov/transcriptome/C_felis/S1/links/cluster/cf-5-36-asb45-50-Id-CLTL62.txt", 2)</f>
        <v>2</v>
      </c>
      <c r="DT751" s="4">
        <f>HYPERLINK("http://exon.niaid.nih.gov/transcriptome/C_felis/S1/links/cluster/cf-5-36-asb50-50-Id-CLU53.txt", 53)</f>
        <v>53</v>
      </c>
      <c r="DU751">
        <f>HYPERLINK("http://exon.niaid.nih.gov/transcriptome/C_felis/S1/links/cluster/cf-5-36-asb50-50-Id-CLTL53.txt", 2)</f>
        <v>2</v>
      </c>
      <c r="DV751" s="4">
        <f>HYPERLINK("http://exon.niaid.nih.gov/transcriptome/C_felis/S1/links/cluster/cf-5-36-asb55-50-Id-CLU49.txt", 49)</f>
        <v>49</v>
      </c>
      <c r="DW751">
        <f>HYPERLINK("http://exon.niaid.nih.gov/transcriptome/C_felis/S1/links/cluster/cf-5-36-asb55-50-Id-CLTL49.txt", 2)</f>
        <v>2</v>
      </c>
      <c r="DX751" s="4">
        <f>HYPERLINK("http://exon.niaid.nih.gov/transcriptome/C_felis/S1/links/cluster/cf-5-36-asb60-50-Id-CLU41.txt", 41)</f>
        <v>41</v>
      </c>
      <c r="DY751">
        <f>HYPERLINK("http://exon.niaid.nih.gov/transcriptome/C_felis/S1/links/cluster/cf-5-36-asb60-50-Id-CLTL41.txt", 2)</f>
        <v>2</v>
      </c>
      <c r="DZ751" s="4">
        <f>HYPERLINK("http://exon.niaid.nih.gov/transcriptome/C_felis/S1/links/cluster/cf-5-36-asb65-50-Id-CLU34.txt", 34)</f>
        <v>34</v>
      </c>
      <c r="EA751">
        <f>HYPERLINK("http://exon.niaid.nih.gov/transcriptome/C_felis/S1/links/cluster/cf-5-36-asb65-50-Id-CLTL34.txt", 2)</f>
        <v>2</v>
      </c>
      <c r="EB751" s="4">
        <f>HYPERLINK("http://exon.niaid.nih.gov/transcriptome/C_felis/S1/links/cluster/cf-5-36-asb70-50-Id-CLU29.txt", 29)</f>
        <v>29</v>
      </c>
      <c r="EC751">
        <f>HYPERLINK("http://exon.niaid.nih.gov/transcriptome/C_felis/S1/links/cluster/cf-5-36-asb70-50-Id-CLTL29.txt", 2)</f>
        <v>2</v>
      </c>
      <c r="ED751" s="4">
        <f>HYPERLINK("http://exon.niaid.nih.gov/transcriptome/C_felis/S1/links/cluster/cf-5-36-asb75-50-Id-CLU25.txt", 25)</f>
        <v>25</v>
      </c>
      <c r="EE751">
        <f>HYPERLINK("http://exon.niaid.nih.gov/transcriptome/C_felis/S1/links/cluster/cf-5-36-asb75-50-Id-CLTL25.txt", 2)</f>
        <v>2</v>
      </c>
      <c r="EF751" s="4">
        <f>HYPERLINK("http://exon.niaid.nih.gov/transcriptome/C_felis/S1/links/cluster/cf-5-36-asb80-50-Id-CLU18.txt", 18)</f>
        <v>18</v>
      </c>
      <c r="EG751">
        <f>HYPERLINK("http://exon.niaid.nih.gov/transcriptome/C_felis/S1/links/cluster/cf-5-36-asb80-50-Id-CLTL18.txt", 2)</f>
        <v>2</v>
      </c>
      <c r="EH751" s="4">
        <f>HYPERLINK("http://exon.niaid.nih.gov/transcriptome/C_felis/S1/links/cluster/cf-5-36-asb90-50-Id-CLU7.txt", 7)</f>
        <v>7</v>
      </c>
      <c r="EI751">
        <f>HYPERLINK("http://exon.niaid.nih.gov/transcriptome/C_felis/S1/links/cluster/cf-5-36-asb90-50-Id-CLTL7.txt", 2)</f>
        <v>2</v>
      </c>
      <c r="EJ751" s="4">
        <v>656</v>
      </c>
      <c r="EK751">
        <v>1</v>
      </c>
    </row>
    <row r="752" spans="1:141" x14ac:dyDescent="0.2">
      <c r="A752" t="str">
        <f>HYPERLINK("http://exon.niaid.nih.gov/transcriptome/C_felis/S1/links/cf/cf-contig_548.txt","cf-contig_548")</f>
        <v>cf-contig_548</v>
      </c>
      <c r="B752">
        <v>1</v>
      </c>
      <c r="C752" s="10" t="s">
        <v>4600</v>
      </c>
      <c r="D752">
        <v>1</v>
      </c>
      <c r="E752" t="str">
        <f>HYPERLINK("http://exon.niaid.nih.gov/transcriptome/C_felis/S1/links/cf/cf-5-36-asb-548.txt","Contig-548")</f>
        <v>Contig-548</v>
      </c>
      <c r="F752" t="str">
        <f>HYPERLINK("http://exon.niaid.nih.gov/transcriptome/C_felis/S1/links/cf/cf-5-36-548-CLU.txt","Contig548")</f>
        <v>Contig548</v>
      </c>
      <c r="G752" t="str">
        <f>HYPERLINK("http://exon.niaid.nih.gov/transcriptome/C_felis/S1/links/cf/cf-5-36-548-qual.txt","60.3")</f>
        <v>60.3</v>
      </c>
      <c r="H752" t="s">
        <v>11</v>
      </c>
      <c r="I752">
        <v>67.8</v>
      </c>
      <c r="J752">
        <v>432</v>
      </c>
      <c r="K752" t="s">
        <v>12</v>
      </c>
      <c r="L752">
        <v>1</v>
      </c>
      <c r="M752" t="s">
        <v>561</v>
      </c>
      <c r="N752">
        <v>432</v>
      </c>
      <c r="O752">
        <v>451</v>
      </c>
      <c r="P752">
        <v>339</v>
      </c>
      <c r="Q752" t="s">
        <v>1367</v>
      </c>
      <c r="R752">
        <v>2</v>
      </c>
      <c r="S752" s="7" t="str">
        <f>HYPERLINK("http://exon.niaid.nih.gov/transcriptome/C_felis/S1/links/Sigp/CF-CONTIG_548-SigP.txt","Cyt")</f>
        <v>Cyt</v>
      </c>
      <c r="U752">
        <v>1</v>
      </c>
      <c r="V752" s="4">
        <f>HYPERLINK("http://exon.niaid.nih.gov/transcriptome/C_felis/S1/links/cluster/cf-5-36-asb30-50-Id-CLU73.txt", 73)</f>
        <v>73</v>
      </c>
      <c r="W752">
        <f>HYPERLINK("http://exon.niaid.nih.gov/transcriptome/C_felis/S1/links/cluster/cf-5-36-asb30-50-Id-CLTL73.txt", 2)</f>
        <v>2</v>
      </c>
      <c r="X752" s="4">
        <f>HYPERLINK("http://exon.niaid.nih.gov/transcriptome/C_felis/S1/links/cluster/cf-5-36-asb35-50-Id-CLU65.txt", 65)</f>
        <v>65</v>
      </c>
      <c r="Y752">
        <f>HYPERLINK("http://exon.niaid.nih.gov/transcriptome/C_felis/S1/links/cluster/cf-5-36-asb35-50-Id-CLTL65.txt", 2)</f>
        <v>2</v>
      </c>
      <c r="Z752" s="4">
        <f>HYPERLINK("http://exon.niaid.nih.gov/transcriptome/C_felis/S1/links/cluster/cf-5-36-asb40-50-Id-CLU60.txt", 60)</f>
        <v>60</v>
      </c>
      <c r="AA752">
        <f>HYPERLINK("http://exon.niaid.nih.gov/transcriptome/C_felis/S1/links/cluster/cf-5-36-asb40-50-Id-CLTL60.txt", 2)</f>
        <v>2</v>
      </c>
      <c r="AB752" s="4" t="str">
        <f>HYPERLINK("http://exon.niaid.nih.gov/transcriptome/C_felis/S1/links/XC-ASB/cf-contig_548-XC-ASB.txt","XC-contig_149")</f>
        <v>XC-contig_149</v>
      </c>
      <c r="AC752">
        <v>9.0000000000000006E-5</v>
      </c>
      <c r="AD752" s="10" t="s">
        <v>4600</v>
      </c>
      <c r="AE752" t="s">
        <v>4601</v>
      </c>
      <c r="AI752" s="4" t="str">
        <f>HYPERLINK("http://exon.niaid.nih.gov/transcriptome/C_felis/S1/links/NR/cf-contig_548-NR.txt","hypothetical protein PHYSODRAFT_520275")</f>
        <v>hypothetical protein PHYSODRAFT_520275</v>
      </c>
      <c r="AJ752" t="str">
        <f>HYPERLINK("http://www.ncbi.nlm.nih.gov/sutils/blink.cgi?pid=348670528","0.004")</f>
        <v>0.004</v>
      </c>
      <c r="AK752" t="str">
        <f>HYPERLINK("http://www.ncbi.nlm.nih.gov/protein/348670528","gi|348670528")</f>
        <v>gi|348670528</v>
      </c>
      <c r="AL752">
        <v>45.1</v>
      </c>
      <c r="AM752">
        <v>79</v>
      </c>
      <c r="AN752">
        <v>317</v>
      </c>
      <c r="AO752">
        <v>31</v>
      </c>
      <c r="AP752">
        <v>25</v>
      </c>
      <c r="AQ752">
        <v>55</v>
      </c>
      <c r="AR752">
        <v>2</v>
      </c>
      <c r="AS752">
        <v>104</v>
      </c>
      <c r="AT752">
        <v>2</v>
      </c>
      <c r="AU752">
        <v>1</v>
      </c>
      <c r="AV752">
        <v>2</v>
      </c>
      <c r="AW752" t="s">
        <v>12</v>
      </c>
      <c r="AY752" t="s">
        <v>1676</v>
      </c>
      <c r="AZ752" t="s">
        <v>3675</v>
      </c>
      <c r="BA752" s="4" t="str">
        <f>HYPERLINK("http://exon.niaid.nih.gov/transcriptome/C_felis/S1/links/SWISSP/cf-contig_548-SWISSP.txt","Myb-like protein J")</f>
        <v>Myb-like protein J</v>
      </c>
      <c r="BB752" t="str">
        <f>HYPERLINK("http://www.uniprot.org/uniprot/Q869R9","9E-004")</f>
        <v>9E-004</v>
      </c>
      <c r="BC752" t="s">
        <v>3079</v>
      </c>
      <c r="BD752">
        <v>42.7</v>
      </c>
      <c r="BE752">
        <v>61</v>
      </c>
      <c r="BF752">
        <v>734</v>
      </c>
      <c r="BG752">
        <v>32</v>
      </c>
      <c r="BH752">
        <v>8</v>
      </c>
      <c r="BI752">
        <v>42</v>
      </c>
      <c r="BJ752">
        <v>0</v>
      </c>
      <c r="BK752">
        <v>129</v>
      </c>
      <c r="BL752">
        <v>29</v>
      </c>
      <c r="BM752">
        <v>1</v>
      </c>
      <c r="BN752">
        <v>2</v>
      </c>
      <c r="BO752" t="s">
        <v>12</v>
      </c>
      <c r="BQ752" t="s">
        <v>1676</v>
      </c>
      <c r="BR752" t="s">
        <v>1976</v>
      </c>
      <c r="BS752" s="4" t="str">
        <f>HYPERLINK("http://exon.niaid.nih.gov/transcriptome/C_felis/S1/links/CDD/cf-contig_548-CDD.txt","PRK08581")</f>
        <v>PRK08581</v>
      </c>
      <c r="BT752" t="str">
        <f>HYPERLINK("http://www.ncbi.nlm.nih.gov/Structure/cdd/cddsrv.cgi?uid=PRK08581&amp;version=v4.0","0.16")</f>
        <v>0.16</v>
      </c>
      <c r="BU752" t="s">
        <v>3676</v>
      </c>
      <c r="BV752" s="4" t="s">
        <v>42</v>
      </c>
      <c r="BW752" t="s">
        <v>42</v>
      </c>
      <c r="BX752" t="s">
        <v>42</v>
      </c>
      <c r="BY752" t="s">
        <v>42</v>
      </c>
      <c r="BZ752" t="s">
        <v>42</v>
      </c>
      <c r="CA752" t="s">
        <v>42</v>
      </c>
      <c r="CB752" t="s">
        <v>42</v>
      </c>
      <c r="CC752" t="s">
        <v>42</v>
      </c>
      <c r="CD752" t="s">
        <v>42</v>
      </c>
      <c r="CE752" t="s">
        <v>42</v>
      </c>
      <c r="CF752" t="s">
        <v>42</v>
      </c>
      <c r="CG752" t="s">
        <v>42</v>
      </c>
      <c r="CH752" t="s">
        <v>42</v>
      </c>
      <c r="CI752" t="s">
        <v>42</v>
      </c>
      <c r="CJ752" t="s">
        <v>42</v>
      </c>
      <c r="CK752" t="s">
        <v>42</v>
      </c>
      <c r="CL752" t="s">
        <v>42</v>
      </c>
      <c r="CM752" t="s">
        <v>42</v>
      </c>
      <c r="CN752" t="s">
        <v>42</v>
      </c>
      <c r="CO752" t="s">
        <v>42</v>
      </c>
      <c r="CP752" t="s">
        <v>42</v>
      </c>
      <c r="CQ752" t="s">
        <v>42</v>
      </c>
      <c r="CR752" t="s">
        <v>42</v>
      </c>
      <c r="CS752" s="4" t="str">
        <f>HYPERLINK("http://exon.niaid.nih.gov/transcriptome/C_felis/S1/links/KOG/cf-contig_548-KOG.txt","SWI/SNF-related matrix-associated actin-dependent regulator of chromatin")</f>
        <v>SWI/SNF-related matrix-associated actin-dependent regulator of chromatin</v>
      </c>
      <c r="CT752" t="str">
        <f>HYPERLINK("http://www.ncbi.nlm.nih.gov/COG/grace/shokog.cgi?KOG4715","0.004")</f>
        <v>0.004</v>
      </c>
      <c r="CU752" t="s">
        <v>2096</v>
      </c>
      <c r="CV752" s="4" t="str">
        <f>HYPERLINK("http://exon.niaid.nih.gov/transcriptome/C_felis/S1/links/PFAM/cf-contig_548-PFAM.txt","Dicty_REP")</f>
        <v>Dicty_REP</v>
      </c>
      <c r="CW752" t="str">
        <f>HYPERLINK("http://pfam.sanger.ac.uk/family?acc=PF05086","0.064")</f>
        <v>0.064</v>
      </c>
      <c r="CX752" s="4" t="str">
        <f>HYPERLINK("http://exon.niaid.nih.gov/transcriptome/C_felis/S1/links/SMART/cf-contig_548-SMART.txt","SEC63")</f>
        <v>SEC63</v>
      </c>
      <c r="CY752" t="str">
        <f>HYPERLINK("http://smart.embl-heidelberg.de/smart/do_annotation.pl?DOMAIN=SEC63&amp;BLAST=DUMMY","0.057")</f>
        <v>0.057</v>
      </c>
      <c r="CZ752" s="4" t="s">
        <v>42</v>
      </c>
      <c r="DA752" t="s">
        <v>42</v>
      </c>
      <c r="DB752" t="s">
        <v>42</v>
      </c>
      <c r="DC752" t="s">
        <v>42</v>
      </c>
      <c r="DD752" t="s">
        <v>42</v>
      </c>
      <c r="DE752" t="s">
        <v>42</v>
      </c>
      <c r="DF752" t="s">
        <v>42</v>
      </c>
      <c r="DG752" t="s">
        <v>42</v>
      </c>
      <c r="DH752" s="4" t="s">
        <v>42</v>
      </c>
      <c r="DI752" t="s">
        <v>42</v>
      </c>
      <c r="DJ752" s="4" t="s">
        <v>42</v>
      </c>
      <c r="DK752" t="s">
        <v>42</v>
      </c>
      <c r="DL752" s="4">
        <f>HYPERLINK("http://exon.niaid.nih.gov/transcriptome/C_felis/S1/links/cluster/cf-5-36-asb30-50-Id-CLU73.txt", 73)</f>
        <v>73</v>
      </c>
      <c r="DM752">
        <f>HYPERLINK("http://exon.niaid.nih.gov/transcriptome/C_felis/S1/links/cluster/cf-5-36-asb30-50-Id-CLTL73.txt", 2)</f>
        <v>2</v>
      </c>
      <c r="DN752" s="4">
        <f>HYPERLINK("http://exon.niaid.nih.gov/transcriptome/C_felis/S1/links/cluster/cf-5-36-asb35-50-Id-CLU65.txt", 65)</f>
        <v>65</v>
      </c>
      <c r="DO752">
        <f>HYPERLINK("http://exon.niaid.nih.gov/transcriptome/C_felis/S1/links/cluster/cf-5-36-asb35-50-Id-CLTL65.txt", 2)</f>
        <v>2</v>
      </c>
      <c r="DP752" s="4">
        <f>HYPERLINK("http://exon.niaid.nih.gov/transcriptome/C_felis/S1/links/cluster/cf-5-36-asb40-50-Id-CLU60.txt", 60)</f>
        <v>60</v>
      </c>
      <c r="DQ752">
        <f>HYPERLINK("http://exon.niaid.nih.gov/transcriptome/C_felis/S1/links/cluster/cf-5-36-asb40-50-Id-CLTL60.txt", 2)</f>
        <v>2</v>
      </c>
      <c r="DR752" s="4">
        <f>HYPERLINK("http://exon.niaid.nih.gov/transcriptome/C_felis/S1/links/cluster/cf-5-36-asb45-50-Id-CLU50.txt", 50)</f>
        <v>50</v>
      </c>
      <c r="DS752">
        <f>HYPERLINK("http://exon.niaid.nih.gov/transcriptome/C_felis/S1/links/cluster/cf-5-36-asb45-50-Id-CLTL50.txt", 2)</f>
        <v>2</v>
      </c>
      <c r="DT752" s="4">
        <f>HYPERLINK("http://exon.niaid.nih.gov/transcriptome/C_felis/S1/links/cluster/cf-5-36-asb50-50-Id-CLU43.txt", 43)</f>
        <v>43</v>
      </c>
      <c r="DU752">
        <f>HYPERLINK("http://exon.niaid.nih.gov/transcriptome/C_felis/S1/links/cluster/cf-5-36-asb50-50-Id-CLTL43.txt", 2)</f>
        <v>2</v>
      </c>
      <c r="DV752" s="4">
        <f>HYPERLINK("http://exon.niaid.nih.gov/transcriptome/C_felis/S1/links/cluster/cf-5-36-asb55-50-Id-CLU39.txt", 39)</f>
        <v>39</v>
      </c>
      <c r="DW752">
        <f>HYPERLINK("http://exon.niaid.nih.gov/transcriptome/C_felis/S1/links/cluster/cf-5-36-asb55-50-Id-CLTL39.txt", 2)</f>
        <v>2</v>
      </c>
      <c r="DX752" s="4">
        <f>HYPERLINK("http://exon.niaid.nih.gov/transcriptome/C_felis/S1/links/cluster/cf-5-36-asb60-50-Id-CLU35.txt", 35)</f>
        <v>35</v>
      </c>
      <c r="DY752">
        <f>HYPERLINK("http://exon.niaid.nih.gov/transcriptome/C_felis/S1/links/cluster/cf-5-36-asb60-50-Id-CLTL35.txt", 2)</f>
        <v>2</v>
      </c>
      <c r="DZ752" s="4">
        <f>HYPERLINK("http://exon.niaid.nih.gov/transcriptome/C_felis/S1/links/cluster/cf-5-36-asb65-50-Id-CLU29.txt", 29)</f>
        <v>29</v>
      </c>
      <c r="EA752">
        <f>HYPERLINK("http://exon.niaid.nih.gov/transcriptome/C_felis/S1/links/cluster/cf-5-36-asb65-50-Id-CLTL29.txt", 2)</f>
        <v>2</v>
      </c>
      <c r="EB752" s="4">
        <f>HYPERLINK("http://exon.niaid.nih.gov/transcriptome/C_felis/S1/links/cluster/cf-5-36-asb70-50-Id-CLU24.txt", 24)</f>
        <v>24</v>
      </c>
      <c r="EC752">
        <f>HYPERLINK("http://exon.niaid.nih.gov/transcriptome/C_felis/S1/links/cluster/cf-5-36-asb70-50-Id-CLTL24.txt", 2)</f>
        <v>2</v>
      </c>
      <c r="ED752" s="4">
        <f>HYPERLINK("http://exon.niaid.nih.gov/transcriptome/C_felis/S1/links/cluster/cf-5-36-asb75-50-Id-CLU20.txt", 20)</f>
        <v>20</v>
      </c>
      <c r="EE752">
        <f>HYPERLINK("http://exon.niaid.nih.gov/transcriptome/C_felis/S1/links/cluster/cf-5-36-asb75-50-Id-CLTL20.txt", 2)</f>
        <v>2</v>
      </c>
      <c r="EF752" s="4">
        <f>HYPERLINK("http://exon.niaid.nih.gov/transcriptome/C_felis/S1/links/cluster/cf-5-36-asb80-50-Id-CLU13.txt", 13)</f>
        <v>13</v>
      </c>
      <c r="EG752">
        <f>HYPERLINK("http://exon.niaid.nih.gov/transcriptome/C_felis/S1/links/cluster/cf-5-36-asb80-50-Id-CLTL13.txt", 2)</f>
        <v>2</v>
      </c>
      <c r="EH752" s="4">
        <v>541</v>
      </c>
      <c r="EI752">
        <v>1</v>
      </c>
      <c r="EJ752" s="4">
        <v>548</v>
      </c>
      <c r="EK752">
        <v>1</v>
      </c>
    </row>
    <row r="753" spans="1:141" x14ac:dyDescent="0.2">
      <c r="A753" t="str">
        <f>HYPERLINK("http://exon.niaid.nih.gov/transcriptome/C_felis/S1/links/cf/cf-contig_165.txt","cf-contig_165")</f>
        <v>cf-contig_165</v>
      </c>
      <c r="B753">
        <v>1</v>
      </c>
      <c r="C753" s="10" t="s">
        <v>4600</v>
      </c>
      <c r="D753">
        <v>1</v>
      </c>
      <c r="E753" t="str">
        <f>HYPERLINK("http://exon.niaid.nih.gov/transcriptome/C_felis/S1/links/cf/cf-5-36-asb-165.txt","Contig-165")</f>
        <v>Contig-165</v>
      </c>
      <c r="F753" t="str">
        <f>HYPERLINK("http://exon.niaid.nih.gov/transcriptome/C_felis/S1/links/cf/cf-5-36-165-CLU.txt","Contig165")</f>
        <v>Contig165</v>
      </c>
      <c r="G753" t="str">
        <f>HYPERLINK("http://exon.niaid.nih.gov/transcriptome/C_felis/S1/links/cf/cf-5-36-165-qual.txt","64.7")</f>
        <v>64.7</v>
      </c>
      <c r="H753" t="s">
        <v>11</v>
      </c>
      <c r="I753">
        <v>78.599999999999994</v>
      </c>
      <c r="J753" t="s">
        <v>42</v>
      </c>
      <c r="K753" t="s">
        <v>12</v>
      </c>
      <c r="L753">
        <v>1</v>
      </c>
      <c r="M753" t="s">
        <v>178</v>
      </c>
      <c r="N753" t="s">
        <v>42</v>
      </c>
      <c r="O753">
        <v>281</v>
      </c>
      <c r="P753">
        <v>114</v>
      </c>
      <c r="Q753" t="s">
        <v>985</v>
      </c>
      <c r="R753">
        <v>2</v>
      </c>
      <c r="S753" s="7" t="s">
        <v>4585</v>
      </c>
      <c r="U753">
        <v>1</v>
      </c>
      <c r="V753" s="4">
        <f>HYPERLINK("http://exon.niaid.nih.gov/transcriptome/C_felis/S1/links/cluster/cf-5-36-asb30-50-Id-CLU45.txt", 45)</f>
        <v>45</v>
      </c>
      <c r="W753">
        <f>HYPERLINK("http://exon.niaid.nih.gov/transcriptome/C_felis/S1/links/cluster/cf-5-36-asb30-50-Id-CLTL45.txt", 2)</f>
        <v>2</v>
      </c>
      <c r="X753" s="4">
        <v>150</v>
      </c>
      <c r="Y753">
        <v>1</v>
      </c>
      <c r="Z753" s="4">
        <v>147</v>
      </c>
      <c r="AA753">
        <v>1</v>
      </c>
      <c r="AB753" s="4" t="str">
        <f>HYPERLINK("http://exon.niaid.nih.gov/transcriptome/C_felis/S1/links/XC-ASB/cf-contig_165-XC-ASB.txt","XC-contig_187")</f>
        <v>XC-contig_187</v>
      </c>
      <c r="AC753">
        <v>3.0000000000000001E-3</v>
      </c>
      <c r="AD753" s="10" t="s">
        <v>4600</v>
      </c>
      <c r="AE753" t="s">
        <v>4601</v>
      </c>
      <c r="AI753" s="4" t="str">
        <f>HYPERLINK("http://exon.niaid.nih.gov/transcriptome/C_felis/S1/links/NR/cf-contig_165-NR.txt","hypothetical protein")</f>
        <v>hypothetical protein</v>
      </c>
      <c r="AJ753" t="str">
        <f>HYPERLINK("http://www.ncbi.nlm.nih.gov/sutils/blink.cgi?pid=68064785","0.100")</f>
        <v>0.100</v>
      </c>
      <c r="AK753" t="str">
        <f>HYPERLINK("http://www.ncbi.nlm.nih.gov/protein/68064785","gi|68064785")</f>
        <v>gi|68064785</v>
      </c>
      <c r="AL753">
        <v>40.4</v>
      </c>
      <c r="AM753">
        <v>76</v>
      </c>
      <c r="AN753">
        <v>663</v>
      </c>
      <c r="AO753">
        <v>33</v>
      </c>
      <c r="AP753">
        <v>12</v>
      </c>
      <c r="AQ753">
        <v>53</v>
      </c>
      <c r="AR753">
        <v>6</v>
      </c>
      <c r="AS753">
        <v>258</v>
      </c>
      <c r="AT753">
        <v>59</v>
      </c>
      <c r="AU753">
        <v>1</v>
      </c>
      <c r="AV753">
        <v>-2</v>
      </c>
      <c r="AW753" t="s">
        <v>12</v>
      </c>
      <c r="AX753">
        <v>6.5789999999999997</v>
      </c>
      <c r="AY753" t="s">
        <v>1666</v>
      </c>
      <c r="AZ753" t="s">
        <v>2302</v>
      </c>
      <c r="BA753" s="4" t="str">
        <f>HYPERLINK("http://exon.niaid.nih.gov/transcriptome/C_felis/S1/links/SWISSP/cf-contig_165-SWISSP.txt","Probable nucleolar complex protein 14")</f>
        <v>Probable nucleolar complex protein 14</v>
      </c>
      <c r="BB753" t="str">
        <f>HYPERLINK("http://www.uniprot.org/uniprot/Q6FNV1","0.56")</f>
        <v>0.56</v>
      </c>
      <c r="BC753" t="s">
        <v>2303</v>
      </c>
      <c r="BD753">
        <v>33.1</v>
      </c>
      <c r="BE753">
        <v>48</v>
      </c>
      <c r="BF753">
        <v>799</v>
      </c>
      <c r="BG753">
        <v>38</v>
      </c>
      <c r="BH753">
        <v>6</v>
      </c>
      <c r="BI753">
        <v>30</v>
      </c>
      <c r="BJ753">
        <v>0</v>
      </c>
      <c r="BK753">
        <v>410</v>
      </c>
      <c r="BL753">
        <v>103</v>
      </c>
      <c r="BM753">
        <v>1</v>
      </c>
      <c r="BN753">
        <v>1</v>
      </c>
      <c r="BO753" t="s">
        <v>12</v>
      </c>
      <c r="BP753">
        <v>2.0830000000000002</v>
      </c>
      <c r="BQ753" t="s">
        <v>1676</v>
      </c>
      <c r="BR753" t="s">
        <v>1911</v>
      </c>
      <c r="BS753" s="4" t="str">
        <f>HYPERLINK("http://exon.niaid.nih.gov/transcriptome/C_felis/S1/links/CDD/cf-contig_165-CDD.txt","ND2")</f>
        <v>ND2</v>
      </c>
      <c r="BT753" t="str">
        <f>HYPERLINK("http://www.ncbi.nlm.nih.gov/Structure/cdd/cddsrv.cgi?uid=MTH00160&amp;version=v4.0","1E-005")</f>
        <v>1E-005</v>
      </c>
      <c r="BU753" t="s">
        <v>2304</v>
      </c>
      <c r="BV753" s="4" t="s">
        <v>42</v>
      </c>
      <c r="BW753" t="s">
        <v>42</v>
      </c>
      <c r="BX753" t="s">
        <v>42</v>
      </c>
      <c r="BY753" t="s">
        <v>42</v>
      </c>
      <c r="BZ753" t="s">
        <v>42</v>
      </c>
      <c r="CA753" t="s">
        <v>42</v>
      </c>
      <c r="CB753" t="s">
        <v>42</v>
      </c>
      <c r="CC753" t="s">
        <v>42</v>
      </c>
      <c r="CD753" t="s">
        <v>42</v>
      </c>
      <c r="CE753" t="s">
        <v>42</v>
      </c>
      <c r="CF753" t="s">
        <v>42</v>
      </c>
      <c r="CG753" t="s">
        <v>42</v>
      </c>
      <c r="CH753" t="s">
        <v>42</v>
      </c>
      <c r="CI753" t="s">
        <v>42</v>
      </c>
      <c r="CJ753" t="s">
        <v>42</v>
      </c>
      <c r="CK753" t="s">
        <v>42</v>
      </c>
      <c r="CL753" t="s">
        <v>42</v>
      </c>
      <c r="CM753" t="s">
        <v>42</v>
      </c>
      <c r="CN753" t="s">
        <v>42</v>
      </c>
      <c r="CO753" t="s">
        <v>42</v>
      </c>
      <c r="CP753" t="s">
        <v>42</v>
      </c>
      <c r="CQ753" t="s">
        <v>42</v>
      </c>
      <c r="CR753" t="s">
        <v>42</v>
      </c>
      <c r="CS753" s="4" t="str">
        <f>HYPERLINK("http://exon.niaid.nih.gov/transcriptome/C_felis/S1/links/KOG/cf-contig_165-KOG.txt","Voltage-gated Ca2+ channels, alpha1 subunits")</f>
        <v>Voltage-gated Ca2+ channels, alpha1 subunits</v>
      </c>
      <c r="CT753" t="str">
        <f>HYPERLINK("http://www.ncbi.nlm.nih.gov/COG/grace/shokog.cgi?KOG2301","0.009")</f>
        <v>0.009</v>
      </c>
      <c r="CU753" t="s">
        <v>1702</v>
      </c>
      <c r="CV753" s="4" t="str">
        <f>HYPERLINK("http://exon.niaid.nih.gov/transcriptome/C_felis/S1/links/PFAM/cf-contig_165-PFAM.txt","7TM_GPCR_Sru")</f>
        <v>7TM_GPCR_Sru</v>
      </c>
      <c r="CW753" t="str">
        <f>HYPERLINK("http://pfam.sanger.ac.uk/family?acc=PF10322","0.003")</f>
        <v>0.003</v>
      </c>
      <c r="CX753" s="4" t="str">
        <f>HYPERLINK("http://exon.niaid.nih.gov/transcriptome/C_felis/S1/links/SMART/cf-contig_165-SMART.txt","TOPEUc")</f>
        <v>TOPEUc</v>
      </c>
      <c r="CY753" t="str">
        <f>HYPERLINK("http://smart.embl-heidelberg.de/smart/do_annotation.pl?DOMAIN=TOPEUc&amp;BLAST=DUMMY","0.052")</f>
        <v>0.052</v>
      </c>
      <c r="CZ753" s="4" t="s">
        <v>42</v>
      </c>
      <c r="DA753" t="s">
        <v>42</v>
      </c>
      <c r="DB753" t="s">
        <v>42</v>
      </c>
      <c r="DC753" t="s">
        <v>42</v>
      </c>
      <c r="DD753" t="s">
        <v>42</v>
      </c>
      <c r="DE753" t="s">
        <v>42</v>
      </c>
      <c r="DF753" t="s">
        <v>42</v>
      </c>
      <c r="DG753" t="s">
        <v>42</v>
      </c>
      <c r="DH753" s="4" t="s">
        <v>42</v>
      </c>
      <c r="DI753" t="s">
        <v>42</v>
      </c>
      <c r="DJ753" s="4" t="s">
        <v>42</v>
      </c>
      <c r="DK753" t="s">
        <v>42</v>
      </c>
      <c r="DL753" s="4">
        <f>HYPERLINK("http://exon.niaid.nih.gov/transcriptome/C_felis/S1/links/cluster/cf-5-36-asb30-50-Id-CLU45.txt", 45)</f>
        <v>45</v>
      </c>
      <c r="DM753">
        <f>HYPERLINK("http://exon.niaid.nih.gov/transcriptome/C_felis/S1/links/cluster/cf-5-36-asb30-50-Id-CLTL45.txt", 2)</f>
        <v>2</v>
      </c>
      <c r="DN753" s="4">
        <v>150</v>
      </c>
      <c r="DO753">
        <v>1</v>
      </c>
      <c r="DP753" s="4">
        <v>147</v>
      </c>
      <c r="DQ753">
        <v>1</v>
      </c>
      <c r="DR753" s="4">
        <v>144</v>
      </c>
      <c r="DS753">
        <v>1</v>
      </c>
      <c r="DT753" s="4">
        <v>144</v>
      </c>
      <c r="DU753">
        <v>1</v>
      </c>
      <c r="DV753" s="4">
        <v>154</v>
      </c>
      <c r="DW753">
        <v>1</v>
      </c>
      <c r="DX753" s="4">
        <v>156</v>
      </c>
      <c r="DY753">
        <v>1</v>
      </c>
      <c r="DZ753" s="4">
        <v>156</v>
      </c>
      <c r="EA753">
        <v>1</v>
      </c>
      <c r="EB753" s="4">
        <v>161</v>
      </c>
      <c r="EC753">
        <v>1</v>
      </c>
      <c r="ED753" s="4">
        <v>162</v>
      </c>
      <c r="EE753">
        <v>1</v>
      </c>
      <c r="EF753" s="4">
        <v>163</v>
      </c>
      <c r="EG753">
        <v>1</v>
      </c>
      <c r="EH753" s="4">
        <v>162</v>
      </c>
      <c r="EI753">
        <v>1</v>
      </c>
      <c r="EJ753" s="4">
        <v>165</v>
      </c>
      <c r="EK753">
        <v>1</v>
      </c>
    </row>
    <row r="754" spans="1:141" x14ac:dyDescent="0.2">
      <c r="A754" t="str">
        <f>HYPERLINK("http://exon.niaid.nih.gov/transcriptome/C_felis/S1/links/cf/cf-contig_219.txt","cf-contig_219")</f>
        <v>cf-contig_219</v>
      </c>
      <c r="B754">
        <v>1</v>
      </c>
      <c r="C754" s="10" t="s">
        <v>4600</v>
      </c>
      <c r="D754">
        <v>1</v>
      </c>
      <c r="E754" t="str">
        <f>HYPERLINK("http://exon.niaid.nih.gov/transcriptome/C_felis/S1/links/cf/cf-5-36-asb-219.txt","Contig-219")</f>
        <v>Contig-219</v>
      </c>
      <c r="F754" t="str">
        <f>HYPERLINK("http://exon.niaid.nih.gov/transcriptome/C_felis/S1/links/cf/cf-5-36-219-CLU.txt","Contig219")</f>
        <v>Contig219</v>
      </c>
      <c r="G754" t="str">
        <f>HYPERLINK("http://exon.niaid.nih.gov/transcriptome/C_felis/S1/links/cf/cf-5-36-219-qual.txt","52.1")</f>
        <v>52.1</v>
      </c>
      <c r="H754">
        <v>0.3</v>
      </c>
      <c r="I754">
        <v>76.599999999999994</v>
      </c>
      <c r="J754">
        <v>639</v>
      </c>
      <c r="K754" t="s">
        <v>12</v>
      </c>
      <c r="L754">
        <v>1</v>
      </c>
      <c r="M754" t="s">
        <v>232</v>
      </c>
      <c r="N754">
        <v>639</v>
      </c>
      <c r="O754">
        <v>658</v>
      </c>
      <c r="P754">
        <v>237</v>
      </c>
      <c r="Q754" t="s">
        <v>1039</v>
      </c>
      <c r="R754">
        <v>2</v>
      </c>
      <c r="S754" s="7" t="str">
        <f>HYPERLINK("http://exon.niaid.nih.gov/transcriptome/C_felis/S1/links/Sigp/CF-CONTIG_219-SigP.txt","Cyt")</f>
        <v>Cyt</v>
      </c>
      <c r="U754">
        <v>1</v>
      </c>
      <c r="V754" s="4">
        <v>177</v>
      </c>
      <c r="W754">
        <v>1</v>
      </c>
      <c r="X754" s="4">
        <v>180</v>
      </c>
      <c r="Y754">
        <v>1</v>
      </c>
      <c r="Z754" s="4">
        <v>178</v>
      </c>
      <c r="AA754">
        <v>1</v>
      </c>
      <c r="AB754" s="4" t="str">
        <f>HYPERLINK("http://exon.niaid.nih.gov/transcriptome/C_felis/S1/links/XC-ASB/cf-contig_219-XC-ASB.txt","XC-contig_61")</f>
        <v>XC-contig_61</v>
      </c>
      <c r="AC754">
        <v>0.14000000000000001</v>
      </c>
      <c r="AD754" s="10" t="s">
        <v>4600</v>
      </c>
      <c r="AE754" t="s">
        <v>4601</v>
      </c>
      <c r="AI754" s="4" t="str">
        <f>HYPERLINK("http://exon.niaid.nih.gov/transcriptome/C_felis/S1/links/NR/cf-contig_219-NR.txt","hypothetical protein")</f>
        <v>hypothetical protein</v>
      </c>
      <c r="AJ754" t="str">
        <f>HYPERLINK("http://www.ncbi.nlm.nih.gov/sutils/blink.cgi?pid=68064847","0.009")</f>
        <v>0.009</v>
      </c>
      <c r="AK754" t="str">
        <f>HYPERLINK("http://www.ncbi.nlm.nih.gov/protein/68064847","gi|68064847")</f>
        <v>gi|68064847</v>
      </c>
      <c r="AL754">
        <v>36.200000000000003</v>
      </c>
      <c r="AM754">
        <v>173</v>
      </c>
      <c r="AN754">
        <v>451</v>
      </c>
      <c r="AO754">
        <v>25</v>
      </c>
      <c r="AP754">
        <v>39</v>
      </c>
      <c r="AQ754">
        <v>90</v>
      </c>
      <c r="AR754">
        <v>8</v>
      </c>
      <c r="AS754">
        <v>39</v>
      </c>
      <c r="AT754">
        <v>84</v>
      </c>
      <c r="AU754">
        <v>2</v>
      </c>
      <c r="AV754">
        <v>3</v>
      </c>
      <c r="AW754" t="s">
        <v>1689</v>
      </c>
      <c r="AX754">
        <v>2.89</v>
      </c>
      <c r="AY754" t="s">
        <v>1676</v>
      </c>
      <c r="AZ754" t="s">
        <v>2302</v>
      </c>
      <c r="BA754" s="4" t="str">
        <f>HYPERLINK("http://exon.niaid.nih.gov/transcriptome/C_felis/S1/links/SWISSP/cf-contig_219-SWISSP.txt","Probable tRNA (uracil-O(2)-)-methyltransferase")</f>
        <v>Probable tRNA (uracil-O(2)-)-methyltransferase</v>
      </c>
      <c r="BB754" t="str">
        <f>HYPERLINK("http://www.uniprot.org/uniprot/Q4KLT3","0.33")</f>
        <v>0.33</v>
      </c>
      <c r="BC754" t="s">
        <v>2481</v>
      </c>
      <c r="BD754">
        <v>35.4</v>
      </c>
      <c r="BE754">
        <v>36</v>
      </c>
      <c r="BF754">
        <v>668</v>
      </c>
      <c r="BG754">
        <v>34</v>
      </c>
      <c r="BH754">
        <v>6</v>
      </c>
      <c r="BI754">
        <v>29</v>
      </c>
      <c r="BJ754">
        <v>0</v>
      </c>
      <c r="BK754">
        <v>356</v>
      </c>
      <c r="BL754">
        <v>378</v>
      </c>
      <c r="BM754">
        <v>1</v>
      </c>
      <c r="BN754">
        <v>-3</v>
      </c>
      <c r="BO754" t="s">
        <v>12</v>
      </c>
      <c r="BP754">
        <v>2.778</v>
      </c>
      <c r="BQ754" t="s">
        <v>1666</v>
      </c>
      <c r="BR754" t="s">
        <v>1832</v>
      </c>
      <c r="BS754" s="4" t="str">
        <f>HYPERLINK("http://exon.niaid.nih.gov/transcriptome/C_felis/S1/links/CDD/cf-contig_219-CDD.txt","ND5")</f>
        <v>ND5</v>
      </c>
      <c r="BT754" t="str">
        <f>HYPERLINK("http://www.ncbi.nlm.nih.gov/Structure/cdd/cddsrv.cgi?uid=MTH00095&amp;version=v4.0","4E-004")</f>
        <v>4E-004</v>
      </c>
      <c r="BU754" t="s">
        <v>2482</v>
      </c>
      <c r="BV754" s="4" t="s">
        <v>42</v>
      </c>
      <c r="BW754" t="s">
        <v>42</v>
      </c>
      <c r="BX754" t="s">
        <v>42</v>
      </c>
      <c r="BY754" t="s">
        <v>42</v>
      </c>
      <c r="BZ754" t="s">
        <v>42</v>
      </c>
      <c r="CA754" t="s">
        <v>42</v>
      </c>
      <c r="CB754" t="s">
        <v>42</v>
      </c>
      <c r="CC754" t="s">
        <v>42</v>
      </c>
      <c r="CD754" t="s">
        <v>42</v>
      </c>
      <c r="CE754" t="s">
        <v>42</v>
      </c>
      <c r="CF754" t="s">
        <v>42</v>
      </c>
      <c r="CG754" t="s">
        <v>42</v>
      </c>
      <c r="CH754" t="s">
        <v>42</v>
      </c>
      <c r="CI754" t="s">
        <v>42</v>
      </c>
      <c r="CJ754" t="s">
        <v>42</v>
      </c>
      <c r="CK754" t="s">
        <v>42</v>
      </c>
      <c r="CL754" t="s">
        <v>42</v>
      </c>
      <c r="CM754" t="s">
        <v>42</v>
      </c>
      <c r="CN754" t="s">
        <v>42</v>
      </c>
      <c r="CO754" t="s">
        <v>42</v>
      </c>
      <c r="CP754" t="s">
        <v>42</v>
      </c>
      <c r="CQ754" t="s">
        <v>42</v>
      </c>
      <c r="CR754" t="s">
        <v>42</v>
      </c>
      <c r="CS754" s="4" t="str">
        <f>HYPERLINK("http://exon.niaid.nih.gov/transcriptome/C_felis/S1/links/KOG/cf-contig_219-KOG.txt","NADH dehydrogenase, subunit 4")</f>
        <v>NADH dehydrogenase, subunit 4</v>
      </c>
      <c r="CT754" t="str">
        <f>HYPERLINK("http://www.ncbi.nlm.nih.gov/COG/grace/shokog.cgi?KOG4845","0.63")</f>
        <v>0.63</v>
      </c>
      <c r="CU754" t="s">
        <v>1793</v>
      </c>
      <c r="CV754" s="4" t="str">
        <f>HYPERLINK("http://exon.niaid.nih.gov/transcriptome/C_felis/S1/links/PFAM/cf-contig_219-PFAM.txt","Sre")</f>
        <v>Sre</v>
      </c>
      <c r="CW754" t="str">
        <f>HYPERLINK("http://pfam.sanger.ac.uk/family?acc=PF03125","0.002")</f>
        <v>0.002</v>
      </c>
      <c r="CX754" s="4" t="str">
        <f>HYPERLINK("http://exon.niaid.nih.gov/transcriptome/C_felis/S1/links/SMART/cf-contig_219-SMART.txt","AgrB")</f>
        <v>AgrB</v>
      </c>
      <c r="CY754" t="str">
        <f>HYPERLINK("http://smart.embl-heidelberg.de/smart/do_annotation.pl?DOMAIN=AgrB&amp;BLAST=DUMMY","0.068")</f>
        <v>0.068</v>
      </c>
      <c r="CZ754" s="4" t="s">
        <v>42</v>
      </c>
      <c r="DA754" t="s">
        <v>42</v>
      </c>
      <c r="DB754" t="s">
        <v>42</v>
      </c>
      <c r="DC754" t="s">
        <v>42</v>
      </c>
      <c r="DD754" t="s">
        <v>42</v>
      </c>
      <c r="DE754" t="s">
        <v>42</v>
      </c>
      <c r="DF754" t="s">
        <v>42</v>
      </c>
      <c r="DG754" t="s">
        <v>42</v>
      </c>
      <c r="DH754" s="4" t="s">
        <v>42</v>
      </c>
      <c r="DI754" t="s">
        <v>42</v>
      </c>
      <c r="DJ754" s="4" t="s">
        <v>42</v>
      </c>
      <c r="DK754" t="s">
        <v>42</v>
      </c>
      <c r="DL754" s="4">
        <v>177</v>
      </c>
      <c r="DM754">
        <v>1</v>
      </c>
      <c r="DN754" s="4">
        <v>180</v>
      </c>
      <c r="DO754">
        <v>1</v>
      </c>
      <c r="DP754" s="4">
        <v>178</v>
      </c>
      <c r="DQ754">
        <v>1</v>
      </c>
      <c r="DR754" s="4">
        <v>181</v>
      </c>
      <c r="DS754">
        <v>1</v>
      </c>
      <c r="DT754" s="4">
        <v>185</v>
      </c>
      <c r="DU754">
        <v>1</v>
      </c>
      <c r="DV754" s="4">
        <v>197</v>
      </c>
      <c r="DW754">
        <v>1</v>
      </c>
      <c r="DX754" s="4">
        <v>199</v>
      </c>
      <c r="DY754">
        <v>1</v>
      </c>
      <c r="DZ754" s="4">
        <v>201</v>
      </c>
      <c r="EA754">
        <v>1</v>
      </c>
      <c r="EB754" s="4">
        <v>206</v>
      </c>
      <c r="EC754">
        <v>1</v>
      </c>
      <c r="ED754" s="4">
        <v>209</v>
      </c>
      <c r="EE754">
        <v>1</v>
      </c>
      <c r="EF754" s="4">
        <v>212</v>
      </c>
      <c r="EG754">
        <v>1</v>
      </c>
      <c r="EH754" s="4">
        <v>214</v>
      </c>
      <c r="EI754">
        <v>1</v>
      </c>
      <c r="EJ754" s="4">
        <v>219</v>
      </c>
      <c r="EK754">
        <v>1</v>
      </c>
    </row>
    <row r="755" spans="1:141" x14ac:dyDescent="0.2">
      <c r="A755" t="str">
        <f>HYPERLINK("http://exon.niaid.nih.gov/transcriptome/C_felis/S1/links/cf/cf-contig_526.txt","cf-contig_526")</f>
        <v>cf-contig_526</v>
      </c>
      <c r="B755">
        <v>1</v>
      </c>
      <c r="C755" s="10" t="s">
        <v>4600</v>
      </c>
      <c r="D755">
        <v>1</v>
      </c>
      <c r="E755" t="str">
        <f>HYPERLINK("http://exon.niaid.nih.gov/transcriptome/C_felis/S1/links/cf/cf-5-36-asb-526.txt","Contig-526")</f>
        <v>Contig-526</v>
      </c>
      <c r="F755" t="str">
        <f>HYPERLINK("http://exon.niaid.nih.gov/transcriptome/C_felis/S1/links/cf/cf-5-36-526-CLU.txt","Contig526")</f>
        <v>Contig526</v>
      </c>
      <c r="G755" t="str">
        <f>HYPERLINK("http://exon.niaid.nih.gov/transcriptome/C_felis/S1/links/cf/cf-5-36-526-qual.txt","64.4")</f>
        <v>64.4</v>
      </c>
      <c r="H755" t="s">
        <v>11</v>
      </c>
      <c r="I755">
        <v>81.5</v>
      </c>
      <c r="J755">
        <v>256</v>
      </c>
      <c r="K755" t="s">
        <v>12</v>
      </c>
      <c r="L755">
        <v>1</v>
      </c>
      <c r="M755" t="s">
        <v>539</v>
      </c>
      <c r="N755">
        <v>256</v>
      </c>
      <c r="O755">
        <v>275</v>
      </c>
      <c r="P755">
        <v>114</v>
      </c>
      <c r="Q755" t="s">
        <v>1345</v>
      </c>
      <c r="R755">
        <v>1</v>
      </c>
      <c r="S755" s="7" t="s">
        <v>4585</v>
      </c>
      <c r="U755">
        <v>1</v>
      </c>
      <c r="V755" s="4">
        <v>430</v>
      </c>
      <c r="W755">
        <v>1</v>
      </c>
      <c r="X755" s="4">
        <v>439</v>
      </c>
      <c r="Y755">
        <v>1</v>
      </c>
      <c r="Z755" s="4">
        <v>444</v>
      </c>
      <c r="AA755">
        <v>1</v>
      </c>
      <c r="AB755" s="4" t="str">
        <f>HYPERLINK("http://exon.niaid.nih.gov/transcriptome/C_felis/S1/links/XC-ASB/cf-contig_526-XC-ASB.txt","XC-contig_175")</f>
        <v>XC-contig_175</v>
      </c>
      <c r="AC755">
        <v>3.6999999999999998E-2</v>
      </c>
      <c r="AD755" s="10" t="s">
        <v>4600</v>
      </c>
      <c r="AE755" t="s">
        <v>4601</v>
      </c>
      <c r="AI755" s="4" t="str">
        <f>HYPERLINK("http://exon.niaid.nih.gov/transcriptome/C_felis/S1/links/NR/cf-contig_526-NR.txt","hypothetical protein")</f>
        <v>hypothetical protein</v>
      </c>
      <c r="AJ755" t="str">
        <f>HYPERLINK("http://www.ncbi.nlm.nih.gov/sutils/blink.cgi?pid=68070787","0.85")</f>
        <v>0.85</v>
      </c>
      <c r="AK755" t="str">
        <f>HYPERLINK("http://www.ncbi.nlm.nih.gov/protein/68070787","gi|68070787")</f>
        <v>gi|68070787</v>
      </c>
      <c r="AL755">
        <v>37.4</v>
      </c>
      <c r="AM755">
        <v>36</v>
      </c>
      <c r="AN755">
        <v>1732</v>
      </c>
      <c r="AO755">
        <v>41</v>
      </c>
      <c r="AP755">
        <v>2</v>
      </c>
      <c r="AQ755">
        <v>23</v>
      </c>
      <c r="AR755">
        <v>0</v>
      </c>
      <c r="AS755">
        <v>25</v>
      </c>
      <c r="AT755">
        <v>77</v>
      </c>
      <c r="AU755">
        <v>1</v>
      </c>
      <c r="AV755">
        <v>-2</v>
      </c>
      <c r="AW755" t="s">
        <v>12</v>
      </c>
      <c r="AX755">
        <v>5.556</v>
      </c>
      <c r="AY755" t="s">
        <v>1666</v>
      </c>
      <c r="AZ755" t="s">
        <v>2302</v>
      </c>
      <c r="BA755" s="4" t="str">
        <f>HYPERLINK("http://exon.niaid.nih.gov/transcriptome/C_felis/S1/links/SWISSP/cf-contig_526-SWISSP.txt","Protein dopey homolog PFC0245c")</f>
        <v>Protein dopey homolog PFC0245c</v>
      </c>
      <c r="BB755" t="str">
        <f>HYPERLINK("http://www.uniprot.org/uniprot/O97239","3.6")</f>
        <v>3.6</v>
      </c>
      <c r="BC755" t="s">
        <v>1915</v>
      </c>
      <c r="BD755">
        <v>30.4</v>
      </c>
      <c r="BE755">
        <v>66</v>
      </c>
      <c r="BF755">
        <v>3933</v>
      </c>
      <c r="BG755">
        <v>29</v>
      </c>
      <c r="BH755">
        <v>2</v>
      </c>
      <c r="BI755">
        <v>54</v>
      </c>
      <c r="BJ755">
        <v>1</v>
      </c>
      <c r="BK755">
        <v>859</v>
      </c>
      <c r="BL755">
        <v>8</v>
      </c>
      <c r="BM755">
        <v>1</v>
      </c>
      <c r="BN755">
        <v>-2</v>
      </c>
      <c r="BO755" t="s">
        <v>12</v>
      </c>
      <c r="BP755">
        <v>4.5449999999999999</v>
      </c>
      <c r="BQ755" t="s">
        <v>1666</v>
      </c>
      <c r="BR755" t="s">
        <v>1724</v>
      </c>
      <c r="BS755" s="4" t="str">
        <f>HYPERLINK("http://exon.niaid.nih.gov/transcriptome/C_felis/S1/links/CDD/cf-contig_526-CDD.txt","18")</f>
        <v>18</v>
      </c>
      <c r="BT755" t="str">
        <f>HYPERLINK("http://www.ncbi.nlm.nih.gov/Structure/cdd/cddsrv.cgi?uid=PHA02539&amp;version=v4.0","0.13")</f>
        <v>0.13</v>
      </c>
      <c r="BU755" t="s">
        <v>3594</v>
      </c>
      <c r="BV755" s="4" t="s">
        <v>42</v>
      </c>
      <c r="BW755" t="s">
        <v>42</v>
      </c>
      <c r="BX755" t="s">
        <v>42</v>
      </c>
      <c r="BY755" t="s">
        <v>42</v>
      </c>
      <c r="BZ755" t="s">
        <v>42</v>
      </c>
      <c r="CA755" t="s">
        <v>42</v>
      </c>
      <c r="CB755" t="s">
        <v>42</v>
      </c>
      <c r="CC755" t="s">
        <v>42</v>
      </c>
      <c r="CD755" t="s">
        <v>42</v>
      </c>
      <c r="CE755" t="s">
        <v>42</v>
      </c>
      <c r="CF755" t="s">
        <v>42</v>
      </c>
      <c r="CG755" t="s">
        <v>42</v>
      </c>
      <c r="CH755" t="s">
        <v>42</v>
      </c>
      <c r="CI755" t="s">
        <v>42</v>
      </c>
      <c r="CJ755" t="s">
        <v>42</v>
      </c>
      <c r="CK755" t="s">
        <v>42</v>
      </c>
      <c r="CL755" t="s">
        <v>42</v>
      </c>
      <c r="CM755" t="s">
        <v>42</v>
      </c>
      <c r="CN755" t="s">
        <v>42</v>
      </c>
      <c r="CO755" t="s">
        <v>42</v>
      </c>
      <c r="CP755" t="s">
        <v>42</v>
      </c>
      <c r="CQ755" t="s">
        <v>42</v>
      </c>
      <c r="CR755" t="s">
        <v>42</v>
      </c>
      <c r="CS755" s="4" t="str">
        <f>HYPERLINK("http://exon.niaid.nih.gov/transcriptome/C_felis/S1/links/KOG/cf-contig_526-KOG.txt","Uncharacterized conserved protein")</f>
        <v>Uncharacterized conserved protein</v>
      </c>
      <c r="CT755" t="str">
        <f>HYPERLINK("http://www.ncbi.nlm.nih.gov/COG/grace/shokog.cgi?KOG1134","0.32")</f>
        <v>0.32</v>
      </c>
      <c r="CU755" t="s">
        <v>1721</v>
      </c>
      <c r="CV755" s="4" t="str">
        <f>HYPERLINK("http://exon.niaid.nih.gov/transcriptome/C_felis/S1/links/PFAM/cf-contig_526-PFAM.txt","7TM_GPCR_Sru")</f>
        <v>7TM_GPCR_Sru</v>
      </c>
      <c r="CW755" t="str">
        <f>HYPERLINK("http://pfam.sanger.ac.uk/family?acc=PF10322","0.16")</f>
        <v>0.16</v>
      </c>
      <c r="CX755" s="4" t="str">
        <f>HYPERLINK("http://exon.niaid.nih.gov/transcriptome/C_felis/S1/links/SMART/cf-contig_526-SMART.txt","TLC")</f>
        <v>TLC</v>
      </c>
      <c r="CY755" t="str">
        <f>HYPERLINK("http://smart.embl-heidelberg.de/smart/do_annotation.pl?DOMAIN=TLC&amp;BLAST=DUMMY","0.023")</f>
        <v>0.023</v>
      </c>
      <c r="CZ755" s="4" t="s">
        <v>42</v>
      </c>
      <c r="DA755" t="s">
        <v>42</v>
      </c>
      <c r="DB755" t="s">
        <v>42</v>
      </c>
      <c r="DC755" t="s">
        <v>42</v>
      </c>
      <c r="DD755" t="s">
        <v>42</v>
      </c>
      <c r="DE755" t="s">
        <v>42</v>
      </c>
      <c r="DF755" t="s">
        <v>42</v>
      </c>
      <c r="DG755" t="s">
        <v>42</v>
      </c>
      <c r="DH755" s="4" t="s">
        <v>42</v>
      </c>
      <c r="DI755" t="s">
        <v>42</v>
      </c>
      <c r="DJ755" s="4" t="s">
        <v>42</v>
      </c>
      <c r="DK755" t="s">
        <v>42</v>
      </c>
      <c r="DL755" s="4">
        <v>430</v>
      </c>
      <c r="DM755">
        <v>1</v>
      </c>
      <c r="DN755" s="4">
        <v>439</v>
      </c>
      <c r="DO755">
        <v>1</v>
      </c>
      <c r="DP755" s="4">
        <v>444</v>
      </c>
      <c r="DQ755">
        <v>1</v>
      </c>
      <c r="DR755" s="4">
        <v>459</v>
      </c>
      <c r="DS755">
        <v>1</v>
      </c>
      <c r="DT755" s="4">
        <v>471</v>
      </c>
      <c r="DU755">
        <v>1</v>
      </c>
      <c r="DV755" s="4">
        <v>485</v>
      </c>
      <c r="DW755">
        <v>1</v>
      </c>
      <c r="DX755" s="4">
        <v>491</v>
      </c>
      <c r="DY755">
        <v>1</v>
      </c>
      <c r="DZ755" s="4">
        <v>499</v>
      </c>
      <c r="EA755">
        <v>1</v>
      </c>
      <c r="EB755" s="4">
        <v>504</v>
      </c>
      <c r="EC755">
        <v>1</v>
      </c>
      <c r="ED755" s="4">
        <v>508</v>
      </c>
      <c r="EE755">
        <v>1</v>
      </c>
      <c r="EF755" s="4">
        <v>513</v>
      </c>
      <c r="EG755">
        <v>1</v>
      </c>
      <c r="EH755" s="4">
        <v>519</v>
      </c>
      <c r="EI755">
        <v>1</v>
      </c>
      <c r="EJ755" s="4">
        <v>526</v>
      </c>
      <c r="EK755">
        <v>1</v>
      </c>
    </row>
    <row r="756" spans="1:141" x14ac:dyDescent="0.2">
      <c r="A756" t="str">
        <f>HYPERLINK("http://exon.niaid.nih.gov/transcriptome/C_felis/S1/links/cf/cf-contig_4.txt","cf-contig_4")</f>
        <v>cf-contig_4</v>
      </c>
      <c r="B756">
        <v>15</v>
      </c>
      <c r="C756" s="10" t="s">
        <v>4600</v>
      </c>
      <c r="D756">
        <v>15</v>
      </c>
      <c r="E756" t="str">
        <f>HYPERLINK("http://exon.niaid.nih.gov/transcriptome/C_felis/S1/links/cf/cf-5-36-asb-4.txt","Contig-4")</f>
        <v>Contig-4</v>
      </c>
      <c r="F756" t="str">
        <f>HYPERLINK("http://exon.niaid.nih.gov/transcriptome/C_felis/S1/links/cf/cf-5-36-4-CLU.txt","Contig4")</f>
        <v>Contig4</v>
      </c>
      <c r="G756" t="str">
        <f>HYPERLINK("http://exon.niaid.nih.gov/transcriptome/C_felis/S1/links/cf/cf-5-36-4-qual.txt","85.6")</f>
        <v>85.6</v>
      </c>
      <c r="H756" t="s">
        <v>11</v>
      </c>
      <c r="I756">
        <v>69</v>
      </c>
      <c r="J756">
        <v>183</v>
      </c>
      <c r="K756" t="s">
        <v>12</v>
      </c>
      <c r="L756">
        <v>15</v>
      </c>
      <c r="M756" t="s">
        <v>16</v>
      </c>
      <c r="N756">
        <v>161</v>
      </c>
      <c r="O756">
        <v>203</v>
      </c>
      <c r="P756">
        <v>108</v>
      </c>
      <c r="Q756" t="s">
        <v>827</v>
      </c>
      <c r="R756">
        <v>2</v>
      </c>
      <c r="S756" s="7" t="s">
        <v>4585</v>
      </c>
      <c r="U756">
        <v>15</v>
      </c>
      <c r="V756" s="4">
        <f>HYPERLINK("http://exon.niaid.nih.gov/transcriptome/C_felis/S1/links/cluster/cf-5-36-asb30-50-Id-CLU2.txt", 2)</f>
        <v>2</v>
      </c>
      <c r="W756">
        <f>HYPERLINK("http://exon.niaid.nih.gov/transcriptome/C_felis/S1/links/cluster/cf-5-36-asb30-50-Id-CLTL2.txt", 11)</f>
        <v>11</v>
      </c>
      <c r="X756" s="4">
        <f>HYPERLINK("http://exon.niaid.nih.gov/transcriptome/C_felis/S1/links/cluster/cf-5-36-asb35-50-Id-CLU1.txt", 1)</f>
        <v>1</v>
      </c>
      <c r="Y756">
        <f>HYPERLINK("http://exon.niaid.nih.gov/transcriptome/C_felis/S1/links/cluster/cf-5-36-asb35-50-Id-CLTL1.txt", 11)</f>
        <v>11</v>
      </c>
      <c r="Z756" s="4">
        <f>HYPERLINK("http://exon.niaid.nih.gov/transcriptome/C_felis/S1/links/cluster/cf-5-36-asb40-50-Id-CLU1.txt", 1)</f>
        <v>1</v>
      </c>
      <c r="AA756">
        <f>HYPERLINK("http://exon.niaid.nih.gov/transcriptome/C_felis/S1/links/cluster/cf-5-36-asb40-50-Id-CLTL1.txt", 11)</f>
        <v>11</v>
      </c>
      <c r="AB756" s="4" t="str">
        <f>HYPERLINK("http://exon.niaid.nih.gov/transcriptome/C_felis/S1/links/XC-ASB/cf-contig_4-XC-ASB.txt","XC-contig_1")</f>
        <v>XC-contig_1</v>
      </c>
      <c r="AC756">
        <v>0.12</v>
      </c>
      <c r="AD756" s="10" t="s">
        <v>4600</v>
      </c>
      <c r="AE756" t="s">
        <v>4601</v>
      </c>
      <c r="AI756" s="4" t="str">
        <f>HYPERLINK("http://exon.niaid.nih.gov/transcriptome/C_felis/S1/links/NR/cf-contig_4-NR.txt","hypothetical protein")</f>
        <v>hypothetical protein</v>
      </c>
      <c r="AJ756" t="str">
        <f>HYPERLINK("http://www.ncbi.nlm.nih.gov/sutils/blink.cgi?pid=70927667","9.5")</f>
        <v>9.5</v>
      </c>
      <c r="AK756" t="str">
        <f>HYPERLINK("http://www.ncbi.nlm.nih.gov/protein/70927667","gi|70927667")</f>
        <v>gi|70927667</v>
      </c>
      <c r="AL756">
        <v>33.9</v>
      </c>
      <c r="AM756">
        <v>51</v>
      </c>
      <c r="AN756">
        <v>273</v>
      </c>
      <c r="AO756">
        <v>40</v>
      </c>
      <c r="AP756">
        <v>19</v>
      </c>
      <c r="AQ756">
        <v>31</v>
      </c>
      <c r="AR756">
        <v>4</v>
      </c>
      <c r="AS756">
        <v>123</v>
      </c>
      <c r="AT756">
        <v>25</v>
      </c>
      <c r="AU756">
        <v>1</v>
      </c>
      <c r="AV756">
        <v>-3</v>
      </c>
      <c r="AW756" t="s">
        <v>12</v>
      </c>
      <c r="AX756">
        <v>1.9610000000000001</v>
      </c>
      <c r="AY756" t="s">
        <v>1666</v>
      </c>
      <c r="AZ756" t="s">
        <v>1682</v>
      </c>
      <c r="BA756" s="4" t="str">
        <f>HYPERLINK("http://exon.niaid.nih.gov/transcriptome/C_felis/S1/links/SWISSP/cf-contig_4-SWISSP.txt","Transmembrane 9 superfamily member 4")</f>
        <v>Transmembrane 9 superfamily member 4</v>
      </c>
      <c r="BB756" t="str">
        <f>HYPERLINK("http://www.uniprot.org/uniprot/Q4KLL4","6.2")</f>
        <v>6.2</v>
      </c>
      <c r="BC756" t="s">
        <v>1683</v>
      </c>
      <c r="BD756">
        <v>29.6</v>
      </c>
      <c r="BE756">
        <v>38</v>
      </c>
      <c r="BF756">
        <v>643</v>
      </c>
      <c r="BG756">
        <v>41</v>
      </c>
      <c r="BH756">
        <v>6</v>
      </c>
      <c r="BI756">
        <v>23</v>
      </c>
      <c r="BJ756">
        <v>6</v>
      </c>
      <c r="BK756">
        <v>567</v>
      </c>
      <c r="BL756">
        <v>51</v>
      </c>
      <c r="BM756">
        <v>1</v>
      </c>
      <c r="BN756">
        <v>3</v>
      </c>
      <c r="BO756" t="s">
        <v>12</v>
      </c>
      <c r="BP756">
        <v>5.2629999999999999</v>
      </c>
      <c r="BQ756" t="s">
        <v>1676</v>
      </c>
      <c r="BR756" t="s">
        <v>1684</v>
      </c>
      <c r="BS756" s="4" t="str">
        <f>HYPERLINK("http://exon.niaid.nih.gov/transcriptome/C_felis/S1/links/CDD/cf-contig_4-CDD.txt","EMP70")</f>
        <v>EMP70</v>
      </c>
      <c r="BT756" t="str">
        <f>HYPERLINK("http://www.ncbi.nlm.nih.gov/Structure/cdd/cddsrv.cgi?uid=pfam02990&amp;version=v4.0","0.10")</f>
        <v>0.10</v>
      </c>
      <c r="BU756" t="s">
        <v>1685</v>
      </c>
      <c r="BV756" s="4" t="s">
        <v>42</v>
      </c>
      <c r="BW756" t="s">
        <v>42</v>
      </c>
      <c r="BX756" t="s">
        <v>42</v>
      </c>
      <c r="BY756" t="s">
        <v>42</v>
      </c>
      <c r="BZ756" t="s">
        <v>42</v>
      </c>
      <c r="CA756" t="s">
        <v>42</v>
      </c>
      <c r="CB756" t="s">
        <v>42</v>
      </c>
      <c r="CC756" t="s">
        <v>42</v>
      </c>
      <c r="CD756" t="s">
        <v>42</v>
      </c>
      <c r="CE756" t="s">
        <v>42</v>
      </c>
      <c r="CF756" t="s">
        <v>42</v>
      </c>
      <c r="CG756" t="s">
        <v>42</v>
      </c>
      <c r="CH756" t="s">
        <v>42</v>
      </c>
      <c r="CI756" t="s">
        <v>42</v>
      </c>
      <c r="CJ756" t="s">
        <v>42</v>
      </c>
      <c r="CK756" t="s">
        <v>42</v>
      </c>
      <c r="CL756" t="s">
        <v>42</v>
      </c>
      <c r="CM756" t="s">
        <v>42</v>
      </c>
      <c r="CN756" t="s">
        <v>42</v>
      </c>
      <c r="CO756" t="s">
        <v>42</v>
      </c>
      <c r="CP756" t="s">
        <v>42</v>
      </c>
      <c r="CQ756" t="s">
        <v>42</v>
      </c>
      <c r="CR756" t="s">
        <v>42</v>
      </c>
      <c r="CS756" s="4" t="str">
        <f>HYPERLINK("http://exon.niaid.nih.gov/transcriptome/C_felis/S1/links/KOG/cf-contig_4-KOG.txt","Endosomal membrane proteins, EMP70")</f>
        <v>Endosomal membrane proteins, EMP70</v>
      </c>
      <c r="CT756" t="str">
        <f>HYPERLINK("http://www.ncbi.nlm.nih.gov/COG/grace/shokog.cgi?KOG1278","0.075")</f>
        <v>0.075</v>
      </c>
      <c r="CU756" t="s">
        <v>1686</v>
      </c>
      <c r="CV756" s="4" t="str">
        <f>HYPERLINK("http://exon.niaid.nih.gov/transcriptome/C_felis/S1/links/PFAM/cf-contig_4-PFAM.txt","EMP70")</f>
        <v>EMP70</v>
      </c>
      <c r="CW756" t="str">
        <f>HYPERLINK("http://pfam.sanger.ac.uk/family?acc=PF02990","0.022")</f>
        <v>0.022</v>
      </c>
      <c r="CX756" s="4" t="str">
        <f>HYPERLINK("http://exon.niaid.nih.gov/transcriptome/C_felis/S1/links/SMART/cf-contig_4-SMART.txt","CAT")</f>
        <v>CAT</v>
      </c>
      <c r="CY756" t="str">
        <f>HYPERLINK("http://smart.embl-heidelberg.de/smart/do_annotation.pl?DOMAIN=CAT&amp;BLAST=DUMMY","0.22")</f>
        <v>0.22</v>
      </c>
      <c r="CZ756" s="4" t="s">
        <v>42</v>
      </c>
      <c r="DA756" t="s">
        <v>42</v>
      </c>
      <c r="DB756" t="s">
        <v>42</v>
      </c>
      <c r="DC756" t="s">
        <v>42</v>
      </c>
      <c r="DD756" t="s">
        <v>42</v>
      </c>
      <c r="DE756" t="s">
        <v>42</v>
      </c>
      <c r="DF756" t="s">
        <v>42</v>
      </c>
      <c r="DG756" t="s">
        <v>42</v>
      </c>
      <c r="DH756" s="4" t="s">
        <v>42</v>
      </c>
      <c r="DI756" t="s">
        <v>42</v>
      </c>
      <c r="DJ756" s="4" t="s">
        <v>42</v>
      </c>
      <c r="DK756" t="s">
        <v>42</v>
      </c>
      <c r="DL756" s="4">
        <f>HYPERLINK("http://exon.niaid.nih.gov/transcriptome/C_felis/S1/links/cluster/cf-5-36-asb30-50-Id-CLU2.txt", 2)</f>
        <v>2</v>
      </c>
      <c r="DM756">
        <f>HYPERLINK("http://exon.niaid.nih.gov/transcriptome/C_felis/S1/links/cluster/cf-5-36-asb30-50-Id-CLTL2.txt", 11)</f>
        <v>11</v>
      </c>
      <c r="DN756" s="4">
        <f>HYPERLINK("http://exon.niaid.nih.gov/transcriptome/C_felis/S1/links/cluster/cf-5-36-asb35-50-Id-CLU1.txt", 1)</f>
        <v>1</v>
      </c>
      <c r="DO756">
        <f>HYPERLINK("http://exon.niaid.nih.gov/transcriptome/C_felis/S1/links/cluster/cf-5-36-asb35-50-Id-CLTL1.txt", 11)</f>
        <v>11</v>
      </c>
      <c r="DP756" s="4">
        <f>HYPERLINK("http://exon.niaid.nih.gov/transcriptome/C_felis/S1/links/cluster/cf-5-36-asb40-50-Id-CLU1.txt", 1)</f>
        <v>1</v>
      </c>
      <c r="DQ756">
        <f>HYPERLINK("http://exon.niaid.nih.gov/transcriptome/C_felis/S1/links/cluster/cf-5-36-asb40-50-Id-CLTL1.txt", 11)</f>
        <v>11</v>
      </c>
      <c r="DR756" s="4">
        <v>68</v>
      </c>
      <c r="DS756">
        <v>1</v>
      </c>
      <c r="DT756" s="4">
        <v>59</v>
      </c>
      <c r="DU756">
        <v>1</v>
      </c>
      <c r="DV756" s="4">
        <v>54</v>
      </c>
      <c r="DW756">
        <v>1</v>
      </c>
      <c r="DX756" s="4">
        <v>46</v>
      </c>
      <c r="DY756">
        <v>1</v>
      </c>
      <c r="DZ756" s="4">
        <v>38</v>
      </c>
      <c r="EA756">
        <v>1</v>
      </c>
      <c r="EB756" s="4">
        <v>32</v>
      </c>
      <c r="EC756">
        <v>1</v>
      </c>
      <c r="ED756" s="4">
        <v>29</v>
      </c>
      <c r="EE756">
        <v>1</v>
      </c>
      <c r="EF756" s="4">
        <v>23</v>
      </c>
      <c r="EG756">
        <v>1</v>
      </c>
      <c r="EH756" s="4">
        <v>11</v>
      </c>
      <c r="EI756">
        <v>1</v>
      </c>
      <c r="EJ756" s="4">
        <v>4</v>
      </c>
      <c r="EK756">
        <v>1</v>
      </c>
    </row>
    <row r="757" spans="1:141" x14ac:dyDescent="0.2">
      <c r="A757" t="str">
        <f>HYPERLINK("http://exon.niaid.nih.gov/transcriptome/C_felis/S1/links/cf/cf-contig_72.txt","cf-contig_72")</f>
        <v>cf-contig_72</v>
      </c>
      <c r="B757">
        <v>15</v>
      </c>
      <c r="C757" s="10" t="s">
        <v>4600</v>
      </c>
      <c r="D757">
        <v>15</v>
      </c>
      <c r="E757" t="str">
        <f>HYPERLINK("http://exon.niaid.nih.gov/transcriptome/C_felis/S1/links/cf/cf-5-36-asb-72.txt","Contig-72")</f>
        <v>Contig-72</v>
      </c>
      <c r="F757" t="str">
        <f>HYPERLINK("http://exon.niaid.nih.gov/transcriptome/C_felis/S1/links/cf/cf-5-36-72-CLU.txt","Contig72")</f>
        <v>Contig72</v>
      </c>
      <c r="G757" t="str">
        <f>HYPERLINK("http://exon.niaid.nih.gov/transcriptome/C_felis/S1/links/cf/cf-5-36-72-qual.txt","88.4")</f>
        <v>88.4</v>
      </c>
      <c r="H757" t="s">
        <v>11</v>
      </c>
      <c r="I757">
        <v>72.400000000000006</v>
      </c>
      <c r="J757">
        <v>278</v>
      </c>
      <c r="K757" t="s">
        <v>12</v>
      </c>
      <c r="L757">
        <v>15</v>
      </c>
      <c r="M757" t="s">
        <v>85</v>
      </c>
      <c r="N757">
        <v>277</v>
      </c>
      <c r="O757">
        <v>297</v>
      </c>
      <c r="P757">
        <v>189</v>
      </c>
      <c r="Q757" t="s">
        <v>892</v>
      </c>
      <c r="R757">
        <v>2</v>
      </c>
      <c r="S757" s="7" t="s">
        <v>4585</v>
      </c>
      <c r="U757">
        <v>15</v>
      </c>
      <c r="V757" s="4">
        <v>110</v>
      </c>
      <c r="W757">
        <v>1</v>
      </c>
      <c r="X757" s="4">
        <v>104</v>
      </c>
      <c r="Y757">
        <v>1</v>
      </c>
      <c r="Z757" s="4">
        <v>99</v>
      </c>
      <c r="AA757">
        <v>1</v>
      </c>
      <c r="AB757" s="4" t="str">
        <f>HYPERLINK("http://exon.niaid.nih.gov/transcriptome/C_felis/S1/links/XC-ASB/cf-contig_72-XC-ASB.txt","XC-contig_206")</f>
        <v>XC-contig_206</v>
      </c>
      <c r="AC757">
        <v>1E-3</v>
      </c>
      <c r="AD757" s="10" t="s">
        <v>4600</v>
      </c>
      <c r="AE757" t="s">
        <v>4601</v>
      </c>
      <c r="AI757" s="4" t="str">
        <f>HYPERLINK("http://exon.niaid.nih.gov/transcriptome/C_felis/S1/links/NR/cf-contig_72-NR.txt","hypothetical protein")</f>
        <v>hypothetical protein</v>
      </c>
      <c r="AJ757" t="str">
        <f>HYPERLINK("http://www.ncbi.nlm.nih.gov/sutils/blink.cgi?pid=70947967","0.020")</f>
        <v>0.020</v>
      </c>
      <c r="AK757" t="str">
        <f>HYPERLINK("http://www.ncbi.nlm.nih.gov/protein/70947967","gi|70947967")</f>
        <v>gi|70947967</v>
      </c>
      <c r="AL757">
        <v>42.7</v>
      </c>
      <c r="AM757">
        <v>62</v>
      </c>
      <c r="AN757">
        <v>229</v>
      </c>
      <c r="AO757">
        <v>32</v>
      </c>
      <c r="AP757">
        <v>28</v>
      </c>
      <c r="AQ757">
        <v>43</v>
      </c>
      <c r="AR757">
        <v>0</v>
      </c>
      <c r="AS757">
        <v>52</v>
      </c>
      <c r="AT757">
        <v>20</v>
      </c>
      <c r="AU757">
        <v>1</v>
      </c>
      <c r="AV757">
        <v>-3</v>
      </c>
      <c r="AW757" t="s">
        <v>12</v>
      </c>
      <c r="AY757" t="s">
        <v>1666</v>
      </c>
      <c r="AZ757" t="s">
        <v>1682</v>
      </c>
      <c r="BA757" s="4" t="str">
        <f>HYPERLINK("http://exon.niaid.nih.gov/transcriptome/C_felis/S1/links/SWISSP/cf-contig_72-SWISSP.txt","NADH-ubiquinone oxidoreductase chain 2")</f>
        <v>NADH-ubiquinone oxidoreductase chain 2</v>
      </c>
      <c r="BB757" t="str">
        <f>HYPERLINK("http://www.uniprot.org/uniprot/P15577","0.002")</f>
        <v>0.002</v>
      </c>
      <c r="BC757" t="s">
        <v>1924</v>
      </c>
      <c r="BD757">
        <v>41.6</v>
      </c>
      <c r="BE757">
        <v>39</v>
      </c>
      <c r="BF757">
        <v>193</v>
      </c>
      <c r="BG757">
        <v>45</v>
      </c>
      <c r="BH757">
        <v>21</v>
      </c>
      <c r="BI757">
        <v>22</v>
      </c>
      <c r="BJ757">
        <v>0</v>
      </c>
      <c r="BK757">
        <v>151</v>
      </c>
      <c r="BL757">
        <v>89</v>
      </c>
      <c r="BM757">
        <v>1</v>
      </c>
      <c r="BN757">
        <v>-3</v>
      </c>
      <c r="BO757" t="s">
        <v>12</v>
      </c>
      <c r="BQ757" t="s">
        <v>1666</v>
      </c>
      <c r="BR757" t="s">
        <v>1700</v>
      </c>
      <c r="BS757" s="4" t="str">
        <f>HYPERLINK("http://exon.niaid.nih.gov/transcriptome/C_felis/S1/links/CDD/cf-contig_72-CDD.txt","ND4")</f>
        <v>ND4</v>
      </c>
      <c r="BT757" t="str">
        <f>HYPERLINK("http://www.ncbi.nlm.nih.gov/Structure/cdd/cddsrv.cgi?uid=MTH00094&amp;version=v4.0","7E-005")</f>
        <v>7E-005</v>
      </c>
      <c r="BU757" t="s">
        <v>1925</v>
      </c>
      <c r="BV757" s="4" t="s">
        <v>42</v>
      </c>
      <c r="BW757" t="s">
        <v>42</v>
      </c>
      <c r="BX757" t="s">
        <v>42</v>
      </c>
      <c r="BY757" t="s">
        <v>42</v>
      </c>
      <c r="BZ757" t="s">
        <v>42</v>
      </c>
      <c r="CA757" t="s">
        <v>42</v>
      </c>
      <c r="CB757" t="s">
        <v>42</v>
      </c>
      <c r="CC757" t="s">
        <v>42</v>
      </c>
      <c r="CD757" t="s">
        <v>42</v>
      </c>
      <c r="CE757" t="s">
        <v>42</v>
      </c>
      <c r="CF757" t="s">
        <v>42</v>
      </c>
      <c r="CG757" t="s">
        <v>42</v>
      </c>
      <c r="CH757" t="s">
        <v>42</v>
      </c>
      <c r="CI757" t="s">
        <v>42</v>
      </c>
      <c r="CJ757" t="s">
        <v>42</v>
      </c>
      <c r="CK757" t="s">
        <v>42</v>
      </c>
      <c r="CL757" t="s">
        <v>42</v>
      </c>
      <c r="CM757" t="s">
        <v>42</v>
      </c>
      <c r="CN757" t="s">
        <v>42</v>
      </c>
      <c r="CO757" t="s">
        <v>42</v>
      </c>
      <c r="CP757" t="s">
        <v>42</v>
      </c>
      <c r="CQ757" t="s">
        <v>42</v>
      </c>
      <c r="CR757" t="s">
        <v>42</v>
      </c>
      <c r="CS757" s="4" t="str">
        <f>HYPERLINK("http://exon.niaid.nih.gov/transcriptome/C_felis/S1/links/KOG/cf-contig_72-KOG.txt","T-type voltage-gated Ca2+ channel, pore-forming alpha1I subunit")</f>
        <v>T-type voltage-gated Ca2+ channel, pore-forming alpha1I subunit</v>
      </c>
      <c r="CT757" t="str">
        <f>HYPERLINK("http://www.ncbi.nlm.nih.gov/COG/grace/shokog.cgi?KOG2302","0.025")</f>
        <v>0.025</v>
      </c>
      <c r="CU757" t="s">
        <v>1702</v>
      </c>
      <c r="CV757" s="4" t="str">
        <f>HYPERLINK("http://exon.niaid.nih.gov/transcriptome/C_felis/S1/links/PFAM/cf-contig_72-PFAM.txt","7TM_GPCR_Srx")</f>
        <v>7TM_GPCR_Srx</v>
      </c>
      <c r="CW757" t="str">
        <f>HYPERLINK("http://pfam.sanger.ac.uk/family?acc=PF10328","0.002")</f>
        <v>0.002</v>
      </c>
      <c r="CX757" s="4" t="str">
        <f>HYPERLINK("http://exon.niaid.nih.gov/transcriptome/C_felis/S1/links/SMART/cf-contig_72-SMART.txt","Telomerase_RBD")</f>
        <v>Telomerase_RBD</v>
      </c>
      <c r="CY757" t="str">
        <f>HYPERLINK("http://smart.embl-heidelberg.de/smart/do_annotation.pl?DOMAIN=Telomerase_RBD&amp;BLAST=DUMMY","0.025")</f>
        <v>0.025</v>
      </c>
      <c r="CZ757" s="4" t="s">
        <v>42</v>
      </c>
      <c r="DA757" t="s">
        <v>42</v>
      </c>
      <c r="DB757" t="s">
        <v>42</v>
      </c>
      <c r="DC757" t="s">
        <v>42</v>
      </c>
      <c r="DD757" t="s">
        <v>42</v>
      </c>
      <c r="DE757" t="s">
        <v>42</v>
      </c>
      <c r="DF757" t="s">
        <v>42</v>
      </c>
      <c r="DG757" t="s">
        <v>42</v>
      </c>
      <c r="DH757" s="4" t="s">
        <v>42</v>
      </c>
      <c r="DI757" t="s">
        <v>42</v>
      </c>
      <c r="DJ757" s="4" t="s">
        <v>42</v>
      </c>
      <c r="DK757" t="s">
        <v>42</v>
      </c>
      <c r="DL757" s="4">
        <v>110</v>
      </c>
      <c r="DM757">
        <v>1</v>
      </c>
      <c r="DN757" s="4">
        <v>104</v>
      </c>
      <c r="DO757">
        <v>1</v>
      </c>
      <c r="DP757" s="4">
        <v>99</v>
      </c>
      <c r="DQ757">
        <v>1</v>
      </c>
      <c r="DR757" s="4">
        <v>90</v>
      </c>
      <c r="DS757">
        <v>1</v>
      </c>
      <c r="DT757" s="4">
        <v>83</v>
      </c>
      <c r="DU757">
        <v>1</v>
      </c>
      <c r="DV757" s="4">
        <v>86</v>
      </c>
      <c r="DW757">
        <v>1</v>
      </c>
      <c r="DX757" s="4">
        <v>85</v>
      </c>
      <c r="DY757">
        <v>1</v>
      </c>
      <c r="DZ757" s="4">
        <v>83</v>
      </c>
      <c r="EA757">
        <v>1</v>
      </c>
      <c r="EB757" s="4">
        <v>83</v>
      </c>
      <c r="EC757">
        <v>1</v>
      </c>
      <c r="ED757" s="4">
        <v>84</v>
      </c>
      <c r="EE757">
        <v>1</v>
      </c>
      <c r="EF757" s="4">
        <v>79</v>
      </c>
      <c r="EG757">
        <v>1</v>
      </c>
      <c r="EH757" s="4">
        <v>74</v>
      </c>
      <c r="EI757">
        <v>1</v>
      </c>
      <c r="EJ757" s="4">
        <v>72</v>
      </c>
      <c r="EK757">
        <v>1</v>
      </c>
    </row>
    <row r="758" spans="1:141" x14ac:dyDescent="0.2">
      <c r="A758" t="str">
        <f>HYPERLINK("http://exon.niaid.nih.gov/transcriptome/C_felis/S1/links/cf/cf-contig_122.txt","cf-contig_122")</f>
        <v>cf-contig_122</v>
      </c>
      <c r="B758">
        <v>1</v>
      </c>
      <c r="C758" s="10" t="s">
        <v>4600</v>
      </c>
      <c r="D758">
        <v>1</v>
      </c>
      <c r="E758" t="str">
        <f>HYPERLINK("http://exon.niaid.nih.gov/transcriptome/C_felis/S1/links/cf/cf-5-36-asb-122.txt","Contig-122")</f>
        <v>Contig-122</v>
      </c>
      <c r="F758" t="str">
        <f>HYPERLINK("http://exon.niaid.nih.gov/transcriptome/C_felis/S1/links/cf/cf-5-36-122-CLU.txt","Contig122")</f>
        <v>Contig122</v>
      </c>
      <c r="G758" t="str">
        <f>HYPERLINK("http://exon.niaid.nih.gov/transcriptome/C_felis/S1/links/cf/cf-5-36-122-qual.txt","56.4")</f>
        <v>56.4</v>
      </c>
      <c r="H758">
        <v>1.3</v>
      </c>
      <c r="I758">
        <v>76.900000000000006</v>
      </c>
      <c r="J758">
        <v>137</v>
      </c>
      <c r="K758" t="s">
        <v>12</v>
      </c>
      <c r="L758">
        <v>1</v>
      </c>
      <c r="M758" t="s">
        <v>135</v>
      </c>
      <c r="N758">
        <v>137</v>
      </c>
      <c r="O758">
        <v>156</v>
      </c>
      <c r="P758">
        <v>66</v>
      </c>
      <c r="Q758" t="s">
        <v>942</v>
      </c>
      <c r="R758">
        <v>3</v>
      </c>
      <c r="S758" s="7" t="s">
        <v>4585</v>
      </c>
      <c r="U758">
        <v>1</v>
      </c>
      <c r="V758" s="4">
        <f>HYPERLINK("http://exon.niaid.nih.gov/transcriptome/C_felis/S1/links/cluster/cf-5-36-asb30-50-Id-CLU41.txt", 41)</f>
        <v>41</v>
      </c>
      <c r="W758">
        <f>HYPERLINK("http://exon.niaid.nih.gov/transcriptome/C_felis/S1/links/cluster/cf-5-36-asb30-50-Id-CLTL41.txt", 2)</f>
        <v>2</v>
      </c>
      <c r="X758" s="4">
        <v>126</v>
      </c>
      <c r="Y758">
        <v>1</v>
      </c>
      <c r="Z758" s="4">
        <v>123</v>
      </c>
      <c r="AA758">
        <v>1</v>
      </c>
      <c r="AB758" s="4" t="str">
        <f>HYPERLINK("http://exon.niaid.nih.gov/transcriptome/C_felis/S1/links/XC-ASB/cf-contig_122-XC-ASB.txt","XC-contig_90")</f>
        <v>XC-contig_90</v>
      </c>
      <c r="AC758">
        <v>0.14000000000000001</v>
      </c>
      <c r="AD758" s="10" t="s">
        <v>4600</v>
      </c>
      <c r="AE758" t="s">
        <v>4601</v>
      </c>
      <c r="AI758" s="4" t="str">
        <f>HYPERLINK("http://exon.niaid.nih.gov/transcriptome/C_felis/S1/links/NR/cf-contig_122-NR.txt","hypothetical protein")</f>
        <v>hypothetical protein</v>
      </c>
      <c r="AJ758" t="str">
        <f>HYPERLINK("http://www.ncbi.nlm.nih.gov/sutils/blink.cgi?pid=70922294","47")</f>
        <v>47</v>
      </c>
      <c r="AK758" t="str">
        <f>HYPERLINK("http://www.ncbi.nlm.nih.gov/protein/70922294","gi|70922294")</f>
        <v>gi|70922294</v>
      </c>
      <c r="AL758">
        <v>31.6</v>
      </c>
      <c r="AM758">
        <v>37</v>
      </c>
      <c r="AN758">
        <v>195</v>
      </c>
      <c r="AO758">
        <v>43</v>
      </c>
      <c r="AP758">
        <v>19</v>
      </c>
      <c r="AQ758">
        <v>22</v>
      </c>
      <c r="AR758">
        <v>0</v>
      </c>
      <c r="AS758">
        <v>16</v>
      </c>
      <c r="AT758">
        <v>16</v>
      </c>
      <c r="AU758">
        <v>1</v>
      </c>
      <c r="AV758">
        <v>-1</v>
      </c>
      <c r="AW758" t="s">
        <v>12</v>
      </c>
      <c r="AX758">
        <v>2.7029999999999998</v>
      </c>
      <c r="AY758" t="s">
        <v>1666</v>
      </c>
      <c r="AZ758" t="s">
        <v>1682</v>
      </c>
      <c r="BA758" s="4" t="str">
        <f>HYPERLINK("http://exon.niaid.nih.gov/transcriptome/C_felis/S1/links/SWISSP/cf-contig_122-SWISSP.txt","Uncharacterized protein ORF621")</f>
        <v>Uncharacterized protein ORF621</v>
      </c>
      <c r="BB758" t="str">
        <f>HYPERLINK("http://www.uniprot.org/uniprot/Q1XDQ3","69")</f>
        <v>69</v>
      </c>
      <c r="BC758" t="s">
        <v>2129</v>
      </c>
      <c r="BD758">
        <v>26.2</v>
      </c>
      <c r="BE758">
        <v>22</v>
      </c>
      <c r="BF758">
        <v>612</v>
      </c>
      <c r="BG758">
        <v>47</v>
      </c>
      <c r="BH758">
        <v>4</v>
      </c>
      <c r="BI758">
        <v>12</v>
      </c>
      <c r="BJ758">
        <v>0</v>
      </c>
      <c r="BK758">
        <v>17</v>
      </c>
      <c r="BL758">
        <v>64</v>
      </c>
      <c r="BM758">
        <v>1</v>
      </c>
      <c r="BN758">
        <v>-1</v>
      </c>
      <c r="BO758" t="s">
        <v>12</v>
      </c>
      <c r="BP758">
        <v>4.5449999999999999</v>
      </c>
      <c r="BQ758" t="s">
        <v>1666</v>
      </c>
      <c r="BR758" t="s">
        <v>2130</v>
      </c>
      <c r="BS758" s="4" t="str">
        <f>HYPERLINK("http://exon.niaid.nih.gov/transcriptome/C_felis/S1/links/CDD/cf-contig_122-CDD.txt","COG4285")</f>
        <v>COG4285</v>
      </c>
      <c r="BT758" t="str">
        <f>HYPERLINK("http://www.ncbi.nlm.nih.gov/Structure/cdd/cddsrv.cgi?uid=COG4285&amp;version=v4.0","0.48")</f>
        <v>0.48</v>
      </c>
      <c r="BU758" t="s">
        <v>2131</v>
      </c>
      <c r="BV758" s="4" t="s">
        <v>42</v>
      </c>
      <c r="BW758" t="s">
        <v>42</v>
      </c>
      <c r="BX758" t="s">
        <v>42</v>
      </c>
      <c r="BY758" t="s">
        <v>42</v>
      </c>
      <c r="BZ758" t="s">
        <v>42</v>
      </c>
      <c r="CA758" t="s">
        <v>42</v>
      </c>
      <c r="CB758" t="s">
        <v>42</v>
      </c>
      <c r="CC758" t="s">
        <v>42</v>
      </c>
      <c r="CD758" t="s">
        <v>42</v>
      </c>
      <c r="CE758" t="s">
        <v>42</v>
      </c>
      <c r="CF758" t="s">
        <v>42</v>
      </c>
      <c r="CG758" t="s">
        <v>42</v>
      </c>
      <c r="CH758" t="s">
        <v>42</v>
      </c>
      <c r="CI758" t="s">
        <v>42</v>
      </c>
      <c r="CJ758" t="s">
        <v>42</v>
      </c>
      <c r="CK758" t="s">
        <v>42</v>
      </c>
      <c r="CL758" t="s">
        <v>42</v>
      </c>
      <c r="CM758" t="s">
        <v>42</v>
      </c>
      <c r="CN758" t="s">
        <v>42</v>
      </c>
      <c r="CO758" t="s">
        <v>42</v>
      </c>
      <c r="CP758" t="s">
        <v>42</v>
      </c>
      <c r="CQ758" t="s">
        <v>42</v>
      </c>
      <c r="CR758" t="s">
        <v>42</v>
      </c>
      <c r="CS758" s="4" t="str">
        <f>HYPERLINK("http://exon.niaid.nih.gov/transcriptome/C_felis/S1/links/KOG/cf-contig_122-KOG.txt","Aminopeptidases of the M20 family")</f>
        <v>Aminopeptidases of the M20 family</v>
      </c>
      <c r="CT758" t="str">
        <f>HYPERLINK("http://www.ncbi.nlm.nih.gov/COG/grace/shokog.cgi?KOG2194","1.4")</f>
        <v>1.4</v>
      </c>
      <c r="CU758" t="s">
        <v>2132</v>
      </c>
      <c r="CV758" s="4" t="str">
        <f>HYPERLINK("http://exon.niaid.nih.gov/transcriptome/C_felis/S1/links/PFAM/cf-contig_122-PFAM.txt","Plasmodium_Vir")</f>
        <v>Plasmodium_Vir</v>
      </c>
      <c r="CW758" t="str">
        <f>HYPERLINK("http://pfam.sanger.ac.uk/family?acc=PF05795","0.14")</f>
        <v>0.14</v>
      </c>
      <c r="CX758" s="4" t="str">
        <f>HYPERLINK("http://exon.niaid.nih.gov/transcriptome/C_felis/S1/links/SMART/cf-contig_122-SMART.txt","MIF4G")</f>
        <v>MIF4G</v>
      </c>
      <c r="CY758" t="str">
        <f>HYPERLINK("http://smart.embl-heidelberg.de/smart/do_annotation.pl?DOMAIN=MIF4G&amp;BLAST=DUMMY","0.26")</f>
        <v>0.26</v>
      </c>
      <c r="CZ758" s="4" t="s">
        <v>42</v>
      </c>
      <c r="DA758" t="s">
        <v>42</v>
      </c>
      <c r="DB758" t="s">
        <v>42</v>
      </c>
      <c r="DC758" t="s">
        <v>42</v>
      </c>
      <c r="DD758" t="s">
        <v>42</v>
      </c>
      <c r="DE758" t="s">
        <v>42</v>
      </c>
      <c r="DF758" t="s">
        <v>42</v>
      </c>
      <c r="DG758" t="s">
        <v>42</v>
      </c>
      <c r="DH758" s="4" t="s">
        <v>42</v>
      </c>
      <c r="DI758" t="s">
        <v>42</v>
      </c>
      <c r="DJ758" s="4" t="s">
        <v>42</v>
      </c>
      <c r="DK758" t="s">
        <v>42</v>
      </c>
      <c r="DL758" s="4">
        <f>HYPERLINK("http://exon.niaid.nih.gov/transcriptome/C_felis/S1/links/cluster/cf-5-36-asb30-50-Id-CLU41.txt", 41)</f>
        <v>41</v>
      </c>
      <c r="DM758">
        <f>HYPERLINK("http://exon.niaid.nih.gov/transcriptome/C_felis/S1/links/cluster/cf-5-36-asb30-50-Id-CLTL41.txt", 2)</f>
        <v>2</v>
      </c>
      <c r="DN758" s="4">
        <v>126</v>
      </c>
      <c r="DO758">
        <v>1</v>
      </c>
      <c r="DP758" s="4">
        <v>123</v>
      </c>
      <c r="DQ758">
        <v>1</v>
      </c>
      <c r="DR758" s="4">
        <v>114</v>
      </c>
      <c r="DS758">
        <v>1</v>
      </c>
      <c r="DT758" s="4">
        <v>112</v>
      </c>
      <c r="DU758">
        <v>1</v>
      </c>
      <c r="DV758" s="4">
        <v>121</v>
      </c>
      <c r="DW758">
        <v>1</v>
      </c>
      <c r="DX758" s="4">
        <v>123</v>
      </c>
      <c r="DY758">
        <v>1</v>
      </c>
      <c r="DZ758" s="4">
        <v>123</v>
      </c>
      <c r="EA758">
        <v>1</v>
      </c>
      <c r="EB758" s="4">
        <v>126</v>
      </c>
      <c r="EC758">
        <v>1</v>
      </c>
      <c r="ED758" s="4">
        <v>127</v>
      </c>
      <c r="EE758">
        <v>1</v>
      </c>
      <c r="EF758" s="4">
        <v>124</v>
      </c>
      <c r="EG758">
        <v>1</v>
      </c>
      <c r="EH758" s="4">
        <v>121</v>
      </c>
      <c r="EI758">
        <v>1</v>
      </c>
      <c r="EJ758" s="4">
        <v>122</v>
      </c>
      <c r="EK758">
        <v>1</v>
      </c>
    </row>
    <row r="759" spans="1:141" x14ac:dyDescent="0.2">
      <c r="A759" t="str">
        <f>HYPERLINK("http://exon.niaid.nih.gov/transcriptome/C_felis/S1/links/cf/cf-contig_184.txt","cf-contig_184")</f>
        <v>cf-contig_184</v>
      </c>
      <c r="B759">
        <v>4</v>
      </c>
      <c r="C759" s="10" t="s">
        <v>4600</v>
      </c>
      <c r="D759">
        <v>4</v>
      </c>
      <c r="E759" t="str">
        <f>HYPERLINK("http://exon.niaid.nih.gov/transcriptome/C_felis/S1/links/cf/cf-5-36-asb-184.txt","Contig-184")</f>
        <v>Contig-184</v>
      </c>
      <c r="F759" t="str">
        <f>HYPERLINK("http://exon.niaid.nih.gov/transcriptome/C_felis/S1/links/cf/cf-5-36-184-CLU.txt","Contig184")</f>
        <v>Contig184</v>
      </c>
      <c r="G759" t="str">
        <f>HYPERLINK("http://exon.niaid.nih.gov/transcriptome/C_felis/S1/links/cf/cf-5-36-184-qual.txt","81.")</f>
        <v>81.</v>
      </c>
      <c r="H759" t="s">
        <v>11</v>
      </c>
      <c r="I759">
        <v>75.3</v>
      </c>
      <c r="J759">
        <v>546</v>
      </c>
      <c r="K759" t="s">
        <v>12</v>
      </c>
      <c r="L759">
        <v>4</v>
      </c>
      <c r="M759" t="s">
        <v>197</v>
      </c>
      <c r="N759">
        <v>569</v>
      </c>
      <c r="O759">
        <v>566</v>
      </c>
      <c r="P759">
        <v>237</v>
      </c>
      <c r="Q759" t="s">
        <v>1004</v>
      </c>
      <c r="R759">
        <v>1</v>
      </c>
      <c r="S759" s="7" t="str">
        <f>HYPERLINK("http://exon.niaid.nih.gov/transcriptome/C_felis/S1/links/Sigp/CF-CONTIG_184-SigP.txt","Cyt")</f>
        <v>Cyt</v>
      </c>
      <c r="U759">
        <v>4</v>
      </c>
      <c r="V759" s="4">
        <v>159</v>
      </c>
      <c r="W759">
        <v>1</v>
      </c>
      <c r="X759" s="4">
        <v>161</v>
      </c>
      <c r="Y759">
        <v>1</v>
      </c>
      <c r="Z759" s="4">
        <v>159</v>
      </c>
      <c r="AA759">
        <v>1</v>
      </c>
      <c r="AB759" s="4" t="str">
        <f>HYPERLINK("http://exon.niaid.nih.gov/transcriptome/C_felis/S1/links/XC-ASB/cf-contig_184-XC-ASB.txt","XC-contig_253")</f>
        <v>XC-contig_253</v>
      </c>
      <c r="AC759">
        <v>6.6000000000000003E-2</v>
      </c>
      <c r="AD759" s="10" t="s">
        <v>4600</v>
      </c>
      <c r="AE759" t="s">
        <v>4601</v>
      </c>
      <c r="AI759" s="4" t="str">
        <f>HYPERLINK("http://exon.niaid.nih.gov/transcriptome/C_felis/S1/links/NR/cf-contig_184-NR.txt","hypothetical protein")</f>
        <v>hypothetical protein</v>
      </c>
      <c r="AJ759" t="str">
        <f>HYPERLINK("http://www.ncbi.nlm.nih.gov/sutils/blink.cgi?pid=70951089","0.93")</f>
        <v>0.93</v>
      </c>
      <c r="AK759" t="str">
        <f>HYPERLINK("http://www.ncbi.nlm.nih.gov/protein/70951089","gi|70951089")</f>
        <v>gi|70951089</v>
      </c>
      <c r="AL759">
        <v>37.700000000000003</v>
      </c>
      <c r="AM759">
        <v>85</v>
      </c>
      <c r="AN759">
        <v>630</v>
      </c>
      <c r="AO759">
        <v>32</v>
      </c>
      <c r="AP759">
        <v>14</v>
      </c>
      <c r="AQ759">
        <v>59</v>
      </c>
      <c r="AR759">
        <v>0</v>
      </c>
      <c r="AS759">
        <v>56</v>
      </c>
      <c r="AT759">
        <v>273</v>
      </c>
      <c r="AU759">
        <v>1</v>
      </c>
      <c r="AV759">
        <v>-1</v>
      </c>
      <c r="AW759" t="s">
        <v>12</v>
      </c>
      <c r="AX759">
        <v>8.2349999999999994</v>
      </c>
      <c r="AY759" t="s">
        <v>1666</v>
      </c>
      <c r="AZ759" t="s">
        <v>1682</v>
      </c>
      <c r="BA759" s="4" t="str">
        <f>HYPERLINK("http://exon.niaid.nih.gov/transcriptome/C_felis/S1/links/SWISSP/cf-contig_184-SWISSP.txt","AF4/FMR2 family member 4")</f>
        <v>AF4/FMR2 family member 4</v>
      </c>
      <c r="BB759" t="str">
        <f>HYPERLINK("http://www.uniprot.org/uniprot/B4LV24","4.5")</f>
        <v>4.5</v>
      </c>
      <c r="BC759" t="s">
        <v>2352</v>
      </c>
      <c r="BD759">
        <v>31.2</v>
      </c>
      <c r="BE759">
        <v>81</v>
      </c>
      <c r="BF759">
        <v>1823</v>
      </c>
      <c r="BG759">
        <v>25</v>
      </c>
      <c r="BH759">
        <v>4</v>
      </c>
      <c r="BI759">
        <v>61</v>
      </c>
      <c r="BJ759">
        <v>7</v>
      </c>
      <c r="BK759">
        <v>1608</v>
      </c>
      <c r="BL759">
        <v>95</v>
      </c>
      <c r="BM759">
        <v>1</v>
      </c>
      <c r="BN759">
        <v>-2</v>
      </c>
      <c r="BO759" t="s">
        <v>12</v>
      </c>
      <c r="BP759">
        <v>2.4689999999999999</v>
      </c>
      <c r="BQ759" t="s">
        <v>1666</v>
      </c>
      <c r="BR759" t="s">
        <v>2353</v>
      </c>
      <c r="BS759" s="4" t="str">
        <f>HYPERLINK("http://exon.niaid.nih.gov/transcriptome/C_felis/S1/links/CDD/cf-contig_184-CDD.txt","ND5")</f>
        <v>ND5</v>
      </c>
      <c r="BT759" t="str">
        <f>HYPERLINK("http://www.ncbi.nlm.nih.gov/Structure/cdd/cddsrv.cgi?uid=MTH00095&amp;version=v4.0","0.002")</f>
        <v>0.002</v>
      </c>
      <c r="BU759" t="s">
        <v>2354</v>
      </c>
      <c r="BV759" s="4" t="s">
        <v>42</v>
      </c>
      <c r="BW759" t="s">
        <v>42</v>
      </c>
      <c r="BX759" t="s">
        <v>42</v>
      </c>
      <c r="BY759" t="s">
        <v>42</v>
      </c>
      <c r="BZ759" t="s">
        <v>42</v>
      </c>
      <c r="CA759" t="s">
        <v>42</v>
      </c>
      <c r="CB759" t="s">
        <v>42</v>
      </c>
      <c r="CC759" t="s">
        <v>42</v>
      </c>
      <c r="CD759" t="s">
        <v>42</v>
      </c>
      <c r="CE759" t="s">
        <v>42</v>
      </c>
      <c r="CF759" t="s">
        <v>42</v>
      </c>
      <c r="CG759" t="s">
        <v>42</v>
      </c>
      <c r="CH759" t="s">
        <v>42</v>
      </c>
      <c r="CI759" t="s">
        <v>42</v>
      </c>
      <c r="CJ759" t="s">
        <v>42</v>
      </c>
      <c r="CK759" t="s">
        <v>42</v>
      </c>
      <c r="CL759" t="s">
        <v>42</v>
      </c>
      <c r="CM759" t="s">
        <v>42</v>
      </c>
      <c r="CN759" t="s">
        <v>42</v>
      </c>
      <c r="CO759" t="s">
        <v>42</v>
      </c>
      <c r="CP759" t="s">
        <v>42</v>
      </c>
      <c r="CQ759" t="s">
        <v>42</v>
      </c>
      <c r="CR759" t="s">
        <v>42</v>
      </c>
      <c r="CS759" s="4" t="str">
        <f>HYPERLINK("http://exon.niaid.nih.gov/transcriptome/C_felis/S1/links/KOG/cf-contig_184-KOG.txt","Ca2+/Na+ exchanger NCX1 and related proteins")</f>
        <v>Ca2+/Na+ exchanger NCX1 and related proteins</v>
      </c>
      <c r="CT759" t="str">
        <f>HYPERLINK("http://www.ncbi.nlm.nih.gov/COG/grace/shokog.cgi?KOG1306","1.9")</f>
        <v>1.9</v>
      </c>
      <c r="CU759" t="s">
        <v>1702</v>
      </c>
      <c r="CV759" s="4" t="str">
        <f>HYPERLINK("http://exon.niaid.nih.gov/transcriptome/C_felis/S1/links/PFAM/cf-contig_184-PFAM.txt","7TM_GPCR_Srd")</f>
        <v>7TM_GPCR_Srd</v>
      </c>
      <c r="CW759" t="str">
        <f>HYPERLINK("http://pfam.sanger.ac.uk/family?acc=PF10317","0.085")</f>
        <v>0.085</v>
      </c>
      <c r="CX759" s="4" t="str">
        <f>HYPERLINK("http://exon.niaid.nih.gov/transcriptome/C_felis/S1/links/SMART/cf-contig_184-SMART.txt","AgrB")</f>
        <v>AgrB</v>
      </c>
      <c r="CY759" t="str">
        <f>HYPERLINK("http://smart.embl-heidelberg.de/smart/do_annotation.pl?DOMAIN=AgrB&amp;BLAST=DUMMY","0.069")</f>
        <v>0.069</v>
      </c>
      <c r="CZ759" s="4" t="s">
        <v>42</v>
      </c>
      <c r="DA759" t="s">
        <v>42</v>
      </c>
      <c r="DB759" t="s">
        <v>42</v>
      </c>
      <c r="DC759" t="s">
        <v>42</v>
      </c>
      <c r="DD759" t="s">
        <v>42</v>
      </c>
      <c r="DE759" t="s">
        <v>42</v>
      </c>
      <c r="DF759" t="s">
        <v>42</v>
      </c>
      <c r="DG759" t="s">
        <v>42</v>
      </c>
      <c r="DH759" s="4" t="s">
        <v>42</v>
      </c>
      <c r="DI759" t="s">
        <v>42</v>
      </c>
      <c r="DJ759" s="4" t="s">
        <v>42</v>
      </c>
      <c r="DK759" t="s">
        <v>42</v>
      </c>
      <c r="DL759" s="4">
        <v>159</v>
      </c>
      <c r="DM759">
        <v>1</v>
      </c>
      <c r="DN759" s="4">
        <v>161</v>
      </c>
      <c r="DO759">
        <v>1</v>
      </c>
      <c r="DP759" s="4">
        <v>159</v>
      </c>
      <c r="DQ759">
        <v>1</v>
      </c>
      <c r="DR759" s="4">
        <v>158</v>
      </c>
      <c r="DS759">
        <v>1</v>
      </c>
      <c r="DT759" s="4">
        <v>160</v>
      </c>
      <c r="DU759">
        <v>1</v>
      </c>
      <c r="DV759" s="4">
        <v>170</v>
      </c>
      <c r="DW759">
        <v>1</v>
      </c>
      <c r="DX759" s="4">
        <v>172</v>
      </c>
      <c r="DY759">
        <v>1</v>
      </c>
      <c r="DZ759" s="4">
        <v>172</v>
      </c>
      <c r="EA759">
        <v>1</v>
      </c>
      <c r="EB759" s="4">
        <v>177</v>
      </c>
      <c r="EC759">
        <v>1</v>
      </c>
      <c r="ED759" s="4">
        <v>178</v>
      </c>
      <c r="EE759">
        <v>1</v>
      </c>
      <c r="EF759" s="4">
        <v>179</v>
      </c>
      <c r="EG759">
        <v>1</v>
      </c>
      <c r="EH759" s="4">
        <v>179</v>
      </c>
      <c r="EI759">
        <v>1</v>
      </c>
      <c r="EJ759" s="4">
        <v>184</v>
      </c>
      <c r="EK759">
        <v>1</v>
      </c>
    </row>
    <row r="760" spans="1:141" x14ac:dyDescent="0.2">
      <c r="A760" t="str">
        <f>HYPERLINK("http://exon.niaid.nih.gov/transcriptome/C_felis/S1/links/cf/cf-contig_562.txt","cf-contig_562")</f>
        <v>cf-contig_562</v>
      </c>
      <c r="B760">
        <v>1</v>
      </c>
      <c r="C760" s="10" t="s">
        <v>4600</v>
      </c>
      <c r="D760">
        <v>1</v>
      </c>
      <c r="E760" t="str">
        <f>HYPERLINK("http://exon.niaid.nih.gov/transcriptome/C_felis/S1/links/cf/cf-5-36-asb-562.txt","Contig-562")</f>
        <v>Contig-562</v>
      </c>
      <c r="F760" t="str">
        <f>HYPERLINK("http://exon.niaid.nih.gov/transcriptome/C_felis/S1/links/cf/cf-5-36-562-CLU.txt","Contig562")</f>
        <v>Contig562</v>
      </c>
      <c r="G760" t="str">
        <f>HYPERLINK("http://exon.niaid.nih.gov/transcriptome/C_felis/S1/links/cf/cf-5-36-562-qual.txt","25.1")</f>
        <v>25.1</v>
      </c>
      <c r="H760" t="s">
        <v>11</v>
      </c>
      <c r="I760">
        <v>65.7</v>
      </c>
      <c r="J760">
        <v>325</v>
      </c>
      <c r="K760" t="s">
        <v>12</v>
      </c>
      <c r="L760">
        <v>1</v>
      </c>
      <c r="M760" t="s">
        <v>575</v>
      </c>
      <c r="N760">
        <v>325</v>
      </c>
      <c r="O760">
        <v>344</v>
      </c>
      <c r="P760">
        <v>222</v>
      </c>
      <c r="Q760" t="s">
        <v>1381</v>
      </c>
      <c r="R760">
        <v>1</v>
      </c>
      <c r="S760" s="7" t="s">
        <v>4585</v>
      </c>
      <c r="U760">
        <v>1</v>
      </c>
      <c r="V760" s="4">
        <v>458</v>
      </c>
      <c r="W760">
        <v>1</v>
      </c>
      <c r="X760" s="4">
        <v>468</v>
      </c>
      <c r="Y760">
        <v>1</v>
      </c>
      <c r="Z760" s="4">
        <v>475</v>
      </c>
      <c r="AA760">
        <v>1</v>
      </c>
      <c r="AB760" s="4" t="str">
        <f>HYPERLINK("http://exon.niaid.nih.gov/transcriptome/C_felis/S1/links/XC-ASB/cf-contig_562-XC-ASB.txt","XC-contig_26")</f>
        <v>XC-contig_26</v>
      </c>
      <c r="AC760">
        <v>4.0000000000000002E-4</v>
      </c>
      <c r="AD760" s="10" t="s">
        <v>4600</v>
      </c>
      <c r="AE760" t="s">
        <v>4601</v>
      </c>
      <c r="AI760" s="4" t="str">
        <f>HYPERLINK("http://exon.niaid.nih.gov/transcriptome/C_felis/S1/links/NR/cf-contig_562-NR.txt","hypothetical protein")</f>
        <v>hypothetical protein</v>
      </c>
      <c r="AJ760" t="str">
        <f>HYPERLINK("http://www.ncbi.nlm.nih.gov/sutils/blink.cgi?pid=70929998","0.021")</f>
        <v>0.021</v>
      </c>
      <c r="AK760" t="str">
        <f>HYPERLINK("http://www.ncbi.nlm.nih.gov/protein/70929998","gi|70929998")</f>
        <v>gi|70929998</v>
      </c>
      <c r="AL760">
        <v>42.7</v>
      </c>
      <c r="AM760">
        <v>134</v>
      </c>
      <c r="AN760">
        <v>272</v>
      </c>
      <c r="AO760">
        <v>38</v>
      </c>
      <c r="AP760">
        <v>50</v>
      </c>
      <c r="AQ760">
        <v>46</v>
      </c>
      <c r="AR760">
        <v>0</v>
      </c>
      <c r="AS760">
        <v>138</v>
      </c>
      <c r="AT760">
        <v>88</v>
      </c>
      <c r="AU760">
        <v>4</v>
      </c>
      <c r="AV760">
        <v>1</v>
      </c>
      <c r="AW760" t="s">
        <v>1689</v>
      </c>
      <c r="AX760">
        <v>0.746</v>
      </c>
      <c r="AY760" t="s">
        <v>1676</v>
      </c>
      <c r="AZ760" t="s">
        <v>1682</v>
      </c>
      <c r="BA760" s="4" t="str">
        <f>HYPERLINK("http://exon.niaid.nih.gov/transcriptome/C_felis/S1/links/SWISSP/cf-contig_562-SWISSP.txt","Programmed cell death protein 7")</f>
        <v>Programmed cell death protein 7</v>
      </c>
      <c r="BB760" t="str">
        <f>HYPERLINK("http://www.uniprot.org/uniprot/Q8N8D1","0.066")</f>
        <v>0.066</v>
      </c>
      <c r="BC760" t="s">
        <v>3709</v>
      </c>
      <c r="BD760">
        <v>36.200000000000003</v>
      </c>
      <c r="BE760">
        <v>23</v>
      </c>
      <c r="BF760">
        <v>485</v>
      </c>
      <c r="BG760">
        <v>58</v>
      </c>
      <c r="BH760">
        <v>5</v>
      </c>
      <c r="BI760">
        <v>10</v>
      </c>
      <c r="BJ760">
        <v>0</v>
      </c>
      <c r="BK760">
        <v>6</v>
      </c>
      <c r="BL760">
        <v>195</v>
      </c>
      <c r="BM760">
        <v>1</v>
      </c>
      <c r="BN760">
        <v>3</v>
      </c>
      <c r="BO760" t="s">
        <v>12</v>
      </c>
      <c r="BQ760" t="s">
        <v>1676</v>
      </c>
      <c r="BR760" t="s">
        <v>1690</v>
      </c>
      <c r="BS760" s="4" t="str">
        <f>HYPERLINK("http://exon.niaid.nih.gov/transcriptome/C_felis/S1/links/CDD/cf-contig_562-CDD.txt","ND2")</f>
        <v>ND2</v>
      </c>
      <c r="BT760" t="str">
        <f>HYPERLINK("http://www.ncbi.nlm.nih.gov/Structure/cdd/cddsrv.cgi?uid=MTH00091&amp;version=v4.0","0.050")</f>
        <v>0.050</v>
      </c>
      <c r="BU760" t="s">
        <v>3710</v>
      </c>
      <c r="BV760" s="4" t="s">
        <v>42</v>
      </c>
      <c r="BW760" t="s">
        <v>42</v>
      </c>
      <c r="BX760" t="s">
        <v>42</v>
      </c>
      <c r="BY760" t="s">
        <v>42</v>
      </c>
      <c r="BZ760" t="s">
        <v>42</v>
      </c>
      <c r="CA760" t="s">
        <v>42</v>
      </c>
      <c r="CB760" t="s">
        <v>42</v>
      </c>
      <c r="CC760" t="s">
        <v>42</v>
      </c>
      <c r="CD760" t="s">
        <v>42</v>
      </c>
      <c r="CE760" t="s">
        <v>42</v>
      </c>
      <c r="CF760" t="s">
        <v>42</v>
      </c>
      <c r="CG760" t="s">
        <v>42</v>
      </c>
      <c r="CH760" t="s">
        <v>42</v>
      </c>
      <c r="CI760" t="s">
        <v>42</v>
      </c>
      <c r="CJ760" t="s">
        <v>42</v>
      </c>
      <c r="CK760" t="s">
        <v>42</v>
      </c>
      <c r="CL760" t="s">
        <v>42</v>
      </c>
      <c r="CM760" t="s">
        <v>42</v>
      </c>
      <c r="CN760" t="s">
        <v>42</v>
      </c>
      <c r="CO760" t="s">
        <v>42</v>
      </c>
      <c r="CP760" t="s">
        <v>42</v>
      </c>
      <c r="CQ760" t="s">
        <v>42</v>
      </c>
      <c r="CR760" t="s">
        <v>42</v>
      </c>
      <c r="CS760" s="4" t="str">
        <f>HYPERLINK("http://exon.niaid.nih.gov/transcriptome/C_felis/S1/links/KOG/cf-contig_562-KOG.txt","RhoA GTPase effector DIA/Diaphanous")</f>
        <v>RhoA GTPase effector DIA/Diaphanous</v>
      </c>
      <c r="CT760" t="str">
        <f>HYPERLINK("http://www.ncbi.nlm.nih.gov/COG/grace/shokog.cgi?KOG1924","0.011")</f>
        <v>0.011</v>
      </c>
      <c r="CU760" t="s">
        <v>1671</v>
      </c>
      <c r="CV760" s="4" t="str">
        <f>HYPERLINK("http://exon.niaid.nih.gov/transcriptome/C_felis/S1/links/PFAM/cf-contig_562-PFAM.txt","DUF3824")</f>
        <v>DUF3824</v>
      </c>
      <c r="CW760" t="str">
        <f>HYPERLINK("http://pfam.sanger.ac.uk/family?acc=PF12868","0.12")</f>
        <v>0.12</v>
      </c>
      <c r="CX760" s="4" t="str">
        <f>HYPERLINK("http://exon.niaid.nih.gov/transcriptome/C_felis/S1/links/SMART/cf-contig_562-SMART.txt","PRP")</f>
        <v>PRP</v>
      </c>
      <c r="CY760" t="str">
        <f>HYPERLINK("http://smart.embl-heidelberg.de/smart/do_annotation.pl?DOMAIN=PRP&amp;BLAST=DUMMY","0.002")</f>
        <v>0.002</v>
      </c>
      <c r="CZ760" s="4" t="s">
        <v>42</v>
      </c>
      <c r="DA760" t="s">
        <v>42</v>
      </c>
      <c r="DB760" t="s">
        <v>42</v>
      </c>
      <c r="DC760" t="s">
        <v>42</v>
      </c>
      <c r="DD760" t="s">
        <v>42</v>
      </c>
      <c r="DE760" t="s">
        <v>42</v>
      </c>
      <c r="DF760" t="s">
        <v>42</v>
      </c>
      <c r="DG760" t="s">
        <v>42</v>
      </c>
      <c r="DH760" s="4" t="s">
        <v>42</v>
      </c>
      <c r="DI760" t="s">
        <v>42</v>
      </c>
      <c r="DJ760" s="4" t="s">
        <v>42</v>
      </c>
      <c r="DK760" t="s">
        <v>42</v>
      </c>
      <c r="DL760" s="4">
        <v>458</v>
      </c>
      <c r="DM760">
        <v>1</v>
      </c>
      <c r="DN760" s="4">
        <v>468</v>
      </c>
      <c r="DO760">
        <v>1</v>
      </c>
      <c r="DP760" s="4">
        <v>475</v>
      </c>
      <c r="DQ760">
        <v>1</v>
      </c>
      <c r="DR760" s="4">
        <v>492</v>
      </c>
      <c r="DS760">
        <v>1</v>
      </c>
      <c r="DT760" s="4">
        <v>504</v>
      </c>
      <c r="DU760">
        <v>1</v>
      </c>
      <c r="DV760" s="4">
        <v>518</v>
      </c>
      <c r="DW760">
        <v>1</v>
      </c>
      <c r="DX760" s="4">
        <v>526</v>
      </c>
      <c r="DY760">
        <v>1</v>
      </c>
      <c r="DZ760" s="4">
        <v>534</v>
      </c>
      <c r="EA760">
        <v>1</v>
      </c>
      <c r="EB760" s="4">
        <v>539</v>
      </c>
      <c r="EC760">
        <v>1</v>
      </c>
      <c r="ED760" s="4">
        <v>543</v>
      </c>
      <c r="EE760">
        <v>1</v>
      </c>
      <c r="EF760" s="4">
        <v>548</v>
      </c>
      <c r="EG760">
        <v>1</v>
      </c>
      <c r="EH760" s="4">
        <v>555</v>
      </c>
      <c r="EI760">
        <v>1</v>
      </c>
      <c r="EJ760" s="4">
        <v>562</v>
      </c>
      <c r="EK760">
        <v>1</v>
      </c>
    </row>
    <row r="761" spans="1:141" x14ac:dyDescent="0.2">
      <c r="A761" t="str">
        <f>HYPERLINK("http://exon.niaid.nih.gov/transcriptome/C_felis/S1/links/cf/cf-contig_392.txt","cf-contig_392")</f>
        <v>cf-contig_392</v>
      </c>
      <c r="B761">
        <v>1</v>
      </c>
      <c r="C761" s="10" t="s">
        <v>4600</v>
      </c>
      <c r="D761">
        <v>1</v>
      </c>
      <c r="E761" t="str">
        <f>HYPERLINK("http://exon.niaid.nih.gov/transcriptome/C_felis/S1/links/cf/cf-5-36-asb-392.txt","Contig-392")</f>
        <v>Contig-392</v>
      </c>
      <c r="F761" t="str">
        <f>HYPERLINK("http://exon.niaid.nih.gov/transcriptome/C_felis/S1/links/cf/cf-5-36-392-CLU.txt","Contig392")</f>
        <v>Contig392</v>
      </c>
      <c r="G761" t="str">
        <f>HYPERLINK("http://exon.niaid.nih.gov/transcriptome/C_felis/S1/links/cf/cf-5-36-392-qual.txt","64.5")</f>
        <v>64.5</v>
      </c>
      <c r="H761" t="s">
        <v>11</v>
      </c>
      <c r="I761">
        <v>78.599999999999994</v>
      </c>
      <c r="J761">
        <v>271</v>
      </c>
      <c r="K761" t="s">
        <v>12</v>
      </c>
      <c r="L761">
        <v>1</v>
      </c>
      <c r="M761" t="s">
        <v>405</v>
      </c>
      <c r="N761">
        <v>271</v>
      </c>
      <c r="O761">
        <v>290</v>
      </c>
      <c r="P761">
        <v>78</v>
      </c>
      <c r="Q761" t="s">
        <v>1212</v>
      </c>
      <c r="R761">
        <v>1</v>
      </c>
      <c r="S761" s="7" t="s">
        <v>4585</v>
      </c>
      <c r="U761">
        <v>1</v>
      </c>
      <c r="V761" s="4">
        <v>320</v>
      </c>
      <c r="W761">
        <v>1</v>
      </c>
      <c r="X761" s="4">
        <v>328</v>
      </c>
      <c r="Y761">
        <v>1</v>
      </c>
      <c r="Z761" s="4">
        <v>329</v>
      </c>
      <c r="AA761">
        <v>1</v>
      </c>
      <c r="AB761" s="4" t="str">
        <f>HYPERLINK("http://exon.niaid.nih.gov/transcriptome/C_felis/S1/links/XC-ASB/cf-contig_392-XC-ASB.txt","XC-contig_183")</f>
        <v>XC-contig_183</v>
      </c>
      <c r="AC761">
        <v>1E-4</v>
      </c>
      <c r="AD761" s="10" t="s">
        <v>4600</v>
      </c>
      <c r="AE761" t="s">
        <v>4601</v>
      </c>
      <c r="AI761" s="4" t="str">
        <f>HYPERLINK("http://exon.niaid.nih.gov/transcriptome/C_felis/S1/links/NR/cf-contig_392-NR.txt","rps3")</f>
        <v>rps3</v>
      </c>
      <c r="AJ761" t="str">
        <f>HYPERLINK("http://www.ncbi.nlm.nih.gov/sutils/blink.cgi?pid=1171597","0.87")</f>
        <v>0.87</v>
      </c>
      <c r="AK761" t="str">
        <f>HYPERLINK("http://www.ncbi.nlm.nih.gov/protein/1171597","gi|1171597")</f>
        <v>gi|1171597</v>
      </c>
      <c r="AL761">
        <v>37.4</v>
      </c>
      <c r="AM761">
        <v>147</v>
      </c>
      <c r="AN761">
        <v>214</v>
      </c>
      <c r="AO761">
        <v>37</v>
      </c>
      <c r="AP761">
        <v>69</v>
      </c>
      <c r="AQ761">
        <v>49</v>
      </c>
      <c r="AR761">
        <v>6</v>
      </c>
      <c r="AS761">
        <v>13</v>
      </c>
      <c r="AT761">
        <v>43</v>
      </c>
      <c r="AU761">
        <v>2</v>
      </c>
      <c r="AV761">
        <v>2</v>
      </c>
      <c r="AW761" t="s">
        <v>1689</v>
      </c>
      <c r="AX761">
        <v>3.4009999999999998</v>
      </c>
      <c r="AY761" t="s">
        <v>1676</v>
      </c>
      <c r="AZ761" t="s">
        <v>1791</v>
      </c>
      <c r="BA761" s="4" t="str">
        <f>HYPERLINK("http://exon.niaid.nih.gov/transcriptome/C_felis/S1/links/SWISSP/cf-contig_392-SWISSP.txt","DNA-directed RNA polymerase subunit beta''")</f>
        <v>DNA-directed RNA polymerase subunit beta''</v>
      </c>
      <c r="BB761" t="str">
        <f>HYPERLINK("http://www.uniprot.org/uniprot/Q25802","3.6")</f>
        <v>3.6</v>
      </c>
      <c r="BC761" t="s">
        <v>1918</v>
      </c>
      <c r="BD761">
        <v>30.4</v>
      </c>
      <c r="BE761">
        <v>447</v>
      </c>
      <c r="BF761">
        <v>960</v>
      </c>
      <c r="BG761">
        <v>35</v>
      </c>
      <c r="BH761">
        <v>47</v>
      </c>
      <c r="BI761">
        <v>36</v>
      </c>
      <c r="BJ761">
        <v>6</v>
      </c>
      <c r="BK761">
        <v>215</v>
      </c>
      <c r="BL761">
        <v>74</v>
      </c>
      <c r="BM761">
        <v>2</v>
      </c>
      <c r="BN761">
        <v>2</v>
      </c>
      <c r="BO761" t="s">
        <v>12</v>
      </c>
      <c r="BP761">
        <v>0.67100000000000004</v>
      </c>
      <c r="BQ761" t="s">
        <v>1676</v>
      </c>
      <c r="BR761" t="s">
        <v>1791</v>
      </c>
      <c r="BS761" s="4" t="str">
        <f>HYPERLINK("http://exon.niaid.nih.gov/transcriptome/C_felis/S1/links/CDD/cf-contig_392-CDD.txt","ND5")</f>
        <v>ND5</v>
      </c>
      <c r="BT761" t="str">
        <f>HYPERLINK("http://www.ncbi.nlm.nih.gov/Structure/cdd/cddsrv.cgi?uid=MTH00095&amp;version=v4.0","0.002")</f>
        <v>0.002</v>
      </c>
      <c r="BU761" t="s">
        <v>3058</v>
      </c>
      <c r="BV761" s="4" t="s">
        <v>42</v>
      </c>
      <c r="BW761" t="s">
        <v>42</v>
      </c>
      <c r="BX761" t="s">
        <v>42</v>
      </c>
      <c r="BY761" t="s">
        <v>42</v>
      </c>
      <c r="BZ761" t="s">
        <v>42</v>
      </c>
      <c r="CA761" t="s">
        <v>42</v>
      </c>
      <c r="CB761" t="s">
        <v>42</v>
      </c>
      <c r="CC761" t="s">
        <v>42</v>
      </c>
      <c r="CD761" t="s">
        <v>42</v>
      </c>
      <c r="CE761" t="s">
        <v>42</v>
      </c>
      <c r="CF761" t="s">
        <v>42</v>
      </c>
      <c r="CG761" t="s">
        <v>42</v>
      </c>
      <c r="CH761" t="s">
        <v>42</v>
      </c>
      <c r="CI761" t="s">
        <v>42</v>
      </c>
      <c r="CJ761" t="s">
        <v>42</v>
      </c>
      <c r="CK761" t="s">
        <v>42</v>
      </c>
      <c r="CL761" t="s">
        <v>42</v>
      </c>
      <c r="CM761" t="s">
        <v>42</v>
      </c>
      <c r="CN761" t="s">
        <v>42</v>
      </c>
      <c r="CO761" t="s">
        <v>42</v>
      </c>
      <c r="CP761" t="s">
        <v>42</v>
      </c>
      <c r="CQ761" t="s">
        <v>42</v>
      </c>
      <c r="CR761" t="s">
        <v>42</v>
      </c>
      <c r="CS761" s="4" t="str">
        <f>HYPERLINK("http://exon.niaid.nih.gov/transcriptome/C_felis/S1/links/KOG/cf-contig_392-KOG.txt","Mannosyltransferase")</f>
        <v>Mannosyltransferase</v>
      </c>
      <c r="CT761" t="str">
        <f>HYPERLINK("http://www.ncbi.nlm.nih.gov/COG/grace/shokog.cgi?KOG2762","1.2")</f>
        <v>1.2</v>
      </c>
      <c r="CU761" t="s">
        <v>1823</v>
      </c>
      <c r="CV761" s="4" t="str">
        <f>HYPERLINK("http://exon.niaid.nih.gov/transcriptome/C_felis/S1/links/PFAM/cf-contig_392-PFAM.txt","DUF3447")</f>
        <v>DUF3447</v>
      </c>
      <c r="CW761" t="str">
        <f>HYPERLINK("http://pfam.sanger.ac.uk/family?acc=PF11929","0.073")</f>
        <v>0.073</v>
      </c>
      <c r="CX761" s="4" t="str">
        <f>HYPERLINK("http://exon.niaid.nih.gov/transcriptome/C_felis/S1/links/SMART/cf-contig_392-SMART.txt","TLC")</f>
        <v>TLC</v>
      </c>
      <c r="CY761" t="str">
        <f>HYPERLINK("http://smart.embl-heidelberg.de/smart/do_annotation.pl?DOMAIN=TLC&amp;BLAST=DUMMY","0.13")</f>
        <v>0.13</v>
      </c>
      <c r="CZ761" s="4" t="s">
        <v>42</v>
      </c>
      <c r="DA761" t="s">
        <v>42</v>
      </c>
      <c r="DB761" t="s">
        <v>42</v>
      </c>
      <c r="DC761" t="s">
        <v>42</v>
      </c>
      <c r="DD761" t="s">
        <v>42</v>
      </c>
      <c r="DE761" t="s">
        <v>42</v>
      </c>
      <c r="DF761" t="s">
        <v>42</v>
      </c>
      <c r="DG761" t="s">
        <v>42</v>
      </c>
      <c r="DH761" s="4" t="s">
        <v>42</v>
      </c>
      <c r="DI761" t="s">
        <v>42</v>
      </c>
      <c r="DJ761" s="4" t="s">
        <v>42</v>
      </c>
      <c r="DK761" t="s">
        <v>42</v>
      </c>
      <c r="DL761" s="4">
        <v>320</v>
      </c>
      <c r="DM761">
        <v>1</v>
      </c>
      <c r="DN761" s="4">
        <v>328</v>
      </c>
      <c r="DO761">
        <v>1</v>
      </c>
      <c r="DP761" s="4">
        <v>329</v>
      </c>
      <c r="DQ761">
        <v>1</v>
      </c>
      <c r="DR761" s="4">
        <v>340</v>
      </c>
      <c r="DS761">
        <v>1</v>
      </c>
      <c r="DT761" s="4">
        <v>350</v>
      </c>
      <c r="DU761">
        <v>1</v>
      </c>
      <c r="DV761" s="4">
        <v>363</v>
      </c>
      <c r="DW761">
        <v>1</v>
      </c>
      <c r="DX761" s="4">
        <v>366</v>
      </c>
      <c r="DY761">
        <v>1</v>
      </c>
      <c r="DZ761" s="4">
        <v>371</v>
      </c>
      <c r="EA761">
        <v>1</v>
      </c>
      <c r="EB761" s="4">
        <v>376</v>
      </c>
      <c r="EC761">
        <v>1</v>
      </c>
      <c r="ED761" s="4">
        <v>380</v>
      </c>
      <c r="EE761">
        <v>1</v>
      </c>
      <c r="EF761" s="4">
        <v>385</v>
      </c>
      <c r="EG761">
        <v>1</v>
      </c>
      <c r="EH761" s="4">
        <v>387</v>
      </c>
      <c r="EI761">
        <v>1</v>
      </c>
      <c r="EJ761" s="4">
        <v>392</v>
      </c>
      <c r="EK761">
        <v>1</v>
      </c>
    </row>
    <row r="762" spans="1:141" x14ac:dyDescent="0.2">
      <c r="A762" t="str">
        <f>HYPERLINK("http://exon.niaid.nih.gov/transcriptome/C_felis/S1/links/cf/cf-contig_20.txt","cf-contig_20")</f>
        <v>cf-contig_20</v>
      </c>
      <c r="B762">
        <v>1</v>
      </c>
      <c r="C762" s="10" t="s">
        <v>4600</v>
      </c>
      <c r="D762">
        <v>1</v>
      </c>
      <c r="E762" t="str">
        <f>HYPERLINK("http://exon.niaid.nih.gov/transcriptome/C_felis/S1/links/cf/cf-5-36-asb-20.txt","Contig-20")</f>
        <v>Contig-20</v>
      </c>
      <c r="F762" t="str">
        <f>HYPERLINK("http://exon.niaid.nih.gov/transcriptome/C_felis/S1/links/cf/cf-5-36-20-CLU.txt","Contig20")</f>
        <v>Contig20</v>
      </c>
      <c r="G762" t="str">
        <f>HYPERLINK("http://exon.niaid.nih.gov/transcriptome/C_felis/S1/links/cf/cf-5-36-20-qual.txt","22.6")</f>
        <v>22.6</v>
      </c>
      <c r="H762">
        <v>0.2</v>
      </c>
      <c r="I762">
        <v>70.3</v>
      </c>
      <c r="J762">
        <v>560</v>
      </c>
      <c r="K762" t="s">
        <v>12</v>
      </c>
      <c r="L762">
        <v>1</v>
      </c>
      <c r="M762" t="s">
        <v>32</v>
      </c>
      <c r="N762">
        <v>560</v>
      </c>
      <c r="O762">
        <v>579</v>
      </c>
      <c r="P762">
        <v>297</v>
      </c>
      <c r="Q762" t="s">
        <v>842</v>
      </c>
      <c r="R762">
        <v>1</v>
      </c>
      <c r="S762" s="7" t="str">
        <f>HYPERLINK("http://exon.niaid.nih.gov/transcriptome/C_felis/S1/links/Sigp/CF-CONTIG_20-SigP.txt","Cyt")</f>
        <v>Cyt</v>
      </c>
      <c r="U762">
        <v>1</v>
      </c>
      <c r="V762" s="4">
        <v>98</v>
      </c>
      <c r="W762">
        <v>1</v>
      </c>
      <c r="X762" s="4">
        <v>90</v>
      </c>
      <c r="Y762">
        <v>1</v>
      </c>
      <c r="Z762" s="4">
        <v>82</v>
      </c>
      <c r="AA762">
        <v>1</v>
      </c>
      <c r="AB762" s="4" t="str">
        <f>HYPERLINK("http://exon.niaid.nih.gov/transcriptome/C_felis/S1/links/XC-ASB/cf-contig_20-XC-ASB.txt","XC-contig_49")</f>
        <v>XC-contig_49</v>
      </c>
      <c r="AC762">
        <v>3.5999999999999997E-2</v>
      </c>
      <c r="AD762" s="10" t="s">
        <v>4600</v>
      </c>
      <c r="AE762" t="s">
        <v>4601</v>
      </c>
      <c r="AI762" s="4" t="str">
        <f>HYPERLINK("http://exon.niaid.nih.gov/transcriptome/C_felis/S1/links/NR/cf-contig_20-NR.txt","conserved Plasmodium membrane protein, unknown function")</f>
        <v>conserved Plasmodium membrane protein, unknown function</v>
      </c>
      <c r="AJ762" t="str">
        <f>HYPERLINK("http://www.ncbi.nlm.nih.gov/sutils/blink.cgi?pid=296004989","6.3")</f>
        <v>6.3</v>
      </c>
      <c r="AK762" t="str">
        <f>HYPERLINK("http://www.ncbi.nlm.nih.gov/protein/296004989","gi|296004989")</f>
        <v>gi|296004989</v>
      </c>
      <c r="AL762">
        <v>35</v>
      </c>
      <c r="AM762">
        <v>66</v>
      </c>
      <c r="AN762">
        <v>603</v>
      </c>
      <c r="AO762">
        <v>34</v>
      </c>
      <c r="AP762">
        <v>11</v>
      </c>
      <c r="AQ762">
        <v>46</v>
      </c>
      <c r="AR762">
        <v>0</v>
      </c>
      <c r="AS762">
        <v>320</v>
      </c>
      <c r="AT762">
        <v>116</v>
      </c>
      <c r="AU762">
        <v>1</v>
      </c>
      <c r="AV762">
        <v>-3</v>
      </c>
      <c r="AW762" t="s">
        <v>12</v>
      </c>
      <c r="AX762">
        <v>3.03</v>
      </c>
      <c r="AY762" t="s">
        <v>1666</v>
      </c>
      <c r="AZ762" t="s">
        <v>1742</v>
      </c>
      <c r="BA762" s="4" t="str">
        <f>HYPERLINK("http://exon.niaid.nih.gov/transcriptome/C_felis/S1/links/SWISSP/cf-contig_20-SWISSP.txt","Uncharacterized protein C09G5.8")</f>
        <v>Uncharacterized protein C09G5.8</v>
      </c>
      <c r="BB762" t="str">
        <f>HYPERLINK("http://www.uniprot.org/uniprot/Q09459","1.3")</f>
        <v>1.3</v>
      </c>
      <c r="BC762" t="s">
        <v>1743</v>
      </c>
      <c r="BD762">
        <v>33.1</v>
      </c>
      <c r="BE762">
        <v>70</v>
      </c>
      <c r="BF762">
        <v>1548</v>
      </c>
      <c r="BG762">
        <v>23</v>
      </c>
      <c r="BH762">
        <v>5</v>
      </c>
      <c r="BI762">
        <v>54</v>
      </c>
      <c r="BJ762">
        <v>10</v>
      </c>
      <c r="BK762">
        <v>950</v>
      </c>
      <c r="BL762">
        <v>364</v>
      </c>
      <c r="BM762">
        <v>1</v>
      </c>
      <c r="BN762">
        <v>1</v>
      </c>
      <c r="BO762" t="s">
        <v>12</v>
      </c>
      <c r="BQ762" t="s">
        <v>1676</v>
      </c>
      <c r="BR762" t="s">
        <v>1735</v>
      </c>
      <c r="BS762" s="4" t="str">
        <f>HYPERLINK("http://exon.niaid.nih.gov/transcriptome/C_felis/S1/links/CDD/cf-contig_20-CDD.txt","2A0118")</f>
        <v>2A0118</v>
      </c>
      <c r="BT762" t="str">
        <f>HYPERLINK("http://www.ncbi.nlm.nih.gov/Structure/cdd/cddsrv.cgi?uid=TIGR00897&amp;version=v4.0","0.10")</f>
        <v>0.10</v>
      </c>
      <c r="BU762" t="s">
        <v>1744</v>
      </c>
      <c r="BV762" s="4" t="s">
        <v>42</v>
      </c>
      <c r="BW762" t="s">
        <v>42</v>
      </c>
      <c r="BX762" t="s">
        <v>42</v>
      </c>
      <c r="BY762" t="s">
        <v>42</v>
      </c>
      <c r="BZ762" t="s">
        <v>42</v>
      </c>
      <c r="CA762" t="s">
        <v>42</v>
      </c>
      <c r="CB762" t="s">
        <v>42</v>
      </c>
      <c r="CC762" t="s">
        <v>42</v>
      </c>
      <c r="CD762" t="s">
        <v>42</v>
      </c>
      <c r="CE762" t="s">
        <v>42</v>
      </c>
      <c r="CF762" t="s">
        <v>42</v>
      </c>
      <c r="CG762" t="s">
        <v>42</v>
      </c>
      <c r="CH762" t="s">
        <v>42</v>
      </c>
      <c r="CI762" t="s">
        <v>42</v>
      </c>
      <c r="CJ762" t="s">
        <v>42</v>
      </c>
      <c r="CK762" t="s">
        <v>42</v>
      </c>
      <c r="CL762" t="s">
        <v>42</v>
      </c>
      <c r="CM762" t="s">
        <v>42</v>
      </c>
      <c r="CN762" t="s">
        <v>42</v>
      </c>
      <c r="CO762" t="s">
        <v>42</v>
      </c>
      <c r="CP762" t="s">
        <v>42</v>
      </c>
      <c r="CQ762" t="s">
        <v>42</v>
      </c>
      <c r="CR762" t="s">
        <v>42</v>
      </c>
      <c r="CS762" s="4" t="str">
        <f>HYPERLINK("http://exon.niaid.nih.gov/transcriptome/C_felis/S1/links/KOG/cf-contig_20-KOG.txt","Synaptic vesicle protein BAIAP3, involved in vesicle priming/regulation")</f>
        <v>Synaptic vesicle protein BAIAP3, involved in vesicle priming/regulation</v>
      </c>
      <c r="CT762" t="str">
        <f>HYPERLINK("http://www.ncbi.nlm.nih.gov/COG/grace/shokog.cgi?KOG1328","0.67")</f>
        <v>0.67</v>
      </c>
      <c r="CU762" t="s">
        <v>1745</v>
      </c>
      <c r="CV762" s="4" t="str">
        <f>HYPERLINK("http://exon.niaid.nih.gov/transcriptome/C_felis/S1/links/PFAM/cf-contig_20-PFAM.txt","DUF2972")</f>
        <v>DUF2972</v>
      </c>
      <c r="CW762" t="str">
        <f>HYPERLINK("http://pfam.sanger.ac.uk/family?acc=PF11186","0.15")</f>
        <v>0.15</v>
      </c>
      <c r="CX762" s="4" t="str">
        <f>HYPERLINK("http://exon.niaid.nih.gov/transcriptome/C_felis/S1/links/SMART/cf-contig_20-SMART.txt","PA2c")</f>
        <v>PA2c</v>
      </c>
      <c r="CY762" t="str">
        <f>HYPERLINK("http://smart.embl-heidelberg.de/smart/do_annotation.pl?DOMAIN=PA2c&amp;BLAST=DUMMY","0.046")</f>
        <v>0.046</v>
      </c>
      <c r="CZ762" s="4" t="s">
        <v>42</v>
      </c>
      <c r="DA762" t="s">
        <v>42</v>
      </c>
      <c r="DB762" t="s">
        <v>42</v>
      </c>
      <c r="DC762" t="s">
        <v>42</v>
      </c>
      <c r="DD762" t="s">
        <v>42</v>
      </c>
      <c r="DE762" t="s">
        <v>42</v>
      </c>
      <c r="DF762" t="s">
        <v>42</v>
      </c>
      <c r="DG762" t="s">
        <v>42</v>
      </c>
      <c r="DH762" s="4" t="s">
        <v>42</v>
      </c>
      <c r="DI762" t="s">
        <v>42</v>
      </c>
      <c r="DJ762" s="4" t="s">
        <v>42</v>
      </c>
      <c r="DK762" t="s">
        <v>42</v>
      </c>
      <c r="DL762" s="4">
        <v>98</v>
      </c>
      <c r="DM762">
        <v>1</v>
      </c>
      <c r="DN762" s="4">
        <v>90</v>
      </c>
      <c r="DO762">
        <v>1</v>
      </c>
      <c r="DP762" s="4">
        <v>82</v>
      </c>
      <c r="DQ762">
        <v>1</v>
      </c>
      <c r="DR762" s="4">
        <v>71</v>
      </c>
      <c r="DS762">
        <v>1</v>
      </c>
      <c r="DT762" s="4">
        <v>63</v>
      </c>
      <c r="DU762">
        <v>1</v>
      </c>
      <c r="DV762" s="4">
        <v>58</v>
      </c>
      <c r="DW762">
        <v>1</v>
      </c>
      <c r="DX762" s="4">
        <v>52</v>
      </c>
      <c r="DY762">
        <v>1</v>
      </c>
      <c r="DZ762" s="4">
        <v>47</v>
      </c>
      <c r="EA762">
        <v>1</v>
      </c>
      <c r="EB762" s="4">
        <v>43</v>
      </c>
      <c r="EC762">
        <v>1</v>
      </c>
      <c r="ED762" s="4">
        <v>43</v>
      </c>
      <c r="EE762">
        <v>1</v>
      </c>
      <c r="EF762" s="4">
        <v>37</v>
      </c>
      <c r="EG762">
        <v>1</v>
      </c>
      <c r="EH762" s="4">
        <v>25</v>
      </c>
      <c r="EI762">
        <v>1</v>
      </c>
      <c r="EJ762" s="4">
        <v>20</v>
      </c>
      <c r="EK762">
        <v>1</v>
      </c>
    </row>
    <row r="763" spans="1:141" x14ac:dyDescent="0.2">
      <c r="A763" t="str">
        <f>HYPERLINK("http://exon.niaid.nih.gov/transcriptome/C_felis/S1/links/cf/cf-contig_561.txt","cf-contig_561")</f>
        <v>cf-contig_561</v>
      </c>
      <c r="B763">
        <v>1</v>
      </c>
      <c r="C763" s="10" t="s">
        <v>4600</v>
      </c>
      <c r="D763">
        <v>1</v>
      </c>
      <c r="E763" t="str">
        <f>HYPERLINK("http://exon.niaid.nih.gov/transcriptome/C_felis/S1/links/cf/cf-5-36-asb-561.txt","Contig-561")</f>
        <v>Contig-561</v>
      </c>
      <c r="F763" t="str">
        <f>HYPERLINK("http://exon.niaid.nih.gov/transcriptome/C_felis/S1/links/cf/cf-5-36-561-CLU.txt","Contig561")</f>
        <v>Contig561</v>
      </c>
      <c r="G763" t="str">
        <f>HYPERLINK("http://exon.niaid.nih.gov/transcriptome/C_felis/S1/links/cf/cf-5-36-561-qual.txt","63.8")</f>
        <v>63.8</v>
      </c>
      <c r="H763" t="s">
        <v>11</v>
      </c>
      <c r="I763">
        <v>77</v>
      </c>
      <c r="J763">
        <v>238</v>
      </c>
      <c r="K763" t="s">
        <v>12</v>
      </c>
      <c r="L763">
        <v>1</v>
      </c>
      <c r="M763" t="s">
        <v>574</v>
      </c>
      <c r="N763">
        <v>238</v>
      </c>
      <c r="O763">
        <v>257</v>
      </c>
      <c r="P763">
        <v>114</v>
      </c>
      <c r="Q763" t="s">
        <v>1380</v>
      </c>
      <c r="R763">
        <v>2</v>
      </c>
      <c r="S763" s="7" t="s">
        <v>4585</v>
      </c>
      <c r="U763">
        <v>1</v>
      </c>
      <c r="V763" s="4">
        <f>HYPERLINK("http://exon.niaid.nih.gov/transcriptome/C_felis/S1/links/cluster/cf-5-36-asb30-50-Id-CLU58.txt", 58)</f>
        <v>58</v>
      </c>
      <c r="W763">
        <f>HYPERLINK("http://exon.niaid.nih.gov/transcriptome/C_felis/S1/links/cluster/cf-5-36-asb30-50-Id-CLTL58.txt", 2)</f>
        <v>2</v>
      </c>
      <c r="X763" s="4">
        <f>HYPERLINK("http://exon.niaid.nih.gov/transcriptome/C_felis/S1/links/cluster/cf-5-36-asb35-50-Id-CLU51.txt", 51)</f>
        <v>51</v>
      </c>
      <c r="Y763">
        <f>HYPERLINK("http://exon.niaid.nih.gov/transcriptome/C_felis/S1/links/cluster/cf-5-36-asb35-50-Id-CLTL51.txt", 2)</f>
        <v>2</v>
      </c>
      <c r="Z763" s="4">
        <f>HYPERLINK("http://exon.niaid.nih.gov/transcriptome/C_felis/S1/links/cluster/cf-5-36-asb40-50-Id-CLU48.txt", 48)</f>
        <v>48</v>
      </c>
      <c r="AA763">
        <f>HYPERLINK("http://exon.niaid.nih.gov/transcriptome/C_felis/S1/links/cluster/cf-5-36-asb40-50-Id-CLTL48.txt", 2)</f>
        <v>2</v>
      </c>
      <c r="AB763" s="4" t="str">
        <f>HYPERLINK("http://exon.niaid.nih.gov/transcriptome/C_felis/S1/links/XC-ASB/cf-contig_561-XC-ASB.txt","XC-contig_123")</f>
        <v>XC-contig_123</v>
      </c>
      <c r="AC763">
        <v>0.16</v>
      </c>
      <c r="AD763" s="10" t="s">
        <v>4600</v>
      </c>
      <c r="AE763" t="s">
        <v>4601</v>
      </c>
      <c r="AI763" s="4" t="str">
        <f>HYPERLINK("http://exon.niaid.nih.gov/transcriptome/C_felis/S1/links/NR/cf-contig_561-NR.txt","conserved Plasmodium membrane protein, unknown function")</f>
        <v>conserved Plasmodium membrane protein, unknown function</v>
      </c>
      <c r="AJ763" t="str">
        <f>HYPERLINK("http://www.ncbi.nlm.nih.gov/sutils/blink.cgi?pid=258597955","0.51")</f>
        <v>0.51</v>
      </c>
      <c r="AK763" t="str">
        <f>HYPERLINK("http://www.ncbi.nlm.nih.gov/protein/258597955","gi|258597955")</f>
        <v>gi|258597955</v>
      </c>
      <c r="AL763">
        <v>38.1</v>
      </c>
      <c r="AM763">
        <v>42</v>
      </c>
      <c r="AN763">
        <v>4765</v>
      </c>
      <c r="AO763">
        <v>44</v>
      </c>
      <c r="AP763">
        <v>1</v>
      </c>
      <c r="AQ763">
        <v>24</v>
      </c>
      <c r="AR763">
        <v>0</v>
      </c>
      <c r="AS763">
        <v>4373</v>
      </c>
      <c r="AT763">
        <v>93</v>
      </c>
      <c r="AU763">
        <v>1</v>
      </c>
      <c r="AV763">
        <v>-1</v>
      </c>
      <c r="AW763" t="s">
        <v>12</v>
      </c>
      <c r="AX763">
        <v>4.7619999999999996</v>
      </c>
      <c r="AY763" t="s">
        <v>1666</v>
      </c>
      <c r="AZ763" t="s">
        <v>1742</v>
      </c>
      <c r="BA763" s="4" t="str">
        <f>HYPERLINK("http://exon.niaid.nih.gov/transcriptome/C_felis/S1/links/SWISSP/cf-contig_561-SWISSP.txt","Uncharacterized protein B354L")</f>
        <v>Uncharacterized protein B354L</v>
      </c>
      <c r="BB763" t="str">
        <f>HYPERLINK("http://www.uniprot.org/uniprot/P0CAF5","1.6")</f>
        <v>1.6</v>
      </c>
      <c r="BC763" t="s">
        <v>3706</v>
      </c>
      <c r="BD763">
        <v>31.6</v>
      </c>
      <c r="BE763">
        <v>63</v>
      </c>
      <c r="BF763">
        <v>354</v>
      </c>
      <c r="BG763">
        <v>31</v>
      </c>
      <c r="BH763">
        <v>18</v>
      </c>
      <c r="BI763">
        <v>44</v>
      </c>
      <c r="BJ763">
        <v>0</v>
      </c>
      <c r="BK763">
        <v>160</v>
      </c>
      <c r="BL763">
        <v>45</v>
      </c>
      <c r="BM763">
        <v>1</v>
      </c>
      <c r="BN763">
        <v>-1</v>
      </c>
      <c r="BO763" t="s">
        <v>12</v>
      </c>
      <c r="BP763">
        <v>4.7619999999999996</v>
      </c>
      <c r="BQ763" t="s">
        <v>1666</v>
      </c>
      <c r="BR763" t="s">
        <v>3707</v>
      </c>
      <c r="BS763" s="4" t="str">
        <f>HYPERLINK("http://exon.niaid.nih.gov/transcriptome/C_felis/S1/links/CDD/cf-contig_561-CDD.txt","DUF2972")</f>
        <v>DUF2972</v>
      </c>
      <c r="BT763" t="str">
        <f>HYPERLINK("http://www.ncbi.nlm.nih.gov/Structure/cdd/cddsrv.cgi?uid=pfam11186&amp;version=v4.0","0.14")</f>
        <v>0.14</v>
      </c>
      <c r="BU763" t="s">
        <v>3708</v>
      </c>
      <c r="BV763" s="4" t="s">
        <v>42</v>
      </c>
      <c r="BW763" t="s">
        <v>42</v>
      </c>
      <c r="BX763" t="s">
        <v>42</v>
      </c>
      <c r="BY763" t="s">
        <v>42</v>
      </c>
      <c r="BZ763" t="s">
        <v>42</v>
      </c>
      <c r="CA763" t="s">
        <v>42</v>
      </c>
      <c r="CB763" t="s">
        <v>42</v>
      </c>
      <c r="CC763" t="s">
        <v>42</v>
      </c>
      <c r="CD763" t="s">
        <v>42</v>
      </c>
      <c r="CE763" t="s">
        <v>42</v>
      </c>
      <c r="CF763" t="s">
        <v>42</v>
      </c>
      <c r="CG763" t="s">
        <v>42</v>
      </c>
      <c r="CH763" t="s">
        <v>42</v>
      </c>
      <c r="CI763" t="s">
        <v>42</v>
      </c>
      <c r="CJ763" t="s">
        <v>42</v>
      </c>
      <c r="CK763" t="s">
        <v>42</v>
      </c>
      <c r="CL763" t="s">
        <v>42</v>
      </c>
      <c r="CM763" t="s">
        <v>42</v>
      </c>
      <c r="CN763" t="s">
        <v>42</v>
      </c>
      <c r="CO763" t="s">
        <v>42</v>
      </c>
      <c r="CP763" t="s">
        <v>42</v>
      </c>
      <c r="CQ763" t="s">
        <v>42</v>
      </c>
      <c r="CR763" t="s">
        <v>42</v>
      </c>
      <c r="CS763" s="4" t="str">
        <f>HYPERLINK("http://exon.niaid.nih.gov/transcriptome/C_felis/S1/links/KOG/cf-contig_561-KOG.txt","Molecular chaperones HSP105/HSP110/SSE1, HSP70 superfamily")</f>
        <v>Molecular chaperones HSP105/HSP110/SSE1, HSP70 superfamily</v>
      </c>
      <c r="CT763" t="str">
        <f>HYPERLINK("http://www.ncbi.nlm.nih.gov/COG/grace/shokog.cgi?KOG0103","6.5")</f>
        <v>6.5</v>
      </c>
      <c r="CU763" t="s">
        <v>2198</v>
      </c>
      <c r="CV763" s="4" t="str">
        <f>HYPERLINK("http://exon.niaid.nih.gov/transcriptome/C_felis/S1/links/PFAM/cf-contig_561-PFAM.txt","DUF2972")</f>
        <v>DUF2972</v>
      </c>
      <c r="CW763" t="str">
        <f>HYPERLINK("http://pfam.sanger.ac.uk/family?acc=PF11186","0.030")</f>
        <v>0.030</v>
      </c>
      <c r="CX763" s="4" t="str">
        <f>HYPERLINK("http://exon.niaid.nih.gov/transcriptome/C_felis/S1/links/SMART/cf-contig_561-SMART.txt","ACR")</f>
        <v>ACR</v>
      </c>
      <c r="CY763" t="str">
        <f>HYPERLINK("http://smart.embl-heidelberg.de/smart/do_annotation.pl?DOMAIN=ACR&amp;BLAST=DUMMY","0.28")</f>
        <v>0.28</v>
      </c>
      <c r="CZ763" s="4" t="s">
        <v>42</v>
      </c>
      <c r="DA763" t="s">
        <v>42</v>
      </c>
      <c r="DB763" t="s">
        <v>42</v>
      </c>
      <c r="DC763" t="s">
        <v>42</v>
      </c>
      <c r="DD763" t="s">
        <v>42</v>
      </c>
      <c r="DE763" t="s">
        <v>42</v>
      </c>
      <c r="DF763" t="s">
        <v>42</v>
      </c>
      <c r="DG763" t="s">
        <v>42</v>
      </c>
      <c r="DH763" s="4" t="s">
        <v>42</v>
      </c>
      <c r="DI763" t="s">
        <v>42</v>
      </c>
      <c r="DJ763" s="4" t="s">
        <v>42</v>
      </c>
      <c r="DK763" t="s">
        <v>42</v>
      </c>
      <c r="DL763" s="4">
        <f>HYPERLINK("http://exon.niaid.nih.gov/transcriptome/C_felis/S1/links/cluster/cf-5-36-asb30-50-Id-CLU58.txt", 58)</f>
        <v>58</v>
      </c>
      <c r="DM763">
        <f>HYPERLINK("http://exon.niaid.nih.gov/transcriptome/C_felis/S1/links/cluster/cf-5-36-asb30-50-Id-CLTL58.txt", 2)</f>
        <v>2</v>
      </c>
      <c r="DN763" s="4">
        <f>HYPERLINK("http://exon.niaid.nih.gov/transcriptome/C_felis/S1/links/cluster/cf-5-36-asb35-50-Id-CLU51.txt", 51)</f>
        <v>51</v>
      </c>
      <c r="DO763">
        <f>HYPERLINK("http://exon.niaid.nih.gov/transcriptome/C_felis/S1/links/cluster/cf-5-36-asb35-50-Id-CLTL51.txt", 2)</f>
        <v>2</v>
      </c>
      <c r="DP763" s="4">
        <f>HYPERLINK("http://exon.niaid.nih.gov/transcriptome/C_felis/S1/links/cluster/cf-5-36-asb40-50-Id-CLU48.txt", 48)</f>
        <v>48</v>
      </c>
      <c r="DQ763">
        <f>HYPERLINK("http://exon.niaid.nih.gov/transcriptome/C_felis/S1/links/cluster/cf-5-36-asb40-50-Id-CLTL48.txt", 2)</f>
        <v>2</v>
      </c>
      <c r="DR763" s="4">
        <v>491</v>
      </c>
      <c r="DS763">
        <v>1</v>
      </c>
      <c r="DT763" s="4">
        <v>503</v>
      </c>
      <c r="DU763">
        <v>1</v>
      </c>
      <c r="DV763" s="4">
        <v>517</v>
      </c>
      <c r="DW763">
        <v>1</v>
      </c>
      <c r="DX763" s="4">
        <v>525</v>
      </c>
      <c r="DY763">
        <v>1</v>
      </c>
      <c r="DZ763" s="4">
        <v>533</v>
      </c>
      <c r="EA763">
        <v>1</v>
      </c>
      <c r="EB763" s="4">
        <v>538</v>
      </c>
      <c r="EC763">
        <v>1</v>
      </c>
      <c r="ED763" s="4">
        <v>542</v>
      </c>
      <c r="EE763">
        <v>1</v>
      </c>
      <c r="EF763" s="4">
        <v>547</v>
      </c>
      <c r="EG763">
        <v>1</v>
      </c>
      <c r="EH763" s="4">
        <v>554</v>
      </c>
      <c r="EI763">
        <v>1</v>
      </c>
      <c r="EJ763" s="4">
        <v>561</v>
      </c>
      <c r="EK763">
        <v>1</v>
      </c>
    </row>
    <row r="764" spans="1:141" x14ac:dyDescent="0.2">
      <c r="A764" t="str">
        <f>HYPERLINK("http://exon.niaid.nih.gov/transcriptome/C_felis/S1/links/cf/cf-contig_700.txt","cf-contig_700")</f>
        <v>cf-contig_700</v>
      </c>
      <c r="B764">
        <v>1</v>
      </c>
      <c r="C764" s="10" t="s">
        <v>4600</v>
      </c>
      <c r="D764">
        <v>1</v>
      </c>
      <c r="E764" t="str">
        <f>HYPERLINK("http://exon.niaid.nih.gov/transcriptome/C_felis/S1/links/cf/cf-5-36-asb-700.txt","Contig-700")</f>
        <v>Contig-700</v>
      </c>
      <c r="F764" t="str">
        <f>HYPERLINK("http://exon.niaid.nih.gov/transcriptome/C_felis/S1/links/cf/cf-5-36-700-CLU.txt","Contig700")</f>
        <v>Contig700</v>
      </c>
      <c r="G764" t="str">
        <f>HYPERLINK("http://exon.niaid.nih.gov/transcriptome/C_felis/S1/links/cf/cf-5-36-700-qual.txt","63.8")</f>
        <v>63.8</v>
      </c>
      <c r="H764" t="s">
        <v>11</v>
      </c>
      <c r="I764">
        <v>76.3</v>
      </c>
      <c r="J764">
        <v>268</v>
      </c>
      <c r="K764" t="s">
        <v>12</v>
      </c>
      <c r="L764">
        <v>1</v>
      </c>
      <c r="M764" t="s">
        <v>713</v>
      </c>
      <c r="N764">
        <v>268</v>
      </c>
      <c r="O764">
        <v>287</v>
      </c>
      <c r="P764">
        <v>141</v>
      </c>
      <c r="Q764" t="s">
        <v>1519</v>
      </c>
      <c r="R764">
        <v>2</v>
      </c>
      <c r="S764" s="7" t="s">
        <v>4585</v>
      </c>
      <c r="U764">
        <v>1</v>
      </c>
      <c r="V764" s="4">
        <v>570</v>
      </c>
      <c r="W764">
        <v>1</v>
      </c>
      <c r="X764" s="4">
        <v>585</v>
      </c>
      <c r="Y764">
        <v>1</v>
      </c>
      <c r="Z764" s="4">
        <v>597</v>
      </c>
      <c r="AA764">
        <v>1</v>
      </c>
      <c r="AB764" s="4" t="str">
        <f>HYPERLINK("http://exon.niaid.nih.gov/transcriptome/C_felis/S1/links/XC-ASB/cf-contig_700-XC-ASB.txt","XC-contig_67")</f>
        <v>XC-contig_67</v>
      </c>
      <c r="AC764">
        <v>0.5</v>
      </c>
      <c r="AD764" s="10" t="s">
        <v>4600</v>
      </c>
      <c r="AE764" t="s">
        <v>4601</v>
      </c>
      <c r="AI764" s="4" t="str">
        <f>HYPERLINK("http://exon.niaid.nih.gov/transcriptome/C_felis/S1/links/NR/cf-contig_700-NR.txt","conserved Plasmodium protein")</f>
        <v>conserved Plasmodium protein</v>
      </c>
      <c r="AJ764" t="str">
        <f>HYPERLINK("http://www.ncbi.nlm.nih.gov/sutils/blink.cgi?pid=258597466","7.4")</f>
        <v>7.4</v>
      </c>
      <c r="AK764" t="str">
        <f>HYPERLINK("http://www.ncbi.nlm.nih.gov/protein/258597466","gi|258597466")</f>
        <v>gi|258597466</v>
      </c>
      <c r="AL764">
        <v>34.299999999999997</v>
      </c>
      <c r="AM764">
        <v>65</v>
      </c>
      <c r="AN764">
        <v>4469</v>
      </c>
      <c r="AO764">
        <v>33</v>
      </c>
      <c r="AP764">
        <v>1</v>
      </c>
      <c r="AQ764">
        <v>46</v>
      </c>
      <c r="AR764">
        <v>0</v>
      </c>
      <c r="AS764">
        <v>1988</v>
      </c>
      <c r="AT764">
        <v>20</v>
      </c>
      <c r="AU764">
        <v>1</v>
      </c>
      <c r="AV764">
        <v>-2</v>
      </c>
      <c r="AW764" t="s">
        <v>12</v>
      </c>
      <c r="AX764">
        <v>4.6150000000000002</v>
      </c>
      <c r="AY764" t="s">
        <v>1666</v>
      </c>
      <c r="AZ764" t="s">
        <v>1742</v>
      </c>
      <c r="BA764" s="4" t="str">
        <f>HYPERLINK("http://exon.niaid.nih.gov/transcriptome/C_felis/S1/links/SWISSP/cf-contig_700-SWISSP.txt","Putative glycosyltransferase C1834.05")</f>
        <v>Putative glycosyltransferase C1834.05</v>
      </c>
      <c r="BB764" t="str">
        <f>HYPERLINK("http://www.uniprot.org/uniprot/Q9P7Q9","2.1")</f>
        <v>2.1</v>
      </c>
      <c r="BC764" t="s">
        <v>4207</v>
      </c>
      <c r="BD764">
        <v>31.2</v>
      </c>
      <c r="BE764">
        <v>55</v>
      </c>
      <c r="BF764">
        <v>577</v>
      </c>
      <c r="BG764">
        <v>30</v>
      </c>
      <c r="BH764">
        <v>10</v>
      </c>
      <c r="BI764">
        <v>39</v>
      </c>
      <c r="BJ764">
        <v>0</v>
      </c>
      <c r="BK764">
        <v>23</v>
      </c>
      <c r="BL764">
        <v>11</v>
      </c>
      <c r="BM764">
        <v>1</v>
      </c>
      <c r="BN764">
        <v>2</v>
      </c>
      <c r="BO764" t="s">
        <v>12</v>
      </c>
      <c r="BP764">
        <v>1.8180000000000001</v>
      </c>
      <c r="BQ764" t="s">
        <v>1676</v>
      </c>
      <c r="BR764" t="s">
        <v>1695</v>
      </c>
      <c r="BS764" s="4" t="str">
        <f>HYPERLINK("http://exon.niaid.nih.gov/transcriptome/C_felis/S1/links/CDD/cf-contig_700-CDD.txt","ND1")</f>
        <v>ND1</v>
      </c>
      <c r="BT764" t="str">
        <f>HYPERLINK("http://www.ncbi.nlm.nih.gov/Structure/cdd/cddsrv.cgi?uid=MTH00225&amp;version=v4.0","0.091")</f>
        <v>0.091</v>
      </c>
      <c r="BU764" t="s">
        <v>4208</v>
      </c>
      <c r="BV764" s="4" t="s">
        <v>42</v>
      </c>
      <c r="BW764" t="s">
        <v>42</v>
      </c>
      <c r="BX764" t="s">
        <v>42</v>
      </c>
      <c r="BY764" t="s">
        <v>42</v>
      </c>
      <c r="BZ764" t="s">
        <v>42</v>
      </c>
      <c r="CA764" t="s">
        <v>42</v>
      </c>
      <c r="CB764" t="s">
        <v>42</v>
      </c>
      <c r="CC764" t="s">
        <v>42</v>
      </c>
      <c r="CD764" t="s">
        <v>42</v>
      </c>
      <c r="CE764" t="s">
        <v>42</v>
      </c>
      <c r="CF764" t="s">
        <v>42</v>
      </c>
      <c r="CG764" t="s">
        <v>42</v>
      </c>
      <c r="CH764" t="s">
        <v>42</v>
      </c>
      <c r="CI764" t="s">
        <v>42</v>
      </c>
      <c r="CJ764" t="s">
        <v>42</v>
      </c>
      <c r="CK764" t="s">
        <v>42</v>
      </c>
      <c r="CL764" t="s">
        <v>42</v>
      </c>
      <c r="CM764" t="s">
        <v>42</v>
      </c>
      <c r="CN764" t="s">
        <v>42</v>
      </c>
      <c r="CO764" t="s">
        <v>42</v>
      </c>
      <c r="CP764" t="s">
        <v>42</v>
      </c>
      <c r="CQ764" t="s">
        <v>42</v>
      </c>
      <c r="CR764" t="s">
        <v>42</v>
      </c>
      <c r="CS764" s="4" t="str">
        <f>HYPERLINK("http://exon.niaid.nih.gov/transcriptome/C_felis/S1/links/KOG/cf-contig_700-KOG.txt","Mannosyltransferase")</f>
        <v>Mannosyltransferase</v>
      </c>
      <c r="CT764" t="str">
        <f>HYPERLINK("http://www.ncbi.nlm.nih.gov/COG/grace/shokog.cgi?KOG2515","0.042")</f>
        <v>0.042</v>
      </c>
      <c r="CU764" t="s">
        <v>2165</v>
      </c>
      <c r="CV764" s="4" t="str">
        <f>HYPERLINK("http://exon.niaid.nih.gov/transcriptome/C_felis/S1/links/PFAM/cf-contig_700-PFAM.txt","Glyco_transf_22")</f>
        <v>Glyco_transf_22</v>
      </c>
      <c r="CW764" t="str">
        <f>HYPERLINK("http://pfam.sanger.ac.uk/family?acc=PF03901","0.034")</f>
        <v>0.034</v>
      </c>
      <c r="CX764" s="4" t="str">
        <f>HYPERLINK("http://exon.niaid.nih.gov/transcriptome/C_felis/S1/links/SMART/cf-contig_700-SMART.txt","AgrB")</f>
        <v>AgrB</v>
      </c>
      <c r="CY764" t="str">
        <f>HYPERLINK("http://smart.embl-heidelberg.de/smart/do_annotation.pl?DOMAIN=AgrB&amp;BLAST=DUMMY","0.084")</f>
        <v>0.084</v>
      </c>
      <c r="CZ764" s="4" t="s">
        <v>42</v>
      </c>
      <c r="DA764" t="s">
        <v>42</v>
      </c>
      <c r="DB764" t="s">
        <v>42</v>
      </c>
      <c r="DC764" t="s">
        <v>42</v>
      </c>
      <c r="DD764" t="s">
        <v>42</v>
      </c>
      <c r="DE764" t="s">
        <v>42</v>
      </c>
      <c r="DF764" t="s">
        <v>42</v>
      </c>
      <c r="DG764" t="s">
        <v>42</v>
      </c>
      <c r="DH764" s="4" t="s">
        <v>42</v>
      </c>
      <c r="DI764" t="s">
        <v>42</v>
      </c>
      <c r="DJ764" s="4" t="s">
        <v>42</v>
      </c>
      <c r="DK764" t="s">
        <v>42</v>
      </c>
      <c r="DL764" s="4">
        <v>570</v>
      </c>
      <c r="DM764">
        <v>1</v>
      </c>
      <c r="DN764" s="4">
        <v>585</v>
      </c>
      <c r="DO764">
        <v>1</v>
      </c>
      <c r="DP764" s="4">
        <v>597</v>
      </c>
      <c r="DQ764">
        <v>1</v>
      </c>
      <c r="DR764" s="4">
        <v>618</v>
      </c>
      <c r="DS764">
        <v>1</v>
      </c>
      <c r="DT764" s="4">
        <v>632</v>
      </c>
      <c r="DU764">
        <v>1</v>
      </c>
      <c r="DV764" s="4">
        <v>647</v>
      </c>
      <c r="DW764">
        <v>1</v>
      </c>
      <c r="DX764" s="4">
        <v>657</v>
      </c>
      <c r="DY764">
        <v>1</v>
      </c>
      <c r="DZ764" s="4">
        <v>667</v>
      </c>
      <c r="EA764">
        <v>1</v>
      </c>
      <c r="EB764" s="4">
        <v>672</v>
      </c>
      <c r="EC764">
        <v>1</v>
      </c>
      <c r="ED764" s="4">
        <v>676</v>
      </c>
      <c r="EE764">
        <v>1</v>
      </c>
      <c r="EF764" s="4">
        <v>682</v>
      </c>
      <c r="EG764">
        <v>1</v>
      </c>
      <c r="EH764" s="4">
        <v>691</v>
      </c>
      <c r="EI764">
        <v>1</v>
      </c>
      <c r="EJ764" s="4">
        <v>700</v>
      </c>
      <c r="EK764">
        <v>1</v>
      </c>
    </row>
    <row r="765" spans="1:141" x14ac:dyDescent="0.2">
      <c r="A765" t="str">
        <f>HYPERLINK("http://exon.niaid.nih.gov/transcriptome/C_felis/S1/links/cf/cf-contig_325.txt","cf-contig_325")</f>
        <v>cf-contig_325</v>
      </c>
      <c r="B765">
        <v>1</v>
      </c>
      <c r="C765" s="10" t="s">
        <v>4600</v>
      </c>
      <c r="D765">
        <v>1</v>
      </c>
      <c r="E765" t="str">
        <f>HYPERLINK("http://exon.niaid.nih.gov/transcriptome/C_felis/S1/links/cf/cf-5-36-asb-325.txt","Contig-325")</f>
        <v>Contig-325</v>
      </c>
      <c r="F765" t="str">
        <f>HYPERLINK("http://exon.niaid.nih.gov/transcriptome/C_felis/S1/links/cf/cf-5-36-325-CLU.txt","Contig325")</f>
        <v>Contig325</v>
      </c>
      <c r="G765" t="str">
        <f>HYPERLINK("http://exon.niaid.nih.gov/transcriptome/C_felis/S1/links/cf/cf-5-36-325-qual.txt","51.7")</f>
        <v>51.7</v>
      </c>
      <c r="H765">
        <v>1.2</v>
      </c>
      <c r="I765">
        <v>70</v>
      </c>
      <c r="J765">
        <v>151</v>
      </c>
      <c r="K765" t="s">
        <v>12</v>
      </c>
      <c r="L765">
        <v>1</v>
      </c>
      <c r="M765" t="s">
        <v>338</v>
      </c>
      <c r="N765">
        <v>151</v>
      </c>
      <c r="O765">
        <v>170</v>
      </c>
      <c r="P765">
        <v>123</v>
      </c>
      <c r="Q765" t="s">
        <v>1145</v>
      </c>
      <c r="R765">
        <v>1</v>
      </c>
      <c r="S765" s="7" t="s">
        <v>4585</v>
      </c>
      <c r="U765">
        <v>1</v>
      </c>
      <c r="V765" s="4">
        <v>262</v>
      </c>
      <c r="W765">
        <v>1</v>
      </c>
      <c r="X765" s="4">
        <v>268</v>
      </c>
      <c r="Y765">
        <v>1</v>
      </c>
      <c r="Z765" s="4">
        <v>267</v>
      </c>
      <c r="AA765">
        <v>1</v>
      </c>
      <c r="AB765" s="4" t="str">
        <f>HYPERLINK("http://exon.niaid.nih.gov/transcriptome/C_felis/S1/links/XC-ASB/cf-contig_325-XC-ASB.txt","XC-contig_62")</f>
        <v>XC-contig_62</v>
      </c>
      <c r="AC765">
        <v>6.3E-2</v>
      </c>
      <c r="AD765" s="10" t="s">
        <v>4600</v>
      </c>
      <c r="AE765" t="s">
        <v>4601</v>
      </c>
      <c r="AI765" s="4" t="str">
        <f>HYPERLINK("http://exon.niaid.nih.gov/transcriptome/C_felis/S1/links/NR/cf-contig_325-NR.txt","conserved Plasmodium protein, unknown function")</f>
        <v>conserved Plasmodium protein, unknown function</v>
      </c>
      <c r="AJ765" t="str">
        <f>HYPERLINK("http://www.ncbi.nlm.nih.gov/sutils/blink.cgi?pid=124507062","61")</f>
        <v>61</v>
      </c>
      <c r="AK765" t="str">
        <f>HYPERLINK("http://www.ncbi.nlm.nih.gov/protein/124507062","gi|124507062")</f>
        <v>gi|124507062</v>
      </c>
      <c r="AL765">
        <v>31.2</v>
      </c>
      <c r="AM765">
        <v>37</v>
      </c>
      <c r="AN765">
        <v>1754</v>
      </c>
      <c r="AO765">
        <v>34</v>
      </c>
      <c r="AP765">
        <v>2</v>
      </c>
      <c r="AQ765">
        <v>25</v>
      </c>
      <c r="AR765">
        <v>0</v>
      </c>
      <c r="AS765">
        <v>1328</v>
      </c>
      <c r="AT765">
        <v>35</v>
      </c>
      <c r="AU765">
        <v>1</v>
      </c>
      <c r="AV765">
        <v>-2</v>
      </c>
      <c r="AW765" t="s">
        <v>12</v>
      </c>
      <c r="AY765" t="s">
        <v>1666</v>
      </c>
      <c r="AZ765" t="s">
        <v>1742</v>
      </c>
      <c r="BA765" s="4" t="str">
        <f>HYPERLINK("http://exon.niaid.nih.gov/transcriptome/C_felis/S1/links/SWISSP/cf-contig_325-SWISSP.txt","Phosphorylase b kinase regulatory subunit beta")</f>
        <v>Phosphorylase b kinase regulatory subunit beta</v>
      </c>
      <c r="BB765" t="str">
        <f>HYPERLINK("http://www.uniprot.org/uniprot/P12798","8.1")</f>
        <v>8.1</v>
      </c>
      <c r="BC765" t="s">
        <v>2846</v>
      </c>
      <c r="BD765">
        <v>29.3</v>
      </c>
      <c r="BE765">
        <v>32</v>
      </c>
      <c r="BF765">
        <v>1093</v>
      </c>
      <c r="BG765">
        <v>36</v>
      </c>
      <c r="BH765">
        <v>3</v>
      </c>
      <c r="BI765">
        <v>21</v>
      </c>
      <c r="BJ765">
        <v>0</v>
      </c>
      <c r="BK765">
        <v>161</v>
      </c>
      <c r="BL765">
        <v>35</v>
      </c>
      <c r="BM765">
        <v>1</v>
      </c>
      <c r="BN765">
        <v>-2</v>
      </c>
      <c r="BO765" t="s">
        <v>12</v>
      </c>
      <c r="BQ765" t="s">
        <v>1666</v>
      </c>
      <c r="BR765" t="s">
        <v>1703</v>
      </c>
      <c r="BS765" s="4" t="str">
        <f>HYPERLINK("http://exon.niaid.nih.gov/transcriptome/C_felis/S1/links/CDD/cf-contig_325-CDD.txt","BOP1NT")</f>
        <v>BOP1NT</v>
      </c>
      <c r="BT765" t="str">
        <f>HYPERLINK("http://www.ncbi.nlm.nih.gov/Structure/cdd/cddsrv.cgi?uid=pfam08145&amp;version=v4.0","0.88")</f>
        <v>0.88</v>
      </c>
      <c r="BU765" t="s">
        <v>2847</v>
      </c>
      <c r="BV765" s="4" t="s">
        <v>42</v>
      </c>
      <c r="BW765" t="s">
        <v>42</v>
      </c>
      <c r="BX765" t="s">
        <v>42</v>
      </c>
      <c r="BY765" t="s">
        <v>42</v>
      </c>
      <c r="BZ765" t="s">
        <v>42</v>
      </c>
      <c r="CA765" t="s">
        <v>42</v>
      </c>
      <c r="CB765" t="s">
        <v>42</v>
      </c>
      <c r="CC765" t="s">
        <v>42</v>
      </c>
      <c r="CD765" t="s">
        <v>42</v>
      </c>
      <c r="CE765" t="s">
        <v>42</v>
      </c>
      <c r="CF765" t="s">
        <v>42</v>
      </c>
      <c r="CG765" t="s">
        <v>42</v>
      </c>
      <c r="CH765" t="s">
        <v>42</v>
      </c>
      <c r="CI765" t="s">
        <v>42</v>
      </c>
      <c r="CJ765" t="s">
        <v>42</v>
      </c>
      <c r="CK765" t="s">
        <v>42</v>
      </c>
      <c r="CL765" t="s">
        <v>42</v>
      </c>
      <c r="CM765" t="s">
        <v>42</v>
      </c>
      <c r="CN765" t="s">
        <v>42</v>
      </c>
      <c r="CO765" t="s">
        <v>42</v>
      </c>
      <c r="CP765" t="s">
        <v>42</v>
      </c>
      <c r="CQ765" t="s">
        <v>42</v>
      </c>
      <c r="CR765" t="s">
        <v>42</v>
      </c>
      <c r="CS765" s="4" t="str">
        <f>HYPERLINK("http://exon.niaid.nih.gov/transcriptome/C_felis/S1/links/KOG/cf-contig_325-KOG.txt","Synaptic vesicle transporter SV2 (major facilitator superfamily)")</f>
        <v>Synaptic vesicle transporter SV2 (major facilitator superfamily)</v>
      </c>
      <c r="CT765" t="str">
        <f>HYPERLINK("http://www.ncbi.nlm.nih.gov/COG/grace/shokog.cgi?KOG0253","0.14")</f>
        <v>0.14</v>
      </c>
      <c r="CU765" t="s">
        <v>1721</v>
      </c>
      <c r="CV765" s="4" t="str">
        <f>HYPERLINK("http://exon.niaid.nih.gov/transcriptome/C_felis/S1/links/PFAM/cf-contig_325-PFAM.txt","BOP1NT")</f>
        <v>BOP1NT</v>
      </c>
      <c r="CW765" t="str">
        <f>HYPERLINK("http://pfam.sanger.ac.uk/family?acc=PF08145","0.18")</f>
        <v>0.18</v>
      </c>
      <c r="CX765" s="4" t="str">
        <f>HYPERLINK("http://exon.niaid.nih.gov/transcriptome/C_felis/S1/links/SMART/cf-contig_325-SMART.txt","BOP1NT")</f>
        <v>BOP1NT</v>
      </c>
      <c r="CY765" t="str">
        <f>HYPERLINK("http://smart.embl-heidelberg.de/smart/do_annotation.pl?DOMAIN=BOP1NT&amp;BLAST=DUMMY","0.023")</f>
        <v>0.023</v>
      </c>
      <c r="CZ765" s="4" t="s">
        <v>42</v>
      </c>
      <c r="DA765" t="s">
        <v>42</v>
      </c>
      <c r="DB765" t="s">
        <v>42</v>
      </c>
      <c r="DC765" t="s">
        <v>42</v>
      </c>
      <c r="DD765" t="s">
        <v>42</v>
      </c>
      <c r="DE765" t="s">
        <v>42</v>
      </c>
      <c r="DF765" t="s">
        <v>42</v>
      </c>
      <c r="DG765" t="s">
        <v>42</v>
      </c>
      <c r="DH765" s="4" t="s">
        <v>42</v>
      </c>
      <c r="DI765" t="s">
        <v>42</v>
      </c>
      <c r="DJ765" s="4" t="s">
        <v>42</v>
      </c>
      <c r="DK765" t="s">
        <v>42</v>
      </c>
      <c r="DL765" s="4">
        <v>262</v>
      </c>
      <c r="DM765">
        <v>1</v>
      </c>
      <c r="DN765" s="4">
        <v>268</v>
      </c>
      <c r="DO765">
        <v>1</v>
      </c>
      <c r="DP765" s="4">
        <v>267</v>
      </c>
      <c r="DQ765">
        <v>1</v>
      </c>
      <c r="DR765" s="4">
        <v>276</v>
      </c>
      <c r="DS765">
        <v>1</v>
      </c>
      <c r="DT765" s="4">
        <v>286</v>
      </c>
      <c r="DU765">
        <v>1</v>
      </c>
      <c r="DV765" s="4">
        <v>298</v>
      </c>
      <c r="DW765">
        <v>1</v>
      </c>
      <c r="DX765" s="4">
        <v>300</v>
      </c>
      <c r="DY765">
        <v>1</v>
      </c>
      <c r="DZ765" s="4">
        <v>305</v>
      </c>
      <c r="EA765">
        <v>1</v>
      </c>
      <c r="EB765" s="4">
        <v>310</v>
      </c>
      <c r="EC765">
        <v>1</v>
      </c>
      <c r="ED765" s="4">
        <v>314</v>
      </c>
      <c r="EE765">
        <v>1</v>
      </c>
      <c r="EF765" s="4">
        <v>318</v>
      </c>
      <c r="EG765">
        <v>1</v>
      </c>
      <c r="EH765" s="4">
        <v>320</v>
      </c>
      <c r="EI765">
        <v>1</v>
      </c>
      <c r="EJ765" s="4">
        <v>325</v>
      </c>
      <c r="EK765">
        <v>1</v>
      </c>
    </row>
    <row r="766" spans="1:141" x14ac:dyDescent="0.2">
      <c r="A766" t="str">
        <f>HYPERLINK("http://exon.niaid.nih.gov/transcriptome/C_felis/S1/links/cf/cf-contig_436.txt","cf-contig_436")</f>
        <v>cf-contig_436</v>
      </c>
      <c r="B766">
        <v>1</v>
      </c>
      <c r="C766" s="10" t="s">
        <v>4600</v>
      </c>
      <c r="D766">
        <v>1</v>
      </c>
      <c r="E766" t="str">
        <f>HYPERLINK("http://exon.niaid.nih.gov/transcriptome/C_felis/S1/links/cf/cf-5-36-asb-436.txt","Contig-436")</f>
        <v>Contig-436</v>
      </c>
      <c r="F766" t="str">
        <f>HYPERLINK("http://exon.niaid.nih.gov/transcriptome/C_felis/S1/links/cf/cf-5-36-436-CLU.txt","Contig436")</f>
        <v>Contig436</v>
      </c>
      <c r="G766" t="str">
        <f>HYPERLINK("http://exon.niaid.nih.gov/transcriptome/C_felis/S1/links/cf/cf-5-36-436-qual.txt","60.1")</f>
        <v>60.1</v>
      </c>
      <c r="H766">
        <v>0.8</v>
      </c>
      <c r="I766">
        <v>74.7</v>
      </c>
      <c r="J766">
        <v>230</v>
      </c>
      <c r="K766" t="s">
        <v>12</v>
      </c>
      <c r="L766">
        <v>1</v>
      </c>
      <c r="M766" t="s">
        <v>449</v>
      </c>
      <c r="N766">
        <v>230</v>
      </c>
      <c r="O766">
        <v>249</v>
      </c>
      <c r="P766">
        <v>135</v>
      </c>
      <c r="Q766" t="s">
        <v>1255</v>
      </c>
      <c r="R766">
        <v>1</v>
      </c>
      <c r="S766" s="7" t="s">
        <v>4585</v>
      </c>
      <c r="U766">
        <v>1</v>
      </c>
      <c r="V766" s="4">
        <v>353</v>
      </c>
      <c r="W766">
        <v>1</v>
      </c>
      <c r="X766" s="4">
        <v>362</v>
      </c>
      <c r="Y766">
        <v>1</v>
      </c>
      <c r="Z766" s="4">
        <v>366</v>
      </c>
      <c r="AA766">
        <v>1</v>
      </c>
      <c r="AB766" s="4" t="str">
        <f>HYPERLINK("http://exon.niaid.nih.gov/transcriptome/C_felis/S1/links/XC-ASB/cf-contig_436-XC-ASB.txt","XC-contig_75")</f>
        <v>XC-contig_75</v>
      </c>
      <c r="AC766">
        <v>0.11</v>
      </c>
      <c r="AD766" s="10" t="s">
        <v>4600</v>
      </c>
      <c r="AE766" t="s">
        <v>4601</v>
      </c>
      <c r="AI766" s="4" t="str">
        <f>HYPERLINK("http://exon.niaid.nih.gov/transcriptome/C_felis/S1/links/NR/cf-contig_436-NR.txt","conserved Plasmodium protein, unknown function")</f>
        <v>conserved Plasmodium protein, unknown function</v>
      </c>
      <c r="AJ766" t="str">
        <f>HYPERLINK("http://www.ncbi.nlm.nih.gov/sutils/blink.cgi?pid=296005596","12")</f>
        <v>12</v>
      </c>
      <c r="AK766" t="str">
        <f>HYPERLINK("http://www.ncbi.nlm.nih.gov/protein/296005596","gi|296005596")</f>
        <v>gi|296005596</v>
      </c>
      <c r="AL766">
        <v>33.5</v>
      </c>
      <c r="AM766">
        <v>60</v>
      </c>
      <c r="AN766">
        <v>2170</v>
      </c>
      <c r="AO766">
        <v>40</v>
      </c>
      <c r="AP766">
        <v>3</v>
      </c>
      <c r="AQ766">
        <v>36</v>
      </c>
      <c r="AR766">
        <v>8</v>
      </c>
      <c r="AS766">
        <v>1860</v>
      </c>
      <c r="AT766">
        <v>54</v>
      </c>
      <c r="AU766">
        <v>1</v>
      </c>
      <c r="AV766">
        <v>3</v>
      </c>
      <c r="AW766" t="s">
        <v>12</v>
      </c>
      <c r="AX766">
        <v>1.667</v>
      </c>
      <c r="AY766" t="s">
        <v>1676</v>
      </c>
      <c r="AZ766" t="s">
        <v>1742</v>
      </c>
      <c r="BA766" s="4" t="str">
        <f>HYPERLINK("http://exon.niaid.nih.gov/transcriptome/C_felis/S1/links/SWISSP/cf-contig_436-SWISSP.txt","Zinc finger protein 768")</f>
        <v>Zinc finger protein 768</v>
      </c>
      <c r="BB766" t="str">
        <f>HYPERLINK("http://www.uniprot.org/uniprot/Q8R0T2","23")</f>
        <v>23</v>
      </c>
      <c r="BC766" t="s">
        <v>3226</v>
      </c>
      <c r="BD766">
        <v>27.7</v>
      </c>
      <c r="BE766">
        <v>24</v>
      </c>
      <c r="BF766">
        <v>568</v>
      </c>
      <c r="BG766">
        <v>48</v>
      </c>
      <c r="BH766">
        <v>4</v>
      </c>
      <c r="BI766">
        <v>13</v>
      </c>
      <c r="BJ766">
        <v>0</v>
      </c>
      <c r="BK766">
        <v>279</v>
      </c>
      <c r="BL766">
        <v>1</v>
      </c>
      <c r="BM766">
        <v>1</v>
      </c>
      <c r="BN766">
        <v>1</v>
      </c>
      <c r="BO766" t="s">
        <v>12</v>
      </c>
      <c r="BQ766" t="s">
        <v>1676</v>
      </c>
      <c r="BR766" t="s">
        <v>1705</v>
      </c>
      <c r="BS766" s="4" t="str">
        <f>HYPERLINK("http://exon.niaid.nih.gov/transcriptome/C_felis/S1/links/CDD/cf-contig_436-CDD.txt","PRK09609")</f>
        <v>PRK09609</v>
      </c>
      <c r="BT766" t="str">
        <f>HYPERLINK("http://www.ncbi.nlm.nih.gov/Structure/cdd/cddsrv.cgi?uid=PRK09609&amp;version=v4.0","0.012")</f>
        <v>0.012</v>
      </c>
      <c r="BU766" t="s">
        <v>3227</v>
      </c>
      <c r="BV766" s="4" t="s">
        <v>42</v>
      </c>
      <c r="BW766" t="s">
        <v>42</v>
      </c>
      <c r="BX766" t="s">
        <v>42</v>
      </c>
      <c r="BY766" t="s">
        <v>42</v>
      </c>
      <c r="BZ766" t="s">
        <v>42</v>
      </c>
      <c r="CA766" t="s">
        <v>42</v>
      </c>
      <c r="CB766" t="s">
        <v>42</v>
      </c>
      <c r="CC766" t="s">
        <v>42</v>
      </c>
      <c r="CD766" t="s">
        <v>42</v>
      </c>
      <c r="CE766" t="s">
        <v>42</v>
      </c>
      <c r="CF766" t="s">
        <v>42</v>
      </c>
      <c r="CG766" t="s">
        <v>42</v>
      </c>
      <c r="CH766" t="s">
        <v>42</v>
      </c>
      <c r="CI766" t="s">
        <v>42</v>
      </c>
      <c r="CJ766" t="s">
        <v>42</v>
      </c>
      <c r="CK766" t="s">
        <v>42</v>
      </c>
      <c r="CL766" t="s">
        <v>42</v>
      </c>
      <c r="CM766" t="s">
        <v>42</v>
      </c>
      <c r="CN766" t="s">
        <v>42</v>
      </c>
      <c r="CO766" t="s">
        <v>42</v>
      </c>
      <c r="CP766" t="s">
        <v>42</v>
      </c>
      <c r="CQ766" t="s">
        <v>42</v>
      </c>
      <c r="CR766" t="s">
        <v>42</v>
      </c>
      <c r="CS766" s="4" t="str">
        <f>HYPERLINK("http://exon.niaid.nih.gov/transcriptome/C_felis/S1/links/KOG/cf-contig_436-KOG.txt","Uncharacterized conserved protein")</f>
        <v>Uncharacterized conserved protein</v>
      </c>
      <c r="CT766" t="str">
        <f>HYPERLINK("http://www.ncbi.nlm.nih.gov/COG/grace/shokog.cgi?KOG3012","0.22")</f>
        <v>0.22</v>
      </c>
      <c r="CU766" t="s">
        <v>1711</v>
      </c>
      <c r="CV766" s="4" t="str">
        <f>HYPERLINK("http://exon.niaid.nih.gov/transcriptome/C_felis/S1/links/PFAM/cf-contig_436-PFAM.txt","7TM_GPCR_Srt")</f>
        <v>7TM_GPCR_Srt</v>
      </c>
      <c r="CW766" t="str">
        <f>HYPERLINK("http://pfam.sanger.ac.uk/family?acc=PF10321","0.038")</f>
        <v>0.038</v>
      </c>
      <c r="CX766" s="4" t="str">
        <f>HYPERLINK("http://exon.niaid.nih.gov/transcriptome/C_felis/S1/links/SMART/cf-contig_436-SMART.txt","LYZ1")</f>
        <v>LYZ1</v>
      </c>
      <c r="CY766" t="str">
        <f>HYPERLINK("http://smart.embl-heidelberg.de/smart/do_annotation.pl?DOMAIN=LYZ1&amp;BLAST=DUMMY","0.26")</f>
        <v>0.26</v>
      </c>
      <c r="CZ766" s="4" t="s">
        <v>42</v>
      </c>
      <c r="DA766" t="s">
        <v>42</v>
      </c>
      <c r="DB766" t="s">
        <v>42</v>
      </c>
      <c r="DC766" t="s">
        <v>42</v>
      </c>
      <c r="DD766" t="s">
        <v>42</v>
      </c>
      <c r="DE766" t="s">
        <v>42</v>
      </c>
      <c r="DF766" t="s">
        <v>42</v>
      </c>
      <c r="DG766" t="s">
        <v>42</v>
      </c>
      <c r="DH766" s="4" t="s">
        <v>42</v>
      </c>
      <c r="DI766" t="s">
        <v>42</v>
      </c>
      <c r="DJ766" s="4" t="s">
        <v>42</v>
      </c>
      <c r="DK766" t="s">
        <v>42</v>
      </c>
      <c r="DL766" s="4">
        <v>353</v>
      </c>
      <c r="DM766">
        <v>1</v>
      </c>
      <c r="DN766" s="4">
        <v>362</v>
      </c>
      <c r="DO766">
        <v>1</v>
      </c>
      <c r="DP766" s="4">
        <v>366</v>
      </c>
      <c r="DQ766">
        <v>1</v>
      </c>
      <c r="DR766" s="4">
        <v>380</v>
      </c>
      <c r="DS766">
        <v>1</v>
      </c>
      <c r="DT766" s="4">
        <v>390</v>
      </c>
      <c r="DU766">
        <v>1</v>
      </c>
      <c r="DV766" s="4">
        <v>404</v>
      </c>
      <c r="DW766">
        <v>1</v>
      </c>
      <c r="DX766" s="4">
        <v>407</v>
      </c>
      <c r="DY766">
        <v>1</v>
      </c>
      <c r="DZ766" s="4">
        <v>412</v>
      </c>
      <c r="EA766">
        <v>1</v>
      </c>
      <c r="EB766" s="4">
        <v>417</v>
      </c>
      <c r="EC766">
        <v>1</v>
      </c>
      <c r="ED766" s="4">
        <v>421</v>
      </c>
      <c r="EE766">
        <v>1</v>
      </c>
      <c r="EF766" s="4">
        <v>426</v>
      </c>
      <c r="EG766">
        <v>1</v>
      </c>
      <c r="EH766" s="4">
        <v>430</v>
      </c>
      <c r="EI766">
        <v>1</v>
      </c>
      <c r="EJ766" s="4">
        <v>436</v>
      </c>
      <c r="EK766">
        <v>1</v>
      </c>
    </row>
    <row r="767" spans="1:141" x14ac:dyDescent="0.2">
      <c r="A767" t="str">
        <f>HYPERLINK("http://exon.niaid.nih.gov/transcriptome/C_felis/S1/links/cf/cf-contig_533.txt","cf-contig_533")</f>
        <v>cf-contig_533</v>
      </c>
      <c r="B767">
        <v>1</v>
      </c>
      <c r="C767" s="10" t="s">
        <v>4600</v>
      </c>
      <c r="D767">
        <v>1</v>
      </c>
      <c r="E767" t="str">
        <f>HYPERLINK("http://exon.niaid.nih.gov/transcriptome/C_felis/S1/links/cf/cf-5-36-asb-533.txt","Contig-533")</f>
        <v>Contig-533</v>
      </c>
      <c r="F767" t="str">
        <f>HYPERLINK("http://exon.niaid.nih.gov/transcriptome/C_felis/S1/links/cf/cf-5-36-533-CLU.txt","Contig533")</f>
        <v>Contig533</v>
      </c>
      <c r="G767" t="str">
        <f>HYPERLINK("http://exon.niaid.nih.gov/transcriptome/C_felis/S1/links/cf/cf-5-36-533-qual.txt","60.6")</f>
        <v>60.6</v>
      </c>
      <c r="H767" t="s">
        <v>11</v>
      </c>
      <c r="I767">
        <v>79.2</v>
      </c>
      <c r="J767">
        <v>178</v>
      </c>
      <c r="K767" t="s">
        <v>12</v>
      </c>
      <c r="L767">
        <v>1</v>
      </c>
      <c r="M767" t="s">
        <v>546</v>
      </c>
      <c r="N767">
        <v>178</v>
      </c>
      <c r="O767">
        <v>197</v>
      </c>
      <c r="P767">
        <v>159</v>
      </c>
      <c r="Q767" t="s">
        <v>1352</v>
      </c>
      <c r="R767">
        <v>1</v>
      </c>
      <c r="S767" s="7" t="s">
        <v>4585</v>
      </c>
      <c r="U767">
        <v>1</v>
      </c>
      <c r="V767" s="4">
        <v>436</v>
      </c>
      <c r="W767">
        <v>1</v>
      </c>
      <c r="X767" s="4">
        <v>446</v>
      </c>
      <c r="Y767">
        <v>1</v>
      </c>
      <c r="Z767" s="4">
        <v>451</v>
      </c>
      <c r="AA767">
        <v>1</v>
      </c>
      <c r="AB767" s="4" t="str">
        <f>HYPERLINK("http://exon.niaid.nih.gov/transcriptome/C_felis/S1/links/XC-ASB/cf-contig_533-XC-ASB.txt","XC-contig_57")</f>
        <v>XC-contig_57</v>
      </c>
      <c r="AC767">
        <v>5.9999999999999995E-4</v>
      </c>
      <c r="AD767" s="10" t="s">
        <v>4600</v>
      </c>
      <c r="AE767" t="s">
        <v>4601</v>
      </c>
      <c r="AI767" s="4" t="str">
        <f>HYPERLINK("http://exon.niaid.nih.gov/transcriptome/C_felis/S1/links/NR/cf-contig_533-NR.txt","conserved Plasmodium protein, unknown function")</f>
        <v>conserved Plasmodium protein, unknown function</v>
      </c>
      <c r="AJ767" t="str">
        <f>HYPERLINK("http://www.ncbi.nlm.nih.gov/sutils/blink.cgi?pid=296004474","1.9")</f>
        <v>1.9</v>
      </c>
      <c r="AK767" t="str">
        <f>HYPERLINK("http://www.ncbi.nlm.nih.gov/protein/296004474","gi|296004474")</f>
        <v>gi|296004474</v>
      </c>
      <c r="AL767">
        <v>36.200000000000003</v>
      </c>
      <c r="AM767">
        <v>35</v>
      </c>
      <c r="AN767">
        <v>1339</v>
      </c>
      <c r="AO767">
        <v>41</v>
      </c>
      <c r="AP767">
        <v>3</v>
      </c>
      <c r="AQ767">
        <v>21</v>
      </c>
      <c r="AR767">
        <v>0</v>
      </c>
      <c r="AS767">
        <v>410</v>
      </c>
      <c r="AT767">
        <v>11</v>
      </c>
      <c r="AU767">
        <v>1</v>
      </c>
      <c r="AV767">
        <v>-2</v>
      </c>
      <c r="AW767" t="s">
        <v>12</v>
      </c>
      <c r="AY767" t="s">
        <v>1666</v>
      </c>
      <c r="AZ767" t="s">
        <v>1742</v>
      </c>
      <c r="BA767" s="4" t="str">
        <f>HYPERLINK("http://exon.niaid.nih.gov/transcriptome/C_felis/S1/links/SWISSP/cf-contig_533-SWISSP.txt","Cyclic AMP receptor-like protein B")</f>
        <v>Cyclic AMP receptor-like protein B</v>
      </c>
      <c r="BB767" t="str">
        <f>HYPERLINK("http://www.uniprot.org/uniprot/Q6UUW5","0.087")</f>
        <v>0.087</v>
      </c>
      <c r="BC767" t="s">
        <v>3618</v>
      </c>
      <c r="BD767">
        <v>35.799999999999997</v>
      </c>
      <c r="BE767">
        <v>33</v>
      </c>
      <c r="BF767">
        <v>442</v>
      </c>
      <c r="BG767">
        <v>50</v>
      </c>
      <c r="BH767">
        <v>8</v>
      </c>
      <c r="BI767">
        <v>17</v>
      </c>
      <c r="BJ767">
        <v>1</v>
      </c>
      <c r="BK767">
        <v>91</v>
      </c>
      <c r="BL767">
        <v>8</v>
      </c>
      <c r="BM767">
        <v>1</v>
      </c>
      <c r="BN767">
        <v>-2</v>
      </c>
      <c r="BO767" t="s">
        <v>12</v>
      </c>
      <c r="BQ767" t="s">
        <v>1666</v>
      </c>
      <c r="BR767" t="s">
        <v>1976</v>
      </c>
      <c r="BS767" s="4" t="str">
        <f>HYPERLINK("http://exon.niaid.nih.gov/transcriptome/C_felis/S1/links/CDD/cf-contig_533-CDD.txt","ND4")</f>
        <v>ND4</v>
      </c>
      <c r="BT767" t="str">
        <f>HYPERLINK("http://www.ncbi.nlm.nih.gov/Structure/cdd/cddsrv.cgi?uid=MTH00094&amp;version=v4.0","0.008")</f>
        <v>0.008</v>
      </c>
      <c r="BU767" t="s">
        <v>3619</v>
      </c>
      <c r="BV767" s="4" t="s">
        <v>42</v>
      </c>
      <c r="BW767" t="s">
        <v>42</v>
      </c>
      <c r="BX767" t="s">
        <v>42</v>
      </c>
      <c r="BY767" t="s">
        <v>42</v>
      </c>
      <c r="BZ767" t="s">
        <v>42</v>
      </c>
      <c r="CA767" t="s">
        <v>42</v>
      </c>
      <c r="CB767" t="s">
        <v>42</v>
      </c>
      <c r="CC767" t="s">
        <v>42</v>
      </c>
      <c r="CD767" t="s">
        <v>42</v>
      </c>
      <c r="CE767" t="s">
        <v>42</v>
      </c>
      <c r="CF767" t="s">
        <v>42</v>
      </c>
      <c r="CG767" t="s">
        <v>42</v>
      </c>
      <c r="CH767" t="s">
        <v>42</v>
      </c>
      <c r="CI767" t="s">
        <v>42</v>
      </c>
      <c r="CJ767" t="s">
        <v>42</v>
      </c>
      <c r="CK767" t="s">
        <v>42</v>
      </c>
      <c r="CL767" t="s">
        <v>42</v>
      </c>
      <c r="CM767" t="s">
        <v>42</v>
      </c>
      <c r="CN767" t="s">
        <v>42</v>
      </c>
      <c r="CO767" t="s">
        <v>42</v>
      </c>
      <c r="CP767" t="s">
        <v>42</v>
      </c>
      <c r="CQ767" t="s">
        <v>42</v>
      </c>
      <c r="CR767" t="s">
        <v>42</v>
      </c>
      <c r="CS767" s="4" t="str">
        <f>HYPERLINK("http://exon.niaid.nih.gov/transcriptome/C_felis/S1/links/KOG/cf-contig_533-KOG.txt","Neuronal membrane glycoprotein/Myelin proteolipid protein")</f>
        <v>Neuronal membrane glycoprotein/Myelin proteolipid protein</v>
      </c>
      <c r="CT767" t="str">
        <f>HYPERLINK("http://www.ncbi.nlm.nih.gov/COG/grace/shokog.cgi?KOG4800","0.46")</f>
        <v>0.46</v>
      </c>
      <c r="CU767" t="s">
        <v>1711</v>
      </c>
      <c r="CV767" s="4" t="str">
        <f>HYPERLINK("http://exon.niaid.nih.gov/transcriptome/C_felis/S1/links/PFAM/cf-contig_533-PFAM.txt","Arif-1")</f>
        <v>Arif-1</v>
      </c>
      <c r="CW767" t="str">
        <f>HYPERLINK("http://pfam.sanger.ac.uk/family?acc=PF06770","0.022")</f>
        <v>0.022</v>
      </c>
      <c r="CX767" s="4" t="str">
        <f>HYPERLINK("http://exon.niaid.nih.gov/transcriptome/C_felis/S1/links/SMART/cf-contig_533-SMART.txt","AgrB")</f>
        <v>AgrB</v>
      </c>
      <c r="CY767" t="str">
        <f>HYPERLINK("http://smart.embl-heidelberg.de/smart/do_annotation.pl?DOMAIN=AgrB&amp;BLAST=DUMMY","0.009")</f>
        <v>0.009</v>
      </c>
      <c r="CZ767" s="4" t="s">
        <v>42</v>
      </c>
      <c r="DA767" t="s">
        <v>42</v>
      </c>
      <c r="DB767" t="s">
        <v>42</v>
      </c>
      <c r="DC767" t="s">
        <v>42</v>
      </c>
      <c r="DD767" t="s">
        <v>42</v>
      </c>
      <c r="DE767" t="s">
        <v>42</v>
      </c>
      <c r="DF767" t="s">
        <v>42</v>
      </c>
      <c r="DG767" t="s">
        <v>42</v>
      </c>
      <c r="DH767" s="4" t="s">
        <v>42</v>
      </c>
      <c r="DI767" t="s">
        <v>42</v>
      </c>
      <c r="DJ767" s="4" t="s">
        <v>42</v>
      </c>
      <c r="DK767" t="s">
        <v>42</v>
      </c>
      <c r="DL767" s="4">
        <v>436</v>
      </c>
      <c r="DM767">
        <v>1</v>
      </c>
      <c r="DN767" s="4">
        <v>446</v>
      </c>
      <c r="DO767">
        <v>1</v>
      </c>
      <c r="DP767" s="4">
        <v>451</v>
      </c>
      <c r="DQ767">
        <v>1</v>
      </c>
      <c r="DR767" s="4">
        <v>466</v>
      </c>
      <c r="DS767">
        <v>1</v>
      </c>
      <c r="DT767" s="4">
        <v>478</v>
      </c>
      <c r="DU767">
        <v>1</v>
      </c>
      <c r="DV767" s="4">
        <v>492</v>
      </c>
      <c r="DW767">
        <v>1</v>
      </c>
      <c r="DX767" s="4">
        <v>498</v>
      </c>
      <c r="DY767">
        <v>1</v>
      </c>
      <c r="DZ767" s="4">
        <v>506</v>
      </c>
      <c r="EA767">
        <v>1</v>
      </c>
      <c r="EB767" s="4">
        <v>511</v>
      </c>
      <c r="EC767">
        <v>1</v>
      </c>
      <c r="ED767" s="4">
        <v>515</v>
      </c>
      <c r="EE767">
        <v>1</v>
      </c>
      <c r="EF767" s="4">
        <v>520</v>
      </c>
      <c r="EG767">
        <v>1</v>
      </c>
      <c r="EH767" s="4">
        <v>526</v>
      </c>
      <c r="EI767">
        <v>1</v>
      </c>
      <c r="EJ767" s="4">
        <v>533</v>
      </c>
      <c r="EK767">
        <v>1</v>
      </c>
    </row>
    <row r="768" spans="1:141" x14ac:dyDescent="0.2">
      <c r="A768" t="str">
        <f>HYPERLINK("http://exon.niaid.nih.gov/transcriptome/C_felis/S1/links/cf/cf-contig_730.txt","cf-contig_730")</f>
        <v>cf-contig_730</v>
      </c>
      <c r="B768">
        <v>1</v>
      </c>
      <c r="C768" s="10" t="s">
        <v>4600</v>
      </c>
      <c r="D768">
        <v>1</v>
      </c>
      <c r="E768" t="str">
        <f>HYPERLINK("http://exon.niaid.nih.gov/transcriptome/C_felis/S1/links/cf/cf-5-36-asb-730.txt","Contig-730")</f>
        <v>Contig-730</v>
      </c>
      <c r="F768" t="str">
        <f>HYPERLINK("http://exon.niaid.nih.gov/transcriptome/C_felis/S1/links/cf/cf-5-36-730-CLU.txt","Contig730")</f>
        <v>Contig730</v>
      </c>
      <c r="G768" t="str">
        <f>HYPERLINK("http://exon.niaid.nih.gov/transcriptome/C_felis/S1/links/cf/cf-5-36-730-qual.txt","62.4")</f>
        <v>62.4</v>
      </c>
      <c r="H768" t="s">
        <v>11</v>
      </c>
      <c r="I768">
        <v>74.8</v>
      </c>
      <c r="J768">
        <v>207</v>
      </c>
      <c r="K768" t="s">
        <v>12</v>
      </c>
      <c r="L768">
        <v>1</v>
      </c>
      <c r="M768" t="s">
        <v>743</v>
      </c>
      <c r="N768">
        <v>207</v>
      </c>
      <c r="O768">
        <v>226</v>
      </c>
      <c r="P768">
        <v>147</v>
      </c>
      <c r="Q768" t="s">
        <v>1549</v>
      </c>
      <c r="R768">
        <v>3</v>
      </c>
      <c r="S768" s="7" t="str">
        <f>HYPERLINK("http://exon.niaid.nih.gov/transcriptome/C_felis/S1/links/Sigp/CF-CONTIG_730-SigP.txt","Cyt")</f>
        <v>Cyt</v>
      </c>
      <c r="U768">
        <v>1</v>
      </c>
      <c r="V768" s="4">
        <f>HYPERLINK("http://exon.niaid.nih.gov/transcriptome/C_felis/S1/links/cluster/cf-5-36-asb30-50-Id-CLU59.txt", 59)</f>
        <v>59</v>
      </c>
      <c r="W768">
        <f>HYPERLINK("http://exon.niaid.nih.gov/transcriptome/C_felis/S1/links/cluster/cf-5-36-asb30-50-Id-CLTL59.txt", 2)</f>
        <v>2</v>
      </c>
      <c r="X768" s="4">
        <f>HYPERLINK("http://exon.niaid.nih.gov/transcriptome/C_felis/S1/links/cluster/cf-5-36-asb35-50-Id-CLU52.txt", 52)</f>
        <v>52</v>
      </c>
      <c r="Y768">
        <f>HYPERLINK("http://exon.niaid.nih.gov/transcriptome/C_felis/S1/links/cluster/cf-5-36-asb35-50-Id-CLTL52.txt", 2)</f>
        <v>2</v>
      </c>
      <c r="Z768" s="4">
        <f>HYPERLINK("http://exon.niaid.nih.gov/transcriptome/C_felis/S1/links/cluster/cf-5-36-asb40-50-Id-CLU49.txt", 49)</f>
        <v>49</v>
      </c>
      <c r="AA768">
        <f>HYPERLINK("http://exon.niaid.nih.gov/transcriptome/C_felis/S1/links/cluster/cf-5-36-asb40-50-Id-CLTL49.txt", 2)</f>
        <v>2</v>
      </c>
      <c r="AB768" s="4" t="str">
        <f>HYPERLINK("http://exon.niaid.nih.gov/transcriptome/C_felis/S1/links/XC-ASB/cf-contig_730-XC-ASB.txt","XC-contig_175")</f>
        <v>XC-contig_175</v>
      </c>
      <c r="AC768">
        <v>5.0999999999999997E-2</v>
      </c>
      <c r="AD768" s="10" t="s">
        <v>4600</v>
      </c>
      <c r="AE768" t="s">
        <v>4601</v>
      </c>
      <c r="AI768" s="4" t="str">
        <f>HYPERLINK("http://exon.niaid.nih.gov/transcriptome/C_felis/S1/links/NR/cf-contig_730-NR.txt","conserved Plasmodium protein, unknown function")</f>
        <v>conserved Plasmodium protein, unknown function</v>
      </c>
      <c r="AJ768" t="str">
        <f>HYPERLINK("http://www.ncbi.nlm.nih.gov/sutils/blink.cgi?pid=296005263","4.3")</f>
        <v>4.3</v>
      </c>
      <c r="AK768" t="str">
        <f>HYPERLINK("http://www.ncbi.nlm.nih.gov/protein/296005263","gi|296005263")</f>
        <v>gi|296005263</v>
      </c>
      <c r="AL768">
        <v>35</v>
      </c>
      <c r="AM768">
        <v>58</v>
      </c>
      <c r="AN768">
        <v>854</v>
      </c>
      <c r="AO768">
        <v>32</v>
      </c>
      <c r="AP768">
        <v>7</v>
      </c>
      <c r="AQ768">
        <v>40</v>
      </c>
      <c r="AR768">
        <v>2</v>
      </c>
      <c r="AS768">
        <v>524</v>
      </c>
      <c r="AT768">
        <v>8</v>
      </c>
      <c r="AU768">
        <v>1</v>
      </c>
      <c r="AV768">
        <v>2</v>
      </c>
      <c r="AW768" t="s">
        <v>12</v>
      </c>
      <c r="AX768">
        <v>1.724</v>
      </c>
      <c r="AY768" t="s">
        <v>1676</v>
      </c>
      <c r="AZ768" t="s">
        <v>1742</v>
      </c>
      <c r="BA768" s="4" t="str">
        <f>HYPERLINK("http://exon.niaid.nih.gov/transcriptome/C_felis/S1/links/SWISSP/cf-contig_730-SWISSP.txt","Transcription factor MafB")</f>
        <v>Transcription factor MafB</v>
      </c>
      <c r="BB768" t="str">
        <f>HYPERLINK("http://www.uniprot.org/uniprot/Q90888","4.2")</f>
        <v>4.2</v>
      </c>
      <c r="BC768" t="s">
        <v>4318</v>
      </c>
      <c r="BD768">
        <v>25</v>
      </c>
      <c r="BE768">
        <v>54</v>
      </c>
      <c r="BF768">
        <v>311</v>
      </c>
      <c r="BG768">
        <v>45</v>
      </c>
      <c r="BH768">
        <v>18</v>
      </c>
      <c r="BI768">
        <v>12</v>
      </c>
      <c r="BJ768">
        <v>0</v>
      </c>
      <c r="BK768">
        <v>127</v>
      </c>
      <c r="BL768">
        <v>48</v>
      </c>
      <c r="BM768">
        <v>2</v>
      </c>
      <c r="BN768">
        <v>-3</v>
      </c>
      <c r="BO768" t="s">
        <v>1689</v>
      </c>
      <c r="BP768">
        <v>3.7040000000000002</v>
      </c>
      <c r="BQ768" t="s">
        <v>1666</v>
      </c>
      <c r="BR768" t="s">
        <v>1809</v>
      </c>
      <c r="BS768" s="4" t="str">
        <f>HYPERLINK("http://exon.niaid.nih.gov/transcriptome/C_felis/S1/links/CDD/cf-contig_730-CDD.txt","ND4L")</f>
        <v>ND4L</v>
      </c>
      <c r="BT768" t="str">
        <f>HYPERLINK("http://www.ncbi.nlm.nih.gov/Structure/cdd/cddsrv.cgi?uid=MTH00162&amp;version=v4.0","0.16")</f>
        <v>0.16</v>
      </c>
      <c r="BU768" t="s">
        <v>4319</v>
      </c>
      <c r="BV768" s="4" t="s">
        <v>42</v>
      </c>
      <c r="BW768" t="s">
        <v>42</v>
      </c>
      <c r="BX768" t="s">
        <v>42</v>
      </c>
      <c r="BY768" t="s">
        <v>42</v>
      </c>
      <c r="BZ768" t="s">
        <v>42</v>
      </c>
      <c r="CA768" t="s">
        <v>42</v>
      </c>
      <c r="CB768" t="s">
        <v>42</v>
      </c>
      <c r="CC768" t="s">
        <v>42</v>
      </c>
      <c r="CD768" t="s">
        <v>42</v>
      </c>
      <c r="CE768" t="s">
        <v>42</v>
      </c>
      <c r="CF768" t="s">
        <v>42</v>
      </c>
      <c r="CG768" t="s">
        <v>42</v>
      </c>
      <c r="CH768" t="s">
        <v>42</v>
      </c>
      <c r="CI768" t="s">
        <v>42</v>
      </c>
      <c r="CJ768" t="s">
        <v>42</v>
      </c>
      <c r="CK768" t="s">
        <v>42</v>
      </c>
      <c r="CL768" t="s">
        <v>42</v>
      </c>
      <c r="CM768" t="s">
        <v>42</v>
      </c>
      <c r="CN768" t="s">
        <v>42</v>
      </c>
      <c r="CO768" t="s">
        <v>42</v>
      </c>
      <c r="CP768" t="s">
        <v>42</v>
      </c>
      <c r="CQ768" t="s">
        <v>42</v>
      </c>
      <c r="CR768" t="s">
        <v>42</v>
      </c>
      <c r="CS768" s="4" t="str">
        <f>HYPERLINK("http://exon.niaid.nih.gov/transcriptome/C_felis/S1/links/KOG/cf-contig_730-KOG.txt","RNA polymerase I and III, subunit RPA40/RPC40")</f>
        <v>RNA polymerase I and III, subunit RPA40/RPC40</v>
      </c>
      <c r="CT768" t="str">
        <f>HYPERLINK("http://www.ncbi.nlm.nih.gov/COG/grace/shokog.cgi?KOG1521","0.19")</f>
        <v>0.19</v>
      </c>
      <c r="CU768" t="s">
        <v>1692</v>
      </c>
      <c r="CV768" s="4" t="str">
        <f>HYPERLINK("http://exon.niaid.nih.gov/transcriptome/C_felis/S1/links/PFAM/cf-contig_730-PFAM.txt","MatK_N")</f>
        <v>MatK_N</v>
      </c>
      <c r="CW768" t="str">
        <f>HYPERLINK("http://pfam.sanger.ac.uk/family?acc=PF01824","0.15")</f>
        <v>0.15</v>
      </c>
      <c r="CX768" s="4" t="str">
        <f>HYPERLINK("http://exon.niaid.nih.gov/transcriptome/C_felis/S1/links/SMART/cf-contig_730-SMART.txt","SEC14")</f>
        <v>SEC14</v>
      </c>
      <c r="CY768" t="str">
        <f>HYPERLINK("http://smart.embl-heidelberg.de/smart/do_annotation.pl?DOMAIN=SEC14&amp;BLAST=DUMMY","0.066")</f>
        <v>0.066</v>
      </c>
      <c r="CZ768" s="4" t="s">
        <v>42</v>
      </c>
      <c r="DA768" t="s">
        <v>42</v>
      </c>
      <c r="DB768" t="s">
        <v>42</v>
      </c>
      <c r="DC768" t="s">
        <v>42</v>
      </c>
      <c r="DD768" t="s">
        <v>42</v>
      </c>
      <c r="DE768" t="s">
        <v>42</v>
      </c>
      <c r="DF768" t="s">
        <v>42</v>
      </c>
      <c r="DG768" t="s">
        <v>42</v>
      </c>
      <c r="DH768" s="4" t="s">
        <v>42</v>
      </c>
      <c r="DI768" t="s">
        <v>42</v>
      </c>
      <c r="DJ768" s="4" t="s">
        <v>42</v>
      </c>
      <c r="DK768" t="s">
        <v>42</v>
      </c>
      <c r="DL768" s="4">
        <f>HYPERLINK("http://exon.niaid.nih.gov/transcriptome/C_felis/S1/links/cluster/cf-5-36-asb30-50-Id-CLU59.txt", 59)</f>
        <v>59</v>
      </c>
      <c r="DM768">
        <f>HYPERLINK("http://exon.niaid.nih.gov/transcriptome/C_felis/S1/links/cluster/cf-5-36-asb30-50-Id-CLTL59.txt", 2)</f>
        <v>2</v>
      </c>
      <c r="DN768" s="4">
        <f>HYPERLINK("http://exon.niaid.nih.gov/transcriptome/C_felis/S1/links/cluster/cf-5-36-asb35-50-Id-CLU52.txt", 52)</f>
        <v>52</v>
      </c>
      <c r="DO768">
        <f>HYPERLINK("http://exon.niaid.nih.gov/transcriptome/C_felis/S1/links/cluster/cf-5-36-asb35-50-Id-CLTL52.txt", 2)</f>
        <v>2</v>
      </c>
      <c r="DP768" s="4">
        <f>HYPERLINK("http://exon.niaid.nih.gov/transcriptome/C_felis/S1/links/cluster/cf-5-36-asb40-50-Id-CLU49.txt", 49)</f>
        <v>49</v>
      </c>
      <c r="DQ768">
        <f>HYPERLINK("http://exon.niaid.nih.gov/transcriptome/C_felis/S1/links/cluster/cf-5-36-asb40-50-Id-CLTL49.txt", 2)</f>
        <v>2</v>
      </c>
      <c r="DR768" s="4">
        <v>642</v>
      </c>
      <c r="DS768">
        <v>1</v>
      </c>
      <c r="DT768" s="4">
        <v>657</v>
      </c>
      <c r="DU768">
        <v>1</v>
      </c>
      <c r="DV768" s="4">
        <v>672</v>
      </c>
      <c r="DW768">
        <v>1</v>
      </c>
      <c r="DX768" s="4">
        <v>683</v>
      </c>
      <c r="DY768">
        <v>1</v>
      </c>
      <c r="DZ768" s="4">
        <v>693</v>
      </c>
      <c r="EA768">
        <v>1</v>
      </c>
      <c r="EB768" s="4">
        <v>699</v>
      </c>
      <c r="EC768">
        <v>1</v>
      </c>
      <c r="ED768" s="4">
        <v>704</v>
      </c>
      <c r="EE768">
        <v>1</v>
      </c>
      <c r="EF768" s="4">
        <v>710</v>
      </c>
      <c r="EG768">
        <v>1</v>
      </c>
      <c r="EH768" s="4">
        <v>721</v>
      </c>
      <c r="EI768">
        <v>1</v>
      </c>
      <c r="EJ768" s="4">
        <v>730</v>
      </c>
      <c r="EK768">
        <v>1</v>
      </c>
    </row>
    <row r="769" spans="1:141" x14ac:dyDescent="0.2">
      <c r="A769" t="str">
        <f>HYPERLINK("http://exon.niaid.nih.gov/transcriptome/C_felis/S1/links/cf/cf-contig_782.txt","cf-contig_782")</f>
        <v>cf-contig_782</v>
      </c>
      <c r="B769">
        <v>1</v>
      </c>
      <c r="C769" s="10" t="s">
        <v>4600</v>
      </c>
      <c r="D769">
        <v>1</v>
      </c>
      <c r="E769" t="str">
        <f>HYPERLINK("http://exon.niaid.nih.gov/transcriptome/C_felis/S1/links/cf/cf-5-36-asb-782.txt","Contig-782")</f>
        <v>Contig-782</v>
      </c>
      <c r="F769" t="str">
        <f>HYPERLINK("http://exon.niaid.nih.gov/transcriptome/C_felis/S1/links/cf/cf-5-36-782-CLU.txt","Contig782")</f>
        <v>Contig782</v>
      </c>
      <c r="G769" t="str">
        <f>HYPERLINK("http://exon.niaid.nih.gov/transcriptome/C_felis/S1/links/cf/cf-5-36-782-qual.txt","38.2")</f>
        <v>38.2</v>
      </c>
      <c r="H769" t="s">
        <v>11</v>
      </c>
      <c r="I769">
        <v>70.900000000000006</v>
      </c>
      <c r="J769">
        <v>146</v>
      </c>
      <c r="K769" t="s">
        <v>12</v>
      </c>
      <c r="L769">
        <v>1</v>
      </c>
      <c r="M769" t="s">
        <v>795</v>
      </c>
      <c r="N769">
        <v>146</v>
      </c>
      <c r="O769">
        <v>165</v>
      </c>
      <c r="P769">
        <v>75</v>
      </c>
      <c r="Q769" t="s">
        <v>1601</v>
      </c>
      <c r="R769">
        <v>2</v>
      </c>
      <c r="S769" s="7" t="s">
        <v>4585</v>
      </c>
      <c r="U769">
        <v>1</v>
      </c>
      <c r="V769" s="4">
        <v>627</v>
      </c>
      <c r="W769">
        <v>1</v>
      </c>
      <c r="X769" s="4">
        <v>648</v>
      </c>
      <c r="Y769">
        <v>1</v>
      </c>
      <c r="Z769" s="4">
        <v>664</v>
      </c>
      <c r="AA769">
        <v>1</v>
      </c>
      <c r="AB769" s="4" t="str">
        <f>HYPERLINK("http://exon.niaid.nih.gov/transcriptome/C_felis/S1/links/XC-ASB/cf-contig_782-XC-ASB.txt","XC-contig_176")</f>
        <v>XC-contig_176</v>
      </c>
      <c r="AC769">
        <v>4.0000000000000001E-3</v>
      </c>
      <c r="AD769" s="10" t="s">
        <v>4600</v>
      </c>
      <c r="AE769" t="s">
        <v>4601</v>
      </c>
      <c r="AI769" s="4" t="str">
        <f>HYPERLINK("http://exon.niaid.nih.gov/transcriptome/C_felis/S1/links/NR/cf-contig_782-NR.txt","conserved Plasmodium protein, unknown function")</f>
        <v>conserved Plasmodium protein, unknown function</v>
      </c>
      <c r="AJ769" t="str">
        <f>HYPERLINK("http://www.ncbi.nlm.nih.gov/sutils/blink.cgi?pid=124513538","21")</f>
        <v>21</v>
      </c>
      <c r="AK769" t="str">
        <f>HYPERLINK("http://www.ncbi.nlm.nih.gov/protein/124513538","gi|124513538")</f>
        <v>gi|124513538</v>
      </c>
      <c r="AL769">
        <v>32.700000000000003</v>
      </c>
      <c r="AM769">
        <v>35</v>
      </c>
      <c r="AN769">
        <v>618</v>
      </c>
      <c r="AO769">
        <v>44</v>
      </c>
      <c r="AP769">
        <v>6</v>
      </c>
      <c r="AQ769">
        <v>20</v>
      </c>
      <c r="AR769">
        <v>0</v>
      </c>
      <c r="AS769">
        <v>372</v>
      </c>
      <c r="AT769">
        <v>17</v>
      </c>
      <c r="AU769">
        <v>1</v>
      </c>
      <c r="AV769">
        <v>2</v>
      </c>
      <c r="AW769" t="s">
        <v>12</v>
      </c>
      <c r="AX769">
        <v>2.8570000000000002</v>
      </c>
      <c r="AY769" t="s">
        <v>1676</v>
      </c>
      <c r="AZ769" t="s">
        <v>1742</v>
      </c>
      <c r="BA769" s="4" t="str">
        <f>HYPERLINK("http://exon.niaid.nih.gov/transcriptome/C_felis/S1/links/SWISSP/cf-contig_782-SWISSP.txt","Structural polyprotein")</f>
        <v>Structural polyprotein</v>
      </c>
      <c r="BB769" t="str">
        <f>HYPERLINK("http://www.uniprot.org/uniprot/P09592","24")</f>
        <v>24</v>
      </c>
      <c r="BC769" t="s">
        <v>4502</v>
      </c>
      <c r="BD769">
        <v>27.7</v>
      </c>
      <c r="BE769">
        <v>23</v>
      </c>
      <c r="BF769">
        <v>1254</v>
      </c>
      <c r="BG769">
        <v>50</v>
      </c>
      <c r="BH769">
        <v>2</v>
      </c>
      <c r="BI769">
        <v>12</v>
      </c>
      <c r="BJ769">
        <v>0</v>
      </c>
      <c r="BK769">
        <v>61</v>
      </c>
      <c r="BL769">
        <v>5</v>
      </c>
      <c r="BM769">
        <v>1</v>
      </c>
      <c r="BN769">
        <v>2</v>
      </c>
      <c r="BO769" t="s">
        <v>12</v>
      </c>
      <c r="BQ769" t="s">
        <v>1676</v>
      </c>
      <c r="BR769" t="s">
        <v>4503</v>
      </c>
      <c r="BS769" s="4" t="str">
        <f>HYPERLINK("http://exon.niaid.nih.gov/transcriptome/C_felis/S1/links/CDD/cf-contig_782-CDD.txt","ND3")</f>
        <v>ND3</v>
      </c>
      <c r="BT769" t="str">
        <f>HYPERLINK("http://www.ncbi.nlm.nih.gov/Structure/cdd/cddsrv.cgi?uid=MTH00092&amp;version=v4.0","0.20")</f>
        <v>0.20</v>
      </c>
      <c r="BU769" t="s">
        <v>4504</v>
      </c>
      <c r="BV769" s="4" t="s">
        <v>42</v>
      </c>
      <c r="BW769" t="s">
        <v>42</v>
      </c>
      <c r="BX769" t="s">
        <v>42</v>
      </c>
      <c r="BY769" t="s">
        <v>42</v>
      </c>
      <c r="BZ769" t="s">
        <v>42</v>
      </c>
      <c r="CA769" t="s">
        <v>42</v>
      </c>
      <c r="CB769" t="s">
        <v>42</v>
      </c>
      <c r="CC769" t="s">
        <v>42</v>
      </c>
      <c r="CD769" t="s">
        <v>42</v>
      </c>
      <c r="CE769" t="s">
        <v>42</v>
      </c>
      <c r="CF769" t="s">
        <v>42</v>
      </c>
      <c r="CG769" t="s">
        <v>42</v>
      </c>
      <c r="CH769" t="s">
        <v>42</v>
      </c>
      <c r="CI769" t="s">
        <v>42</v>
      </c>
      <c r="CJ769" t="s">
        <v>42</v>
      </c>
      <c r="CK769" t="s">
        <v>42</v>
      </c>
      <c r="CL769" t="s">
        <v>42</v>
      </c>
      <c r="CM769" t="s">
        <v>42</v>
      </c>
      <c r="CN769" t="s">
        <v>42</v>
      </c>
      <c r="CO769" t="s">
        <v>42</v>
      </c>
      <c r="CP769" t="s">
        <v>42</v>
      </c>
      <c r="CQ769" t="s">
        <v>42</v>
      </c>
      <c r="CR769" t="s">
        <v>42</v>
      </c>
      <c r="CS769" s="4" t="str">
        <f>HYPERLINK("http://exon.niaid.nih.gov/transcriptome/C_felis/S1/links/KOG/cf-contig_782-KOG.txt","Predicted membrane protein")</f>
        <v>Predicted membrane protein</v>
      </c>
      <c r="CT769" t="str">
        <f>HYPERLINK("http://www.ncbi.nlm.nih.gov/COG/grace/shokog.cgi?KOG0858","0.64")</f>
        <v>0.64</v>
      </c>
      <c r="CU769" t="s">
        <v>1711</v>
      </c>
      <c r="CV769" s="4" t="str">
        <f>HYPERLINK("http://exon.niaid.nih.gov/transcriptome/C_felis/S1/links/PFAM/cf-contig_782-PFAM.txt","Bestrophin")</f>
        <v>Bestrophin</v>
      </c>
      <c r="CW769" t="str">
        <f>HYPERLINK("http://pfam.sanger.ac.uk/family?acc=PF01062","0.092")</f>
        <v>0.092</v>
      </c>
      <c r="CX769" s="4" t="str">
        <f>HYPERLINK("http://exon.niaid.nih.gov/transcriptome/C_felis/S1/links/SMART/cf-contig_782-SMART.txt","FRI")</f>
        <v>FRI</v>
      </c>
      <c r="CY769" t="str">
        <f>HYPERLINK("http://smart.embl-heidelberg.de/smart/do_annotation.pl?DOMAIN=FRI&amp;BLAST=DUMMY","0.34")</f>
        <v>0.34</v>
      </c>
      <c r="CZ769" s="4" t="s">
        <v>42</v>
      </c>
      <c r="DA769" t="s">
        <v>42</v>
      </c>
      <c r="DB769" t="s">
        <v>42</v>
      </c>
      <c r="DC769" t="s">
        <v>42</v>
      </c>
      <c r="DD769" t="s">
        <v>42</v>
      </c>
      <c r="DE769" t="s">
        <v>42</v>
      </c>
      <c r="DF769" t="s">
        <v>42</v>
      </c>
      <c r="DG769" t="s">
        <v>42</v>
      </c>
      <c r="DH769" s="4" t="s">
        <v>42</v>
      </c>
      <c r="DI769" t="s">
        <v>42</v>
      </c>
      <c r="DJ769" s="4" t="s">
        <v>42</v>
      </c>
      <c r="DK769" t="s">
        <v>42</v>
      </c>
      <c r="DL769" s="4">
        <v>627</v>
      </c>
      <c r="DM769">
        <v>1</v>
      </c>
      <c r="DN769" s="4">
        <v>648</v>
      </c>
      <c r="DO769">
        <v>1</v>
      </c>
      <c r="DP769" s="4">
        <v>664</v>
      </c>
      <c r="DQ769">
        <v>1</v>
      </c>
      <c r="DR769" s="4">
        <v>686</v>
      </c>
      <c r="DS769">
        <v>1</v>
      </c>
      <c r="DT769" s="4">
        <v>702</v>
      </c>
      <c r="DU769">
        <v>1</v>
      </c>
      <c r="DV769" s="4">
        <v>717</v>
      </c>
      <c r="DW769">
        <v>1</v>
      </c>
      <c r="DX769" s="4">
        <v>731</v>
      </c>
      <c r="DY769">
        <v>1</v>
      </c>
      <c r="DZ769" s="4">
        <v>742</v>
      </c>
      <c r="EA769">
        <v>1</v>
      </c>
      <c r="EB769" s="4">
        <v>749</v>
      </c>
      <c r="EC769">
        <v>1</v>
      </c>
      <c r="ED769" s="4">
        <v>754</v>
      </c>
      <c r="EE769">
        <v>1</v>
      </c>
      <c r="EF769" s="4">
        <v>761</v>
      </c>
      <c r="EG769">
        <v>1</v>
      </c>
      <c r="EH769" s="4">
        <v>773</v>
      </c>
      <c r="EI769">
        <v>1</v>
      </c>
      <c r="EJ769" s="4">
        <v>782</v>
      </c>
      <c r="EK769">
        <v>1</v>
      </c>
    </row>
    <row r="770" spans="1:141" x14ac:dyDescent="0.2">
      <c r="A770" t="str">
        <f>HYPERLINK("http://exon.niaid.nih.gov/transcriptome/C_felis/S1/links/cf/cf-contig_620.txt","cf-contig_620")</f>
        <v>cf-contig_620</v>
      </c>
      <c r="B770">
        <v>1</v>
      </c>
      <c r="C770" s="10" t="s">
        <v>4600</v>
      </c>
      <c r="D770">
        <v>1</v>
      </c>
      <c r="E770" t="str">
        <f>HYPERLINK("http://exon.niaid.nih.gov/transcriptome/C_felis/S1/links/cf/cf-5-36-asb-620.txt","Contig-620")</f>
        <v>Contig-620</v>
      </c>
      <c r="F770" t="str">
        <f>HYPERLINK("http://exon.niaid.nih.gov/transcriptome/C_felis/S1/links/cf/cf-5-36-620-CLU.txt","Contig620")</f>
        <v>Contig620</v>
      </c>
      <c r="G770" t="str">
        <f>HYPERLINK("http://exon.niaid.nih.gov/transcriptome/C_felis/S1/links/cf/cf-5-36-620-qual.txt","55.9")</f>
        <v>55.9</v>
      </c>
      <c r="H770">
        <v>0.1</v>
      </c>
      <c r="I770">
        <v>67.7</v>
      </c>
      <c r="J770">
        <v>660</v>
      </c>
      <c r="K770" t="s">
        <v>12</v>
      </c>
      <c r="L770">
        <v>1</v>
      </c>
      <c r="M770" t="s">
        <v>633</v>
      </c>
      <c r="N770">
        <v>660</v>
      </c>
      <c r="O770">
        <v>679</v>
      </c>
      <c r="P770">
        <v>138</v>
      </c>
      <c r="Q770" t="s">
        <v>1439</v>
      </c>
      <c r="R770">
        <v>3</v>
      </c>
      <c r="S770" s="7" t="s">
        <v>4585</v>
      </c>
      <c r="U770">
        <v>1</v>
      </c>
      <c r="V770" s="4">
        <v>506</v>
      </c>
      <c r="W770">
        <v>1</v>
      </c>
      <c r="X770" s="4">
        <v>518</v>
      </c>
      <c r="Y770">
        <v>1</v>
      </c>
      <c r="Z770" s="4">
        <v>528</v>
      </c>
      <c r="AA770">
        <v>1</v>
      </c>
      <c r="AB770" s="4" t="str">
        <f>HYPERLINK("http://exon.niaid.nih.gov/transcriptome/C_felis/S1/links/XC-ASB/cf-contig_620-XC-ASB.txt","XC-contig_112")</f>
        <v>XC-contig_112</v>
      </c>
      <c r="AC770">
        <v>1E-3</v>
      </c>
      <c r="AD770" s="10" t="s">
        <v>4600</v>
      </c>
      <c r="AE770" t="s">
        <v>4601</v>
      </c>
      <c r="AI770" s="4" t="str">
        <f>HYPERLINK("http://exon.niaid.nih.gov/transcriptome/C_felis/S1/links/NR/cf-contig_620-NR.txt","seryl-tRNA synthetase, putative")</f>
        <v>seryl-tRNA synthetase, putative</v>
      </c>
      <c r="AJ770" t="str">
        <f>HYPERLINK("http://www.ncbi.nlm.nih.gov/sutils/blink.cgi?pid=124805876","2.5")</f>
        <v>2.5</v>
      </c>
      <c r="AK770" t="str">
        <f>HYPERLINK("http://www.ncbi.nlm.nih.gov/protein/124805876","gi|124805876")</f>
        <v>gi|124805876</v>
      </c>
      <c r="AL770">
        <v>37</v>
      </c>
      <c r="AM770">
        <v>40</v>
      </c>
      <c r="AN770">
        <v>618</v>
      </c>
      <c r="AO770">
        <v>39</v>
      </c>
      <c r="AP770">
        <v>7</v>
      </c>
      <c r="AQ770">
        <v>26</v>
      </c>
      <c r="AR770">
        <v>0</v>
      </c>
      <c r="AS770">
        <v>303</v>
      </c>
      <c r="AT770">
        <v>73</v>
      </c>
      <c r="AU770">
        <v>1</v>
      </c>
      <c r="AV770">
        <v>-2</v>
      </c>
      <c r="AW770" t="s">
        <v>12</v>
      </c>
      <c r="AY770" t="s">
        <v>1666</v>
      </c>
      <c r="AZ770" t="s">
        <v>1742</v>
      </c>
      <c r="BA770" s="4" t="str">
        <f>HYPERLINK("http://exon.niaid.nih.gov/transcriptome/C_felis/S1/links/SWISSP/cf-contig_620-SWISSP.txt","Seryl-tRNA synthetase, cytoplasmic")</f>
        <v>Seryl-tRNA synthetase, cytoplasmic</v>
      </c>
      <c r="BB770" t="str">
        <f>HYPERLINK("http://www.uniprot.org/uniprot/Q8I5P7","0.12")</f>
        <v>0.12</v>
      </c>
      <c r="BC770" t="s">
        <v>3944</v>
      </c>
      <c r="BD770">
        <v>37</v>
      </c>
      <c r="BE770">
        <v>199</v>
      </c>
      <c r="BF770">
        <v>618</v>
      </c>
      <c r="BG770">
        <v>39</v>
      </c>
      <c r="BH770">
        <v>32</v>
      </c>
      <c r="BI770">
        <v>26</v>
      </c>
      <c r="BJ770">
        <v>0</v>
      </c>
      <c r="BK770">
        <v>144</v>
      </c>
      <c r="BL770">
        <v>73</v>
      </c>
      <c r="BM770">
        <v>2</v>
      </c>
      <c r="BN770">
        <v>-2</v>
      </c>
      <c r="BO770" t="s">
        <v>1689</v>
      </c>
      <c r="BQ770" t="s">
        <v>1666</v>
      </c>
      <c r="BR770" t="s">
        <v>1724</v>
      </c>
      <c r="BS770" s="4" t="str">
        <f>HYPERLINK("http://exon.niaid.nih.gov/transcriptome/C_felis/S1/links/CDD/cf-contig_620-CDD.txt","SecY")</f>
        <v>SecY</v>
      </c>
      <c r="BT770" t="str">
        <f>HYPERLINK("http://www.ncbi.nlm.nih.gov/Structure/cdd/cddsrv.cgi?uid=pfam00344&amp;version=v4.0","0.37")</f>
        <v>0.37</v>
      </c>
      <c r="BU770" t="s">
        <v>3945</v>
      </c>
      <c r="BV770" s="4" t="s">
        <v>42</v>
      </c>
      <c r="BW770" t="s">
        <v>42</v>
      </c>
      <c r="BX770" t="s">
        <v>42</v>
      </c>
      <c r="BY770" t="s">
        <v>42</v>
      </c>
      <c r="BZ770" t="s">
        <v>42</v>
      </c>
      <c r="CA770" t="s">
        <v>42</v>
      </c>
      <c r="CB770" t="s">
        <v>42</v>
      </c>
      <c r="CC770" t="s">
        <v>42</v>
      </c>
      <c r="CD770" t="s">
        <v>42</v>
      </c>
      <c r="CE770" t="s">
        <v>42</v>
      </c>
      <c r="CF770" t="s">
        <v>42</v>
      </c>
      <c r="CG770" t="s">
        <v>42</v>
      </c>
      <c r="CH770" t="s">
        <v>42</v>
      </c>
      <c r="CI770" t="s">
        <v>42</v>
      </c>
      <c r="CJ770" t="s">
        <v>42</v>
      </c>
      <c r="CK770" t="s">
        <v>42</v>
      </c>
      <c r="CL770" t="s">
        <v>42</v>
      </c>
      <c r="CM770" t="s">
        <v>42</v>
      </c>
      <c r="CN770" t="s">
        <v>42</v>
      </c>
      <c r="CO770" t="s">
        <v>42</v>
      </c>
      <c r="CP770" t="s">
        <v>42</v>
      </c>
      <c r="CQ770" t="s">
        <v>42</v>
      </c>
      <c r="CR770" t="s">
        <v>42</v>
      </c>
      <c r="CS770" s="4" t="str">
        <f>HYPERLINK("http://exon.niaid.nih.gov/transcriptome/C_felis/S1/links/KOG/cf-contig_620-KOG.txt","Mitochondrial import inner membrane translocase, subunit TIM9")</f>
        <v>Mitochondrial import inner membrane translocase, subunit TIM9</v>
      </c>
      <c r="CT770" t="str">
        <f>HYPERLINK("http://www.ncbi.nlm.nih.gov/COG/grace/shokog.cgi?KOG3479","3.3")</f>
        <v>3.3</v>
      </c>
      <c r="CU770" t="s">
        <v>1686</v>
      </c>
      <c r="CV770" s="4" t="str">
        <f>HYPERLINK("http://exon.niaid.nih.gov/transcriptome/C_felis/S1/links/PFAM/cf-contig_620-PFAM.txt","SecY")</f>
        <v>SecY</v>
      </c>
      <c r="CW770" t="str">
        <f>HYPERLINK("http://pfam.sanger.ac.uk/family?acc=PF00344","0.072")</f>
        <v>0.072</v>
      </c>
      <c r="CX770" s="4" t="str">
        <f>HYPERLINK("http://exon.niaid.nih.gov/transcriptome/C_felis/S1/links/SMART/cf-contig_620-SMART.txt","MADS")</f>
        <v>MADS</v>
      </c>
      <c r="CY770" t="str">
        <f>HYPERLINK("http://smart.embl-heidelberg.de/smart/do_annotation.pl?DOMAIN=MADS&amp;BLAST=DUMMY","0.017")</f>
        <v>0.017</v>
      </c>
      <c r="CZ770" s="4" t="s">
        <v>42</v>
      </c>
      <c r="DA770" t="s">
        <v>42</v>
      </c>
      <c r="DB770" t="s">
        <v>42</v>
      </c>
      <c r="DC770" t="s">
        <v>42</v>
      </c>
      <c r="DD770" t="s">
        <v>42</v>
      </c>
      <c r="DE770" t="s">
        <v>42</v>
      </c>
      <c r="DF770" t="s">
        <v>42</v>
      </c>
      <c r="DG770" t="s">
        <v>42</v>
      </c>
      <c r="DH770" s="4" t="s">
        <v>42</v>
      </c>
      <c r="DI770" t="s">
        <v>42</v>
      </c>
      <c r="DJ770" s="4" t="s">
        <v>42</v>
      </c>
      <c r="DK770" t="s">
        <v>42</v>
      </c>
      <c r="DL770" s="4">
        <v>506</v>
      </c>
      <c r="DM770">
        <v>1</v>
      </c>
      <c r="DN770" s="4">
        <v>518</v>
      </c>
      <c r="DO770">
        <v>1</v>
      </c>
      <c r="DP770" s="4">
        <v>528</v>
      </c>
      <c r="DQ770">
        <v>1</v>
      </c>
      <c r="DR770" s="4">
        <v>547</v>
      </c>
      <c r="DS770">
        <v>1</v>
      </c>
      <c r="DT770" s="4">
        <v>559</v>
      </c>
      <c r="DU770">
        <v>1</v>
      </c>
      <c r="DV770" s="4">
        <v>573</v>
      </c>
      <c r="DW770">
        <v>1</v>
      </c>
      <c r="DX770" s="4">
        <v>582</v>
      </c>
      <c r="DY770">
        <v>1</v>
      </c>
      <c r="DZ770" s="4">
        <v>590</v>
      </c>
      <c r="EA770">
        <v>1</v>
      </c>
      <c r="EB770" s="4">
        <v>595</v>
      </c>
      <c r="EC770">
        <v>1</v>
      </c>
      <c r="ED770" s="4">
        <v>599</v>
      </c>
      <c r="EE770">
        <v>1</v>
      </c>
      <c r="EF770" s="4">
        <v>605</v>
      </c>
      <c r="EG770">
        <v>1</v>
      </c>
      <c r="EH770" s="4">
        <v>613</v>
      </c>
      <c r="EI770">
        <v>1</v>
      </c>
      <c r="EJ770" s="4">
        <v>620</v>
      </c>
      <c r="EK770">
        <v>1</v>
      </c>
    </row>
    <row r="771" spans="1:141" x14ac:dyDescent="0.2">
      <c r="A771" t="str">
        <f>HYPERLINK("http://exon.niaid.nih.gov/transcriptome/C_felis/S1/links/cf/cf-contig_539.txt","cf-contig_539")</f>
        <v>cf-contig_539</v>
      </c>
      <c r="B771">
        <v>1</v>
      </c>
      <c r="C771" s="10" t="s">
        <v>4600</v>
      </c>
      <c r="D771">
        <v>1</v>
      </c>
      <c r="E771" t="str">
        <f>HYPERLINK("http://exon.niaid.nih.gov/transcriptome/C_felis/S1/links/cf/cf-5-36-asb-539.txt","Contig-539")</f>
        <v>Contig-539</v>
      </c>
      <c r="F771" t="str">
        <f>HYPERLINK("http://exon.niaid.nih.gov/transcriptome/C_felis/S1/links/cf/cf-5-36-539-CLU.txt","Contig539")</f>
        <v>Contig539</v>
      </c>
      <c r="G771" t="str">
        <f>HYPERLINK("http://exon.niaid.nih.gov/transcriptome/C_felis/S1/links/cf/cf-5-36-539-qual.txt","60.5")</f>
        <v>60.5</v>
      </c>
      <c r="H771" t="s">
        <v>11</v>
      </c>
      <c r="I771">
        <v>76.900000000000006</v>
      </c>
      <c r="J771">
        <v>124</v>
      </c>
      <c r="K771" t="s">
        <v>12</v>
      </c>
      <c r="L771">
        <v>1</v>
      </c>
      <c r="M771" t="s">
        <v>552</v>
      </c>
      <c r="N771">
        <v>124</v>
      </c>
      <c r="O771">
        <v>143</v>
      </c>
      <c r="P771">
        <v>69</v>
      </c>
      <c r="Q771" t="s">
        <v>1358</v>
      </c>
      <c r="R771">
        <v>2</v>
      </c>
      <c r="S771" s="7" t="s">
        <v>4585</v>
      </c>
      <c r="U771">
        <v>1</v>
      </c>
      <c r="V771" s="4">
        <v>441</v>
      </c>
      <c r="W771">
        <v>1</v>
      </c>
      <c r="X771" s="4">
        <v>451</v>
      </c>
      <c r="Y771">
        <v>1</v>
      </c>
      <c r="Z771" s="4">
        <v>457</v>
      </c>
      <c r="AA771">
        <v>1</v>
      </c>
      <c r="AB771" s="4" t="str">
        <f>HYPERLINK("http://exon.niaid.nih.gov/transcriptome/C_felis/S1/links/XC-ASB/cf-contig_539-XC-ASB.txt","XC-contig_216")</f>
        <v>XC-contig_216</v>
      </c>
      <c r="AC771">
        <v>0.16</v>
      </c>
      <c r="AD771" s="10" t="s">
        <v>4600</v>
      </c>
      <c r="AE771" t="s">
        <v>4601</v>
      </c>
      <c r="AI771" s="4" t="str">
        <f>HYPERLINK("http://exon.niaid.nih.gov/transcriptome/C_felis/S1/links/NR/cf-contig_539-NR.txt","tubulin-tyrosine ligase, putative")</f>
        <v>tubulin-tyrosine ligase, putative</v>
      </c>
      <c r="AJ771" t="str">
        <f>HYPERLINK("http://www.ncbi.nlm.nih.gov/sutils/blink.cgi?pid=124804913","27")</f>
        <v>27</v>
      </c>
      <c r="AK771" t="str">
        <f>HYPERLINK("http://www.ncbi.nlm.nih.gov/protein/124804913","gi|124804913")</f>
        <v>gi|124804913</v>
      </c>
      <c r="AL771">
        <v>32.299999999999997</v>
      </c>
      <c r="AM771">
        <v>26</v>
      </c>
      <c r="AN771">
        <v>2755</v>
      </c>
      <c r="AO771">
        <v>48</v>
      </c>
      <c r="AP771">
        <v>1</v>
      </c>
      <c r="AQ771">
        <v>14</v>
      </c>
      <c r="AR771">
        <v>0</v>
      </c>
      <c r="AS771">
        <v>811</v>
      </c>
      <c r="AT771">
        <v>36</v>
      </c>
      <c r="AU771">
        <v>1</v>
      </c>
      <c r="AV771">
        <v>-1</v>
      </c>
      <c r="AW771" t="s">
        <v>12</v>
      </c>
      <c r="AY771" t="s">
        <v>1666</v>
      </c>
      <c r="AZ771" t="s">
        <v>1742</v>
      </c>
      <c r="BA771" s="4" t="str">
        <f>HYPERLINK("http://exon.niaid.nih.gov/transcriptome/C_felis/S1/links/SWISSP/cf-contig_539-SWISSP.txt","Putative uncharacterized protein DDB_G0288037")</f>
        <v>Putative uncharacterized protein DDB_G0288037</v>
      </c>
      <c r="BB771" t="str">
        <f>HYPERLINK("http://www.uniprot.org/uniprot/Q54JI1","1.6")</f>
        <v>1.6</v>
      </c>
      <c r="BC771" t="s">
        <v>3648</v>
      </c>
      <c r="BD771">
        <v>31.6</v>
      </c>
      <c r="BE771">
        <v>26</v>
      </c>
      <c r="BF771">
        <v>148</v>
      </c>
      <c r="BG771">
        <v>51</v>
      </c>
      <c r="BH771">
        <v>18</v>
      </c>
      <c r="BI771">
        <v>13</v>
      </c>
      <c r="BJ771">
        <v>0</v>
      </c>
      <c r="BK771">
        <v>52</v>
      </c>
      <c r="BL771">
        <v>36</v>
      </c>
      <c r="BM771">
        <v>1</v>
      </c>
      <c r="BN771">
        <v>-1</v>
      </c>
      <c r="BO771" t="s">
        <v>12</v>
      </c>
      <c r="BQ771" t="s">
        <v>1666</v>
      </c>
      <c r="BR771" t="s">
        <v>1976</v>
      </c>
      <c r="BS771" s="4" t="str">
        <f>HYPERLINK("http://exon.niaid.nih.gov/transcriptome/C_felis/S1/links/CDD/cf-contig_539-CDD.txt","DUF1430")</f>
        <v>DUF1430</v>
      </c>
      <c r="BT771" t="str">
        <f>HYPERLINK("http://www.ncbi.nlm.nih.gov/Structure/cdd/cddsrv.cgi?uid=pfam07242&amp;version=v4.0","0.70")</f>
        <v>0.70</v>
      </c>
      <c r="BU771" t="s">
        <v>3649</v>
      </c>
      <c r="BV771" s="4" t="s">
        <v>42</v>
      </c>
      <c r="BW771" t="s">
        <v>42</v>
      </c>
      <c r="BX771" t="s">
        <v>42</v>
      </c>
      <c r="BY771" t="s">
        <v>42</v>
      </c>
      <c r="BZ771" t="s">
        <v>42</v>
      </c>
      <c r="CA771" t="s">
        <v>42</v>
      </c>
      <c r="CB771" t="s">
        <v>42</v>
      </c>
      <c r="CC771" t="s">
        <v>42</v>
      </c>
      <c r="CD771" t="s">
        <v>42</v>
      </c>
      <c r="CE771" t="s">
        <v>42</v>
      </c>
      <c r="CF771" t="s">
        <v>42</v>
      </c>
      <c r="CG771" t="s">
        <v>42</v>
      </c>
      <c r="CH771" t="s">
        <v>42</v>
      </c>
      <c r="CI771" t="s">
        <v>42</v>
      </c>
      <c r="CJ771" t="s">
        <v>42</v>
      </c>
      <c r="CK771" t="s">
        <v>42</v>
      </c>
      <c r="CL771" t="s">
        <v>42</v>
      </c>
      <c r="CM771" t="s">
        <v>42</v>
      </c>
      <c r="CN771" t="s">
        <v>42</v>
      </c>
      <c r="CO771" t="s">
        <v>42</v>
      </c>
      <c r="CP771" t="s">
        <v>42</v>
      </c>
      <c r="CQ771" t="s">
        <v>42</v>
      </c>
      <c r="CR771" t="s">
        <v>42</v>
      </c>
      <c r="CS771" s="4" t="str">
        <f>HYPERLINK("http://exon.niaid.nih.gov/transcriptome/C_felis/S1/links/KOG/cf-contig_539-KOG.txt","Transthyretin and related proteins")</f>
        <v>Transthyretin and related proteins</v>
      </c>
      <c r="CT771" t="str">
        <f>HYPERLINK("http://www.ncbi.nlm.nih.gov/COG/grace/shokog.cgi?KOG3006","3.5")</f>
        <v>3.5</v>
      </c>
      <c r="CU771" t="s">
        <v>1761</v>
      </c>
      <c r="CV771" s="4" t="str">
        <f>HYPERLINK("http://exon.niaid.nih.gov/transcriptome/C_felis/S1/links/PFAM/cf-contig_539-PFAM.txt","DUF1430")</f>
        <v>DUF1430</v>
      </c>
      <c r="CW771" t="str">
        <f>HYPERLINK("http://pfam.sanger.ac.uk/family?acc=PF07242","0.15")</f>
        <v>0.15</v>
      </c>
      <c r="CX771" s="4" t="str">
        <f>HYPERLINK("http://exon.niaid.nih.gov/transcriptome/C_felis/S1/links/SMART/cf-contig_539-SMART.txt","TR_THY")</f>
        <v>TR_THY</v>
      </c>
      <c r="CY771" t="str">
        <f>HYPERLINK("http://smart.embl-heidelberg.de/smart/do_annotation.pl?DOMAIN=TR_THY&amp;BLAST=DUMMY","0.13")</f>
        <v>0.13</v>
      </c>
      <c r="CZ771" s="4" t="s">
        <v>42</v>
      </c>
      <c r="DA771" t="s">
        <v>42</v>
      </c>
      <c r="DB771" t="s">
        <v>42</v>
      </c>
      <c r="DC771" t="s">
        <v>42</v>
      </c>
      <c r="DD771" t="s">
        <v>42</v>
      </c>
      <c r="DE771" t="s">
        <v>42</v>
      </c>
      <c r="DF771" t="s">
        <v>42</v>
      </c>
      <c r="DG771" t="s">
        <v>42</v>
      </c>
      <c r="DH771" s="4" t="s">
        <v>42</v>
      </c>
      <c r="DI771" t="s">
        <v>42</v>
      </c>
      <c r="DJ771" s="4" t="s">
        <v>42</v>
      </c>
      <c r="DK771" t="s">
        <v>42</v>
      </c>
      <c r="DL771" s="4">
        <v>441</v>
      </c>
      <c r="DM771">
        <v>1</v>
      </c>
      <c r="DN771" s="4">
        <v>451</v>
      </c>
      <c r="DO771">
        <v>1</v>
      </c>
      <c r="DP771" s="4">
        <v>457</v>
      </c>
      <c r="DQ771">
        <v>1</v>
      </c>
      <c r="DR771" s="4">
        <v>472</v>
      </c>
      <c r="DS771">
        <v>1</v>
      </c>
      <c r="DT771" s="4">
        <v>484</v>
      </c>
      <c r="DU771">
        <v>1</v>
      </c>
      <c r="DV771" s="4">
        <v>498</v>
      </c>
      <c r="DW771">
        <v>1</v>
      </c>
      <c r="DX771" s="4">
        <v>504</v>
      </c>
      <c r="DY771">
        <v>1</v>
      </c>
      <c r="DZ771" s="4">
        <v>512</v>
      </c>
      <c r="EA771">
        <v>1</v>
      </c>
      <c r="EB771" s="4">
        <v>517</v>
      </c>
      <c r="EC771">
        <v>1</v>
      </c>
      <c r="ED771" s="4">
        <v>521</v>
      </c>
      <c r="EE771">
        <v>1</v>
      </c>
      <c r="EF771" s="4">
        <v>526</v>
      </c>
      <c r="EG771">
        <v>1</v>
      </c>
      <c r="EH771" s="4">
        <v>532</v>
      </c>
      <c r="EI771">
        <v>1</v>
      </c>
      <c r="EJ771" s="4">
        <v>539</v>
      </c>
      <c r="EK771">
        <v>1</v>
      </c>
    </row>
    <row r="772" spans="1:141" x14ac:dyDescent="0.2">
      <c r="A772" t="str">
        <f>HYPERLINK("http://exon.niaid.nih.gov/transcriptome/C_felis/S1/links/cf/cf-contig_87.txt","cf-contig_87")</f>
        <v>cf-contig_87</v>
      </c>
      <c r="B772">
        <v>5</v>
      </c>
      <c r="C772" s="10" t="s">
        <v>4600</v>
      </c>
      <c r="D772">
        <v>5</v>
      </c>
      <c r="E772" t="str">
        <f>HYPERLINK("http://exon.niaid.nih.gov/transcriptome/C_felis/S1/links/cf/cf-5-36-asb-87.txt","Contig-87")</f>
        <v>Contig-87</v>
      </c>
      <c r="F772" t="str">
        <f>HYPERLINK("http://exon.niaid.nih.gov/transcriptome/C_felis/S1/links/cf/cf-5-36-87-CLU.txt","Contig87")</f>
        <v>Contig87</v>
      </c>
      <c r="G772" t="str">
        <f>HYPERLINK("http://exon.niaid.nih.gov/transcriptome/C_felis/S1/links/cf/cf-5-36-87-qual.txt","89.6")</f>
        <v>89.6</v>
      </c>
      <c r="H772" t="s">
        <v>11</v>
      </c>
      <c r="I772">
        <v>74.099999999999994</v>
      </c>
      <c r="J772">
        <v>141</v>
      </c>
      <c r="K772" t="s">
        <v>12</v>
      </c>
      <c r="L772">
        <v>5</v>
      </c>
      <c r="M772" t="s">
        <v>100</v>
      </c>
      <c r="N772">
        <v>173</v>
      </c>
      <c r="O772">
        <v>166</v>
      </c>
      <c r="P772">
        <v>120</v>
      </c>
      <c r="Q772" t="s">
        <v>907</v>
      </c>
      <c r="R772">
        <v>3</v>
      </c>
      <c r="S772" s="7" t="s">
        <v>4585</v>
      </c>
      <c r="U772">
        <v>5</v>
      </c>
      <c r="V772" s="4">
        <f>HYPERLINK("http://exon.niaid.nih.gov/transcriptome/C_felis/S1/links/cluster/cf-5-36-asb30-50-Id-CLU9.txt", 9)</f>
        <v>9</v>
      </c>
      <c r="W772">
        <f>HYPERLINK("http://exon.niaid.nih.gov/transcriptome/C_felis/S1/links/cluster/cf-5-36-asb30-50-Id-CLTL9.txt", 4)</f>
        <v>4</v>
      </c>
      <c r="X772" s="4">
        <f>HYPERLINK("http://exon.niaid.nih.gov/transcriptome/C_felis/S1/links/cluster/cf-5-36-asb35-50-Id-CLU15.txt", 15)</f>
        <v>15</v>
      </c>
      <c r="Y772">
        <f>HYPERLINK("http://exon.niaid.nih.gov/transcriptome/C_felis/S1/links/cluster/cf-5-36-asb35-50-Id-CLTL15.txt", 3)</f>
        <v>3</v>
      </c>
      <c r="Z772" s="4">
        <v>105</v>
      </c>
      <c r="AA772">
        <v>1</v>
      </c>
      <c r="AB772" s="4" t="str">
        <f>HYPERLINK("http://exon.niaid.nih.gov/transcriptome/C_felis/S1/links/XC-ASB/cf-contig_87-XC-ASB.txt","XC-contig_115")</f>
        <v>XC-contig_115</v>
      </c>
      <c r="AC772">
        <v>0.55000000000000004</v>
      </c>
      <c r="AD772" s="10" t="s">
        <v>4600</v>
      </c>
      <c r="AE772" t="s">
        <v>4601</v>
      </c>
      <c r="AI772" s="4" t="str">
        <f>HYPERLINK("http://exon.niaid.nih.gov/transcriptome/C_felis/S1/links/NR/cf-contig_87-NR.txt","hypothetical protein in Plasmodium species")</f>
        <v>hypothetical protein in Plasmodium species</v>
      </c>
      <c r="AJ772" t="str">
        <f>HYPERLINK("http://www.ncbi.nlm.nih.gov/sutils/blink.cgi?pid=221053702","21")</f>
        <v>21</v>
      </c>
      <c r="AK772" t="str">
        <f>HYPERLINK("http://www.ncbi.nlm.nih.gov/protein/221053702","gi|221053702")</f>
        <v>gi|221053702</v>
      </c>
      <c r="AL772">
        <v>32.700000000000003</v>
      </c>
      <c r="AM772">
        <v>51</v>
      </c>
      <c r="AN772">
        <v>2206</v>
      </c>
      <c r="AO772">
        <v>34</v>
      </c>
      <c r="AP772">
        <v>2</v>
      </c>
      <c r="AQ772">
        <v>36</v>
      </c>
      <c r="AR772">
        <v>0</v>
      </c>
      <c r="AS772">
        <v>987</v>
      </c>
      <c r="AT772">
        <v>1</v>
      </c>
      <c r="AU772">
        <v>1</v>
      </c>
      <c r="AV772">
        <v>-2</v>
      </c>
      <c r="AW772" t="s">
        <v>12</v>
      </c>
      <c r="AX772">
        <v>1.9610000000000001</v>
      </c>
      <c r="AY772" t="s">
        <v>1666</v>
      </c>
      <c r="AZ772" t="s">
        <v>1986</v>
      </c>
      <c r="BA772" s="4" t="str">
        <f>HYPERLINK("http://exon.niaid.nih.gov/transcriptome/C_felis/S1/links/SWISSP/cf-contig_87-SWISSP.txt","Phosphoglycerate kinase")</f>
        <v>Phosphoglycerate kinase</v>
      </c>
      <c r="BB772" t="str">
        <f>HYPERLINK("http://www.uniprot.org/uniprot/Q8D2P9","6.2")</f>
        <v>6.2</v>
      </c>
      <c r="BC772" t="s">
        <v>1987</v>
      </c>
      <c r="BD772">
        <v>29.6</v>
      </c>
      <c r="BE772">
        <v>35</v>
      </c>
      <c r="BF772">
        <v>394</v>
      </c>
      <c r="BG772">
        <v>41</v>
      </c>
      <c r="BH772">
        <v>9</v>
      </c>
      <c r="BI772">
        <v>21</v>
      </c>
      <c r="BJ772">
        <v>0</v>
      </c>
      <c r="BK772">
        <v>220</v>
      </c>
      <c r="BL772">
        <v>29</v>
      </c>
      <c r="BM772">
        <v>1</v>
      </c>
      <c r="BN772">
        <v>-1</v>
      </c>
      <c r="BO772" t="s">
        <v>12</v>
      </c>
      <c r="BQ772" t="s">
        <v>1666</v>
      </c>
      <c r="BR772" t="s">
        <v>1988</v>
      </c>
      <c r="BS772" s="4" t="str">
        <f>HYPERLINK("http://exon.niaid.nih.gov/transcriptome/C_felis/S1/links/CDD/cf-contig_87-CDD.txt","Ndc80_HEC")</f>
        <v>Ndc80_HEC</v>
      </c>
      <c r="BT772" t="str">
        <f>HYPERLINK("http://www.ncbi.nlm.nih.gov/Structure/cdd/cddsrv.cgi?uid=pfam03801&amp;version=v4.0","1.3")</f>
        <v>1.3</v>
      </c>
      <c r="BU772" t="s">
        <v>1989</v>
      </c>
      <c r="BV772" s="4" t="s">
        <v>42</v>
      </c>
      <c r="BW772" t="s">
        <v>42</v>
      </c>
      <c r="BX772" t="s">
        <v>42</v>
      </c>
      <c r="BY772" t="s">
        <v>42</v>
      </c>
      <c r="BZ772" t="s">
        <v>42</v>
      </c>
      <c r="CA772" t="s">
        <v>42</v>
      </c>
      <c r="CB772" t="s">
        <v>42</v>
      </c>
      <c r="CC772" t="s">
        <v>42</v>
      </c>
      <c r="CD772" t="s">
        <v>42</v>
      </c>
      <c r="CE772" t="s">
        <v>42</v>
      </c>
      <c r="CF772" t="s">
        <v>42</v>
      </c>
      <c r="CG772" t="s">
        <v>42</v>
      </c>
      <c r="CH772" t="s">
        <v>42</v>
      </c>
      <c r="CI772" t="s">
        <v>42</v>
      </c>
      <c r="CJ772" t="s">
        <v>42</v>
      </c>
      <c r="CK772" t="s">
        <v>42</v>
      </c>
      <c r="CL772" t="s">
        <v>42</v>
      </c>
      <c r="CM772" t="s">
        <v>42</v>
      </c>
      <c r="CN772" t="s">
        <v>42</v>
      </c>
      <c r="CO772" t="s">
        <v>42</v>
      </c>
      <c r="CP772" t="s">
        <v>42</v>
      </c>
      <c r="CQ772" t="s">
        <v>42</v>
      </c>
      <c r="CR772" t="s">
        <v>42</v>
      </c>
      <c r="CS772" s="4" t="str">
        <f>HYPERLINK("http://exon.niaid.nih.gov/transcriptome/C_felis/S1/links/KOG/cf-contig_87-KOG.txt","p53 inducible protein PIR121")</f>
        <v>p53 inducible protein PIR121</v>
      </c>
      <c r="CT772" t="str">
        <f>HYPERLINK("http://www.ncbi.nlm.nih.gov/COG/grace/shokog.cgi?KOG3534","1.7")</f>
        <v>1.7</v>
      </c>
      <c r="CU772" t="s">
        <v>1721</v>
      </c>
      <c r="CV772" s="4" t="str">
        <f>HYPERLINK("http://exon.niaid.nih.gov/transcriptome/C_felis/S1/links/PFAM/cf-contig_87-PFAM.txt","Ndc80_HEC")</f>
        <v>Ndc80_HEC</v>
      </c>
      <c r="CW772" t="str">
        <f>HYPERLINK("http://pfam.sanger.ac.uk/family?acc=PF03801","0.26")</f>
        <v>0.26</v>
      </c>
      <c r="CX772" s="4" t="str">
        <f>HYPERLINK("http://exon.niaid.nih.gov/transcriptome/C_felis/S1/links/SMART/cf-contig_87-SMART.txt","DM15")</f>
        <v>DM15</v>
      </c>
      <c r="CY772" t="str">
        <f>HYPERLINK("http://smart.embl-heidelberg.de/smart/do_annotation.pl?DOMAIN=DM15&amp;BLAST=DUMMY","0.30")</f>
        <v>0.30</v>
      </c>
      <c r="CZ772" s="4" t="s">
        <v>42</v>
      </c>
      <c r="DA772" t="s">
        <v>42</v>
      </c>
      <c r="DB772" t="s">
        <v>42</v>
      </c>
      <c r="DC772" t="s">
        <v>42</v>
      </c>
      <c r="DD772" t="s">
        <v>42</v>
      </c>
      <c r="DE772" t="s">
        <v>42</v>
      </c>
      <c r="DF772" t="s">
        <v>42</v>
      </c>
      <c r="DG772" t="s">
        <v>42</v>
      </c>
      <c r="DH772" s="4" t="s">
        <v>42</v>
      </c>
      <c r="DI772" t="s">
        <v>42</v>
      </c>
      <c r="DJ772" s="4" t="s">
        <v>42</v>
      </c>
      <c r="DK772" t="s">
        <v>42</v>
      </c>
      <c r="DL772" s="4">
        <f>HYPERLINK("http://exon.niaid.nih.gov/transcriptome/C_felis/S1/links/cluster/cf-5-36-asb30-50-Id-CLU9.txt", 9)</f>
        <v>9</v>
      </c>
      <c r="DM772">
        <f>HYPERLINK("http://exon.niaid.nih.gov/transcriptome/C_felis/S1/links/cluster/cf-5-36-asb30-50-Id-CLTL9.txt", 4)</f>
        <v>4</v>
      </c>
      <c r="DN772" s="4">
        <f>HYPERLINK("http://exon.niaid.nih.gov/transcriptome/C_felis/S1/links/cluster/cf-5-36-asb35-50-Id-CLU15.txt", 15)</f>
        <v>15</v>
      </c>
      <c r="DO772">
        <f>HYPERLINK("http://exon.niaid.nih.gov/transcriptome/C_felis/S1/links/cluster/cf-5-36-asb35-50-Id-CLTL15.txt", 3)</f>
        <v>3</v>
      </c>
      <c r="DP772" s="4">
        <v>105</v>
      </c>
      <c r="DQ772">
        <v>1</v>
      </c>
      <c r="DR772" s="4">
        <v>96</v>
      </c>
      <c r="DS772">
        <v>1</v>
      </c>
      <c r="DT772" s="4">
        <v>94</v>
      </c>
      <c r="DU772">
        <v>1</v>
      </c>
      <c r="DV772" s="4">
        <v>99</v>
      </c>
      <c r="DW772">
        <v>1</v>
      </c>
      <c r="DX772" s="4">
        <v>98</v>
      </c>
      <c r="DY772">
        <v>1</v>
      </c>
      <c r="DZ772" s="4">
        <v>96</v>
      </c>
      <c r="EA772">
        <v>1</v>
      </c>
      <c r="EB772" s="4">
        <v>96</v>
      </c>
      <c r="EC772">
        <v>1</v>
      </c>
      <c r="ED772" s="4">
        <v>97</v>
      </c>
      <c r="EE772">
        <v>1</v>
      </c>
      <c r="EF772" s="4">
        <v>94</v>
      </c>
      <c r="EG772">
        <v>1</v>
      </c>
      <c r="EH772" s="4">
        <v>89</v>
      </c>
      <c r="EI772">
        <v>1</v>
      </c>
      <c r="EJ772" s="4">
        <v>87</v>
      </c>
      <c r="EK772">
        <v>1</v>
      </c>
    </row>
    <row r="773" spans="1:141" x14ac:dyDescent="0.2">
      <c r="A773" t="str">
        <f>HYPERLINK("http://exon.niaid.nih.gov/transcriptome/C_felis/S1/links/cf/cf-contig_36.txt","cf-contig_36")</f>
        <v>cf-contig_36</v>
      </c>
      <c r="B773">
        <v>1</v>
      </c>
      <c r="C773" s="10" t="s">
        <v>4600</v>
      </c>
      <c r="D773">
        <v>1</v>
      </c>
      <c r="E773" t="str">
        <f>HYPERLINK("http://exon.niaid.nih.gov/transcriptome/C_felis/S1/links/cf/cf-5-36-asb-36.txt","Contig-36")</f>
        <v>Contig-36</v>
      </c>
      <c r="F773" t="str">
        <f>HYPERLINK("http://exon.niaid.nih.gov/transcriptome/C_felis/S1/links/cf/cf-5-36-36-CLU.txt","Contig36")</f>
        <v>Contig36</v>
      </c>
      <c r="G773" t="str">
        <f>HYPERLINK("http://exon.niaid.nih.gov/transcriptome/C_felis/S1/links/cf/cf-5-36-36-qual.txt","62.5")</f>
        <v>62.5</v>
      </c>
      <c r="H773" t="s">
        <v>11</v>
      </c>
      <c r="I773">
        <v>72.400000000000006</v>
      </c>
      <c r="J773">
        <v>231</v>
      </c>
      <c r="K773" t="s">
        <v>12</v>
      </c>
      <c r="L773">
        <v>1</v>
      </c>
      <c r="M773" t="s">
        <v>49</v>
      </c>
      <c r="N773">
        <v>231</v>
      </c>
      <c r="O773">
        <v>250</v>
      </c>
      <c r="P773">
        <v>114</v>
      </c>
      <c r="Q773" t="s">
        <v>858</v>
      </c>
      <c r="R773">
        <v>1</v>
      </c>
      <c r="S773" s="7" t="s">
        <v>4585</v>
      </c>
      <c r="U773">
        <v>1</v>
      </c>
      <c r="V773" s="4">
        <f>HYPERLINK("http://exon.niaid.nih.gov/transcriptome/C_felis/S1/links/cluster/cf-5-36-asb30-50-Id-CLU1.txt", 1)</f>
        <v>1</v>
      </c>
      <c r="W773">
        <f>HYPERLINK("http://exon.niaid.nih.gov/transcriptome/C_felis/S1/links/cluster/cf-5-36-asb30-50-Id-CLTL1.txt", 14)</f>
        <v>14</v>
      </c>
      <c r="X773" s="4">
        <f>HYPERLINK("http://exon.niaid.nih.gov/transcriptome/C_felis/S1/links/cluster/cf-5-36-asb35-50-Id-CLU2.txt", 2)</f>
        <v>2</v>
      </c>
      <c r="Y773">
        <f>HYPERLINK("http://exon.niaid.nih.gov/transcriptome/C_felis/S1/links/cluster/cf-5-36-asb35-50-Id-CLTL2.txt", 9)</f>
        <v>9</v>
      </c>
      <c r="Z773" s="4">
        <f>HYPERLINK("http://exon.niaid.nih.gov/transcriptome/C_felis/S1/links/cluster/cf-5-36-asb40-50-Id-CLU2.txt", 2)</f>
        <v>2</v>
      </c>
      <c r="AA773">
        <f>HYPERLINK("http://exon.niaid.nih.gov/transcriptome/C_felis/S1/links/cluster/cf-5-36-asb40-50-Id-CLTL2.txt", 7)</f>
        <v>7</v>
      </c>
      <c r="AB773" s="4" t="str">
        <f>HYPERLINK("http://exon.niaid.nih.gov/transcriptome/C_felis/S1/links/XC-ASB/cf-contig_36-XC-ASB.txt","XC-contig_122")</f>
        <v>XC-contig_122</v>
      </c>
      <c r="AC773">
        <v>3.6999999999999998E-2</v>
      </c>
      <c r="AD773" s="10" t="s">
        <v>4600</v>
      </c>
      <c r="AE773" t="s">
        <v>4601</v>
      </c>
      <c r="AI773" s="4" t="str">
        <f>HYPERLINK("http://exon.niaid.nih.gov/transcriptome/C_felis/S1/links/NR/cf-contig_36-NR.txt","reticulocyte binding-like protein 4")</f>
        <v>reticulocyte binding-like protein 4</v>
      </c>
      <c r="AJ773" t="str">
        <f>HYPERLINK("http://www.ncbi.nlm.nih.gov/sutils/blink.cgi?pid=37725926","7.1")</f>
        <v>7.1</v>
      </c>
      <c r="AK773" t="str">
        <f>HYPERLINK("http://www.ncbi.nlm.nih.gov/protein/37725926","gi|37725926")</f>
        <v>gi|37725926</v>
      </c>
      <c r="AL773">
        <v>34.299999999999997</v>
      </c>
      <c r="AM773">
        <v>49</v>
      </c>
      <c r="AN773">
        <v>1665</v>
      </c>
      <c r="AO773">
        <v>34</v>
      </c>
      <c r="AP773">
        <v>3</v>
      </c>
      <c r="AQ773">
        <v>34</v>
      </c>
      <c r="AR773">
        <v>0</v>
      </c>
      <c r="AS773">
        <v>1075</v>
      </c>
      <c r="AT773">
        <v>59</v>
      </c>
      <c r="AU773">
        <v>1</v>
      </c>
      <c r="AV773">
        <v>-1</v>
      </c>
      <c r="AW773" t="s">
        <v>12</v>
      </c>
      <c r="AX773">
        <v>2.0409999999999999</v>
      </c>
      <c r="AY773" t="s">
        <v>1666</v>
      </c>
      <c r="AZ773" t="s">
        <v>1801</v>
      </c>
      <c r="BA773" s="4" t="str">
        <f>HYPERLINK("http://exon.niaid.nih.gov/transcriptome/C_felis/S1/links/SWISSP/cf-contig_36-SWISSP.txt","Multimerin-2")</f>
        <v>Multimerin-2</v>
      </c>
      <c r="BB773" t="str">
        <f>HYPERLINK("http://www.uniprot.org/uniprot/A6H6E2","3.6")</f>
        <v>3.6</v>
      </c>
      <c r="BC773" t="s">
        <v>1798</v>
      </c>
      <c r="BD773">
        <v>30.4</v>
      </c>
      <c r="BE773">
        <v>37</v>
      </c>
      <c r="BF773">
        <v>943</v>
      </c>
      <c r="BG773">
        <v>42</v>
      </c>
      <c r="BH773">
        <v>4</v>
      </c>
      <c r="BI773">
        <v>22</v>
      </c>
      <c r="BJ773">
        <v>2</v>
      </c>
      <c r="BK773">
        <v>745</v>
      </c>
      <c r="BL773">
        <v>11</v>
      </c>
      <c r="BM773">
        <v>1</v>
      </c>
      <c r="BN773">
        <v>-1</v>
      </c>
      <c r="BO773" t="s">
        <v>12</v>
      </c>
      <c r="BQ773" t="s">
        <v>1666</v>
      </c>
      <c r="BR773" t="s">
        <v>1705</v>
      </c>
      <c r="BS773" s="4" t="str">
        <f>HYPERLINK("http://exon.niaid.nih.gov/transcriptome/C_felis/S1/links/CDD/cf-contig_36-CDD.txt","PHA03031")</f>
        <v>PHA03031</v>
      </c>
      <c r="BT773" t="str">
        <f>HYPERLINK("http://www.ncbi.nlm.nih.gov/Structure/cdd/cddsrv.cgi?uid=PHA03031&amp;version=v4.0","0.056")</f>
        <v>0.056</v>
      </c>
      <c r="BU773" t="s">
        <v>1802</v>
      </c>
      <c r="BV773" s="4" t="s">
        <v>42</v>
      </c>
      <c r="BW773" t="s">
        <v>42</v>
      </c>
      <c r="BX773" t="s">
        <v>42</v>
      </c>
      <c r="BY773" t="s">
        <v>42</v>
      </c>
      <c r="BZ773" t="s">
        <v>42</v>
      </c>
      <c r="CA773" t="s">
        <v>42</v>
      </c>
      <c r="CB773" t="s">
        <v>42</v>
      </c>
      <c r="CC773" t="s">
        <v>42</v>
      </c>
      <c r="CD773" t="s">
        <v>42</v>
      </c>
      <c r="CE773" t="s">
        <v>42</v>
      </c>
      <c r="CF773" t="s">
        <v>42</v>
      </c>
      <c r="CG773" t="s">
        <v>42</v>
      </c>
      <c r="CH773" t="s">
        <v>42</v>
      </c>
      <c r="CI773" t="s">
        <v>42</v>
      </c>
      <c r="CJ773" t="s">
        <v>42</v>
      </c>
      <c r="CK773" t="s">
        <v>42</v>
      </c>
      <c r="CL773" t="s">
        <v>42</v>
      </c>
      <c r="CM773" t="s">
        <v>42</v>
      </c>
      <c r="CN773" t="s">
        <v>42</v>
      </c>
      <c r="CO773" t="s">
        <v>42</v>
      </c>
      <c r="CP773" t="s">
        <v>42</v>
      </c>
      <c r="CQ773" t="s">
        <v>42</v>
      </c>
      <c r="CR773" t="s">
        <v>42</v>
      </c>
      <c r="CS773" s="4" t="str">
        <f>HYPERLINK("http://exon.niaid.nih.gov/transcriptome/C_felis/S1/links/KOG/cf-contig_36-KOG.txt","Predicted membrane protein")</f>
        <v>Predicted membrane protein</v>
      </c>
      <c r="CT773" t="str">
        <f>HYPERLINK("http://www.ncbi.nlm.nih.gov/COG/grace/shokog.cgi?KOG2568","0.13")</f>
        <v>0.13</v>
      </c>
      <c r="CU773" t="s">
        <v>1711</v>
      </c>
      <c r="CV773" s="4" t="str">
        <f>HYPERLINK("http://exon.niaid.nih.gov/transcriptome/C_felis/S1/links/PFAM/cf-contig_36-PFAM.txt","DUF3021")</f>
        <v>DUF3021</v>
      </c>
      <c r="CW773" t="str">
        <f>HYPERLINK("http://pfam.sanger.ac.uk/family?acc=PF11457","0.050")</f>
        <v>0.050</v>
      </c>
      <c r="CX773" s="4" t="str">
        <f>HYPERLINK("http://exon.niaid.nih.gov/transcriptome/C_felis/S1/links/SMART/cf-contig_36-SMART.txt","AgrB")</f>
        <v>AgrB</v>
      </c>
      <c r="CY773" t="str">
        <f>HYPERLINK("http://smart.embl-heidelberg.de/smart/do_annotation.pl?DOMAIN=AgrB&amp;BLAST=DUMMY","0.084")</f>
        <v>0.084</v>
      </c>
      <c r="CZ773" s="4" t="s">
        <v>42</v>
      </c>
      <c r="DA773" t="s">
        <v>42</v>
      </c>
      <c r="DB773" t="s">
        <v>42</v>
      </c>
      <c r="DC773" t="s">
        <v>42</v>
      </c>
      <c r="DD773" t="s">
        <v>42</v>
      </c>
      <c r="DE773" t="s">
        <v>42</v>
      </c>
      <c r="DF773" t="s">
        <v>42</v>
      </c>
      <c r="DG773" t="s">
        <v>42</v>
      </c>
      <c r="DH773" s="4" t="s">
        <v>42</v>
      </c>
      <c r="DI773" t="s">
        <v>42</v>
      </c>
      <c r="DJ773" s="4" t="s">
        <v>42</v>
      </c>
      <c r="DK773" t="s">
        <v>42</v>
      </c>
      <c r="DL773" s="4">
        <f>HYPERLINK("http://exon.niaid.nih.gov/transcriptome/C_felis/S1/links/cluster/cf-5-36-asb30-50-Id-CLU1.txt", 1)</f>
        <v>1</v>
      </c>
      <c r="DM773">
        <f>HYPERLINK("http://exon.niaid.nih.gov/transcriptome/C_felis/S1/links/cluster/cf-5-36-asb30-50-Id-CLTL1.txt", 14)</f>
        <v>14</v>
      </c>
      <c r="DN773" s="4">
        <f>HYPERLINK("http://exon.niaid.nih.gov/transcriptome/C_felis/S1/links/cluster/cf-5-36-asb35-50-Id-CLU2.txt", 2)</f>
        <v>2</v>
      </c>
      <c r="DO773">
        <f>HYPERLINK("http://exon.niaid.nih.gov/transcriptome/C_felis/S1/links/cluster/cf-5-36-asb35-50-Id-CLTL2.txt", 9)</f>
        <v>9</v>
      </c>
      <c r="DP773" s="4">
        <f>HYPERLINK("http://exon.niaid.nih.gov/transcriptome/C_felis/S1/links/cluster/cf-5-36-asb40-50-Id-CLU2.txt", 2)</f>
        <v>2</v>
      </c>
      <c r="DQ773">
        <f>HYPERLINK("http://exon.niaid.nih.gov/transcriptome/C_felis/S1/links/cluster/cf-5-36-asb40-50-Id-CLTL2.txt", 7)</f>
        <v>7</v>
      </c>
      <c r="DR773" s="4">
        <f>HYPERLINK("http://exon.niaid.nih.gov/transcriptome/C_felis/S1/links/cluster/cf-5-36-asb45-50-Id-CLU2.txt", 2)</f>
        <v>2</v>
      </c>
      <c r="DS773">
        <f>HYPERLINK("http://exon.niaid.nih.gov/transcriptome/C_felis/S1/links/cluster/cf-5-36-asb45-50-Id-CLTL2.txt", 6)</f>
        <v>6</v>
      </c>
      <c r="DT773" s="4">
        <f>HYPERLINK("http://exon.niaid.nih.gov/transcriptome/C_felis/S1/links/cluster/cf-5-36-asb50-50-Id-CLU2.txt", 2)</f>
        <v>2</v>
      </c>
      <c r="DU773">
        <f>HYPERLINK("http://exon.niaid.nih.gov/transcriptome/C_felis/S1/links/cluster/cf-5-36-asb50-50-Id-CLTL2.txt", 6)</f>
        <v>6</v>
      </c>
      <c r="DV773" s="4">
        <f>HYPERLINK("http://exon.niaid.nih.gov/transcriptome/C_felis/S1/links/cluster/cf-5-36-asb55-50-Id-CLU2.txt", 2)</f>
        <v>2</v>
      </c>
      <c r="DW773">
        <f>HYPERLINK("http://exon.niaid.nih.gov/transcriptome/C_felis/S1/links/cluster/cf-5-36-asb55-50-Id-CLTL2.txt", 4)</f>
        <v>4</v>
      </c>
      <c r="DX773" s="4">
        <f>HYPERLINK("http://exon.niaid.nih.gov/transcriptome/C_felis/S1/links/cluster/cf-5-36-asb60-50-Id-CLU5.txt", 5)</f>
        <v>5</v>
      </c>
      <c r="DY773">
        <f>HYPERLINK("http://exon.niaid.nih.gov/transcriptome/C_felis/S1/links/cluster/cf-5-36-asb60-50-Id-CLTL5.txt", 3)</f>
        <v>3</v>
      </c>
      <c r="DZ773" s="4">
        <f>HYPERLINK("http://exon.niaid.nih.gov/transcriptome/C_felis/S1/links/cluster/cf-5-36-asb65-50-Id-CLU12.txt", 12)</f>
        <v>12</v>
      </c>
      <c r="EA773">
        <f>HYPERLINK("http://exon.niaid.nih.gov/transcriptome/C_felis/S1/links/cluster/cf-5-36-asb65-50-Id-CLTL12.txt", 2)</f>
        <v>2</v>
      </c>
      <c r="EB773" s="4">
        <f>HYPERLINK("http://exon.niaid.nih.gov/transcriptome/C_felis/S1/links/cluster/cf-5-36-asb70-50-Id-CLU8.txt", 8)</f>
        <v>8</v>
      </c>
      <c r="EC773">
        <f>HYPERLINK("http://exon.niaid.nih.gov/transcriptome/C_felis/S1/links/cluster/cf-5-36-asb70-50-Id-CLTL8.txt", 2)</f>
        <v>2</v>
      </c>
      <c r="ED773" s="4">
        <f>HYPERLINK("http://exon.niaid.nih.gov/transcriptome/C_felis/S1/links/cluster/cf-5-36-asb75-50-Id-CLU58.txt", 58)</f>
        <v>58</v>
      </c>
      <c r="EE773">
        <f>HYPERLINK("http://exon.niaid.nih.gov/transcriptome/C_felis/S1/links/cluster/cf-5-36-asb75-50-Id-CLTL58.txt", 1)</f>
        <v>1</v>
      </c>
      <c r="EF773" s="4">
        <v>52</v>
      </c>
      <c r="EG773">
        <v>1</v>
      </c>
      <c r="EH773" s="4">
        <v>40</v>
      </c>
      <c r="EI773">
        <v>1</v>
      </c>
      <c r="EJ773" s="4">
        <v>36</v>
      </c>
      <c r="EK773">
        <v>1</v>
      </c>
    </row>
    <row r="774" spans="1:141" x14ac:dyDescent="0.2">
      <c r="A774" t="str">
        <f>HYPERLINK("http://exon.niaid.nih.gov/transcriptome/C_felis/S1/links/cf/cf-contig_468.txt","cf-contig_468")</f>
        <v>cf-contig_468</v>
      </c>
      <c r="B774">
        <v>1</v>
      </c>
      <c r="C774" s="10" t="s">
        <v>4600</v>
      </c>
      <c r="D774">
        <v>1</v>
      </c>
      <c r="E774" t="str">
        <f>HYPERLINK("http://exon.niaid.nih.gov/transcriptome/C_felis/S1/links/cf/cf-5-36-asb-468.txt","Contig-468")</f>
        <v>Contig-468</v>
      </c>
      <c r="F774" t="str">
        <f>HYPERLINK("http://exon.niaid.nih.gov/transcriptome/C_felis/S1/links/cf/cf-5-36-468-CLU.txt","Contig468")</f>
        <v>Contig468</v>
      </c>
      <c r="G774" t="str">
        <f>HYPERLINK("http://exon.niaid.nih.gov/transcriptome/C_felis/S1/links/cf/cf-5-36-468-qual.txt","59.6")</f>
        <v>59.6</v>
      </c>
      <c r="H774" t="s">
        <v>11</v>
      </c>
      <c r="I774">
        <v>77</v>
      </c>
      <c r="J774">
        <v>277</v>
      </c>
      <c r="K774" t="s">
        <v>12</v>
      </c>
      <c r="L774">
        <v>1</v>
      </c>
      <c r="M774" t="s">
        <v>481</v>
      </c>
      <c r="N774">
        <v>277</v>
      </c>
      <c r="O774">
        <v>296</v>
      </c>
      <c r="P774">
        <v>84</v>
      </c>
      <c r="Q774" t="s">
        <v>1287</v>
      </c>
      <c r="R774">
        <v>3</v>
      </c>
      <c r="S774" s="7" t="s">
        <v>4585</v>
      </c>
      <c r="U774">
        <v>1</v>
      </c>
      <c r="V774" s="4">
        <v>380</v>
      </c>
      <c r="W774">
        <v>1</v>
      </c>
      <c r="X774" s="4">
        <v>389</v>
      </c>
      <c r="Y774">
        <v>1</v>
      </c>
      <c r="Z774" s="4">
        <v>394</v>
      </c>
      <c r="AA774">
        <v>1</v>
      </c>
      <c r="AB774" s="4" t="str">
        <f>HYPERLINK("http://exon.niaid.nih.gov/transcriptome/C_felis/S1/links/XC-ASB/cf-contig_468-XC-ASB.txt","XC-contig_184")</f>
        <v>XC-contig_184</v>
      </c>
      <c r="AC774">
        <v>0.14000000000000001</v>
      </c>
      <c r="AD774" s="10" t="s">
        <v>4600</v>
      </c>
      <c r="AE774" t="s">
        <v>4601</v>
      </c>
      <c r="AI774" s="4" t="str">
        <f>HYPERLINK("http://exon.niaid.nih.gov/transcriptome/C_felis/S1/links/NR/cf-contig_468-NR.txt","hypothetical protein")</f>
        <v>hypothetical protein</v>
      </c>
      <c r="AJ774" t="str">
        <f>HYPERLINK("http://www.ncbi.nlm.nih.gov/sutils/blink.cgi?pid=156102753","28")</f>
        <v>28</v>
      </c>
      <c r="AK774" t="str">
        <f>HYPERLINK("http://www.ncbi.nlm.nih.gov/protein/156102753","gi|156102753")</f>
        <v>gi|156102753</v>
      </c>
      <c r="AL774">
        <v>32.299999999999997</v>
      </c>
      <c r="AM774">
        <v>64</v>
      </c>
      <c r="AN774">
        <v>2416</v>
      </c>
      <c r="AO774">
        <v>28</v>
      </c>
      <c r="AP774">
        <v>3</v>
      </c>
      <c r="AQ774">
        <v>48</v>
      </c>
      <c r="AR774">
        <v>7</v>
      </c>
      <c r="AS774">
        <v>740</v>
      </c>
      <c r="AT774">
        <v>26</v>
      </c>
      <c r="AU774">
        <v>1</v>
      </c>
      <c r="AV774">
        <v>-2</v>
      </c>
      <c r="AW774" t="s">
        <v>12</v>
      </c>
      <c r="AX774">
        <v>1.5629999999999999</v>
      </c>
      <c r="AY774" t="s">
        <v>1666</v>
      </c>
      <c r="AZ774" t="s">
        <v>3372</v>
      </c>
      <c r="BA774" s="4" t="str">
        <f>HYPERLINK("http://exon.niaid.nih.gov/transcriptome/C_felis/S1/links/SWISSP/cf-contig_468-SWISSP.txt","tRNA modification GTPase MnmE")</f>
        <v>tRNA modification GTPase MnmE</v>
      </c>
      <c r="BB774" t="str">
        <f>HYPERLINK("http://www.uniprot.org/uniprot/Q05FY9","1.7")</f>
        <v>1.7</v>
      </c>
      <c r="BC774" t="s">
        <v>3373</v>
      </c>
      <c r="BD774">
        <v>31.6</v>
      </c>
      <c r="BE774">
        <v>46</v>
      </c>
      <c r="BF774">
        <v>438</v>
      </c>
      <c r="BG774">
        <v>40</v>
      </c>
      <c r="BH774">
        <v>11</v>
      </c>
      <c r="BI774">
        <v>28</v>
      </c>
      <c r="BJ774">
        <v>0</v>
      </c>
      <c r="BK774">
        <v>170</v>
      </c>
      <c r="BL774">
        <v>63</v>
      </c>
      <c r="BM774">
        <v>1</v>
      </c>
      <c r="BN774">
        <v>3</v>
      </c>
      <c r="BO774" t="s">
        <v>12</v>
      </c>
      <c r="BP774">
        <v>4.3479999999999999</v>
      </c>
      <c r="BQ774" t="s">
        <v>1676</v>
      </c>
      <c r="BR774" t="s">
        <v>3374</v>
      </c>
      <c r="BS774" s="4" t="str">
        <f>HYPERLINK("http://exon.niaid.nih.gov/transcriptome/C_felis/S1/links/CDD/cf-contig_468-CDD.txt","ND2")</f>
        <v>ND2</v>
      </c>
      <c r="BT774" t="str">
        <f>HYPERLINK("http://www.ncbi.nlm.nih.gov/Structure/cdd/cddsrv.cgi?uid=MTH00091&amp;version=v4.0","0.24")</f>
        <v>0.24</v>
      </c>
      <c r="BU774" t="s">
        <v>3375</v>
      </c>
      <c r="BV774" s="4" t="s">
        <v>42</v>
      </c>
      <c r="BW774" t="s">
        <v>42</v>
      </c>
      <c r="BX774" t="s">
        <v>42</v>
      </c>
      <c r="BY774" t="s">
        <v>42</v>
      </c>
      <c r="BZ774" t="s">
        <v>42</v>
      </c>
      <c r="CA774" t="s">
        <v>42</v>
      </c>
      <c r="CB774" t="s">
        <v>42</v>
      </c>
      <c r="CC774" t="s">
        <v>42</v>
      </c>
      <c r="CD774" t="s">
        <v>42</v>
      </c>
      <c r="CE774" t="s">
        <v>42</v>
      </c>
      <c r="CF774" t="s">
        <v>42</v>
      </c>
      <c r="CG774" t="s">
        <v>42</v>
      </c>
      <c r="CH774" t="s">
        <v>42</v>
      </c>
      <c r="CI774" t="s">
        <v>42</v>
      </c>
      <c r="CJ774" t="s">
        <v>42</v>
      </c>
      <c r="CK774" t="s">
        <v>42</v>
      </c>
      <c r="CL774" t="s">
        <v>42</v>
      </c>
      <c r="CM774" t="s">
        <v>42</v>
      </c>
      <c r="CN774" t="s">
        <v>42</v>
      </c>
      <c r="CO774" t="s">
        <v>42</v>
      </c>
      <c r="CP774" t="s">
        <v>42</v>
      </c>
      <c r="CQ774" t="s">
        <v>42</v>
      </c>
      <c r="CR774" t="s">
        <v>42</v>
      </c>
      <c r="CS774" s="4" t="str">
        <f>HYPERLINK("http://exon.niaid.nih.gov/transcriptome/C_felis/S1/links/KOG/cf-contig_468-KOG.txt","Vacuolar sorting protein VPS45")</f>
        <v>Vacuolar sorting protein VPS45</v>
      </c>
      <c r="CT774" t="str">
        <f>HYPERLINK("http://www.ncbi.nlm.nih.gov/COG/grace/shokog.cgi?KOG2115","1.4")</f>
        <v>1.4</v>
      </c>
      <c r="CU774" t="s">
        <v>1686</v>
      </c>
      <c r="CV774" s="4" t="str">
        <f>HYPERLINK("http://exon.niaid.nih.gov/transcriptome/C_felis/S1/links/PFAM/cf-contig_468-PFAM.txt","RE_CfrBI")</f>
        <v>RE_CfrBI</v>
      </c>
      <c r="CW774" t="str">
        <f>HYPERLINK("http://pfam.sanger.ac.uk/family?acc=PF09516","0.31")</f>
        <v>0.31</v>
      </c>
      <c r="CX774" s="4" t="str">
        <f>HYPERLINK("http://exon.niaid.nih.gov/transcriptome/C_felis/S1/links/SMART/cf-contig_468-SMART.txt","PSN")</f>
        <v>PSN</v>
      </c>
      <c r="CY774" t="str">
        <f>HYPERLINK("http://smart.embl-heidelberg.de/smart/do_annotation.pl?DOMAIN=PSN&amp;BLAST=DUMMY","0.026")</f>
        <v>0.026</v>
      </c>
      <c r="CZ774" s="4" t="s">
        <v>42</v>
      </c>
      <c r="DA774" t="s">
        <v>42</v>
      </c>
      <c r="DB774" t="s">
        <v>42</v>
      </c>
      <c r="DC774" t="s">
        <v>42</v>
      </c>
      <c r="DD774" t="s">
        <v>42</v>
      </c>
      <c r="DE774" t="s">
        <v>42</v>
      </c>
      <c r="DF774" t="s">
        <v>42</v>
      </c>
      <c r="DG774" t="s">
        <v>42</v>
      </c>
      <c r="DH774" s="4" t="s">
        <v>42</v>
      </c>
      <c r="DI774" t="s">
        <v>42</v>
      </c>
      <c r="DJ774" s="4" t="s">
        <v>42</v>
      </c>
      <c r="DK774" t="s">
        <v>42</v>
      </c>
      <c r="DL774" s="4">
        <v>380</v>
      </c>
      <c r="DM774">
        <v>1</v>
      </c>
      <c r="DN774" s="4">
        <v>389</v>
      </c>
      <c r="DO774">
        <v>1</v>
      </c>
      <c r="DP774" s="4">
        <v>394</v>
      </c>
      <c r="DQ774">
        <v>1</v>
      </c>
      <c r="DR774" s="4">
        <v>409</v>
      </c>
      <c r="DS774">
        <v>1</v>
      </c>
      <c r="DT774" s="4">
        <v>419</v>
      </c>
      <c r="DU774">
        <v>1</v>
      </c>
      <c r="DV774" s="4">
        <v>433</v>
      </c>
      <c r="DW774">
        <v>1</v>
      </c>
      <c r="DX774" s="4">
        <v>436</v>
      </c>
      <c r="DY774">
        <v>1</v>
      </c>
      <c r="DZ774" s="4">
        <v>442</v>
      </c>
      <c r="EA774">
        <v>1</v>
      </c>
      <c r="EB774" s="4">
        <v>447</v>
      </c>
      <c r="EC774">
        <v>1</v>
      </c>
      <c r="ED774" s="4">
        <v>451</v>
      </c>
      <c r="EE774">
        <v>1</v>
      </c>
      <c r="EF774" s="4">
        <v>456</v>
      </c>
      <c r="EG774">
        <v>1</v>
      </c>
      <c r="EH774" s="4">
        <v>462</v>
      </c>
      <c r="EI774">
        <v>1</v>
      </c>
      <c r="EJ774" s="4">
        <v>468</v>
      </c>
      <c r="EK774">
        <v>1</v>
      </c>
    </row>
    <row r="775" spans="1:141" x14ac:dyDescent="0.2">
      <c r="A775" t="str">
        <f>HYPERLINK("http://exon.niaid.nih.gov/transcriptome/C_felis/S1/links/cf/cf-contig_770.txt","cf-contig_770")</f>
        <v>cf-contig_770</v>
      </c>
      <c r="B775">
        <v>1</v>
      </c>
      <c r="C775" s="10" t="s">
        <v>4600</v>
      </c>
      <c r="D775">
        <v>1</v>
      </c>
      <c r="E775" t="str">
        <f>HYPERLINK("http://exon.niaid.nih.gov/transcriptome/C_felis/S1/links/cf/cf-5-36-asb-770.txt","Contig-770")</f>
        <v>Contig-770</v>
      </c>
      <c r="F775" t="str">
        <f>HYPERLINK("http://exon.niaid.nih.gov/transcriptome/C_felis/S1/links/cf/cf-5-36-770-CLU.txt","Contig770")</f>
        <v>Contig770</v>
      </c>
      <c r="G775" t="str">
        <f>HYPERLINK("http://exon.niaid.nih.gov/transcriptome/C_felis/S1/links/cf/cf-5-36-770-qual.txt","50.1")</f>
        <v>50.1</v>
      </c>
      <c r="H775" t="s">
        <v>11</v>
      </c>
      <c r="I775">
        <v>65.8</v>
      </c>
      <c r="J775">
        <v>139</v>
      </c>
      <c r="K775" t="s">
        <v>12</v>
      </c>
      <c r="L775">
        <v>1</v>
      </c>
      <c r="M775" t="s">
        <v>783</v>
      </c>
      <c r="N775">
        <v>139</v>
      </c>
      <c r="O775">
        <v>158</v>
      </c>
      <c r="P775">
        <v>126</v>
      </c>
      <c r="Q775" t="s">
        <v>1589</v>
      </c>
      <c r="R775">
        <v>3</v>
      </c>
      <c r="S775" s="7" t="s">
        <v>4585</v>
      </c>
      <c r="U775">
        <v>1</v>
      </c>
      <c r="V775" s="4">
        <v>617</v>
      </c>
      <c r="W775">
        <v>1</v>
      </c>
      <c r="X775" s="4">
        <v>638</v>
      </c>
      <c r="Y775">
        <v>1</v>
      </c>
      <c r="Z775" s="4">
        <v>654</v>
      </c>
      <c r="AA775">
        <v>1</v>
      </c>
      <c r="AB775" s="4" t="str">
        <f>HYPERLINK("http://exon.niaid.nih.gov/transcriptome/C_felis/S1/links/XC-ASB/cf-contig_770-XC-ASB.txt","XC-contig_160")</f>
        <v>XC-contig_160</v>
      </c>
      <c r="AC775">
        <v>0.14000000000000001</v>
      </c>
      <c r="AD775" s="10" t="s">
        <v>4600</v>
      </c>
      <c r="AE775" t="s">
        <v>4601</v>
      </c>
      <c r="AI775" s="4" t="str">
        <f>HYPERLINK("http://exon.niaid.nih.gov/transcriptome/C_felis/S1/links/NR/cf-contig_770-NR.txt","glutamyl-tRNA synthetase")</f>
        <v>glutamyl-tRNA synthetase</v>
      </c>
      <c r="AJ775" t="str">
        <f>HYPERLINK("http://www.ncbi.nlm.nih.gov/sutils/blink.cgi?pid=81177593","62")</f>
        <v>62</v>
      </c>
      <c r="AK775" t="str">
        <f>HYPERLINK("http://www.ncbi.nlm.nih.gov/protein/81177593","gi|81177593")</f>
        <v>gi|81177593</v>
      </c>
      <c r="AL775">
        <v>31.2</v>
      </c>
      <c r="AM775">
        <v>23</v>
      </c>
      <c r="AN775">
        <v>560</v>
      </c>
      <c r="AO775">
        <v>50</v>
      </c>
      <c r="AP775">
        <v>4</v>
      </c>
      <c r="AQ775">
        <v>12</v>
      </c>
      <c r="AR775">
        <v>0</v>
      </c>
      <c r="AS775">
        <v>475</v>
      </c>
      <c r="AT775">
        <v>33</v>
      </c>
      <c r="AU775">
        <v>1</v>
      </c>
      <c r="AV775">
        <v>3</v>
      </c>
      <c r="AW775" t="s">
        <v>12</v>
      </c>
      <c r="AY775" t="s">
        <v>1676</v>
      </c>
      <c r="AZ775" t="s">
        <v>3163</v>
      </c>
      <c r="BA775" s="4" t="str">
        <f>HYPERLINK("http://exon.niaid.nih.gov/transcriptome/C_felis/S1/links/SWISSP/cf-contig_770-SWISSP.txt","Wiskott-Aldrich syndrome protein homolog")</f>
        <v>Wiskott-Aldrich syndrome protein homolog</v>
      </c>
      <c r="BB775" t="str">
        <f>HYPERLINK("http://www.uniprot.org/uniprot/P70315","67")</f>
        <v>67</v>
      </c>
      <c r="BC775" t="s">
        <v>4470</v>
      </c>
      <c r="BD775">
        <v>23.5</v>
      </c>
      <c r="BE775">
        <v>40</v>
      </c>
      <c r="BF775">
        <v>520</v>
      </c>
      <c r="BG775">
        <v>80</v>
      </c>
      <c r="BH775">
        <v>8</v>
      </c>
      <c r="BI775">
        <v>2</v>
      </c>
      <c r="BJ775">
        <v>0</v>
      </c>
      <c r="BK775">
        <v>348</v>
      </c>
      <c r="BL775">
        <v>3</v>
      </c>
      <c r="BM775">
        <v>2</v>
      </c>
      <c r="BN775">
        <v>-1</v>
      </c>
      <c r="BO775" t="s">
        <v>12</v>
      </c>
      <c r="BQ775" t="s">
        <v>1666</v>
      </c>
      <c r="BR775" t="s">
        <v>1705</v>
      </c>
      <c r="BS775" s="4" t="str">
        <f>HYPERLINK("http://exon.niaid.nih.gov/transcriptome/C_felis/S1/links/CDD/cf-contig_770-CDD.txt","vlf-1")</f>
        <v>vlf-1</v>
      </c>
      <c r="BT775" t="str">
        <f>HYPERLINK("http://www.ncbi.nlm.nih.gov/Structure/cdd/cddsrv.cgi?uid=PHA03397&amp;version=v4.0","0.90")</f>
        <v>0.90</v>
      </c>
      <c r="BU775" t="s">
        <v>4471</v>
      </c>
      <c r="BV775" s="4" t="s">
        <v>42</v>
      </c>
      <c r="BW775" t="s">
        <v>42</v>
      </c>
      <c r="BX775" t="s">
        <v>42</v>
      </c>
      <c r="BY775" t="s">
        <v>42</v>
      </c>
      <c r="BZ775" t="s">
        <v>42</v>
      </c>
      <c r="CA775" t="s">
        <v>42</v>
      </c>
      <c r="CB775" t="s">
        <v>42</v>
      </c>
      <c r="CC775" t="s">
        <v>42</v>
      </c>
      <c r="CD775" t="s">
        <v>42</v>
      </c>
      <c r="CE775" t="s">
        <v>42</v>
      </c>
      <c r="CF775" t="s">
        <v>42</v>
      </c>
      <c r="CG775" t="s">
        <v>42</v>
      </c>
      <c r="CH775" t="s">
        <v>42</v>
      </c>
      <c r="CI775" t="s">
        <v>42</v>
      </c>
      <c r="CJ775" t="s">
        <v>42</v>
      </c>
      <c r="CK775" t="s">
        <v>42</v>
      </c>
      <c r="CL775" t="s">
        <v>42</v>
      </c>
      <c r="CM775" t="s">
        <v>42</v>
      </c>
      <c r="CN775" t="s">
        <v>42</v>
      </c>
      <c r="CO775" t="s">
        <v>42</v>
      </c>
      <c r="CP775" t="s">
        <v>42</v>
      </c>
      <c r="CQ775" t="s">
        <v>42</v>
      </c>
      <c r="CR775" t="s">
        <v>42</v>
      </c>
      <c r="CS775" s="4" t="str">
        <f>HYPERLINK("http://exon.niaid.nih.gov/transcriptome/C_felis/S1/links/KOG/cf-contig_770-KOG.txt","RhoA GTPase effector DIA/Diaphanous")</f>
        <v>RhoA GTPase effector DIA/Diaphanous</v>
      </c>
      <c r="CT775" t="str">
        <f>HYPERLINK("http://www.ncbi.nlm.nih.gov/COG/grace/shokog.cgi?KOG1924","6.1")</f>
        <v>6.1</v>
      </c>
      <c r="CU775" t="s">
        <v>1671</v>
      </c>
      <c r="CV775" s="4" t="str">
        <f>HYPERLINK("http://exon.niaid.nih.gov/transcriptome/C_felis/S1/links/PFAM/cf-contig_770-PFAM.txt","Pox_int_trans")</f>
        <v>Pox_int_trans</v>
      </c>
      <c r="CW775" t="str">
        <f>HYPERLINK("http://pfam.sanger.ac.uk/family?acc=PF05718","2.3")</f>
        <v>2.3</v>
      </c>
      <c r="CX775" s="4" t="str">
        <f>HYPERLINK("http://exon.niaid.nih.gov/transcriptome/C_felis/S1/links/SMART/cf-contig_770-SMART.txt","MUTSac")</f>
        <v>MUTSac</v>
      </c>
      <c r="CY775" t="str">
        <f>HYPERLINK("http://smart.embl-heidelberg.de/smart/do_annotation.pl?DOMAIN=MUTSac&amp;BLAST=DUMMY","0.25")</f>
        <v>0.25</v>
      </c>
      <c r="CZ775" s="4" t="s">
        <v>42</v>
      </c>
      <c r="DA775" t="s">
        <v>42</v>
      </c>
      <c r="DB775" t="s">
        <v>42</v>
      </c>
      <c r="DC775" t="s">
        <v>42</v>
      </c>
      <c r="DD775" t="s">
        <v>42</v>
      </c>
      <c r="DE775" t="s">
        <v>42</v>
      </c>
      <c r="DF775" t="s">
        <v>42</v>
      </c>
      <c r="DG775" t="s">
        <v>42</v>
      </c>
      <c r="DH775" s="4" t="s">
        <v>42</v>
      </c>
      <c r="DI775" t="s">
        <v>42</v>
      </c>
      <c r="DJ775" s="4" t="s">
        <v>42</v>
      </c>
      <c r="DK775" t="s">
        <v>42</v>
      </c>
      <c r="DL775" s="4">
        <v>617</v>
      </c>
      <c r="DM775">
        <v>1</v>
      </c>
      <c r="DN775" s="4">
        <v>638</v>
      </c>
      <c r="DO775">
        <v>1</v>
      </c>
      <c r="DP775" s="4">
        <v>654</v>
      </c>
      <c r="DQ775">
        <v>1</v>
      </c>
      <c r="DR775" s="4">
        <v>676</v>
      </c>
      <c r="DS775">
        <v>1</v>
      </c>
      <c r="DT775" s="4">
        <v>692</v>
      </c>
      <c r="DU775">
        <v>1</v>
      </c>
      <c r="DV775" s="4">
        <v>707</v>
      </c>
      <c r="DW775">
        <v>1</v>
      </c>
      <c r="DX775" s="4">
        <v>721</v>
      </c>
      <c r="DY775">
        <v>1</v>
      </c>
      <c r="DZ775" s="4">
        <v>732</v>
      </c>
      <c r="EA775">
        <v>1</v>
      </c>
      <c r="EB775" s="4">
        <v>738</v>
      </c>
      <c r="EC775">
        <v>1</v>
      </c>
      <c r="ED775" s="4">
        <v>743</v>
      </c>
      <c r="EE775">
        <v>1</v>
      </c>
      <c r="EF775" s="4">
        <v>749</v>
      </c>
      <c r="EG775">
        <v>1</v>
      </c>
      <c r="EH775" s="4">
        <v>761</v>
      </c>
      <c r="EI775">
        <v>1</v>
      </c>
      <c r="EJ775" s="4">
        <v>770</v>
      </c>
      <c r="EK775">
        <v>1</v>
      </c>
    </row>
    <row r="776" spans="1:141" x14ac:dyDescent="0.2">
      <c r="A776" t="str">
        <f>HYPERLINK("http://exon.niaid.nih.gov/transcriptome/C_felis/S1/links/cf/cf-contig_418.txt","cf-contig_418")</f>
        <v>cf-contig_418</v>
      </c>
      <c r="B776">
        <v>1</v>
      </c>
      <c r="C776" s="10" t="s">
        <v>4600</v>
      </c>
      <c r="D776">
        <v>1</v>
      </c>
      <c r="E776" t="str">
        <f>HYPERLINK("http://exon.niaid.nih.gov/transcriptome/C_felis/S1/links/cf/cf-5-36-asb-418.txt","Contig-418")</f>
        <v>Contig-418</v>
      </c>
      <c r="F776" t="str">
        <f>HYPERLINK("http://exon.niaid.nih.gov/transcriptome/C_felis/S1/links/cf/cf-5-36-418-CLU.txt","Contig418")</f>
        <v>Contig418</v>
      </c>
      <c r="G776" t="str">
        <f>HYPERLINK("http://exon.niaid.nih.gov/transcriptome/C_felis/S1/links/cf/cf-5-36-418-qual.txt","48.2")</f>
        <v>48.2</v>
      </c>
      <c r="H776">
        <v>2.1</v>
      </c>
      <c r="I776">
        <v>65.099999999999994</v>
      </c>
      <c r="J776">
        <v>127</v>
      </c>
      <c r="K776" t="s">
        <v>12</v>
      </c>
      <c r="L776">
        <v>1</v>
      </c>
      <c r="M776" t="s">
        <v>431</v>
      </c>
      <c r="N776">
        <v>127</v>
      </c>
      <c r="O776">
        <v>146</v>
      </c>
      <c r="P776">
        <v>63</v>
      </c>
      <c r="Q776" t="s">
        <v>1238</v>
      </c>
      <c r="R776">
        <v>3</v>
      </c>
      <c r="S776" s="7" t="s">
        <v>4585</v>
      </c>
      <c r="U776">
        <v>1</v>
      </c>
      <c r="V776" s="4">
        <v>340</v>
      </c>
      <c r="W776">
        <v>1</v>
      </c>
      <c r="X776" s="4">
        <v>349</v>
      </c>
      <c r="Y776">
        <v>1</v>
      </c>
      <c r="Z776" s="4">
        <v>352</v>
      </c>
      <c r="AA776">
        <v>1</v>
      </c>
      <c r="AB776" s="4" t="str">
        <f>HYPERLINK("http://exon.niaid.nih.gov/transcriptome/C_felis/S1/links/XC-ASB/cf-contig_418-XC-ASB.txt","XC-contig_124")</f>
        <v>XC-contig_124</v>
      </c>
      <c r="AC776">
        <v>0.31</v>
      </c>
      <c r="AD776" s="10" t="s">
        <v>4600</v>
      </c>
      <c r="AE776" t="s">
        <v>4601</v>
      </c>
      <c r="AI776" s="4" t="str">
        <f>HYPERLINK("http://exon.niaid.nih.gov/transcriptome/C_felis/S1/links/NR/cf-contig_418-NR.txt","hypothetical protein")</f>
        <v>hypothetical protein</v>
      </c>
      <c r="AJ776" t="str">
        <f>HYPERLINK("http://www.ncbi.nlm.nih.gov/sutils/blink.cgi?pid=83282711","16")</f>
        <v>16</v>
      </c>
      <c r="AK776" t="str">
        <f>HYPERLINK("http://www.ncbi.nlm.nih.gov/protein/83282711","gi|83282711")</f>
        <v>gi|83282711</v>
      </c>
      <c r="AL776">
        <v>33.1</v>
      </c>
      <c r="AM776">
        <v>28</v>
      </c>
      <c r="AN776">
        <v>272</v>
      </c>
      <c r="AO776">
        <v>41</v>
      </c>
      <c r="AP776">
        <v>11</v>
      </c>
      <c r="AQ776">
        <v>17</v>
      </c>
      <c r="AR776">
        <v>0</v>
      </c>
      <c r="AS776">
        <v>191</v>
      </c>
      <c r="AT776">
        <v>36</v>
      </c>
      <c r="AU776">
        <v>1</v>
      </c>
      <c r="AV776">
        <v>-1</v>
      </c>
      <c r="AW776" t="s">
        <v>12</v>
      </c>
      <c r="AY776" t="s">
        <v>1666</v>
      </c>
      <c r="AZ776" t="s">
        <v>3163</v>
      </c>
      <c r="BA776" s="4" t="str">
        <f>HYPERLINK("http://exon.niaid.nih.gov/transcriptome/C_felis/S1/links/SWISSP/cf-contig_418-SWISSP.txt","BEACH domain-containing protein lvsE")</f>
        <v>BEACH domain-containing protein lvsE</v>
      </c>
      <c r="BB776" t="str">
        <f>HYPERLINK("http://www.uniprot.org/uniprot/Q54RQ8","70")</f>
        <v>70</v>
      </c>
      <c r="BC776" t="s">
        <v>3164</v>
      </c>
      <c r="BD776">
        <v>26.2</v>
      </c>
      <c r="BE776">
        <v>25</v>
      </c>
      <c r="BF776">
        <v>2192</v>
      </c>
      <c r="BG776">
        <v>42</v>
      </c>
      <c r="BH776">
        <v>1</v>
      </c>
      <c r="BI776">
        <v>16</v>
      </c>
      <c r="BJ776">
        <v>0</v>
      </c>
      <c r="BK776">
        <v>149</v>
      </c>
      <c r="BL776">
        <v>36</v>
      </c>
      <c r="BM776">
        <v>1</v>
      </c>
      <c r="BN776">
        <v>-1</v>
      </c>
      <c r="BO776" t="s">
        <v>12</v>
      </c>
      <c r="BQ776" t="s">
        <v>1666</v>
      </c>
      <c r="BR776" t="s">
        <v>1976</v>
      </c>
      <c r="BS776" s="4" t="str">
        <f>HYPERLINK("http://exon.niaid.nih.gov/transcriptome/C_felis/S1/links/CDD/cf-contig_418-CDD.txt","ND2")</f>
        <v>ND2</v>
      </c>
      <c r="BT776" t="str">
        <f>HYPERLINK("http://www.ncbi.nlm.nih.gov/Structure/cdd/cddsrv.cgi?uid=MTH00091&amp;version=v4.0","1.6")</f>
        <v>1.6</v>
      </c>
      <c r="BU776" t="s">
        <v>3165</v>
      </c>
      <c r="BV776" s="4" t="s">
        <v>42</v>
      </c>
      <c r="BW776" t="s">
        <v>42</v>
      </c>
      <c r="BX776" t="s">
        <v>42</v>
      </c>
      <c r="BY776" t="s">
        <v>42</v>
      </c>
      <c r="BZ776" t="s">
        <v>42</v>
      </c>
      <c r="CA776" t="s">
        <v>42</v>
      </c>
      <c r="CB776" t="s">
        <v>42</v>
      </c>
      <c r="CC776" t="s">
        <v>42</v>
      </c>
      <c r="CD776" t="s">
        <v>42</v>
      </c>
      <c r="CE776" t="s">
        <v>42</v>
      </c>
      <c r="CF776" t="s">
        <v>42</v>
      </c>
      <c r="CG776" t="s">
        <v>42</v>
      </c>
      <c r="CH776" t="s">
        <v>42</v>
      </c>
      <c r="CI776" t="s">
        <v>42</v>
      </c>
      <c r="CJ776" t="s">
        <v>42</v>
      </c>
      <c r="CK776" t="s">
        <v>42</v>
      </c>
      <c r="CL776" t="s">
        <v>42</v>
      </c>
      <c r="CM776" t="s">
        <v>42</v>
      </c>
      <c r="CN776" t="s">
        <v>42</v>
      </c>
      <c r="CO776" t="s">
        <v>42</v>
      </c>
      <c r="CP776" t="s">
        <v>42</v>
      </c>
      <c r="CQ776" t="s">
        <v>42</v>
      </c>
      <c r="CR776" t="s">
        <v>42</v>
      </c>
      <c r="CS776" s="4" t="str">
        <f>HYPERLINK("http://exon.niaid.nih.gov/transcriptome/C_felis/S1/links/KOG/cf-contig_418-KOG.txt","N-acetylglucosaminyltransferase complex, subunit PIG-Q/GPI1, required for phosphatidylinositol biosynthesis")</f>
        <v>N-acetylglucosaminyltransferase complex, subunit PIG-Q/GPI1, required for phosphatidylinositol biosynthesis</v>
      </c>
      <c r="CT776" t="str">
        <f>HYPERLINK("http://www.ncbi.nlm.nih.gov/COG/grace/shokog.cgi?KOG1183","1.4")</f>
        <v>1.4</v>
      </c>
      <c r="CU776" t="s">
        <v>1948</v>
      </c>
      <c r="CV776" s="4" t="str">
        <f>HYPERLINK("http://exon.niaid.nih.gov/transcriptome/C_felis/S1/links/PFAM/cf-contig_418-PFAM.txt","PP_kinase")</f>
        <v>PP_kinase</v>
      </c>
      <c r="CW776" t="str">
        <f>HYPERLINK("http://pfam.sanger.ac.uk/family?acc=PF02503","0.47")</f>
        <v>0.47</v>
      </c>
      <c r="CX776" s="4" t="str">
        <f>HYPERLINK("http://exon.niaid.nih.gov/transcriptome/C_felis/S1/links/SMART/cf-contig_418-SMART.txt","Agouti")</f>
        <v>Agouti</v>
      </c>
      <c r="CY776" t="str">
        <f>HYPERLINK("http://smart.embl-heidelberg.de/smart/do_annotation.pl?DOMAIN=Agouti&amp;BLAST=DUMMY","0.11")</f>
        <v>0.11</v>
      </c>
      <c r="CZ776" s="4" t="s">
        <v>42</v>
      </c>
      <c r="DA776" t="s">
        <v>42</v>
      </c>
      <c r="DB776" t="s">
        <v>42</v>
      </c>
      <c r="DC776" t="s">
        <v>42</v>
      </c>
      <c r="DD776" t="s">
        <v>42</v>
      </c>
      <c r="DE776" t="s">
        <v>42</v>
      </c>
      <c r="DF776" t="s">
        <v>42</v>
      </c>
      <c r="DG776" t="s">
        <v>42</v>
      </c>
      <c r="DH776" s="4" t="s">
        <v>42</v>
      </c>
      <c r="DI776" t="s">
        <v>42</v>
      </c>
      <c r="DJ776" s="4" t="s">
        <v>42</v>
      </c>
      <c r="DK776" t="s">
        <v>42</v>
      </c>
      <c r="DL776" s="4">
        <v>340</v>
      </c>
      <c r="DM776">
        <v>1</v>
      </c>
      <c r="DN776" s="4">
        <v>349</v>
      </c>
      <c r="DO776">
        <v>1</v>
      </c>
      <c r="DP776" s="4">
        <v>352</v>
      </c>
      <c r="DQ776">
        <v>1</v>
      </c>
      <c r="DR776" s="4">
        <v>364</v>
      </c>
      <c r="DS776">
        <v>1</v>
      </c>
      <c r="DT776" s="4">
        <v>374</v>
      </c>
      <c r="DU776">
        <v>1</v>
      </c>
      <c r="DV776" s="4">
        <v>387</v>
      </c>
      <c r="DW776">
        <v>1</v>
      </c>
      <c r="DX776" s="4">
        <v>390</v>
      </c>
      <c r="DY776">
        <v>1</v>
      </c>
      <c r="DZ776" s="4">
        <v>395</v>
      </c>
      <c r="EA776">
        <v>1</v>
      </c>
      <c r="EB776" s="4">
        <v>400</v>
      </c>
      <c r="EC776">
        <v>1</v>
      </c>
      <c r="ED776" s="4">
        <v>404</v>
      </c>
      <c r="EE776">
        <v>1</v>
      </c>
      <c r="EF776" s="4">
        <v>409</v>
      </c>
      <c r="EG776">
        <v>1</v>
      </c>
      <c r="EH776" s="4">
        <v>412</v>
      </c>
      <c r="EI776">
        <v>1</v>
      </c>
      <c r="EJ776" s="4">
        <v>418</v>
      </c>
      <c r="EK776">
        <v>1</v>
      </c>
    </row>
    <row r="777" spans="1:141" x14ac:dyDescent="0.2">
      <c r="A777" t="str">
        <f>HYPERLINK("http://exon.niaid.nih.gov/transcriptome/C_felis/S1/links/cf/cf-contig_659.txt","cf-contig_659")</f>
        <v>cf-contig_659</v>
      </c>
      <c r="B777">
        <v>1</v>
      </c>
      <c r="C777" s="10" t="s">
        <v>4600</v>
      </c>
      <c r="D777">
        <v>1</v>
      </c>
      <c r="E777" t="str">
        <f>HYPERLINK("http://exon.niaid.nih.gov/transcriptome/C_felis/S1/links/cf/cf-5-36-asb-659.txt","Contig-659")</f>
        <v>Contig-659</v>
      </c>
      <c r="F777" t="str">
        <f>HYPERLINK("http://exon.niaid.nih.gov/transcriptome/C_felis/S1/links/cf/cf-5-36-659-CLU.txt","Contig659")</f>
        <v>Contig659</v>
      </c>
      <c r="G777" t="str">
        <f>HYPERLINK("http://exon.niaid.nih.gov/transcriptome/C_felis/S1/links/cf/cf-5-36-659-qual.txt","58.5")</f>
        <v>58.5</v>
      </c>
      <c r="H777">
        <v>0.4</v>
      </c>
      <c r="I777">
        <v>69.8</v>
      </c>
      <c r="J777">
        <v>226</v>
      </c>
      <c r="K777" t="s">
        <v>12</v>
      </c>
      <c r="L777">
        <v>1</v>
      </c>
      <c r="M777" t="s">
        <v>672</v>
      </c>
      <c r="N777">
        <v>226</v>
      </c>
      <c r="O777">
        <v>245</v>
      </c>
      <c r="P777">
        <v>159</v>
      </c>
      <c r="Q777" t="s">
        <v>1478</v>
      </c>
      <c r="R777">
        <v>1</v>
      </c>
      <c r="S777" s="7" t="s">
        <v>4585</v>
      </c>
      <c r="U777">
        <v>1</v>
      </c>
      <c r="V777" s="4">
        <v>538</v>
      </c>
      <c r="W777">
        <v>1</v>
      </c>
      <c r="X777" s="4">
        <v>550</v>
      </c>
      <c r="Y777">
        <v>1</v>
      </c>
      <c r="Z777" s="4">
        <v>562</v>
      </c>
      <c r="AA777">
        <v>1</v>
      </c>
      <c r="AB777" s="4" t="str">
        <f>HYPERLINK("http://exon.niaid.nih.gov/transcriptome/C_felis/S1/links/XC-ASB/cf-contig_659-XC-ASB.txt","XC-contig_179")</f>
        <v>XC-contig_179</v>
      </c>
      <c r="AC777">
        <v>0.39</v>
      </c>
      <c r="AD777" s="10" t="s">
        <v>4600</v>
      </c>
      <c r="AE777" t="s">
        <v>4601</v>
      </c>
      <c r="AI777" s="4" t="str">
        <f>HYPERLINK("http://exon.niaid.nih.gov/transcriptome/C_felis/S1/links/NR/cf-contig_659-NR.txt","hypothetical protein")</f>
        <v>hypothetical protein</v>
      </c>
      <c r="AJ777" t="str">
        <f>HYPERLINK("http://www.ncbi.nlm.nih.gov/sutils/blink.cgi?pid=82704824","36")</f>
        <v>36</v>
      </c>
      <c r="AK777" t="str">
        <f>HYPERLINK("http://www.ncbi.nlm.nih.gov/protein/82704824","gi|82704824")</f>
        <v>gi|82704824</v>
      </c>
      <c r="AL777">
        <v>32</v>
      </c>
      <c r="AM777">
        <v>36</v>
      </c>
      <c r="AN777">
        <v>856</v>
      </c>
      <c r="AO777">
        <v>37</v>
      </c>
      <c r="AP777">
        <v>4</v>
      </c>
      <c r="AQ777">
        <v>23</v>
      </c>
      <c r="AR777">
        <v>0</v>
      </c>
      <c r="AS777">
        <v>753</v>
      </c>
      <c r="AT777">
        <v>67</v>
      </c>
      <c r="AU777">
        <v>1</v>
      </c>
      <c r="AV777">
        <v>1</v>
      </c>
      <c r="AW777" t="s">
        <v>12</v>
      </c>
      <c r="AX777">
        <v>2.778</v>
      </c>
      <c r="AY777" t="s">
        <v>1676</v>
      </c>
      <c r="AZ777" t="s">
        <v>3163</v>
      </c>
      <c r="BA777" s="4" t="str">
        <f>HYPERLINK("http://exon.niaid.nih.gov/transcriptome/C_felis/S1/links/SWISSP/cf-contig_659-SWISSP.txt","Ubiquitin-like protein ATG12")</f>
        <v>Ubiquitin-like protein ATG12</v>
      </c>
      <c r="BB777" t="str">
        <f>HYPERLINK("http://www.uniprot.org/uniprot/P38316","14")</f>
        <v>14</v>
      </c>
      <c r="BC777" t="s">
        <v>4083</v>
      </c>
      <c r="BD777">
        <v>28.5</v>
      </c>
      <c r="BE777">
        <v>34</v>
      </c>
      <c r="BF777">
        <v>186</v>
      </c>
      <c r="BG777">
        <v>36</v>
      </c>
      <c r="BH777">
        <v>19</v>
      </c>
      <c r="BI777">
        <v>23</v>
      </c>
      <c r="BJ777">
        <v>0</v>
      </c>
      <c r="BK777">
        <v>122</v>
      </c>
      <c r="BL777">
        <v>43</v>
      </c>
      <c r="BM777">
        <v>1</v>
      </c>
      <c r="BN777">
        <v>1</v>
      </c>
      <c r="BO777" t="s">
        <v>12</v>
      </c>
      <c r="BQ777" t="s">
        <v>1676</v>
      </c>
      <c r="BR777" t="s">
        <v>1796</v>
      </c>
      <c r="BS777" s="4" t="str">
        <f>HYPERLINK("http://exon.niaid.nih.gov/transcriptome/C_felis/S1/links/CDD/cf-contig_659-CDD.txt","ZnMc_TACE_like")</f>
        <v>ZnMc_TACE_like</v>
      </c>
      <c r="BT777" t="str">
        <f>HYPERLINK("http://www.ncbi.nlm.nih.gov/Structure/cdd/cddsrv.cgi?uid=cd04270&amp;version=v4.0","0.50")</f>
        <v>0.50</v>
      </c>
      <c r="BU777" t="s">
        <v>4084</v>
      </c>
      <c r="BV777" s="4" t="s">
        <v>42</v>
      </c>
      <c r="BW777" t="s">
        <v>42</v>
      </c>
      <c r="BX777" t="s">
        <v>42</v>
      </c>
      <c r="BY777" t="s">
        <v>42</v>
      </c>
      <c r="BZ777" t="s">
        <v>42</v>
      </c>
      <c r="CA777" t="s">
        <v>42</v>
      </c>
      <c r="CB777" t="s">
        <v>42</v>
      </c>
      <c r="CC777" t="s">
        <v>42</v>
      </c>
      <c r="CD777" t="s">
        <v>42</v>
      </c>
      <c r="CE777" t="s">
        <v>42</v>
      </c>
      <c r="CF777" t="s">
        <v>42</v>
      </c>
      <c r="CG777" t="s">
        <v>42</v>
      </c>
      <c r="CH777" t="s">
        <v>42</v>
      </c>
      <c r="CI777" t="s">
        <v>42</v>
      </c>
      <c r="CJ777" t="s">
        <v>42</v>
      </c>
      <c r="CK777" t="s">
        <v>42</v>
      </c>
      <c r="CL777" t="s">
        <v>42</v>
      </c>
      <c r="CM777" t="s">
        <v>42</v>
      </c>
      <c r="CN777" t="s">
        <v>42</v>
      </c>
      <c r="CO777" t="s">
        <v>42</v>
      </c>
      <c r="CP777" t="s">
        <v>42</v>
      </c>
      <c r="CQ777" t="s">
        <v>42</v>
      </c>
      <c r="CR777" t="s">
        <v>42</v>
      </c>
      <c r="CS777" s="4" t="str">
        <f>HYPERLINK("http://exon.niaid.nih.gov/transcriptome/C_felis/S1/links/KOG/cf-contig_659-KOG.txt","Tumor necrosis factor-alpha-converting enzyme (TACE/ADAM17) and related metalloproteases")</f>
        <v>Tumor necrosis factor-alpha-converting enzyme (TACE/ADAM17) and related metalloproteases</v>
      </c>
      <c r="CT777" t="str">
        <f>HYPERLINK("http://www.ncbi.nlm.nih.gov/COG/grace/shokog.cgi?KOG3658","1.2")</f>
        <v>1.2</v>
      </c>
      <c r="CU777" t="s">
        <v>2603</v>
      </c>
      <c r="CV777" s="4" t="str">
        <f>HYPERLINK("http://exon.niaid.nih.gov/transcriptome/C_felis/S1/links/PFAM/cf-contig_659-PFAM.txt","7TM_GPCR_Sri")</f>
        <v>7TM_GPCR_Sri</v>
      </c>
      <c r="CW777" t="str">
        <f>HYPERLINK("http://pfam.sanger.ac.uk/family?acc=PF10327","0.32")</f>
        <v>0.32</v>
      </c>
      <c r="CX777" s="4" t="str">
        <f>HYPERLINK("http://exon.niaid.nih.gov/transcriptome/C_felis/S1/links/SMART/cf-contig_659-SMART.txt","POLBc")</f>
        <v>POLBc</v>
      </c>
      <c r="CY777" t="str">
        <f>HYPERLINK("http://smart.embl-heidelberg.de/smart/do_annotation.pl?DOMAIN=POLBc&amp;BLAST=DUMMY","0.16")</f>
        <v>0.16</v>
      </c>
      <c r="CZ777" s="4" t="s">
        <v>42</v>
      </c>
      <c r="DA777" t="s">
        <v>42</v>
      </c>
      <c r="DB777" t="s">
        <v>42</v>
      </c>
      <c r="DC777" t="s">
        <v>42</v>
      </c>
      <c r="DD777" t="s">
        <v>42</v>
      </c>
      <c r="DE777" t="s">
        <v>42</v>
      </c>
      <c r="DF777" t="s">
        <v>42</v>
      </c>
      <c r="DG777" t="s">
        <v>42</v>
      </c>
      <c r="DH777" s="4" t="s">
        <v>42</v>
      </c>
      <c r="DI777" t="s">
        <v>42</v>
      </c>
      <c r="DJ777" s="4" t="s">
        <v>42</v>
      </c>
      <c r="DK777" t="s">
        <v>42</v>
      </c>
      <c r="DL777" s="4">
        <v>538</v>
      </c>
      <c r="DM777">
        <v>1</v>
      </c>
      <c r="DN777" s="4">
        <v>550</v>
      </c>
      <c r="DO777">
        <v>1</v>
      </c>
      <c r="DP777" s="4">
        <v>562</v>
      </c>
      <c r="DQ777">
        <v>1</v>
      </c>
      <c r="DR777" s="4">
        <v>582</v>
      </c>
      <c r="DS777">
        <v>1</v>
      </c>
      <c r="DT777" s="4">
        <v>595</v>
      </c>
      <c r="DU777">
        <v>1</v>
      </c>
      <c r="DV777" s="4">
        <v>609</v>
      </c>
      <c r="DW777">
        <v>1</v>
      </c>
      <c r="DX777" s="4">
        <v>618</v>
      </c>
      <c r="DY777">
        <v>1</v>
      </c>
      <c r="DZ777" s="4">
        <v>628</v>
      </c>
      <c r="EA777">
        <v>1</v>
      </c>
      <c r="EB777" s="4">
        <v>633</v>
      </c>
      <c r="EC777">
        <v>1</v>
      </c>
      <c r="ED777" s="4">
        <v>637</v>
      </c>
      <c r="EE777">
        <v>1</v>
      </c>
      <c r="EF777" s="4">
        <v>643</v>
      </c>
      <c r="EG777">
        <v>1</v>
      </c>
      <c r="EH777" s="4">
        <v>651</v>
      </c>
      <c r="EI777">
        <v>1</v>
      </c>
      <c r="EJ777" s="4">
        <v>659</v>
      </c>
      <c r="EK777">
        <v>1</v>
      </c>
    </row>
    <row r="778" spans="1:141" x14ac:dyDescent="0.2">
      <c r="A778" t="str">
        <f>HYPERLINK("http://exon.niaid.nih.gov/transcriptome/C_felis/S1/links/cf/cf-contig_540.txt","cf-contig_540")</f>
        <v>cf-contig_540</v>
      </c>
      <c r="B778">
        <v>1</v>
      </c>
      <c r="C778" s="10" t="s">
        <v>4600</v>
      </c>
      <c r="D778">
        <v>1</v>
      </c>
      <c r="E778" t="str">
        <f>HYPERLINK("http://exon.niaid.nih.gov/transcriptome/C_felis/S1/links/cf/cf-5-36-asb-540.txt","Contig-540")</f>
        <v>Contig-540</v>
      </c>
      <c r="F778" t="str">
        <f>HYPERLINK("http://exon.niaid.nih.gov/transcriptome/C_felis/S1/links/cf/cf-5-36-540-CLU.txt","Contig540")</f>
        <v>Contig540</v>
      </c>
      <c r="G778" t="str">
        <f>HYPERLINK("http://exon.niaid.nih.gov/transcriptome/C_felis/S1/links/cf/cf-5-36-540-qual.txt","58.7")</f>
        <v>58.7</v>
      </c>
      <c r="H778" t="s">
        <v>11</v>
      </c>
      <c r="I778">
        <v>61.7</v>
      </c>
      <c r="J778">
        <v>130</v>
      </c>
      <c r="K778" t="s">
        <v>12</v>
      </c>
      <c r="L778">
        <v>1</v>
      </c>
      <c r="M778" t="s">
        <v>553</v>
      </c>
      <c r="N778">
        <v>130</v>
      </c>
      <c r="O778">
        <v>149</v>
      </c>
      <c r="P778">
        <v>93</v>
      </c>
      <c r="Q778" t="s">
        <v>1359</v>
      </c>
      <c r="R778">
        <v>3</v>
      </c>
      <c r="S778" s="7" t="s">
        <v>4585</v>
      </c>
      <c r="U778">
        <v>1</v>
      </c>
      <c r="V778" s="4">
        <v>442</v>
      </c>
      <c r="W778">
        <v>1</v>
      </c>
      <c r="X778" s="4">
        <v>452</v>
      </c>
      <c r="Y778">
        <v>1</v>
      </c>
      <c r="Z778" s="4">
        <v>458</v>
      </c>
      <c r="AA778">
        <v>1</v>
      </c>
      <c r="AB778" s="4" t="str">
        <f>HYPERLINK("http://exon.niaid.nih.gov/transcriptome/C_felis/S1/links/XC-ASB/cf-contig_540-XC-ASB.txt","XC-contig_210")</f>
        <v>XC-contig_210</v>
      </c>
      <c r="AC778">
        <v>0.33</v>
      </c>
      <c r="AD778" s="10" t="s">
        <v>4600</v>
      </c>
      <c r="AE778" t="s">
        <v>4601</v>
      </c>
      <c r="AI778" s="4" t="str">
        <f>HYPERLINK("http://exon.niaid.nih.gov/transcriptome/C_felis/S1/links/NR/cf-contig_540-NR.txt","60S ribosomal protein L24 gi|49532910|dbj|BAD26690.1| Ribosomal protein L24")</f>
        <v>60S ribosomal protein L24 gi|49532910|dbj|BAD26690.1| Ribosomal protein L24</v>
      </c>
      <c r="AJ778" t="str">
        <f>HYPERLINK("http://www.ncbi.nlm.nih.gov/sutils/blink.cgi?pid=52783249","0.060")</f>
        <v>0.060</v>
      </c>
      <c r="AK778" t="str">
        <f>HYPERLINK("http://www.ncbi.nlm.nih.gov/protein/52783249","gi|52783249")</f>
        <v>gi|52783249</v>
      </c>
      <c r="AL778">
        <v>41.2</v>
      </c>
      <c r="AM778">
        <v>20</v>
      </c>
      <c r="AN778">
        <v>155</v>
      </c>
      <c r="AO778">
        <v>90</v>
      </c>
      <c r="AP778">
        <v>14</v>
      </c>
      <c r="AQ778">
        <v>2</v>
      </c>
      <c r="AR778">
        <v>0</v>
      </c>
      <c r="AS778">
        <v>135</v>
      </c>
      <c r="AT778">
        <v>8</v>
      </c>
      <c r="AU778">
        <v>1</v>
      </c>
      <c r="AV778">
        <v>2</v>
      </c>
      <c r="AW778" t="s">
        <v>12</v>
      </c>
      <c r="AY778" t="s">
        <v>1676</v>
      </c>
      <c r="AZ778" t="s">
        <v>2463</v>
      </c>
      <c r="BA778" s="4" t="str">
        <f>HYPERLINK("http://exon.niaid.nih.gov/transcriptome/C_felis/S1/links/SWISSP/cf-contig_540-SWISSP.txt","60S ribosomal protein L24")</f>
        <v>60S ribosomal protein L24</v>
      </c>
      <c r="BB778" t="str">
        <f>HYPERLINK("http://www.uniprot.org/uniprot/Q6F444","0.002")</f>
        <v>0.002</v>
      </c>
      <c r="BC778" t="s">
        <v>3650</v>
      </c>
      <c r="BD778">
        <v>41.2</v>
      </c>
      <c r="BE778">
        <v>20</v>
      </c>
      <c r="BF778">
        <v>155</v>
      </c>
      <c r="BG778">
        <v>90</v>
      </c>
      <c r="BH778">
        <v>14</v>
      </c>
      <c r="BI778">
        <v>2</v>
      </c>
      <c r="BJ778">
        <v>0</v>
      </c>
      <c r="BK778">
        <v>135</v>
      </c>
      <c r="BL778">
        <v>8</v>
      </c>
      <c r="BM778">
        <v>1</v>
      </c>
      <c r="BN778">
        <v>2</v>
      </c>
      <c r="BO778" t="s">
        <v>12</v>
      </c>
      <c r="BQ778" t="s">
        <v>1676</v>
      </c>
      <c r="BR778" t="s">
        <v>2463</v>
      </c>
      <c r="BS778" s="4" t="str">
        <f>HYPERLINK("http://exon.niaid.nih.gov/transcriptome/C_felis/S1/links/CDD/cf-contig_540-CDD.txt","DUF3414")</f>
        <v>DUF3414</v>
      </c>
      <c r="BT778" t="str">
        <f>HYPERLINK("http://www.ncbi.nlm.nih.gov/Structure/cdd/cddsrv.cgi?uid=pfam11894&amp;version=v4.0","0.16")</f>
        <v>0.16</v>
      </c>
      <c r="BU778" t="s">
        <v>3651</v>
      </c>
      <c r="BV778" s="4" t="s">
        <v>42</v>
      </c>
      <c r="BW778" t="s">
        <v>42</v>
      </c>
      <c r="BX778" t="s">
        <v>42</v>
      </c>
      <c r="BY778" t="s">
        <v>42</v>
      </c>
      <c r="BZ778" t="s">
        <v>42</v>
      </c>
      <c r="CA778" t="s">
        <v>42</v>
      </c>
      <c r="CB778" t="s">
        <v>42</v>
      </c>
      <c r="CC778" t="s">
        <v>42</v>
      </c>
      <c r="CD778" t="s">
        <v>42</v>
      </c>
      <c r="CE778" t="s">
        <v>42</v>
      </c>
      <c r="CF778" t="s">
        <v>42</v>
      </c>
      <c r="CG778" t="s">
        <v>42</v>
      </c>
      <c r="CH778" t="s">
        <v>42</v>
      </c>
      <c r="CI778" t="s">
        <v>42</v>
      </c>
      <c r="CJ778" t="s">
        <v>42</v>
      </c>
      <c r="CK778" t="s">
        <v>42</v>
      </c>
      <c r="CL778" t="s">
        <v>42</v>
      </c>
      <c r="CM778" t="s">
        <v>42</v>
      </c>
      <c r="CN778" t="s">
        <v>42</v>
      </c>
      <c r="CO778" t="s">
        <v>42</v>
      </c>
      <c r="CP778" t="s">
        <v>42</v>
      </c>
      <c r="CQ778" t="s">
        <v>42</v>
      </c>
      <c r="CR778" t="s">
        <v>42</v>
      </c>
      <c r="CS778" s="4" t="str">
        <f>HYPERLINK("http://exon.niaid.nih.gov/transcriptome/C_felis/S1/links/KOG/cf-contig_540-KOG.txt","60s ribosomal protein L24")</f>
        <v>60s ribosomal protein L24</v>
      </c>
      <c r="CT778" t="str">
        <f>HYPERLINK("http://www.ncbi.nlm.nih.gov/COG/grace/shokog.cgi?KOG1722","0.069")</f>
        <v>0.069</v>
      </c>
      <c r="CU778" t="s">
        <v>1707</v>
      </c>
      <c r="CV778" s="4" t="str">
        <f>HYPERLINK("http://exon.niaid.nih.gov/transcriptome/C_felis/S1/links/PFAM/cf-contig_540-PFAM.txt","DUF3414")</f>
        <v>DUF3414</v>
      </c>
      <c r="CW778" t="str">
        <f>HYPERLINK("http://pfam.sanger.ac.uk/family?acc=PF11894","0.033")</f>
        <v>0.033</v>
      </c>
      <c r="CX778" s="4" t="str">
        <f>HYPERLINK("http://exon.niaid.nih.gov/transcriptome/C_felis/S1/links/SMART/cf-contig_540-SMART.txt","ZnMc")</f>
        <v>ZnMc</v>
      </c>
      <c r="CY778" t="str">
        <f>HYPERLINK("http://smart.embl-heidelberg.de/smart/do_annotation.pl?DOMAIN=ZnMc&amp;BLAST=DUMMY","0.44")</f>
        <v>0.44</v>
      </c>
      <c r="CZ778" s="4" t="s">
        <v>42</v>
      </c>
      <c r="DA778" t="s">
        <v>42</v>
      </c>
      <c r="DB778" t="s">
        <v>42</v>
      </c>
      <c r="DC778" t="s">
        <v>42</v>
      </c>
      <c r="DD778" t="s">
        <v>42</v>
      </c>
      <c r="DE778" t="s">
        <v>42</v>
      </c>
      <c r="DF778" t="s">
        <v>42</v>
      </c>
      <c r="DG778" t="s">
        <v>42</v>
      </c>
      <c r="DH778" s="4" t="s">
        <v>42</v>
      </c>
      <c r="DI778" t="s">
        <v>42</v>
      </c>
      <c r="DJ778" s="4" t="s">
        <v>42</v>
      </c>
      <c r="DK778" t="s">
        <v>42</v>
      </c>
      <c r="DL778" s="4">
        <v>442</v>
      </c>
      <c r="DM778">
        <v>1</v>
      </c>
      <c r="DN778" s="4">
        <v>452</v>
      </c>
      <c r="DO778">
        <v>1</v>
      </c>
      <c r="DP778" s="4">
        <v>458</v>
      </c>
      <c r="DQ778">
        <v>1</v>
      </c>
      <c r="DR778" s="4">
        <v>473</v>
      </c>
      <c r="DS778">
        <v>1</v>
      </c>
      <c r="DT778" s="4">
        <v>485</v>
      </c>
      <c r="DU778">
        <v>1</v>
      </c>
      <c r="DV778" s="4">
        <v>499</v>
      </c>
      <c r="DW778">
        <v>1</v>
      </c>
      <c r="DX778" s="4">
        <v>505</v>
      </c>
      <c r="DY778">
        <v>1</v>
      </c>
      <c r="DZ778" s="4">
        <v>513</v>
      </c>
      <c r="EA778">
        <v>1</v>
      </c>
      <c r="EB778" s="4">
        <v>518</v>
      </c>
      <c r="EC778">
        <v>1</v>
      </c>
      <c r="ED778" s="4">
        <v>522</v>
      </c>
      <c r="EE778">
        <v>1</v>
      </c>
      <c r="EF778" s="4">
        <v>527</v>
      </c>
      <c r="EG778">
        <v>1</v>
      </c>
      <c r="EH778" s="4">
        <v>533</v>
      </c>
      <c r="EI778">
        <v>1</v>
      </c>
      <c r="EJ778" s="4">
        <v>540</v>
      </c>
      <c r="EK778">
        <v>1</v>
      </c>
    </row>
    <row r="779" spans="1:141" x14ac:dyDescent="0.2">
      <c r="A779" t="str">
        <f>HYPERLINK("http://exon.niaid.nih.gov/transcriptome/C_felis/S1/links/cf/cf-contig_349.txt","cf-contig_349")</f>
        <v>cf-contig_349</v>
      </c>
      <c r="B779">
        <v>1</v>
      </c>
      <c r="C779" s="10" t="s">
        <v>4600</v>
      </c>
      <c r="D779">
        <v>1</v>
      </c>
      <c r="E779" t="str">
        <f>HYPERLINK("http://exon.niaid.nih.gov/transcriptome/C_felis/S1/links/cf/cf-5-36-asb-349.txt","Contig-349")</f>
        <v>Contig-349</v>
      </c>
      <c r="F779" t="str">
        <f>HYPERLINK("http://exon.niaid.nih.gov/transcriptome/C_felis/S1/links/cf/cf-5-36-349-CLU.txt","Contig349")</f>
        <v>Contig349</v>
      </c>
      <c r="G779" t="str">
        <f>HYPERLINK("http://exon.niaid.nih.gov/transcriptome/C_felis/S1/links/cf/cf-5-36-349-qual.txt","51.6")</f>
        <v>51.6</v>
      </c>
      <c r="H779" t="s">
        <v>11</v>
      </c>
      <c r="I779">
        <v>66.3</v>
      </c>
      <c r="J779">
        <v>180</v>
      </c>
      <c r="K779" t="s">
        <v>12</v>
      </c>
      <c r="L779">
        <v>1</v>
      </c>
      <c r="M779" t="s">
        <v>362</v>
      </c>
      <c r="N779">
        <v>180</v>
      </c>
      <c r="O779">
        <v>199</v>
      </c>
      <c r="P779">
        <v>126</v>
      </c>
      <c r="Q779" t="s">
        <v>1169</v>
      </c>
      <c r="R779">
        <v>3</v>
      </c>
      <c r="S779" s="7" t="s">
        <v>4585</v>
      </c>
      <c r="U779">
        <v>1</v>
      </c>
      <c r="V779" s="4">
        <v>281</v>
      </c>
      <c r="W779">
        <v>1</v>
      </c>
      <c r="X779" s="4">
        <v>287</v>
      </c>
      <c r="Y779">
        <v>1</v>
      </c>
      <c r="Z779" s="4">
        <v>287</v>
      </c>
      <c r="AA779">
        <v>1</v>
      </c>
      <c r="AB779" s="4" t="str">
        <f>HYPERLINK("http://exon.niaid.nih.gov/transcriptome/C_felis/S1/links/XC-ASB/cf-contig_349-XC-ASB.txt","XC-contig_190")</f>
        <v>XC-contig_190</v>
      </c>
      <c r="AC779">
        <v>6.0000000000000001E-3</v>
      </c>
      <c r="AD779" s="10" t="s">
        <v>4600</v>
      </c>
      <c r="AE779" t="s">
        <v>4601</v>
      </c>
      <c r="AI779" s="4" t="str">
        <f>HYPERLINK("http://exon.niaid.nih.gov/transcriptome/C_felis/S1/links/NR/cf-contig_349-NR.txt","beta-C protein")</f>
        <v>beta-C protein</v>
      </c>
      <c r="AJ779" t="str">
        <f>HYPERLINK("http://www.ncbi.nlm.nih.gov/sutils/blink.cgi?pid=1478098","28")</f>
        <v>28</v>
      </c>
      <c r="AK779" t="str">
        <f>HYPERLINK("http://www.ncbi.nlm.nih.gov/protein/1478098","gi|1478098")</f>
        <v>gi|1478098</v>
      </c>
      <c r="AL779">
        <v>32.299999999999997</v>
      </c>
      <c r="AM779">
        <v>45</v>
      </c>
      <c r="AN779">
        <v>162</v>
      </c>
      <c r="AO779">
        <v>43</v>
      </c>
      <c r="AP779">
        <v>28</v>
      </c>
      <c r="AQ779">
        <v>26</v>
      </c>
      <c r="AR779">
        <v>3</v>
      </c>
      <c r="AS779">
        <v>63</v>
      </c>
      <c r="AT779">
        <v>25</v>
      </c>
      <c r="AU779">
        <v>1</v>
      </c>
      <c r="AV779">
        <v>-2</v>
      </c>
      <c r="AW779" t="s">
        <v>12</v>
      </c>
      <c r="AX779">
        <v>2.222</v>
      </c>
      <c r="AY779" t="s">
        <v>1666</v>
      </c>
      <c r="AZ779" t="s">
        <v>2910</v>
      </c>
      <c r="BA779" s="4" t="str">
        <f>HYPERLINK("http://exon.niaid.nih.gov/transcriptome/C_felis/S1/links/SWISSP/cf-contig_349-SWISSP.txt","Probable helicase senataxin")</f>
        <v>Probable helicase senataxin</v>
      </c>
      <c r="BB779" t="str">
        <f>HYPERLINK("http://www.uniprot.org/uniprot/Q7Z333","4.8")</f>
        <v>4.8</v>
      </c>
      <c r="BC779" t="s">
        <v>2911</v>
      </c>
      <c r="BD779">
        <v>30</v>
      </c>
      <c r="BE779">
        <v>38</v>
      </c>
      <c r="BF779">
        <v>2677</v>
      </c>
      <c r="BG779">
        <v>46</v>
      </c>
      <c r="BH779">
        <v>1</v>
      </c>
      <c r="BI779">
        <v>21</v>
      </c>
      <c r="BJ779">
        <v>8</v>
      </c>
      <c r="BK779">
        <v>1242</v>
      </c>
      <c r="BL779">
        <v>5</v>
      </c>
      <c r="BM779">
        <v>1</v>
      </c>
      <c r="BN779">
        <v>-1</v>
      </c>
      <c r="BO779" t="s">
        <v>12</v>
      </c>
      <c r="BQ779" t="s">
        <v>1666</v>
      </c>
      <c r="BR779" t="s">
        <v>1690</v>
      </c>
      <c r="BS779" s="4" t="str">
        <f>HYPERLINK("http://exon.niaid.nih.gov/transcriptome/C_felis/S1/links/CDD/cf-contig_349-CDD.txt","Viral_Beta_CD")</f>
        <v>Viral_Beta_CD</v>
      </c>
      <c r="BT779" t="str">
        <f>HYPERLINK("http://www.ncbi.nlm.nih.gov/Structure/cdd/cddsrv.cgi?uid=pfam04530&amp;version=v4.0","0.46")</f>
        <v>0.46</v>
      </c>
      <c r="BU779" t="s">
        <v>2912</v>
      </c>
      <c r="BV779" s="4" t="s">
        <v>42</v>
      </c>
      <c r="BW779" t="s">
        <v>42</v>
      </c>
      <c r="BX779" t="s">
        <v>42</v>
      </c>
      <c r="BY779" t="s">
        <v>42</v>
      </c>
      <c r="BZ779" t="s">
        <v>42</v>
      </c>
      <c r="CA779" t="s">
        <v>42</v>
      </c>
      <c r="CB779" t="s">
        <v>42</v>
      </c>
      <c r="CC779" t="s">
        <v>42</v>
      </c>
      <c r="CD779" t="s">
        <v>42</v>
      </c>
      <c r="CE779" t="s">
        <v>42</v>
      </c>
      <c r="CF779" t="s">
        <v>42</v>
      </c>
      <c r="CG779" t="s">
        <v>42</v>
      </c>
      <c r="CH779" t="s">
        <v>42</v>
      </c>
      <c r="CI779" t="s">
        <v>42</v>
      </c>
      <c r="CJ779" t="s">
        <v>42</v>
      </c>
      <c r="CK779" t="s">
        <v>42</v>
      </c>
      <c r="CL779" t="s">
        <v>42</v>
      </c>
      <c r="CM779" t="s">
        <v>42</v>
      </c>
      <c r="CN779" t="s">
        <v>42</v>
      </c>
      <c r="CO779" t="s">
        <v>42</v>
      </c>
      <c r="CP779" t="s">
        <v>42</v>
      </c>
      <c r="CQ779" t="s">
        <v>42</v>
      </c>
      <c r="CR779" t="s">
        <v>42</v>
      </c>
      <c r="CS779" s="4" t="str">
        <f>HYPERLINK("http://exon.niaid.nih.gov/transcriptome/C_felis/S1/links/KOG/cf-contig_349-KOG.txt","Cdk activating kinase (CAK)/RNA polymerase II transcription initiation/nucleotide excision repair factor TFIIH/TFIIK, kinase subunit CDK7")</f>
        <v>Cdk activating kinase (CAK)/RNA polymerase II transcription initiation/nucleotide excision repair factor TFIIH/TFIIK, kinase subunit CDK7</v>
      </c>
      <c r="CT779" t="str">
        <f>HYPERLINK("http://www.ncbi.nlm.nih.gov/COG/grace/shokog.cgi?KOG0659","1.8")</f>
        <v>1.8</v>
      </c>
      <c r="CU779" t="s">
        <v>2913</v>
      </c>
      <c r="CV779" s="4" t="str">
        <f>HYPERLINK("http://exon.niaid.nih.gov/transcriptome/C_felis/S1/links/PFAM/cf-contig_349-PFAM.txt","Viral_Beta_CD")</f>
        <v>Viral_Beta_CD</v>
      </c>
      <c r="CW779" t="str">
        <f>HYPERLINK("http://pfam.sanger.ac.uk/family?acc=PF04530","0.097")</f>
        <v>0.097</v>
      </c>
      <c r="CX779" s="4" t="str">
        <f>HYPERLINK("http://exon.niaid.nih.gov/transcriptome/C_felis/S1/links/SMART/cf-contig_349-SMART.txt","PCRF")</f>
        <v>PCRF</v>
      </c>
      <c r="CY779" t="str">
        <f>HYPERLINK("http://smart.embl-heidelberg.de/smart/do_annotation.pl?DOMAIN=PCRF&amp;BLAST=DUMMY","0.81")</f>
        <v>0.81</v>
      </c>
      <c r="CZ779" s="4" t="s">
        <v>42</v>
      </c>
      <c r="DA779" t="s">
        <v>42</v>
      </c>
      <c r="DB779" t="s">
        <v>42</v>
      </c>
      <c r="DC779" t="s">
        <v>42</v>
      </c>
      <c r="DD779" t="s">
        <v>42</v>
      </c>
      <c r="DE779" t="s">
        <v>42</v>
      </c>
      <c r="DF779" t="s">
        <v>42</v>
      </c>
      <c r="DG779" t="s">
        <v>42</v>
      </c>
      <c r="DH779" s="4" t="s">
        <v>42</v>
      </c>
      <c r="DI779" t="s">
        <v>42</v>
      </c>
      <c r="DJ779" s="4" t="s">
        <v>42</v>
      </c>
      <c r="DK779" t="s">
        <v>42</v>
      </c>
      <c r="DL779" s="4">
        <v>281</v>
      </c>
      <c r="DM779">
        <v>1</v>
      </c>
      <c r="DN779" s="4">
        <v>287</v>
      </c>
      <c r="DO779">
        <v>1</v>
      </c>
      <c r="DP779" s="4">
        <v>287</v>
      </c>
      <c r="DQ779">
        <v>1</v>
      </c>
      <c r="DR779" s="4">
        <v>297</v>
      </c>
      <c r="DS779">
        <v>1</v>
      </c>
      <c r="DT779" s="4">
        <v>307</v>
      </c>
      <c r="DU779">
        <v>1</v>
      </c>
      <c r="DV779" s="4">
        <v>320</v>
      </c>
      <c r="DW779">
        <v>1</v>
      </c>
      <c r="DX779" s="4">
        <v>323</v>
      </c>
      <c r="DY779">
        <v>1</v>
      </c>
      <c r="DZ779" s="4">
        <v>328</v>
      </c>
      <c r="EA779">
        <v>1</v>
      </c>
      <c r="EB779" s="4">
        <v>333</v>
      </c>
      <c r="EC779">
        <v>1</v>
      </c>
      <c r="ED779" s="4">
        <v>337</v>
      </c>
      <c r="EE779">
        <v>1</v>
      </c>
      <c r="EF779" s="4">
        <v>342</v>
      </c>
      <c r="EG779">
        <v>1</v>
      </c>
      <c r="EH779" s="4">
        <v>344</v>
      </c>
      <c r="EI779">
        <v>1</v>
      </c>
      <c r="EJ779" s="4">
        <v>349</v>
      </c>
      <c r="EK779">
        <v>1</v>
      </c>
    </row>
    <row r="780" spans="1:141" x14ac:dyDescent="0.2">
      <c r="A780" t="str">
        <f>HYPERLINK("http://exon.niaid.nih.gov/transcriptome/C_felis/S1/links/cf/cf-contig_53.txt","cf-contig_53")</f>
        <v>cf-contig_53</v>
      </c>
      <c r="B780">
        <v>2</v>
      </c>
      <c r="C780" s="10" t="s">
        <v>4600</v>
      </c>
      <c r="D780">
        <v>2</v>
      </c>
      <c r="E780" t="str">
        <f>HYPERLINK("http://exon.niaid.nih.gov/transcriptome/C_felis/S1/links/cf/cf-5-36-asb-53.txt","Contig-53")</f>
        <v>Contig-53</v>
      </c>
      <c r="F780" t="str">
        <f>HYPERLINK("http://exon.niaid.nih.gov/transcriptome/C_felis/S1/links/cf/cf-5-36-53-CLU.txt","Contig53")</f>
        <v>Contig53</v>
      </c>
      <c r="G780" t="str">
        <f>HYPERLINK("http://exon.niaid.nih.gov/transcriptome/C_felis/S1/links/cf/cf-5-36-53-qual.txt","79.8")</f>
        <v>79.8</v>
      </c>
      <c r="H780" t="s">
        <v>11</v>
      </c>
      <c r="I780">
        <v>78.5</v>
      </c>
      <c r="J780">
        <v>208</v>
      </c>
      <c r="K780" t="s">
        <v>12</v>
      </c>
      <c r="L780">
        <v>2</v>
      </c>
      <c r="M780" t="s">
        <v>66</v>
      </c>
      <c r="N780">
        <v>208</v>
      </c>
      <c r="O780">
        <v>233</v>
      </c>
      <c r="P780">
        <v>138</v>
      </c>
      <c r="Q780" t="s">
        <v>875</v>
      </c>
      <c r="R780">
        <v>3</v>
      </c>
      <c r="S780" s="7" t="s">
        <v>4585</v>
      </c>
      <c r="U780">
        <v>2</v>
      </c>
      <c r="V780" s="4">
        <f>HYPERLINK("http://exon.niaid.nih.gov/transcriptome/C_felis/S1/links/cluster/cf-5-36-asb30-50-Id-CLU30.txt", 30)</f>
        <v>30</v>
      </c>
      <c r="W780">
        <f>HYPERLINK("http://exon.niaid.nih.gov/transcriptome/C_felis/S1/links/cluster/cf-5-36-asb30-50-Id-CLTL30.txt", 2)</f>
        <v>2</v>
      </c>
      <c r="X780" s="4">
        <v>98</v>
      </c>
      <c r="Y780">
        <v>1</v>
      </c>
      <c r="Z780" s="4">
        <v>93</v>
      </c>
      <c r="AA780">
        <v>1</v>
      </c>
      <c r="AB780" s="4" t="str">
        <f>HYPERLINK("http://exon.niaid.nih.gov/transcriptome/C_felis/S1/links/XC-ASB/cf-contig_53-XC-ASB.txt","XC-contig_251")</f>
        <v>XC-contig_251</v>
      </c>
      <c r="AC780">
        <v>0.36</v>
      </c>
      <c r="AD780" s="10" t="s">
        <v>4600</v>
      </c>
      <c r="AE780" t="s">
        <v>4601</v>
      </c>
      <c r="AI780" s="4" t="str">
        <f>HYPERLINK("http://exon.niaid.nih.gov/transcriptome/C_felis/S1/links/NR/cf-contig_53-NR.txt","hypothetical protein PPL_05793")</f>
        <v>hypothetical protein PPL_05793</v>
      </c>
      <c r="AJ780" t="str">
        <f>HYPERLINK("http://www.ncbi.nlm.nih.gov/sutils/blink.cgi?pid=281207615","36")</f>
        <v>36</v>
      </c>
      <c r="AK780" t="str">
        <f>HYPERLINK("http://www.ncbi.nlm.nih.gov/protein/281207615","gi|281207615")</f>
        <v>gi|281207615</v>
      </c>
      <c r="AL780">
        <v>32</v>
      </c>
      <c r="AM780">
        <v>51</v>
      </c>
      <c r="AN780">
        <v>184</v>
      </c>
      <c r="AO780">
        <v>38</v>
      </c>
      <c r="AP780">
        <v>28</v>
      </c>
      <c r="AQ780">
        <v>32</v>
      </c>
      <c r="AR780">
        <v>4</v>
      </c>
      <c r="AS780">
        <v>98</v>
      </c>
      <c r="AT780">
        <v>41</v>
      </c>
      <c r="AU780">
        <v>1</v>
      </c>
      <c r="AV780">
        <v>-2</v>
      </c>
      <c r="AW780" t="s">
        <v>12</v>
      </c>
      <c r="AX780">
        <v>3.9220000000000002</v>
      </c>
      <c r="AY780" t="s">
        <v>1666</v>
      </c>
      <c r="AZ780" t="s">
        <v>1863</v>
      </c>
      <c r="BA780" s="4" t="str">
        <f>HYPERLINK("http://exon.niaid.nih.gov/transcriptome/C_felis/S1/links/SWISSP/cf-contig_53-SWISSP.txt","Latrophilin Cirl")</f>
        <v>Latrophilin Cirl</v>
      </c>
      <c r="BB780" t="str">
        <f>HYPERLINK("http://www.uniprot.org/uniprot/B4P3A0","8.2")</f>
        <v>8.2</v>
      </c>
      <c r="BC780" t="s">
        <v>1864</v>
      </c>
      <c r="BD780">
        <v>29.3</v>
      </c>
      <c r="BE780">
        <v>56</v>
      </c>
      <c r="BF780">
        <v>1707</v>
      </c>
      <c r="BG780">
        <v>33</v>
      </c>
      <c r="BH780">
        <v>3</v>
      </c>
      <c r="BI780">
        <v>38</v>
      </c>
      <c r="BJ780">
        <v>2</v>
      </c>
      <c r="BK780">
        <v>778</v>
      </c>
      <c r="BL780">
        <v>31</v>
      </c>
      <c r="BM780">
        <v>1</v>
      </c>
      <c r="BN780">
        <v>-3</v>
      </c>
      <c r="BO780" t="s">
        <v>12</v>
      </c>
      <c r="BP780">
        <v>5.3570000000000002</v>
      </c>
      <c r="BQ780" t="s">
        <v>1666</v>
      </c>
      <c r="BR780" t="s">
        <v>1865</v>
      </c>
      <c r="BS780" s="4" t="str">
        <f>HYPERLINK("http://exon.niaid.nih.gov/transcriptome/C_felis/S1/links/CDD/cf-contig_53-CDD.txt","ND2")</f>
        <v>ND2</v>
      </c>
      <c r="BT780" t="str">
        <f>HYPERLINK("http://www.ncbi.nlm.nih.gov/Structure/cdd/cddsrv.cgi?uid=MTH00059&amp;version=v4.0","0.004")</f>
        <v>0.004</v>
      </c>
      <c r="BU780" t="s">
        <v>1866</v>
      </c>
      <c r="BV780" s="4" t="s">
        <v>42</v>
      </c>
      <c r="BW780" t="s">
        <v>42</v>
      </c>
      <c r="BX780" t="s">
        <v>42</v>
      </c>
      <c r="BY780" t="s">
        <v>42</v>
      </c>
      <c r="BZ780" t="s">
        <v>42</v>
      </c>
      <c r="CA780" t="s">
        <v>42</v>
      </c>
      <c r="CB780" t="s">
        <v>42</v>
      </c>
      <c r="CC780" t="s">
        <v>42</v>
      </c>
      <c r="CD780" t="s">
        <v>42</v>
      </c>
      <c r="CE780" t="s">
        <v>42</v>
      </c>
      <c r="CF780" t="s">
        <v>42</v>
      </c>
      <c r="CG780" t="s">
        <v>42</v>
      </c>
      <c r="CH780" t="s">
        <v>42</v>
      </c>
      <c r="CI780" t="s">
        <v>42</v>
      </c>
      <c r="CJ780" t="s">
        <v>42</v>
      </c>
      <c r="CK780" t="s">
        <v>42</v>
      </c>
      <c r="CL780" t="s">
        <v>42</v>
      </c>
      <c r="CM780" t="s">
        <v>42</v>
      </c>
      <c r="CN780" t="s">
        <v>42</v>
      </c>
      <c r="CO780" t="s">
        <v>42</v>
      </c>
      <c r="CP780" t="s">
        <v>42</v>
      </c>
      <c r="CQ780" t="s">
        <v>42</v>
      </c>
      <c r="CR780" t="s">
        <v>42</v>
      </c>
      <c r="CS780" s="4" t="str">
        <f>HYPERLINK("http://exon.niaid.nih.gov/transcriptome/C_felis/S1/links/KOG/cf-contig_53-KOG.txt","Uncharacterized conserved protein (Rhs family)")</f>
        <v>Uncharacterized conserved protein (Rhs family)</v>
      </c>
      <c r="CT780" t="str">
        <f>HYPERLINK("http://www.ncbi.nlm.nih.gov/COG/grace/shokog.cgi?KOG4659","0.51")</f>
        <v>0.51</v>
      </c>
      <c r="CU780" t="s">
        <v>1711</v>
      </c>
      <c r="CV780" s="4" t="str">
        <f>HYPERLINK("http://exon.niaid.nih.gov/transcriptome/C_felis/S1/links/PFAM/cf-contig_53-PFAM.txt","7tm_3")</f>
        <v>7tm_3</v>
      </c>
      <c r="CW780" t="str">
        <f>HYPERLINK("http://pfam.sanger.ac.uk/family?acc=PF00003","0.039")</f>
        <v>0.039</v>
      </c>
      <c r="CX780" s="4" t="str">
        <f>HYPERLINK("http://exon.niaid.nih.gov/transcriptome/C_felis/S1/links/SMART/cf-contig_53-SMART.txt","LRR_SD22")</f>
        <v>LRR_SD22</v>
      </c>
      <c r="CY780" t="str">
        <f>HYPERLINK("http://smart.embl-heidelberg.de/smart/do_annotation.pl?DOMAIN=LRR_SD22&amp;BLAST=DUMMY","0.36")</f>
        <v>0.36</v>
      </c>
      <c r="CZ780" s="4" t="s">
        <v>42</v>
      </c>
      <c r="DA780" t="s">
        <v>42</v>
      </c>
      <c r="DB780" t="s">
        <v>42</v>
      </c>
      <c r="DC780" t="s">
        <v>42</v>
      </c>
      <c r="DD780" t="s">
        <v>42</v>
      </c>
      <c r="DE780" t="s">
        <v>42</v>
      </c>
      <c r="DF780" t="s">
        <v>42</v>
      </c>
      <c r="DG780" t="s">
        <v>42</v>
      </c>
      <c r="DH780" s="4" t="s">
        <v>42</v>
      </c>
      <c r="DI780" t="s">
        <v>42</v>
      </c>
      <c r="DJ780" s="4" t="s">
        <v>42</v>
      </c>
      <c r="DK780" t="s">
        <v>42</v>
      </c>
      <c r="DL780" s="4">
        <f>HYPERLINK("http://exon.niaid.nih.gov/transcriptome/C_felis/S1/links/cluster/cf-5-36-asb30-50-Id-CLU30.txt", 30)</f>
        <v>30</v>
      </c>
      <c r="DM780">
        <f>HYPERLINK("http://exon.niaid.nih.gov/transcriptome/C_felis/S1/links/cluster/cf-5-36-asb30-50-Id-CLTL30.txt", 2)</f>
        <v>2</v>
      </c>
      <c r="DN780" s="4">
        <v>98</v>
      </c>
      <c r="DO780">
        <v>1</v>
      </c>
      <c r="DP780" s="4">
        <v>93</v>
      </c>
      <c r="DQ780">
        <v>1</v>
      </c>
      <c r="DR780" s="4">
        <v>84</v>
      </c>
      <c r="DS780">
        <v>1</v>
      </c>
      <c r="DT780" s="4">
        <v>77</v>
      </c>
      <c r="DU780">
        <v>1</v>
      </c>
      <c r="DV780" s="4">
        <v>76</v>
      </c>
      <c r="DW780">
        <v>1</v>
      </c>
      <c r="DX780" s="4">
        <v>71</v>
      </c>
      <c r="DY780">
        <v>1</v>
      </c>
      <c r="DZ780" s="4">
        <v>69</v>
      </c>
      <c r="EA780">
        <v>1</v>
      </c>
      <c r="EB780" s="4">
        <v>69</v>
      </c>
      <c r="EC780">
        <v>1</v>
      </c>
      <c r="ED780" s="4">
        <v>70</v>
      </c>
      <c r="EE780">
        <v>1</v>
      </c>
      <c r="EF780" s="4">
        <v>65</v>
      </c>
      <c r="EG780">
        <v>1</v>
      </c>
      <c r="EH780" s="4">
        <v>55</v>
      </c>
      <c r="EI780">
        <v>1</v>
      </c>
      <c r="EJ780" s="4">
        <v>53</v>
      </c>
      <c r="EK780">
        <v>1</v>
      </c>
    </row>
    <row r="781" spans="1:141" x14ac:dyDescent="0.2">
      <c r="A781" t="str">
        <f>HYPERLINK("http://exon.niaid.nih.gov/transcriptome/C_felis/S1/links/cf/cf-contig_452.txt","cf-contig_452")</f>
        <v>cf-contig_452</v>
      </c>
      <c r="B781">
        <v>1</v>
      </c>
      <c r="C781" s="10" t="s">
        <v>4600</v>
      </c>
      <c r="D781">
        <v>1</v>
      </c>
      <c r="E781" t="str">
        <f>HYPERLINK("http://exon.niaid.nih.gov/transcriptome/C_felis/S1/links/cf/cf-5-36-asb-452.txt","Contig-452")</f>
        <v>Contig-452</v>
      </c>
      <c r="F781" t="str">
        <f>HYPERLINK("http://exon.niaid.nih.gov/transcriptome/C_felis/S1/links/cf/cf-5-36-452-CLU.txt","Contig452")</f>
        <v>Contig452</v>
      </c>
      <c r="G781" t="str">
        <f>HYPERLINK("http://exon.niaid.nih.gov/transcriptome/C_felis/S1/links/cf/cf-5-36-452-qual.txt","63.1")</f>
        <v>63.1</v>
      </c>
      <c r="H781" t="s">
        <v>11</v>
      </c>
      <c r="I781">
        <v>64.3</v>
      </c>
      <c r="J781">
        <v>244</v>
      </c>
      <c r="K781" t="s">
        <v>12</v>
      </c>
      <c r="L781">
        <v>1</v>
      </c>
      <c r="M781" t="s">
        <v>465</v>
      </c>
      <c r="N781">
        <v>244</v>
      </c>
      <c r="O781">
        <v>263</v>
      </c>
      <c r="P781">
        <v>123</v>
      </c>
      <c r="Q781" t="s">
        <v>1271</v>
      </c>
      <c r="R781">
        <v>2</v>
      </c>
      <c r="S781" s="7" t="s">
        <v>4585</v>
      </c>
      <c r="U781">
        <v>1</v>
      </c>
      <c r="V781" s="4">
        <v>366</v>
      </c>
      <c r="W781">
        <v>1</v>
      </c>
      <c r="X781" s="4">
        <v>375</v>
      </c>
      <c r="Y781">
        <v>1</v>
      </c>
      <c r="Z781" s="4">
        <v>380</v>
      </c>
      <c r="AA781">
        <v>1</v>
      </c>
      <c r="AB781" s="4" t="str">
        <f>HYPERLINK("http://exon.niaid.nih.gov/transcriptome/C_felis/S1/links/XC-ASB/cf-contig_452-XC-ASB.txt","XC-contig_106")</f>
        <v>XC-contig_106</v>
      </c>
      <c r="AC781">
        <v>0.6</v>
      </c>
      <c r="AD781" s="10" t="s">
        <v>4600</v>
      </c>
      <c r="AE781" t="s">
        <v>4601</v>
      </c>
      <c r="AI781" s="4" t="str">
        <f>HYPERLINK("http://exon.niaid.nih.gov/transcriptome/C_felis/S1/links/NR/cf-contig_452-NR.txt","predicted protein")</f>
        <v>predicted protein</v>
      </c>
      <c r="AJ781" t="str">
        <f>HYPERLINK("http://www.ncbi.nlm.nih.gov/sutils/blink.cgi?pid=224122556","5.6")</f>
        <v>5.6</v>
      </c>
      <c r="AK781" t="str">
        <f>HYPERLINK("http://www.ncbi.nlm.nih.gov/protein/224122556","gi|224122556")</f>
        <v>gi|224122556</v>
      </c>
      <c r="AL781">
        <v>34.700000000000003</v>
      </c>
      <c r="AM781">
        <v>36</v>
      </c>
      <c r="AN781">
        <v>512</v>
      </c>
      <c r="AO781">
        <v>37</v>
      </c>
      <c r="AP781">
        <v>7</v>
      </c>
      <c r="AQ781">
        <v>23</v>
      </c>
      <c r="AR781">
        <v>0</v>
      </c>
      <c r="AS781">
        <v>41</v>
      </c>
      <c r="AT781">
        <v>130</v>
      </c>
      <c r="AU781">
        <v>1</v>
      </c>
      <c r="AV781">
        <v>-3</v>
      </c>
      <c r="AW781" t="s">
        <v>12</v>
      </c>
      <c r="AY781" t="s">
        <v>1666</v>
      </c>
      <c r="AZ781" t="s">
        <v>3304</v>
      </c>
      <c r="BA781" s="4" t="str">
        <f>HYPERLINK("http://exon.niaid.nih.gov/transcriptome/C_felis/S1/links/SWISSP/cf-contig_452-SWISSP.txt","Oxidation resistance protein 1")</f>
        <v>Oxidation resistance protein 1</v>
      </c>
      <c r="BB781" t="str">
        <f>HYPERLINK("http://www.uniprot.org/uniprot/A8KBE0","8.2")</f>
        <v>8.2</v>
      </c>
      <c r="BC781" t="s">
        <v>3305</v>
      </c>
      <c r="BD781">
        <v>29.3</v>
      </c>
      <c r="BE781">
        <v>42</v>
      </c>
      <c r="BF781">
        <v>870</v>
      </c>
      <c r="BG781">
        <v>30</v>
      </c>
      <c r="BH781">
        <v>5</v>
      </c>
      <c r="BI781">
        <v>37</v>
      </c>
      <c r="BJ781">
        <v>0</v>
      </c>
      <c r="BK781">
        <v>649</v>
      </c>
      <c r="BL781">
        <v>19</v>
      </c>
      <c r="BM781">
        <v>1</v>
      </c>
      <c r="BN781">
        <v>-3</v>
      </c>
      <c r="BO781" t="s">
        <v>12</v>
      </c>
      <c r="BP781">
        <v>4.7619999999999996</v>
      </c>
      <c r="BQ781" t="s">
        <v>1666</v>
      </c>
      <c r="BR781" t="s">
        <v>1826</v>
      </c>
      <c r="BS781" s="4" t="str">
        <f>HYPERLINK("http://exon.niaid.nih.gov/transcriptome/C_felis/S1/links/CDD/cf-contig_452-CDD.txt","ATP_synt_6_or_A")</f>
        <v>ATP_synt_6_or_A</v>
      </c>
      <c r="BT781" t="str">
        <f>HYPERLINK("http://www.ncbi.nlm.nih.gov/Structure/cdd/cddsrv.cgi?uid=TIGR01131&amp;version=v4.0","0.20")</f>
        <v>0.20</v>
      </c>
      <c r="BU781" t="s">
        <v>3306</v>
      </c>
      <c r="BV781" s="4" t="s">
        <v>42</v>
      </c>
      <c r="BW781" t="s">
        <v>42</v>
      </c>
      <c r="BX781" t="s">
        <v>42</v>
      </c>
      <c r="BY781" t="s">
        <v>42</v>
      </c>
      <c r="BZ781" t="s">
        <v>42</v>
      </c>
      <c r="CA781" t="s">
        <v>42</v>
      </c>
      <c r="CB781" t="s">
        <v>42</v>
      </c>
      <c r="CC781" t="s">
        <v>42</v>
      </c>
      <c r="CD781" t="s">
        <v>42</v>
      </c>
      <c r="CE781" t="s">
        <v>42</v>
      </c>
      <c r="CF781" t="s">
        <v>42</v>
      </c>
      <c r="CG781" t="s">
        <v>42</v>
      </c>
      <c r="CH781" t="s">
        <v>42</v>
      </c>
      <c r="CI781" t="s">
        <v>42</v>
      </c>
      <c r="CJ781" t="s">
        <v>42</v>
      </c>
      <c r="CK781" t="s">
        <v>42</v>
      </c>
      <c r="CL781" t="s">
        <v>42</v>
      </c>
      <c r="CM781" t="s">
        <v>42</v>
      </c>
      <c r="CN781" t="s">
        <v>42</v>
      </c>
      <c r="CO781" t="s">
        <v>42</v>
      </c>
      <c r="CP781" t="s">
        <v>42</v>
      </c>
      <c r="CQ781" t="s">
        <v>42</v>
      </c>
      <c r="CR781" t="s">
        <v>42</v>
      </c>
      <c r="CS781" s="4" t="str">
        <f>HYPERLINK("http://exon.niaid.nih.gov/transcriptome/C_felis/S1/links/KOG/cf-contig_452-KOG.txt","Predicted esterase of the alpha-beta hydrolase superfamily (Neuropathy target esterase), contains cAMP-binding domains")</f>
        <v>Predicted esterase of the alpha-beta hydrolase superfamily (Neuropathy target esterase), contains cAMP-binding domains</v>
      </c>
      <c r="CT781" t="str">
        <f>HYPERLINK("http://www.ncbi.nlm.nih.gov/COG/grace/shokog.cgi?KOG2968","1.3")</f>
        <v>1.3</v>
      </c>
      <c r="CU781" t="s">
        <v>1721</v>
      </c>
      <c r="CV781" s="4" t="str">
        <f>HYPERLINK("http://exon.niaid.nih.gov/transcriptome/C_felis/S1/links/PFAM/cf-contig_452-PFAM.txt","Lipoprotein_X")</f>
        <v>Lipoprotein_X</v>
      </c>
      <c r="CW781" t="str">
        <f>HYPERLINK("http://pfam.sanger.ac.uk/family?acc=PF03305","0.072")</f>
        <v>0.072</v>
      </c>
      <c r="CX781" s="4" t="str">
        <f>HYPERLINK("http://exon.niaid.nih.gov/transcriptome/C_felis/S1/links/SMART/cf-contig_452-SMART.txt","HTTM")</f>
        <v>HTTM</v>
      </c>
      <c r="CY781" t="str">
        <f>HYPERLINK("http://smart.embl-heidelberg.de/smart/do_annotation.pl?DOMAIN=HTTM&amp;BLAST=DUMMY","0.34")</f>
        <v>0.34</v>
      </c>
      <c r="CZ781" s="4" t="s">
        <v>42</v>
      </c>
      <c r="DA781" t="s">
        <v>42</v>
      </c>
      <c r="DB781" t="s">
        <v>42</v>
      </c>
      <c r="DC781" t="s">
        <v>42</v>
      </c>
      <c r="DD781" t="s">
        <v>42</v>
      </c>
      <c r="DE781" t="s">
        <v>42</v>
      </c>
      <c r="DF781" t="s">
        <v>42</v>
      </c>
      <c r="DG781" t="s">
        <v>42</v>
      </c>
      <c r="DH781" s="4" t="s">
        <v>42</v>
      </c>
      <c r="DI781" t="s">
        <v>42</v>
      </c>
      <c r="DJ781" s="4" t="s">
        <v>42</v>
      </c>
      <c r="DK781" t="s">
        <v>42</v>
      </c>
      <c r="DL781" s="4">
        <v>366</v>
      </c>
      <c r="DM781">
        <v>1</v>
      </c>
      <c r="DN781" s="4">
        <v>375</v>
      </c>
      <c r="DO781">
        <v>1</v>
      </c>
      <c r="DP781" s="4">
        <v>380</v>
      </c>
      <c r="DQ781">
        <v>1</v>
      </c>
      <c r="DR781" s="4">
        <v>395</v>
      </c>
      <c r="DS781">
        <v>1</v>
      </c>
      <c r="DT781" s="4">
        <v>405</v>
      </c>
      <c r="DU781">
        <v>1</v>
      </c>
      <c r="DV781" s="4">
        <v>419</v>
      </c>
      <c r="DW781">
        <v>1</v>
      </c>
      <c r="DX781" s="4">
        <v>422</v>
      </c>
      <c r="DY781">
        <v>1</v>
      </c>
      <c r="DZ781" s="4">
        <v>427</v>
      </c>
      <c r="EA781">
        <v>1</v>
      </c>
      <c r="EB781" s="4">
        <v>432</v>
      </c>
      <c r="EC781">
        <v>1</v>
      </c>
      <c r="ED781" s="4">
        <v>436</v>
      </c>
      <c r="EE781">
        <v>1</v>
      </c>
      <c r="EF781" s="4">
        <v>441</v>
      </c>
      <c r="EG781">
        <v>1</v>
      </c>
      <c r="EH781" s="4">
        <v>446</v>
      </c>
      <c r="EI781">
        <v>1</v>
      </c>
      <c r="EJ781" s="4">
        <v>452</v>
      </c>
      <c r="EK781">
        <v>1</v>
      </c>
    </row>
    <row r="782" spans="1:141" x14ac:dyDescent="0.2">
      <c r="A782" t="str">
        <f>HYPERLINK("http://exon.niaid.nih.gov/transcriptome/C_felis/S1/links/cf/cf-contig_715.txt","cf-contig_715")</f>
        <v>cf-contig_715</v>
      </c>
      <c r="B782">
        <v>1</v>
      </c>
      <c r="C782" s="10" t="s">
        <v>4600</v>
      </c>
      <c r="D782">
        <v>1</v>
      </c>
      <c r="E782" t="str">
        <f>HYPERLINK("http://exon.niaid.nih.gov/transcriptome/C_felis/S1/links/cf/cf-5-36-asb-715.txt","Contig-715")</f>
        <v>Contig-715</v>
      </c>
      <c r="F782" t="str">
        <f>HYPERLINK("http://exon.niaid.nih.gov/transcriptome/C_felis/S1/links/cf/cf-5-36-715-CLU.txt","Contig715")</f>
        <v>Contig715</v>
      </c>
      <c r="G782" t="str">
        <f>HYPERLINK("http://exon.niaid.nih.gov/transcriptome/C_felis/S1/links/cf/cf-5-36-715-qual.txt","65.3")</f>
        <v>65.3</v>
      </c>
      <c r="H782" t="s">
        <v>11</v>
      </c>
      <c r="I782">
        <v>69.2</v>
      </c>
      <c r="J782">
        <v>312</v>
      </c>
      <c r="K782" t="s">
        <v>12</v>
      </c>
      <c r="L782">
        <v>1</v>
      </c>
      <c r="M782" t="s">
        <v>728</v>
      </c>
      <c r="N782">
        <v>312</v>
      </c>
      <c r="O782">
        <v>331</v>
      </c>
      <c r="P782">
        <v>108</v>
      </c>
      <c r="Q782" t="s">
        <v>1534</v>
      </c>
      <c r="R782">
        <v>3</v>
      </c>
      <c r="S782" s="7" t="s">
        <v>4585</v>
      </c>
      <c r="U782">
        <v>1</v>
      </c>
      <c r="V782" s="4">
        <f>HYPERLINK("http://exon.niaid.nih.gov/transcriptome/C_felis/S1/links/cluster/cf-5-36-asb30-50-Id-CLU63.txt", 63)</f>
        <v>63</v>
      </c>
      <c r="W782">
        <f>HYPERLINK("http://exon.niaid.nih.gov/transcriptome/C_felis/S1/links/cluster/cf-5-36-asb30-50-Id-CLTL63.txt", 2)</f>
        <v>2</v>
      </c>
      <c r="X782" s="4">
        <f>HYPERLINK("http://exon.niaid.nih.gov/transcriptome/C_felis/S1/links/cluster/cf-5-36-asb35-50-Id-CLU56.txt", 56)</f>
        <v>56</v>
      </c>
      <c r="Y782">
        <f>HYPERLINK("http://exon.niaid.nih.gov/transcriptome/C_felis/S1/links/cluster/cf-5-36-asb35-50-Id-CLTL56.txt", 2)</f>
        <v>2</v>
      </c>
      <c r="Z782" s="4">
        <f>HYPERLINK("http://exon.niaid.nih.gov/transcriptome/C_felis/S1/links/cluster/cf-5-36-asb40-50-Id-CLU53.txt", 53)</f>
        <v>53</v>
      </c>
      <c r="AA782">
        <f>HYPERLINK("http://exon.niaid.nih.gov/transcriptome/C_felis/S1/links/cluster/cf-5-36-asb40-50-Id-CLTL53.txt", 2)</f>
        <v>2</v>
      </c>
      <c r="AB782" s="4" t="str">
        <f>HYPERLINK("http://exon.niaid.nih.gov/transcriptome/C_felis/S1/links/XC-ASB/cf-contig_715-XC-ASB.txt","XC-contig_213")</f>
        <v>XC-contig_213</v>
      </c>
      <c r="AC782">
        <v>2E-3</v>
      </c>
      <c r="AD782" s="10" t="s">
        <v>4600</v>
      </c>
      <c r="AE782" t="s">
        <v>4601</v>
      </c>
      <c r="AI782" s="4" t="str">
        <f>HYPERLINK("http://exon.niaid.nih.gov/transcriptome/C_felis/S1/links/NR/cf-contig_715-NR.txt","alginate biosynthesis protein AlgI")</f>
        <v>alginate biosynthesis protein AlgI</v>
      </c>
      <c r="AJ782" t="str">
        <f>HYPERLINK("http://www.ncbi.nlm.nih.gov/sutils/blink.cgi?pid=281420506","1.9")</f>
        <v>1.9</v>
      </c>
      <c r="AK782" t="str">
        <f>HYPERLINK("http://www.ncbi.nlm.nih.gov/protein/281420506","gi|281420506")</f>
        <v>gi|281420506</v>
      </c>
      <c r="AL782">
        <v>36.200000000000003</v>
      </c>
      <c r="AM782">
        <v>43</v>
      </c>
      <c r="AN782">
        <v>497</v>
      </c>
      <c r="AO782">
        <v>40</v>
      </c>
      <c r="AP782">
        <v>9</v>
      </c>
      <c r="AQ782">
        <v>26</v>
      </c>
      <c r="AR782">
        <v>8</v>
      </c>
      <c r="AS782">
        <v>333</v>
      </c>
      <c r="AT782">
        <v>76</v>
      </c>
      <c r="AU782">
        <v>1</v>
      </c>
      <c r="AV782">
        <v>-2</v>
      </c>
      <c r="AW782" t="s">
        <v>12</v>
      </c>
      <c r="AY782" t="s">
        <v>1666</v>
      </c>
      <c r="AZ782" t="s">
        <v>4260</v>
      </c>
      <c r="BA782" s="4" t="str">
        <f>HYPERLINK("http://exon.niaid.nih.gov/transcriptome/C_felis/S1/links/SWISSP/cf-contig_715-SWISSP.txt","Protein DLN-1")</f>
        <v>Protein DLN-1</v>
      </c>
      <c r="BB782" t="str">
        <f>HYPERLINK("http://www.uniprot.org/uniprot/Q1XH10","0.56")</f>
        <v>0.56</v>
      </c>
      <c r="BC782" t="s">
        <v>4261</v>
      </c>
      <c r="BD782">
        <v>33.1</v>
      </c>
      <c r="BE782">
        <v>16</v>
      </c>
      <c r="BF782">
        <v>827</v>
      </c>
      <c r="BG782">
        <v>64</v>
      </c>
      <c r="BH782">
        <v>2</v>
      </c>
      <c r="BI782">
        <v>6</v>
      </c>
      <c r="BJ782">
        <v>0</v>
      </c>
      <c r="BK782">
        <v>274</v>
      </c>
      <c r="BL782">
        <v>106</v>
      </c>
      <c r="BM782">
        <v>1</v>
      </c>
      <c r="BN782">
        <v>1</v>
      </c>
      <c r="BO782" t="s">
        <v>12</v>
      </c>
      <c r="BQ782" t="s">
        <v>1676</v>
      </c>
      <c r="BR782" t="s">
        <v>1690</v>
      </c>
      <c r="BS782" s="4" t="str">
        <f>HYPERLINK("http://exon.niaid.nih.gov/transcriptome/C_felis/S1/links/CDD/cf-contig_715-CDD.txt","ND4")</f>
        <v>ND4</v>
      </c>
      <c r="BT782" t="str">
        <f>HYPERLINK("http://www.ncbi.nlm.nih.gov/Structure/cdd/cddsrv.cgi?uid=MTH00094&amp;version=v4.0","0.005")</f>
        <v>0.005</v>
      </c>
      <c r="BU782" t="s">
        <v>4262</v>
      </c>
      <c r="BV782" s="4" t="s">
        <v>42</v>
      </c>
      <c r="BW782" t="s">
        <v>42</v>
      </c>
      <c r="BX782" t="s">
        <v>42</v>
      </c>
      <c r="BY782" t="s">
        <v>42</v>
      </c>
      <c r="BZ782" t="s">
        <v>42</v>
      </c>
      <c r="CA782" t="s">
        <v>42</v>
      </c>
      <c r="CB782" t="s">
        <v>42</v>
      </c>
      <c r="CC782" t="s">
        <v>42</v>
      </c>
      <c r="CD782" t="s">
        <v>42</v>
      </c>
      <c r="CE782" t="s">
        <v>42</v>
      </c>
      <c r="CF782" t="s">
        <v>42</v>
      </c>
      <c r="CG782" t="s">
        <v>42</v>
      </c>
      <c r="CH782" t="s">
        <v>42</v>
      </c>
      <c r="CI782" t="s">
        <v>42</v>
      </c>
      <c r="CJ782" t="s">
        <v>42</v>
      </c>
      <c r="CK782" t="s">
        <v>42</v>
      </c>
      <c r="CL782" t="s">
        <v>42</v>
      </c>
      <c r="CM782" t="s">
        <v>42</v>
      </c>
      <c r="CN782" t="s">
        <v>42</v>
      </c>
      <c r="CO782" t="s">
        <v>42</v>
      </c>
      <c r="CP782" t="s">
        <v>42</v>
      </c>
      <c r="CQ782" t="s">
        <v>42</v>
      </c>
      <c r="CR782" t="s">
        <v>42</v>
      </c>
      <c r="CS782" s="4" t="str">
        <f>HYPERLINK("http://exon.niaid.nih.gov/transcriptome/C_felis/S1/links/KOG/cf-contig_715-KOG.txt","Uncharacterized conserved protein")</f>
        <v>Uncharacterized conserved protein</v>
      </c>
      <c r="CT782" t="str">
        <f>HYPERLINK("http://www.ncbi.nlm.nih.gov/COG/grace/shokog.cgi?KOG1134","0.17")</f>
        <v>0.17</v>
      </c>
      <c r="CU782" t="s">
        <v>1721</v>
      </c>
      <c r="CV782" s="4" t="str">
        <f>HYPERLINK("http://exon.niaid.nih.gov/transcriptome/C_felis/S1/links/PFAM/cf-contig_715-PFAM.txt","Acyl_transf_3")</f>
        <v>Acyl_transf_3</v>
      </c>
      <c r="CW782" t="str">
        <f>HYPERLINK("http://pfam.sanger.ac.uk/family?acc=PF01757","0.036")</f>
        <v>0.036</v>
      </c>
      <c r="CX782" s="4" t="str">
        <f>HYPERLINK("http://exon.niaid.nih.gov/transcriptome/C_felis/S1/links/SMART/cf-contig_715-SMART.txt","IPT")</f>
        <v>IPT</v>
      </c>
      <c r="CY782" t="str">
        <f>HYPERLINK("http://smart.embl-heidelberg.de/smart/do_annotation.pl?DOMAIN=IPT&amp;BLAST=DUMMY","0.19")</f>
        <v>0.19</v>
      </c>
      <c r="CZ782" s="4" t="s">
        <v>42</v>
      </c>
      <c r="DA782" t="s">
        <v>42</v>
      </c>
      <c r="DB782" t="s">
        <v>42</v>
      </c>
      <c r="DC782" t="s">
        <v>42</v>
      </c>
      <c r="DD782" t="s">
        <v>42</v>
      </c>
      <c r="DE782" t="s">
        <v>42</v>
      </c>
      <c r="DF782" t="s">
        <v>42</v>
      </c>
      <c r="DG782" t="s">
        <v>42</v>
      </c>
      <c r="DH782" s="4" t="s">
        <v>42</v>
      </c>
      <c r="DI782" t="s">
        <v>42</v>
      </c>
      <c r="DJ782" s="4" t="s">
        <v>42</v>
      </c>
      <c r="DK782" t="s">
        <v>42</v>
      </c>
      <c r="DL782" s="4">
        <f>HYPERLINK("http://exon.niaid.nih.gov/transcriptome/C_felis/S1/links/cluster/cf-5-36-asb30-50-Id-CLU63.txt", 63)</f>
        <v>63</v>
      </c>
      <c r="DM782">
        <f>HYPERLINK("http://exon.niaid.nih.gov/transcriptome/C_felis/S1/links/cluster/cf-5-36-asb30-50-Id-CLTL63.txt", 2)</f>
        <v>2</v>
      </c>
      <c r="DN782" s="4">
        <f>HYPERLINK("http://exon.niaid.nih.gov/transcriptome/C_felis/S1/links/cluster/cf-5-36-asb35-50-Id-CLU56.txt", 56)</f>
        <v>56</v>
      </c>
      <c r="DO782">
        <f>HYPERLINK("http://exon.niaid.nih.gov/transcriptome/C_felis/S1/links/cluster/cf-5-36-asb35-50-Id-CLTL56.txt", 2)</f>
        <v>2</v>
      </c>
      <c r="DP782" s="4">
        <f>HYPERLINK("http://exon.niaid.nih.gov/transcriptome/C_felis/S1/links/cluster/cf-5-36-asb40-50-Id-CLU53.txt", 53)</f>
        <v>53</v>
      </c>
      <c r="DQ782">
        <f>HYPERLINK("http://exon.niaid.nih.gov/transcriptome/C_felis/S1/links/cluster/cf-5-36-asb40-50-Id-CLTL53.txt", 2)</f>
        <v>2</v>
      </c>
      <c r="DR782" s="4">
        <f>HYPERLINK("http://exon.niaid.nih.gov/transcriptome/C_felis/S1/links/cluster/cf-5-36-asb45-50-Id-CLU44.txt", 44)</f>
        <v>44</v>
      </c>
      <c r="DS782">
        <f>HYPERLINK("http://exon.niaid.nih.gov/transcriptome/C_felis/S1/links/cluster/cf-5-36-asb45-50-Id-CLTL44.txt", 2)</f>
        <v>2</v>
      </c>
      <c r="DT782" s="4">
        <v>645</v>
      </c>
      <c r="DU782">
        <v>1</v>
      </c>
      <c r="DV782" s="4">
        <v>660</v>
      </c>
      <c r="DW782">
        <v>1</v>
      </c>
      <c r="DX782" s="4">
        <v>671</v>
      </c>
      <c r="DY782">
        <v>1</v>
      </c>
      <c r="DZ782" s="4">
        <v>681</v>
      </c>
      <c r="EA782">
        <v>1</v>
      </c>
      <c r="EB782" s="4">
        <v>686</v>
      </c>
      <c r="EC782">
        <v>1</v>
      </c>
      <c r="ED782" s="4">
        <v>690</v>
      </c>
      <c r="EE782">
        <v>1</v>
      </c>
      <c r="EF782" s="4">
        <v>696</v>
      </c>
      <c r="EG782">
        <v>1</v>
      </c>
      <c r="EH782" s="4">
        <v>706</v>
      </c>
      <c r="EI782">
        <v>1</v>
      </c>
      <c r="EJ782" s="4">
        <v>715</v>
      </c>
      <c r="EK782">
        <v>1</v>
      </c>
    </row>
    <row r="783" spans="1:141" x14ac:dyDescent="0.2">
      <c r="A783" t="str">
        <f>HYPERLINK("http://exon.niaid.nih.gov/transcriptome/C_felis/S1/links/cf/cf-contig_661.txt","cf-contig_661")</f>
        <v>cf-contig_661</v>
      </c>
      <c r="B783">
        <v>1</v>
      </c>
      <c r="C783" s="10" t="s">
        <v>4600</v>
      </c>
      <c r="D783">
        <v>1</v>
      </c>
      <c r="E783" t="str">
        <f>HYPERLINK("http://exon.niaid.nih.gov/transcriptome/C_felis/S1/links/cf/cf-5-36-asb-661.txt","Contig-661")</f>
        <v>Contig-661</v>
      </c>
      <c r="F783" t="str">
        <f>HYPERLINK("http://exon.niaid.nih.gov/transcriptome/C_felis/S1/links/cf/cf-5-36-661-CLU.txt","Contig661")</f>
        <v>Contig661</v>
      </c>
      <c r="G783" t="str">
        <f>HYPERLINK("http://exon.niaid.nih.gov/transcriptome/C_felis/S1/links/cf/cf-5-36-661-qual.txt","61.8")</f>
        <v>61.8</v>
      </c>
      <c r="H783" t="s">
        <v>11</v>
      </c>
      <c r="I783">
        <v>84.5</v>
      </c>
      <c r="J783">
        <v>168</v>
      </c>
      <c r="K783" t="s">
        <v>12</v>
      </c>
      <c r="L783">
        <v>1</v>
      </c>
      <c r="M783" t="s">
        <v>674</v>
      </c>
      <c r="N783">
        <v>168</v>
      </c>
      <c r="O783">
        <v>187</v>
      </c>
      <c r="P783">
        <v>93</v>
      </c>
      <c r="Q783" t="s">
        <v>1480</v>
      </c>
      <c r="R783">
        <v>2</v>
      </c>
      <c r="S783" s="7" t="s">
        <v>4585</v>
      </c>
      <c r="U783">
        <v>1</v>
      </c>
      <c r="V783" s="4">
        <v>540</v>
      </c>
      <c r="W783">
        <v>1</v>
      </c>
      <c r="X783" s="4">
        <v>552</v>
      </c>
      <c r="Y783">
        <v>1</v>
      </c>
      <c r="Z783" s="4">
        <v>564</v>
      </c>
      <c r="AA783">
        <v>1</v>
      </c>
      <c r="AB783" s="4" t="str">
        <f>HYPERLINK("http://exon.niaid.nih.gov/transcriptome/C_felis/S1/links/XC-ASB/cf-contig_661-XC-ASB.txt","XC-contig_48")</f>
        <v>XC-contig_48</v>
      </c>
      <c r="AC783">
        <v>0.1</v>
      </c>
      <c r="AD783" s="10" t="s">
        <v>4600</v>
      </c>
      <c r="AE783" t="s">
        <v>4601</v>
      </c>
      <c r="AI783" s="4" t="str">
        <f>HYPERLINK("http://exon.niaid.nih.gov/transcriptome/C_felis/S1/links/NR/cf-contig_661-NR.txt","hypothetical protein HMPREF0666_02014")</f>
        <v>hypothetical protein HMPREF0666_02014</v>
      </c>
      <c r="AJ783" t="str">
        <f>HYPERLINK("http://www.ncbi.nlm.nih.gov/sutils/blink.cgi?pid=345884431","62")</f>
        <v>62</v>
      </c>
      <c r="AK783" t="str">
        <f>HYPERLINK("http://www.ncbi.nlm.nih.gov/protein/345884431","gi|345884431")</f>
        <v>gi|345884431</v>
      </c>
      <c r="AL783">
        <v>31.2</v>
      </c>
      <c r="AM783">
        <v>17</v>
      </c>
      <c r="AN783">
        <v>70</v>
      </c>
      <c r="AO783">
        <v>70</v>
      </c>
      <c r="AP783">
        <v>26</v>
      </c>
      <c r="AQ783">
        <v>6</v>
      </c>
      <c r="AR783">
        <v>0</v>
      </c>
      <c r="AS783">
        <v>44</v>
      </c>
      <c r="AT783">
        <v>44</v>
      </c>
      <c r="AU783">
        <v>1</v>
      </c>
      <c r="AV783">
        <v>-1</v>
      </c>
      <c r="AW783" t="s">
        <v>12</v>
      </c>
      <c r="AX783">
        <v>5.8819999999999997</v>
      </c>
      <c r="AY783" t="s">
        <v>1666</v>
      </c>
      <c r="AZ783" t="s">
        <v>4087</v>
      </c>
      <c r="BA783" s="4" t="str">
        <f>HYPERLINK("http://exon.niaid.nih.gov/transcriptome/C_felis/S1/links/SWISSP/cf-contig_661-SWISSP.txt","Zinc transporter 7")</f>
        <v>Zinc transporter 7</v>
      </c>
      <c r="BB783" t="str">
        <f>HYPERLINK("http://www.uniprot.org/uniprot/Q5BJM8","4.8")</f>
        <v>4.8</v>
      </c>
      <c r="BC783" t="s">
        <v>4088</v>
      </c>
      <c r="BD783">
        <v>30</v>
      </c>
      <c r="BE783">
        <v>37</v>
      </c>
      <c r="BF783">
        <v>378</v>
      </c>
      <c r="BG783">
        <v>36</v>
      </c>
      <c r="BH783">
        <v>10</v>
      </c>
      <c r="BI783">
        <v>24</v>
      </c>
      <c r="BJ783">
        <v>0</v>
      </c>
      <c r="BK783">
        <v>17</v>
      </c>
      <c r="BL783">
        <v>17</v>
      </c>
      <c r="BM783">
        <v>1</v>
      </c>
      <c r="BN783">
        <v>-1</v>
      </c>
      <c r="BO783" t="s">
        <v>12</v>
      </c>
      <c r="BP783">
        <v>5.4050000000000002</v>
      </c>
      <c r="BQ783" t="s">
        <v>1666</v>
      </c>
      <c r="BR783" t="s">
        <v>1684</v>
      </c>
      <c r="BS783" s="4" t="str">
        <f>HYPERLINK("http://exon.niaid.nih.gov/transcriptome/C_felis/S1/links/CDD/cf-contig_661-CDD.txt","PHA03096")</f>
        <v>PHA03096</v>
      </c>
      <c r="BT783" t="str">
        <f>HYPERLINK("http://www.ncbi.nlm.nih.gov/Structure/cdd/cddsrv.cgi?uid=PHA03096&amp;version=v4.0","0.019")</f>
        <v>0.019</v>
      </c>
      <c r="BU783" t="s">
        <v>4089</v>
      </c>
      <c r="BV783" s="4" t="s">
        <v>42</v>
      </c>
      <c r="BW783" t="s">
        <v>42</v>
      </c>
      <c r="BX783" t="s">
        <v>42</v>
      </c>
      <c r="BY783" t="s">
        <v>42</v>
      </c>
      <c r="BZ783" t="s">
        <v>42</v>
      </c>
      <c r="CA783" t="s">
        <v>42</v>
      </c>
      <c r="CB783" t="s">
        <v>42</v>
      </c>
      <c r="CC783" t="s">
        <v>42</v>
      </c>
      <c r="CD783" t="s">
        <v>42</v>
      </c>
      <c r="CE783" t="s">
        <v>42</v>
      </c>
      <c r="CF783" t="s">
        <v>42</v>
      </c>
      <c r="CG783" t="s">
        <v>42</v>
      </c>
      <c r="CH783" t="s">
        <v>42</v>
      </c>
      <c r="CI783" t="s">
        <v>42</v>
      </c>
      <c r="CJ783" t="s">
        <v>42</v>
      </c>
      <c r="CK783" t="s">
        <v>42</v>
      </c>
      <c r="CL783" t="s">
        <v>42</v>
      </c>
      <c r="CM783" t="s">
        <v>42</v>
      </c>
      <c r="CN783" t="s">
        <v>42</v>
      </c>
      <c r="CO783" t="s">
        <v>42</v>
      </c>
      <c r="CP783" t="s">
        <v>42</v>
      </c>
      <c r="CQ783" t="s">
        <v>42</v>
      </c>
      <c r="CR783" t="s">
        <v>42</v>
      </c>
      <c r="CS783" s="4" t="str">
        <f>HYPERLINK("http://exon.niaid.nih.gov/transcriptome/C_felis/S1/links/KOG/cf-contig_661-KOG.txt","Bestrophin (Best vitelliform macular dystrophy-associated protein)")</f>
        <v>Bestrophin (Best vitelliform macular dystrophy-associated protein)</v>
      </c>
      <c r="CT783" t="str">
        <f>HYPERLINK("http://www.ncbi.nlm.nih.gov/COG/grace/shokog.cgi?KOG3547","0.14")</f>
        <v>0.14</v>
      </c>
      <c r="CU783" t="s">
        <v>1721</v>
      </c>
      <c r="CV783" s="4" t="str">
        <f>HYPERLINK("http://exon.niaid.nih.gov/transcriptome/C_felis/S1/links/PFAM/cf-contig_661-PFAM.txt","7TM_GPCR_Srbc")</f>
        <v>7TM_GPCR_Srbc</v>
      </c>
      <c r="CW783" t="str">
        <f>HYPERLINK("http://pfam.sanger.ac.uk/family?acc=PF10316","0.16")</f>
        <v>0.16</v>
      </c>
      <c r="CX783" s="4" t="str">
        <f>HYPERLINK("http://exon.niaid.nih.gov/transcriptome/C_felis/S1/links/SMART/cf-contig_661-SMART.txt","s48_45")</f>
        <v>s48_45</v>
      </c>
      <c r="CY783" t="str">
        <f>HYPERLINK("http://smart.embl-heidelberg.de/smart/do_annotation.pl?DOMAIN=s48_45&amp;BLAST=DUMMY","0.35")</f>
        <v>0.35</v>
      </c>
      <c r="CZ783" s="4" t="s">
        <v>42</v>
      </c>
      <c r="DA783" t="s">
        <v>42</v>
      </c>
      <c r="DB783" t="s">
        <v>42</v>
      </c>
      <c r="DC783" t="s">
        <v>42</v>
      </c>
      <c r="DD783" t="s">
        <v>42</v>
      </c>
      <c r="DE783" t="s">
        <v>42</v>
      </c>
      <c r="DF783" t="s">
        <v>42</v>
      </c>
      <c r="DG783" t="s">
        <v>42</v>
      </c>
      <c r="DH783" s="4" t="s">
        <v>42</v>
      </c>
      <c r="DI783" t="s">
        <v>42</v>
      </c>
      <c r="DJ783" s="4" t="s">
        <v>42</v>
      </c>
      <c r="DK783" t="s">
        <v>42</v>
      </c>
      <c r="DL783" s="4">
        <v>540</v>
      </c>
      <c r="DM783">
        <v>1</v>
      </c>
      <c r="DN783" s="4">
        <v>552</v>
      </c>
      <c r="DO783">
        <v>1</v>
      </c>
      <c r="DP783" s="4">
        <v>564</v>
      </c>
      <c r="DQ783">
        <v>1</v>
      </c>
      <c r="DR783" s="4">
        <v>584</v>
      </c>
      <c r="DS783">
        <v>1</v>
      </c>
      <c r="DT783" s="4">
        <v>597</v>
      </c>
      <c r="DU783">
        <v>1</v>
      </c>
      <c r="DV783" s="4">
        <v>611</v>
      </c>
      <c r="DW783">
        <v>1</v>
      </c>
      <c r="DX783" s="4">
        <v>620</v>
      </c>
      <c r="DY783">
        <v>1</v>
      </c>
      <c r="DZ783" s="4">
        <v>630</v>
      </c>
      <c r="EA783">
        <v>1</v>
      </c>
      <c r="EB783" s="4">
        <v>635</v>
      </c>
      <c r="EC783">
        <v>1</v>
      </c>
      <c r="ED783" s="4">
        <v>639</v>
      </c>
      <c r="EE783">
        <v>1</v>
      </c>
      <c r="EF783" s="4">
        <v>645</v>
      </c>
      <c r="EG783">
        <v>1</v>
      </c>
      <c r="EH783" s="4">
        <v>653</v>
      </c>
      <c r="EI783">
        <v>1</v>
      </c>
      <c r="EJ783" s="4">
        <v>661</v>
      </c>
      <c r="EK783">
        <v>1</v>
      </c>
    </row>
    <row r="784" spans="1:141" x14ac:dyDescent="0.2">
      <c r="A784" t="str">
        <f>HYPERLINK("http://exon.niaid.nih.gov/transcriptome/C_felis/S1/links/cf/cf-contig_361.txt","cf-contig_361")</f>
        <v>cf-contig_361</v>
      </c>
      <c r="B784">
        <v>1</v>
      </c>
      <c r="C784" s="10" t="s">
        <v>4600</v>
      </c>
      <c r="D784">
        <v>1</v>
      </c>
      <c r="E784" t="str">
        <f>HYPERLINK("http://exon.niaid.nih.gov/transcriptome/C_felis/S1/links/cf/cf-5-36-asb-361.txt","Contig-361")</f>
        <v>Contig-361</v>
      </c>
      <c r="F784" t="str">
        <f>HYPERLINK("http://exon.niaid.nih.gov/transcriptome/C_felis/S1/links/cf/cf-5-36-361-CLU.txt","Contig361")</f>
        <v>Contig361</v>
      </c>
      <c r="G784" t="str">
        <f>HYPERLINK("http://exon.niaid.nih.gov/transcriptome/C_felis/S1/links/cf/cf-5-36-361-qual.txt","63.")</f>
        <v>63.</v>
      </c>
      <c r="H784" t="s">
        <v>11</v>
      </c>
      <c r="I784">
        <v>74.7</v>
      </c>
      <c r="J784">
        <v>293</v>
      </c>
      <c r="K784" t="s">
        <v>12</v>
      </c>
      <c r="L784">
        <v>1</v>
      </c>
      <c r="M784" t="s">
        <v>374</v>
      </c>
      <c r="N784">
        <v>293</v>
      </c>
      <c r="O784">
        <v>312</v>
      </c>
      <c r="P784">
        <v>186</v>
      </c>
      <c r="Q784" t="s">
        <v>1181</v>
      </c>
      <c r="R784">
        <v>2</v>
      </c>
      <c r="S784" s="7" t="str">
        <f>HYPERLINK("http://exon.niaid.nih.gov/transcriptome/C_felis/S1/links/Sigp/CF-CONTIG_361-SigP.txt","Cyt")</f>
        <v>Cyt</v>
      </c>
      <c r="U784">
        <v>1</v>
      </c>
      <c r="V784" s="4">
        <v>290</v>
      </c>
      <c r="W784">
        <v>1</v>
      </c>
      <c r="X784" s="4">
        <v>297</v>
      </c>
      <c r="Y784">
        <v>1</v>
      </c>
      <c r="Z784" s="4">
        <v>298</v>
      </c>
      <c r="AA784">
        <v>1</v>
      </c>
      <c r="AB784" s="4" t="str">
        <f>HYPERLINK("http://exon.niaid.nih.gov/transcriptome/C_felis/S1/links/XC-ASB/cf-contig_361-XC-ASB.txt","XC-contig_190")</f>
        <v>XC-contig_190</v>
      </c>
      <c r="AC784">
        <v>1.2E-2</v>
      </c>
      <c r="AD784" s="10" t="s">
        <v>4600</v>
      </c>
      <c r="AE784" t="s">
        <v>4601</v>
      </c>
      <c r="AI784" s="4" t="str">
        <f>HYPERLINK("http://exon.niaid.nih.gov/transcriptome/C_felis/S1/links/NR/cf-contig_361-NR.txt","putative phosphonate ABC transporter")</f>
        <v>putative phosphonate ABC transporter</v>
      </c>
      <c r="AJ784" t="str">
        <f>HYPERLINK("http://www.ncbi.nlm.nih.gov/sutils/blink.cgi?pid=78779056","1.9")</f>
        <v>1.9</v>
      </c>
      <c r="AK784" t="str">
        <f>HYPERLINK("http://www.ncbi.nlm.nih.gov/protein/78779056","gi|78779056")</f>
        <v>gi|78779056</v>
      </c>
      <c r="AL784">
        <v>36.200000000000003</v>
      </c>
      <c r="AM784">
        <v>38</v>
      </c>
      <c r="AN784">
        <v>500</v>
      </c>
      <c r="AO784">
        <v>45</v>
      </c>
      <c r="AP784">
        <v>8</v>
      </c>
      <c r="AQ784">
        <v>22</v>
      </c>
      <c r="AR784">
        <v>0</v>
      </c>
      <c r="AS784">
        <v>251</v>
      </c>
      <c r="AT784">
        <v>128</v>
      </c>
      <c r="AU784">
        <v>1</v>
      </c>
      <c r="AV784">
        <v>-3</v>
      </c>
      <c r="AW784" t="s">
        <v>12</v>
      </c>
      <c r="AY784" t="s">
        <v>1666</v>
      </c>
      <c r="AZ784" t="s">
        <v>2939</v>
      </c>
      <c r="BA784" s="4" t="str">
        <f>HYPERLINK("http://exon.niaid.nih.gov/transcriptome/C_felis/S1/links/SWISSP/cf-contig_361-SWISSP.txt","Anaerobic sulfatase-maturating enzyme homolog YdeM")</f>
        <v>Anaerobic sulfatase-maturating enzyme homolog YdeM</v>
      </c>
      <c r="BB784" t="str">
        <f>HYPERLINK("http://www.uniprot.org/uniprot/P76134","4.7")</f>
        <v>4.7</v>
      </c>
      <c r="BC784" t="s">
        <v>2940</v>
      </c>
      <c r="BD784">
        <v>30</v>
      </c>
      <c r="BE784">
        <v>30</v>
      </c>
      <c r="BF784">
        <v>385</v>
      </c>
      <c r="BG784">
        <v>35</v>
      </c>
      <c r="BH784">
        <v>8</v>
      </c>
      <c r="BI784">
        <v>20</v>
      </c>
      <c r="BJ784">
        <v>0</v>
      </c>
      <c r="BK784">
        <v>329</v>
      </c>
      <c r="BL784">
        <v>184</v>
      </c>
      <c r="BM784">
        <v>1</v>
      </c>
      <c r="BN784">
        <v>1</v>
      </c>
      <c r="BO784" t="s">
        <v>12</v>
      </c>
      <c r="BP784">
        <v>3.3330000000000002</v>
      </c>
      <c r="BQ784" t="s">
        <v>1676</v>
      </c>
      <c r="BR784" t="s">
        <v>2941</v>
      </c>
      <c r="BS784" s="4" t="str">
        <f>HYPERLINK("http://exon.niaid.nih.gov/transcriptome/C_felis/S1/links/CDD/cf-contig_361-CDD.txt","ND6")</f>
        <v>ND6</v>
      </c>
      <c r="BT784" t="str">
        <f>HYPERLINK("http://www.ncbi.nlm.nih.gov/Structure/cdd/cddsrv.cgi?uid=MTH00097&amp;version=v4.0","0.016")</f>
        <v>0.016</v>
      </c>
      <c r="BU784" t="s">
        <v>2942</v>
      </c>
      <c r="BV784" s="4" t="s">
        <v>42</v>
      </c>
      <c r="BW784" t="s">
        <v>42</v>
      </c>
      <c r="BX784" t="s">
        <v>42</v>
      </c>
      <c r="BY784" t="s">
        <v>42</v>
      </c>
      <c r="BZ784" t="s">
        <v>42</v>
      </c>
      <c r="CA784" t="s">
        <v>42</v>
      </c>
      <c r="CB784" t="s">
        <v>42</v>
      </c>
      <c r="CC784" t="s">
        <v>42</v>
      </c>
      <c r="CD784" t="s">
        <v>42</v>
      </c>
      <c r="CE784" t="s">
        <v>42</v>
      </c>
      <c r="CF784" t="s">
        <v>42</v>
      </c>
      <c r="CG784" t="s">
        <v>42</v>
      </c>
      <c r="CH784" t="s">
        <v>42</v>
      </c>
      <c r="CI784" t="s">
        <v>42</v>
      </c>
      <c r="CJ784" t="s">
        <v>42</v>
      </c>
      <c r="CK784" t="s">
        <v>42</v>
      </c>
      <c r="CL784" t="s">
        <v>42</v>
      </c>
      <c r="CM784" t="s">
        <v>42</v>
      </c>
      <c r="CN784" t="s">
        <v>42</v>
      </c>
      <c r="CO784" t="s">
        <v>42</v>
      </c>
      <c r="CP784" t="s">
        <v>42</v>
      </c>
      <c r="CQ784" t="s">
        <v>42</v>
      </c>
      <c r="CR784" t="s">
        <v>42</v>
      </c>
      <c r="CS784" s="4" t="str">
        <f>HYPERLINK("http://exon.niaid.nih.gov/transcriptome/C_felis/S1/links/KOG/cf-contig_361-KOG.txt","Predicted UDP-galactose transporter")</f>
        <v>Predicted UDP-galactose transporter</v>
      </c>
      <c r="CT784" t="str">
        <f>HYPERLINK("http://www.ncbi.nlm.nih.gov/COG/grace/shokog.cgi?KOG2234","0.40")</f>
        <v>0.40</v>
      </c>
      <c r="CU784" t="s">
        <v>1823</v>
      </c>
      <c r="CV784" s="4" t="str">
        <f>HYPERLINK("http://exon.niaid.nih.gov/transcriptome/C_felis/S1/links/PFAM/cf-contig_361-PFAM.txt","7TM_GPCR_Str")</f>
        <v>7TM_GPCR_Str</v>
      </c>
      <c r="CW784" t="str">
        <f>HYPERLINK("http://pfam.sanger.ac.uk/family?acc=PF10326","0.054")</f>
        <v>0.054</v>
      </c>
      <c r="CX784" s="4" t="str">
        <f>HYPERLINK("http://exon.niaid.nih.gov/transcriptome/C_felis/S1/links/SMART/cf-contig_361-SMART.txt","BROMO")</f>
        <v>BROMO</v>
      </c>
      <c r="CY784" t="str">
        <f>HYPERLINK("http://smart.embl-heidelberg.de/smart/do_annotation.pl?DOMAIN=BROMO&amp;BLAST=DUMMY","0.032")</f>
        <v>0.032</v>
      </c>
      <c r="CZ784" s="4" t="s">
        <v>42</v>
      </c>
      <c r="DA784" t="s">
        <v>42</v>
      </c>
      <c r="DB784" t="s">
        <v>42</v>
      </c>
      <c r="DC784" t="s">
        <v>42</v>
      </c>
      <c r="DD784" t="s">
        <v>42</v>
      </c>
      <c r="DE784" t="s">
        <v>42</v>
      </c>
      <c r="DF784" t="s">
        <v>42</v>
      </c>
      <c r="DG784" t="s">
        <v>42</v>
      </c>
      <c r="DH784" s="4" t="s">
        <v>42</v>
      </c>
      <c r="DI784" t="s">
        <v>42</v>
      </c>
      <c r="DJ784" s="4" t="s">
        <v>42</v>
      </c>
      <c r="DK784" t="s">
        <v>42</v>
      </c>
      <c r="DL784" s="4">
        <v>290</v>
      </c>
      <c r="DM784">
        <v>1</v>
      </c>
      <c r="DN784" s="4">
        <v>297</v>
      </c>
      <c r="DO784">
        <v>1</v>
      </c>
      <c r="DP784" s="4">
        <v>298</v>
      </c>
      <c r="DQ784">
        <v>1</v>
      </c>
      <c r="DR784" s="4">
        <v>309</v>
      </c>
      <c r="DS784">
        <v>1</v>
      </c>
      <c r="DT784" s="4">
        <v>319</v>
      </c>
      <c r="DU784">
        <v>1</v>
      </c>
      <c r="DV784" s="4">
        <v>332</v>
      </c>
      <c r="DW784">
        <v>1</v>
      </c>
      <c r="DX784" s="4">
        <v>335</v>
      </c>
      <c r="DY784">
        <v>1</v>
      </c>
      <c r="DZ784" s="4">
        <v>340</v>
      </c>
      <c r="EA784">
        <v>1</v>
      </c>
      <c r="EB784" s="4">
        <v>345</v>
      </c>
      <c r="EC784">
        <v>1</v>
      </c>
      <c r="ED784" s="4">
        <v>349</v>
      </c>
      <c r="EE784">
        <v>1</v>
      </c>
      <c r="EF784" s="4">
        <v>354</v>
      </c>
      <c r="EG784">
        <v>1</v>
      </c>
      <c r="EH784" s="4">
        <v>356</v>
      </c>
      <c r="EI784">
        <v>1</v>
      </c>
      <c r="EJ784" s="4">
        <v>361</v>
      </c>
      <c r="EK784">
        <v>1</v>
      </c>
    </row>
    <row r="785" spans="1:141" x14ac:dyDescent="0.2">
      <c r="A785" t="str">
        <f>HYPERLINK("http://exon.niaid.nih.gov/transcriptome/C_felis/S1/links/cf/cf-contig_488.txt","cf-contig_488")</f>
        <v>cf-contig_488</v>
      </c>
      <c r="B785">
        <v>1</v>
      </c>
      <c r="C785" s="10" t="s">
        <v>4600</v>
      </c>
      <c r="D785">
        <v>1</v>
      </c>
      <c r="E785" t="str">
        <f>HYPERLINK("http://exon.niaid.nih.gov/transcriptome/C_felis/S1/links/cf/cf-5-36-asb-488.txt","Contig-488")</f>
        <v>Contig-488</v>
      </c>
      <c r="F785" t="str">
        <f>HYPERLINK("http://exon.niaid.nih.gov/transcriptome/C_felis/S1/links/cf/cf-5-36-488-CLU.txt","Contig488")</f>
        <v>Contig488</v>
      </c>
      <c r="G785" t="str">
        <f>HYPERLINK("http://exon.niaid.nih.gov/transcriptome/C_felis/S1/links/cf/cf-5-36-488-qual.txt","43.5")</f>
        <v>43.5</v>
      </c>
      <c r="H785" t="s">
        <v>11</v>
      </c>
      <c r="I785">
        <v>64.8</v>
      </c>
      <c r="J785">
        <v>796</v>
      </c>
      <c r="K785" t="s">
        <v>12</v>
      </c>
      <c r="L785">
        <v>1</v>
      </c>
      <c r="M785" t="s">
        <v>501</v>
      </c>
      <c r="N785">
        <v>796</v>
      </c>
      <c r="O785">
        <v>815</v>
      </c>
      <c r="P785">
        <v>195</v>
      </c>
      <c r="Q785" t="s">
        <v>1307</v>
      </c>
      <c r="R785">
        <v>1</v>
      </c>
      <c r="S785" s="7" t="str">
        <f>HYPERLINK("http://exon.niaid.nih.gov/transcriptome/C_felis/S1/links/Sigp/CF-CONTIG_488-SigP.txt","Cyt")</f>
        <v>Cyt</v>
      </c>
      <c r="U785">
        <v>1</v>
      </c>
      <c r="V785" s="4">
        <f>HYPERLINK("http://exon.niaid.nih.gov/transcriptome/C_felis/S1/links/cluster/cf-5-36-asb30-50-Id-CLU81.txt", 81)</f>
        <v>81</v>
      </c>
      <c r="W785">
        <f>HYPERLINK("http://exon.niaid.nih.gov/transcriptome/C_felis/S1/links/cluster/cf-5-36-asb30-50-Id-CLTL81.txt", 2)</f>
        <v>2</v>
      </c>
      <c r="X785" s="4">
        <f>HYPERLINK("http://exon.niaid.nih.gov/transcriptome/C_felis/S1/links/cluster/cf-5-36-asb35-50-Id-CLU73.txt", 73)</f>
        <v>73</v>
      </c>
      <c r="Y785">
        <f>HYPERLINK("http://exon.niaid.nih.gov/transcriptome/C_felis/S1/links/cluster/cf-5-36-asb35-50-Id-CLTL73.txt", 2)</f>
        <v>2</v>
      </c>
      <c r="Z785" s="4">
        <f>HYPERLINK("http://exon.niaid.nih.gov/transcriptome/C_felis/S1/links/cluster/cf-5-36-asb40-50-Id-CLU67.txt", 67)</f>
        <v>67</v>
      </c>
      <c r="AA785">
        <f>HYPERLINK("http://exon.niaid.nih.gov/transcriptome/C_felis/S1/links/cluster/cf-5-36-asb40-50-Id-CLTL67.txt", 2)</f>
        <v>2</v>
      </c>
      <c r="AB785" s="4" t="str">
        <f>HYPERLINK("http://exon.niaid.nih.gov/transcriptome/C_felis/S1/links/XC-ASB/cf-contig_488-XC-ASB.txt","XC-contig_25")</f>
        <v>XC-contig_25</v>
      </c>
      <c r="AC785">
        <v>1.9999999999999999E-6</v>
      </c>
      <c r="AD785" s="10" t="s">
        <v>4600</v>
      </c>
      <c r="AE785" t="s">
        <v>4601</v>
      </c>
      <c r="AI785" s="4" t="str">
        <f>HYPERLINK("http://exon.niaid.nih.gov/transcriptome/C_felis/S1/links/NR/cf-contig_488-NR.txt","hypothetical protein")</f>
        <v>hypothetical protein</v>
      </c>
      <c r="AJ785" t="str">
        <f>HYPERLINK("http://www.ncbi.nlm.nih.gov/sutils/blink.cgi?pid=342906132","3E-007")</f>
        <v>3E-007</v>
      </c>
      <c r="AK785" t="str">
        <f>HYPERLINK("http://www.ncbi.nlm.nih.gov/protein/342906132","gi|342906132")</f>
        <v>gi|342906132</v>
      </c>
      <c r="AL785">
        <v>60.5</v>
      </c>
      <c r="AM785">
        <v>95</v>
      </c>
      <c r="AN785">
        <v>98</v>
      </c>
      <c r="AO785">
        <v>38</v>
      </c>
      <c r="AP785">
        <v>98</v>
      </c>
      <c r="AQ785">
        <v>59</v>
      </c>
      <c r="AR785">
        <v>11</v>
      </c>
      <c r="AS785">
        <v>1</v>
      </c>
      <c r="AT785">
        <v>31</v>
      </c>
      <c r="AU785">
        <v>1</v>
      </c>
      <c r="AV785">
        <v>1</v>
      </c>
      <c r="AW785" t="s">
        <v>12</v>
      </c>
      <c r="AX785">
        <v>1.0529999999999999</v>
      </c>
      <c r="AY785" t="s">
        <v>1676</v>
      </c>
      <c r="AZ785" t="s">
        <v>2158</v>
      </c>
      <c r="BA785" s="4" t="str">
        <f>HYPERLINK("http://exon.niaid.nih.gov/transcriptome/C_felis/S1/links/SWISSP/cf-contig_488-SWISSP.txt","Uncharacterized protein At3g15000, mitochondrial")</f>
        <v>Uncharacterized protein At3g15000, mitochondrial</v>
      </c>
      <c r="BB785" t="str">
        <f>HYPERLINK("http://www.uniprot.org/uniprot/Q9LKA5","0.28")</f>
        <v>0.28</v>
      </c>
      <c r="BC785" t="s">
        <v>3444</v>
      </c>
      <c r="BD785">
        <v>36.200000000000003</v>
      </c>
      <c r="BE785">
        <v>66</v>
      </c>
      <c r="BF785">
        <v>395</v>
      </c>
      <c r="BG785">
        <v>34</v>
      </c>
      <c r="BH785">
        <v>17</v>
      </c>
      <c r="BI785">
        <v>46</v>
      </c>
      <c r="BJ785">
        <v>8</v>
      </c>
      <c r="BK785">
        <v>217</v>
      </c>
      <c r="BL785">
        <v>28</v>
      </c>
      <c r="BM785">
        <v>1</v>
      </c>
      <c r="BN785">
        <v>1</v>
      </c>
      <c r="BO785" t="s">
        <v>12</v>
      </c>
      <c r="BP785">
        <v>1.5149999999999999</v>
      </c>
      <c r="BQ785" t="s">
        <v>1676</v>
      </c>
      <c r="BR785" t="s">
        <v>1714</v>
      </c>
      <c r="BS785" s="4" t="str">
        <f>HYPERLINK("http://exon.niaid.nih.gov/transcriptome/C_felis/S1/links/CDD/cf-contig_488-CDD.txt","ND5")</f>
        <v>ND5</v>
      </c>
      <c r="BT785" t="str">
        <f>HYPERLINK("http://www.ncbi.nlm.nih.gov/Structure/cdd/cddsrv.cgi?uid=MTH00095&amp;version=v4.0","2E-004")</f>
        <v>2E-004</v>
      </c>
      <c r="BU785" t="s">
        <v>3445</v>
      </c>
      <c r="BV785" s="4" t="s">
        <v>42</v>
      </c>
      <c r="BW785" t="s">
        <v>42</v>
      </c>
      <c r="BX785" t="s">
        <v>42</v>
      </c>
      <c r="BY785" t="s">
        <v>42</v>
      </c>
      <c r="BZ785" t="s">
        <v>42</v>
      </c>
      <c r="CA785" t="s">
        <v>42</v>
      </c>
      <c r="CB785" t="s">
        <v>42</v>
      </c>
      <c r="CC785" t="s">
        <v>42</v>
      </c>
      <c r="CD785" t="s">
        <v>42</v>
      </c>
      <c r="CE785" t="s">
        <v>42</v>
      </c>
      <c r="CF785" t="s">
        <v>42</v>
      </c>
      <c r="CG785" t="s">
        <v>42</v>
      </c>
      <c r="CH785" t="s">
        <v>42</v>
      </c>
      <c r="CI785" t="s">
        <v>42</v>
      </c>
      <c r="CJ785" t="s">
        <v>42</v>
      </c>
      <c r="CK785" t="s">
        <v>42</v>
      </c>
      <c r="CL785" t="s">
        <v>42</v>
      </c>
      <c r="CM785" t="s">
        <v>42</v>
      </c>
      <c r="CN785" t="s">
        <v>42</v>
      </c>
      <c r="CO785" t="s">
        <v>42</v>
      </c>
      <c r="CP785" t="s">
        <v>42</v>
      </c>
      <c r="CQ785" t="s">
        <v>42</v>
      </c>
      <c r="CR785" t="s">
        <v>42</v>
      </c>
      <c r="CS785" s="4" t="str">
        <f>HYPERLINK("http://exon.niaid.nih.gov/transcriptome/C_felis/S1/links/KOG/cf-contig_488-KOG.txt","RhoA GTPase effector DIA/Diaphanous")</f>
        <v>RhoA GTPase effector DIA/Diaphanous</v>
      </c>
      <c r="CT785" t="str">
        <f>HYPERLINK("http://www.ncbi.nlm.nih.gov/COG/grace/shokog.cgi?KOG1924","0.047")</f>
        <v>0.047</v>
      </c>
      <c r="CU785" t="s">
        <v>1671</v>
      </c>
      <c r="CV785" s="4" t="str">
        <f>HYPERLINK("http://exon.niaid.nih.gov/transcriptome/C_felis/S1/links/PFAM/cf-contig_488-PFAM.txt","Bul1_C")</f>
        <v>Bul1_C</v>
      </c>
      <c r="CW785" t="str">
        <f>HYPERLINK("http://pfam.sanger.ac.uk/family?acc=PF04426","0.037")</f>
        <v>0.037</v>
      </c>
      <c r="CX785" s="4" t="str">
        <f>HYPERLINK("http://exon.niaid.nih.gov/transcriptome/C_felis/S1/links/SMART/cf-contig_488-SMART.txt","PSN")</f>
        <v>PSN</v>
      </c>
      <c r="CY785" t="str">
        <f>HYPERLINK("http://smart.embl-heidelberg.de/smart/do_annotation.pl?DOMAIN=PSN&amp;BLAST=DUMMY","0.027")</f>
        <v>0.027</v>
      </c>
      <c r="CZ785" s="4" t="s">
        <v>42</v>
      </c>
      <c r="DA785" t="s">
        <v>42</v>
      </c>
      <c r="DB785" t="s">
        <v>42</v>
      </c>
      <c r="DC785" t="s">
        <v>42</v>
      </c>
      <c r="DD785" t="s">
        <v>42</v>
      </c>
      <c r="DE785" t="s">
        <v>42</v>
      </c>
      <c r="DF785" t="s">
        <v>42</v>
      </c>
      <c r="DG785" t="s">
        <v>42</v>
      </c>
      <c r="DH785" s="4" t="s">
        <v>42</v>
      </c>
      <c r="DI785" t="s">
        <v>42</v>
      </c>
      <c r="DJ785" s="4" t="s">
        <v>42</v>
      </c>
      <c r="DK785" t="s">
        <v>42</v>
      </c>
      <c r="DL785" s="4">
        <f>HYPERLINK("http://exon.niaid.nih.gov/transcriptome/C_felis/S1/links/cluster/cf-5-36-asb30-50-Id-CLU81.txt", 81)</f>
        <v>81</v>
      </c>
      <c r="DM785">
        <f>HYPERLINK("http://exon.niaid.nih.gov/transcriptome/C_felis/S1/links/cluster/cf-5-36-asb30-50-Id-CLTL81.txt", 2)</f>
        <v>2</v>
      </c>
      <c r="DN785" s="4">
        <f>HYPERLINK("http://exon.niaid.nih.gov/transcriptome/C_felis/S1/links/cluster/cf-5-36-asb35-50-Id-CLU73.txt", 73)</f>
        <v>73</v>
      </c>
      <c r="DO785">
        <f>HYPERLINK("http://exon.niaid.nih.gov/transcriptome/C_felis/S1/links/cluster/cf-5-36-asb35-50-Id-CLTL73.txt", 2)</f>
        <v>2</v>
      </c>
      <c r="DP785" s="4">
        <f>HYPERLINK("http://exon.niaid.nih.gov/transcriptome/C_felis/S1/links/cluster/cf-5-36-asb40-50-Id-CLU67.txt", 67)</f>
        <v>67</v>
      </c>
      <c r="DQ785">
        <f>HYPERLINK("http://exon.niaid.nih.gov/transcriptome/C_felis/S1/links/cluster/cf-5-36-asb40-50-Id-CLTL67.txt", 2)</f>
        <v>2</v>
      </c>
      <c r="DR785" s="4">
        <f>HYPERLINK("http://exon.niaid.nih.gov/transcriptome/C_felis/S1/links/cluster/cf-5-36-asb45-50-Id-CLU54.txt", 54)</f>
        <v>54</v>
      </c>
      <c r="DS785">
        <f>HYPERLINK("http://exon.niaid.nih.gov/transcriptome/C_felis/S1/links/cluster/cf-5-36-asb45-50-Id-CLTL54.txt", 2)</f>
        <v>2</v>
      </c>
      <c r="DT785" s="4">
        <f>HYPERLINK("http://exon.niaid.nih.gov/transcriptome/C_felis/S1/links/cluster/cf-5-36-asb50-50-Id-CLU47.txt", 47)</f>
        <v>47</v>
      </c>
      <c r="DU785">
        <f>HYPERLINK("http://exon.niaid.nih.gov/transcriptome/C_felis/S1/links/cluster/cf-5-36-asb50-50-Id-CLTL47.txt", 2)</f>
        <v>2</v>
      </c>
      <c r="DV785" s="4">
        <f>HYPERLINK("http://exon.niaid.nih.gov/transcriptome/C_felis/S1/links/cluster/cf-5-36-asb55-50-Id-CLU43.txt", 43)</f>
        <v>43</v>
      </c>
      <c r="DW785">
        <f>HYPERLINK("http://exon.niaid.nih.gov/transcriptome/C_felis/S1/links/cluster/cf-5-36-asb55-50-Id-CLTL43.txt", 2)</f>
        <v>2</v>
      </c>
      <c r="DX785" s="4">
        <v>455</v>
      </c>
      <c r="DY785">
        <v>1</v>
      </c>
      <c r="DZ785" s="4">
        <v>462</v>
      </c>
      <c r="EA785">
        <v>1</v>
      </c>
      <c r="EB785" s="4">
        <v>467</v>
      </c>
      <c r="EC785">
        <v>1</v>
      </c>
      <c r="ED785" s="4">
        <v>471</v>
      </c>
      <c r="EE785">
        <v>1</v>
      </c>
      <c r="EF785" s="4">
        <v>476</v>
      </c>
      <c r="EG785">
        <v>1</v>
      </c>
      <c r="EH785" s="4">
        <v>482</v>
      </c>
      <c r="EI785">
        <v>1</v>
      </c>
      <c r="EJ785" s="4">
        <v>488</v>
      </c>
      <c r="EK785">
        <v>1</v>
      </c>
    </row>
    <row r="786" spans="1:141" x14ac:dyDescent="0.2">
      <c r="A786" t="str">
        <f>HYPERLINK("http://exon.niaid.nih.gov/transcriptome/C_felis/S1/links/cf/cf-contig_466.txt","cf-contig_466")</f>
        <v>cf-contig_466</v>
      </c>
      <c r="B786">
        <v>1</v>
      </c>
      <c r="C786" s="10" t="s">
        <v>4600</v>
      </c>
      <c r="D786">
        <v>1</v>
      </c>
      <c r="E786" t="str">
        <f>HYPERLINK("http://exon.niaid.nih.gov/transcriptome/C_felis/S1/links/cf/cf-5-36-asb-466.txt","Contig-466")</f>
        <v>Contig-466</v>
      </c>
      <c r="F786" t="str">
        <f>HYPERLINK("http://exon.niaid.nih.gov/transcriptome/C_felis/S1/links/cf/cf-5-36-466-CLU.txt","Contig466")</f>
        <v>Contig466</v>
      </c>
      <c r="G786" t="str">
        <f>HYPERLINK("http://exon.niaid.nih.gov/transcriptome/C_felis/S1/links/cf/cf-5-36-466-qual.txt","35.7")</f>
        <v>35.7</v>
      </c>
      <c r="H786" t="s">
        <v>11</v>
      </c>
      <c r="I786">
        <v>71.900000000000006</v>
      </c>
      <c r="J786">
        <v>120</v>
      </c>
      <c r="K786" t="s">
        <v>12</v>
      </c>
      <c r="L786">
        <v>1</v>
      </c>
      <c r="M786" t="s">
        <v>479</v>
      </c>
      <c r="N786">
        <v>120</v>
      </c>
      <c r="O786">
        <v>139</v>
      </c>
      <c r="P786">
        <v>84</v>
      </c>
      <c r="Q786" t="s">
        <v>1285</v>
      </c>
      <c r="R786">
        <v>2</v>
      </c>
      <c r="S786" s="7" t="s">
        <v>4585</v>
      </c>
      <c r="U786">
        <v>1</v>
      </c>
      <c r="V786" s="4">
        <v>378</v>
      </c>
      <c r="W786">
        <v>1</v>
      </c>
      <c r="X786" s="4">
        <v>387</v>
      </c>
      <c r="Y786">
        <v>1</v>
      </c>
      <c r="Z786" s="4">
        <v>392</v>
      </c>
      <c r="AA786">
        <v>1</v>
      </c>
      <c r="AB786" s="4" t="str">
        <f>HYPERLINK("http://exon.niaid.nih.gov/transcriptome/C_felis/S1/links/XC-ASB/cf-contig_466-XC-ASB.txt","XC-contig_135")</f>
        <v>XC-contig_135</v>
      </c>
      <c r="AC786">
        <v>4.4999999999999998E-2</v>
      </c>
      <c r="AD786" s="10" t="s">
        <v>4600</v>
      </c>
      <c r="AE786" t="s">
        <v>4601</v>
      </c>
      <c r="AI786" s="4" t="str">
        <f>HYPERLINK("http://exon.niaid.nih.gov/transcriptome/C_felis/S1/links/NR/cf-contig_466-NR.txt","thioredoxin reductase")</f>
        <v>thioredoxin reductase</v>
      </c>
      <c r="AJ786" t="str">
        <f>HYPERLINK("http://www.ncbi.nlm.nih.gov/sutils/blink.cgi?pid=157827075","79")</f>
        <v>79</v>
      </c>
      <c r="AK786" t="str">
        <f>HYPERLINK("http://www.ncbi.nlm.nih.gov/protein/157827075","gi|157827075")</f>
        <v>gi|157827075</v>
      </c>
      <c r="AL786">
        <v>30.8</v>
      </c>
      <c r="AM786">
        <v>36</v>
      </c>
      <c r="AN786">
        <v>332</v>
      </c>
      <c r="AO786">
        <v>35</v>
      </c>
      <c r="AP786">
        <v>11</v>
      </c>
      <c r="AQ786">
        <v>24</v>
      </c>
      <c r="AR786">
        <v>0</v>
      </c>
      <c r="AS786">
        <v>118</v>
      </c>
      <c r="AT786">
        <v>2</v>
      </c>
      <c r="AU786">
        <v>1</v>
      </c>
      <c r="AV786">
        <v>2</v>
      </c>
      <c r="AW786" t="s">
        <v>12</v>
      </c>
      <c r="AX786">
        <v>2.778</v>
      </c>
      <c r="AY786" t="s">
        <v>1676</v>
      </c>
      <c r="AZ786" t="s">
        <v>3366</v>
      </c>
      <c r="BA786" s="4" t="str">
        <f>HYPERLINK("http://exon.niaid.nih.gov/transcriptome/C_felis/S1/links/SWISSP/cf-contig_466-SWISSP.txt","Ferredoxin--NADP reductase")</f>
        <v>Ferredoxin--NADP reductase</v>
      </c>
      <c r="BB786" t="str">
        <f>HYPERLINK("http://www.uniprot.org/uniprot/Q1RHV1","2.8")</f>
        <v>2.8</v>
      </c>
      <c r="BC786" t="s">
        <v>3367</v>
      </c>
      <c r="BD786">
        <v>30.8</v>
      </c>
      <c r="BE786">
        <v>36</v>
      </c>
      <c r="BF786">
        <v>332</v>
      </c>
      <c r="BG786">
        <v>35</v>
      </c>
      <c r="BH786">
        <v>11</v>
      </c>
      <c r="BI786">
        <v>24</v>
      </c>
      <c r="BJ786">
        <v>0</v>
      </c>
      <c r="BK786">
        <v>118</v>
      </c>
      <c r="BL786">
        <v>2</v>
      </c>
      <c r="BM786">
        <v>1</v>
      </c>
      <c r="BN786">
        <v>2</v>
      </c>
      <c r="BO786" t="s">
        <v>12</v>
      </c>
      <c r="BP786">
        <v>2.778</v>
      </c>
      <c r="BQ786" t="s">
        <v>1676</v>
      </c>
      <c r="BR786" t="s">
        <v>3368</v>
      </c>
      <c r="BS786" s="4" t="str">
        <f>HYPERLINK("http://exon.niaid.nih.gov/transcriptome/C_felis/S1/links/CDD/cf-contig_466-CDD.txt","XisH")</f>
        <v>XisH</v>
      </c>
      <c r="BT786" t="str">
        <f>HYPERLINK("http://www.ncbi.nlm.nih.gov/Structure/cdd/cddsrv.cgi?uid=pfam08814&amp;version=v4.0","4.6")</f>
        <v>4.6</v>
      </c>
      <c r="BU786" t="s">
        <v>3369</v>
      </c>
      <c r="BV786" s="4" t="s">
        <v>42</v>
      </c>
      <c r="BW786" t="s">
        <v>42</v>
      </c>
      <c r="BX786" t="s">
        <v>42</v>
      </c>
      <c r="BY786" t="s">
        <v>42</v>
      </c>
      <c r="BZ786" t="s">
        <v>42</v>
      </c>
      <c r="CA786" t="s">
        <v>42</v>
      </c>
      <c r="CB786" t="s">
        <v>42</v>
      </c>
      <c r="CC786" t="s">
        <v>42</v>
      </c>
      <c r="CD786" t="s">
        <v>42</v>
      </c>
      <c r="CE786" t="s">
        <v>42</v>
      </c>
      <c r="CF786" t="s">
        <v>42</v>
      </c>
      <c r="CG786" t="s">
        <v>42</v>
      </c>
      <c r="CH786" t="s">
        <v>42</v>
      </c>
      <c r="CI786" t="s">
        <v>42</v>
      </c>
      <c r="CJ786" t="s">
        <v>42</v>
      </c>
      <c r="CK786" t="s">
        <v>42</v>
      </c>
      <c r="CL786" t="s">
        <v>42</v>
      </c>
      <c r="CM786" t="s">
        <v>42</v>
      </c>
      <c r="CN786" t="s">
        <v>42</v>
      </c>
      <c r="CO786" t="s">
        <v>42</v>
      </c>
      <c r="CP786" t="s">
        <v>42</v>
      </c>
      <c r="CQ786" t="s">
        <v>42</v>
      </c>
      <c r="CR786" t="s">
        <v>42</v>
      </c>
      <c r="CS786" s="4" t="s">
        <v>42</v>
      </c>
      <c r="CT786" t="s">
        <v>42</v>
      </c>
      <c r="CU786" t="s">
        <v>42</v>
      </c>
      <c r="CV786" s="4" t="str">
        <f>HYPERLINK("http://exon.niaid.nih.gov/transcriptome/C_felis/S1/links/PFAM/cf-contig_466-PFAM.txt","XisH")</f>
        <v>XisH</v>
      </c>
      <c r="CW786" t="str">
        <f>HYPERLINK("http://pfam.sanger.ac.uk/family?acc=PF08814","0.99")</f>
        <v>0.99</v>
      </c>
      <c r="CX786" s="4" t="str">
        <f>HYPERLINK("http://exon.niaid.nih.gov/transcriptome/C_felis/S1/links/SMART/cf-contig_466-SMART.txt","AgrB")</f>
        <v>AgrB</v>
      </c>
      <c r="CY786" t="str">
        <f>HYPERLINK("http://smart.embl-heidelberg.de/smart/do_annotation.pl?DOMAIN=AgrB&amp;BLAST=DUMMY","0.46")</f>
        <v>0.46</v>
      </c>
      <c r="CZ786" s="4" t="s">
        <v>42</v>
      </c>
      <c r="DA786" t="s">
        <v>42</v>
      </c>
      <c r="DB786" t="s">
        <v>42</v>
      </c>
      <c r="DC786" t="s">
        <v>42</v>
      </c>
      <c r="DD786" t="s">
        <v>42</v>
      </c>
      <c r="DE786" t="s">
        <v>42</v>
      </c>
      <c r="DF786" t="s">
        <v>42</v>
      </c>
      <c r="DG786" t="s">
        <v>42</v>
      </c>
      <c r="DH786" s="4" t="s">
        <v>42</v>
      </c>
      <c r="DI786" t="s">
        <v>42</v>
      </c>
      <c r="DJ786" s="4" t="s">
        <v>42</v>
      </c>
      <c r="DK786" t="s">
        <v>42</v>
      </c>
      <c r="DL786" s="4">
        <v>378</v>
      </c>
      <c r="DM786">
        <v>1</v>
      </c>
      <c r="DN786" s="4">
        <v>387</v>
      </c>
      <c r="DO786">
        <v>1</v>
      </c>
      <c r="DP786" s="4">
        <v>392</v>
      </c>
      <c r="DQ786">
        <v>1</v>
      </c>
      <c r="DR786" s="4">
        <v>407</v>
      </c>
      <c r="DS786">
        <v>1</v>
      </c>
      <c r="DT786" s="4">
        <v>417</v>
      </c>
      <c r="DU786">
        <v>1</v>
      </c>
      <c r="DV786" s="4">
        <v>431</v>
      </c>
      <c r="DW786">
        <v>1</v>
      </c>
      <c r="DX786" s="4">
        <v>434</v>
      </c>
      <c r="DY786">
        <v>1</v>
      </c>
      <c r="DZ786" s="4">
        <v>440</v>
      </c>
      <c r="EA786">
        <v>1</v>
      </c>
      <c r="EB786" s="4">
        <v>445</v>
      </c>
      <c r="EC786">
        <v>1</v>
      </c>
      <c r="ED786" s="4">
        <v>449</v>
      </c>
      <c r="EE786">
        <v>1</v>
      </c>
      <c r="EF786" s="4">
        <v>454</v>
      </c>
      <c r="EG786">
        <v>1</v>
      </c>
      <c r="EH786" s="4">
        <v>460</v>
      </c>
      <c r="EI786">
        <v>1</v>
      </c>
      <c r="EJ786" s="4">
        <v>466</v>
      </c>
      <c r="EK786">
        <v>1</v>
      </c>
    </row>
    <row r="787" spans="1:141" x14ac:dyDescent="0.2">
      <c r="A787" t="str">
        <f>HYPERLINK("http://exon.niaid.nih.gov/transcriptome/C_felis/S1/links/cf/cf-contig_93.txt","cf-contig_93")</f>
        <v>cf-contig_93</v>
      </c>
      <c r="B787">
        <v>1</v>
      </c>
      <c r="C787" s="10" t="s">
        <v>4600</v>
      </c>
      <c r="D787">
        <v>1</v>
      </c>
      <c r="E787" t="str">
        <f>HYPERLINK("http://exon.niaid.nih.gov/transcriptome/C_felis/S1/links/cf/cf-5-36-asb-93.txt","Contig-93")</f>
        <v>Contig-93</v>
      </c>
      <c r="F787" t="str">
        <f>HYPERLINK("http://exon.niaid.nih.gov/transcriptome/C_felis/S1/links/cf/cf-5-36-93-CLU.txt","Contig93")</f>
        <v>Contig93</v>
      </c>
      <c r="G787" t="str">
        <f>HYPERLINK("http://exon.niaid.nih.gov/transcriptome/C_felis/S1/links/cf/cf-5-36-93-qual.txt","59.9")</f>
        <v>59.9</v>
      </c>
      <c r="H787">
        <v>0.7</v>
      </c>
      <c r="I787">
        <v>75.5</v>
      </c>
      <c r="J787">
        <v>267</v>
      </c>
      <c r="K787" t="s">
        <v>12</v>
      </c>
      <c r="L787">
        <v>1</v>
      </c>
      <c r="M787" t="s">
        <v>106</v>
      </c>
      <c r="N787">
        <v>267</v>
      </c>
      <c r="O787">
        <v>286</v>
      </c>
      <c r="P787">
        <v>183</v>
      </c>
      <c r="Q787" t="s">
        <v>913</v>
      </c>
      <c r="R787">
        <v>3</v>
      </c>
      <c r="S787" s="7" t="str">
        <f>HYPERLINK("http://exon.niaid.nih.gov/transcriptome/C_felis/S1/links/Sigp/CF-CONTIG_93-SigP.txt","Cyt")</f>
        <v>Cyt</v>
      </c>
      <c r="U787">
        <v>1</v>
      </c>
      <c r="V787" s="4">
        <f>HYPERLINK("http://exon.niaid.nih.gov/transcriptome/C_felis/S1/links/cluster/cf-5-36-asb30-50-Id-CLU37.txt", 37)</f>
        <v>37</v>
      </c>
      <c r="W787">
        <f>HYPERLINK("http://exon.niaid.nih.gov/transcriptome/C_felis/S1/links/cluster/cf-5-36-asb30-50-Id-CLTL37.txt", 2)</f>
        <v>2</v>
      </c>
      <c r="X787" s="4">
        <f>HYPERLINK("http://exon.niaid.nih.gov/transcriptome/C_felis/S1/links/cluster/cf-5-36-asb35-50-Id-CLU30.txt", 30)</f>
        <v>30</v>
      </c>
      <c r="Y787">
        <f>HYPERLINK("http://exon.niaid.nih.gov/transcriptome/C_felis/S1/links/cluster/cf-5-36-asb35-50-Id-CLTL30.txt", 2)</f>
        <v>2</v>
      </c>
      <c r="Z787" s="4">
        <f>HYPERLINK("http://exon.niaid.nih.gov/transcriptome/C_felis/S1/links/cluster/cf-5-36-asb40-50-Id-CLU28.txt", 28)</f>
        <v>28</v>
      </c>
      <c r="AA787">
        <f>HYPERLINK("http://exon.niaid.nih.gov/transcriptome/C_felis/S1/links/cluster/cf-5-36-asb40-50-Id-CLTL28.txt", 2)</f>
        <v>2</v>
      </c>
      <c r="AB787" s="4" t="str">
        <f>HYPERLINK("http://exon.niaid.nih.gov/transcriptome/C_felis/S1/links/XC-ASB/cf-contig_93-XC-ASB.txt","XC-contig_57")</f>
        <v>XC-contig_57</v>
      </c>
      <c r="AC787">
        <v>0.19</v>
      </c>
      <c r="AD787" s="10" t="s">
        <v>4600</v>
      </c>
      <c r="AE787" t="s">
        <v>4601</v>
      </c>
      <c r="AI787" s="4" t="str">
        <f>HYPERLINK("http://exon.niaid.nih.gov/transcriptome/C_felis/S1/links/NR/cf-contig_93-NR.txt","hypothetical protein RC0976")</f>
        <v>hypothetical protein RC0976</v>
      </c>
      <c r="AJ787" t="str">
        <f>HYPERLINK("http://www.ncbi.nlm.nih.gov/sutils/blink.cgi?pid=15892899","3.2")</f>
        <v>3.2</v>
      </c>
      <c r="AK787" t="str">
        <f>HYPERLINK("http://www.ncbi.nlm.nih.gov/protein/15892899","gi|15892899")</f>
        <v>gi|15892899</v>
      </c>
      <c r="AL787">
        <v>35.4</v>
      </c>
      <c r="AM787">
        <v>45</v>
      </c>
      <c r="AN787">
        <v>107</v>
      </c>
      <c r="AO787">
        <v>30</v>
      </c>
      <c r="AP787">
        <v>43</v>
      </c>
      <c r="AQ787">
        <v>32</v>
      </c>
      <c r="AR787">
        <v>0</v>
      </c>
      <c r="AS787">
        <v>3</v>
      </c>
      <c r="AT787">
        <v>117</v>
      </c>
      <c r="AU787">
        <v>1</v>
      </c>
      <c r="AV787">
        <v>-3</v>
      </c>
      <c r="AW787" t="s">
        <v>12</v>
      </c>
      <c r="AX787">
        <v>2.222</v>
      </c>
      <c r="AY787" t="s">
        <v>1666</v>
      </c>
      <c r="AZ787" t="s">
        <v>2021</v>
      </c>
      <c r="BA787" s="4" t="str">
        <f>HYPERLINK("http://exon.niaid.nih.gov/transcriptome/C_felis/S1/links/SWISSP/cf-contig_93-SWISSP.txt","Maturase K")</f>
        <v>Maturase K</v>
      </c>
      <c r="BB787" t="str">
        <f>HYPERLINK("http://www.uniprot.org/uniprot/Q9TKS4","4.7")</f>
        <v>4.7</v>
      </c>
      <c r="BC787" t="s">
        <v>2022</v>
      </c>
      <c r="BD787">
        <v>30</v>
      </c>
      <c r="BE787">
        <v>66</v>
      </c>
      <c r="BF787">
        <v>514</v>
      </c>
      <c r="BG787">
        <v>32</v>
      </c>
      <c r="BH787">
        <v>13</v>
      </c>
      <c r="BI787">
        <v>47</v>
      </c>
      <c r="BJ787">
        <v>4</v>
      </c>
      <c r="BK787">
        <v>209</v>
      </c>
      <c r="BL787">
        <v>57</v>
      </c>
      <c r="BM787">
        <v>1</v>
      </c>
      <c r="BN787">
        <v>-3</v>
      </c>
      <c r="BO787" t="s">
        <v>12</v>
      </c>
      <c r="BP787">
        <v>3.03</v>
      </c>
      <c r="BQ787" t="s">
        <v>1666</v>
      </c>
      <c r="BR787" t="s">
        <v>2023</v>
      </c>
      <c r="BS787" s="4" t="str">
        <f>HYPERLINK("http://exon.niaid.nih.gov/transcriptome/C_felis/S1/links/CDD/cf-contig_93-CDD.txt","RabA_like")</f>
        <v>RabA_like</v>
      </c>
      <c r="BT787" t="str">
        <f>HYPERLINK("http://www.ncbi.nlm.nih.gov/Structure/cdd/cddsrv.cgi?uid=cd04125&amp;version=v4.0","0.062")</f>
        <v>0.062</v>
      </c>
      <c r="BU787" t="s">
        <v>2024</v>
      </c>
      <c r="BV787" s="4" t="s">
        <v>42</v>
      </c>
      <c r="BW787" t="s">
        <v>42</v>
      </c>
      <c r="BX787" t="s">
        <v>42</v>
      </c>
      <c r="BY787" t="s">
        <v>42</v>
      </c>
      <c r="BZ787" t="s">
        <v>42</v>
      </c>
      <c r="CA787" t="s">
        <v>42</v>
      </c>
      <c r="CB787" t="s">
        <v>42</v>
      </c>
      <c r="CC787" t="s">
        <v>42</v>
      </c>
      <c r="CD787" t="s">
        <v>42</v>
      </c>
      <c r="CE787" t="s">
        <v>42</v>
      </c>
      <c r="CF787" t="s">
        <v>42</v>
      </c>
      <c r="CG787" t="s">
        <v>42</v>
      </c>
      <c r="CH787" t="s">
        <v>42</v>
      </c>
      <c r="CI787" t="s">
        <v>42</v>
      </c>
      <c r="CJ787" t="s">
        <v>42</v>
      </c>
      <c r="CK787" t="s">
        <v>42</v>
      </c>
      <c r="CL787" t="s">
        <v>42</v>
      </c>
      <c r="CM787" t="s">
        <v>42</v>
      </c>
      <c r="CN787" t="s">
        <v>42</v>
      </c>
      <c r="CO787" t="s">
        <v>42</v>
      </c>
      <c r="CP787" t="s">
        <v>42</v>
      </c>
      <c r="CQ787" t="s">
        <v>42</v>
      </c>
      <c r="CR787" t="s">
        <v>42</v>
      </c>
      <c r="CS787" s="4" t="str">
        <f>HYPERLINK("http://exon.niaid.nih.gov/transcriptome/C_felis/S1/links/KOG/cf-contig_93-KOG.txt","G protein-coupled receptors")</f>
        <v>G protein-coupled receptors</v>
      </c>
      <c r="CT787" t="str">
        <f>HYPERLINK("http://www.ncbi.nlm.nih.gov/COG/grace/shokog.cgi?KOG4193","0.30")</f>
        <v>0.30</v>
      </c>
      <c r="CU787" t="s">
        <v>1780</v>
      </c>
      <c r="CV787" s="4" t="str">
        <f>HYPERLINK("http://exon.niaid.nih.gov/transcriptome/C_felis/S1/links/PFAM/cf-contig_93-PFAM.txt","HlyIII")</f>
        <v>HlyIII</v>
      </c>
      <c r="CW787" t="str">
        <f>HYPERLINK("http://pfam.sanger.ac.uk/family?acc=PF03006","0.17")</f>
        <v>0.17</v>
      </c>
      <c r="CX787" s="4" t="str">
        <f>HYPERLINK("http://exon.niaid.nih.gov/transcriptome/C_felis/S1/links/SMART/cf-contig_93-SMART.txt","PSN")</f>
        <v>PSN</v>
      </c>
      <c r="CY787" t="str">
        <f>HYPERLINK("http://smart.embl-heidelberg.de/smart/do_annotation.pl?DOMAIN=PSN&amp;BLAST=DUMMY","0.15")</f>
        <v>0.15</v>
      </c>
      <c r="CZ787" s="4" t="s">
        <v>42</v>
      </c>
      <c r="DA787" t="s">
        <v>42</v>
      </c>
      <c r="DB787" t="s">
        <v>42</v>
      </c>
      <c r="DC787" t="s">
        <v>42</v>
      </c>
      <c r="DD787" t="s">
        <v>42</v>
      </c>
      <c r="DE787" t="s">
        <v>42</v>
      </c>
      <c r="DF787" t="s">
        <v>42</v>
      </c>
      <c r="DG787" t="s">
        <v>42</v>
      </c>
      <c r="DH787" s="4" t="s">
        <v>42</v>
      </c>
      <c r="DI787" t="s">
        <v>42</v>
      </c>
      <c r="DJ787" s="4" t="s">
        <v>42</v>
      </c>
      <c r="DK787" t="s">
        <v>42</v>
      </c>
      <c r="DL787" s="4">
        <f>HYPERLINK("http://exon.niaid.nih.gov/transcriptome/C_felis/S1/links/cluster/cf-5-36-asb30-50-Id-CLU37.txt", 37)</f>
        <v>37</v>
      </c>
      <c r="DM787">
        <f>HYPERLINK("http://exon.niaid.nih.gov/transcriptome/C_felis/S1/links/cluster/cf-5-36-asb30-50-Id-CLTL37.txt", 2)</f>
        <v>2</v>
      </c>
      <c r="DN787" s="4">
        <f>HYPERLINK("http://exon.niaid.nih.gov/transcriptome/C_felis/S1/links/cluster/cf-5-36-asb35-50-Id-CLU30.txt", 30)</f>
        <v>30</v>
      </c>
      <c r="DO787">
        <f>HYPERLINK("http://exon.niaid.nih.gov/transcriptome/C_felis/S1/links/cluster/cf-5-36-asb35-50-Id-CLTL30.txt", 2)</f>
        <v>2</v>
      </c>
      <c r="DP787" s="4">
        <f>HYPERLINK("http://exon.niaid.nih.gov/transcriptome/C_felis/S1/links/cluster/cf-5-36-asb40-50-Id-CLU28.txt", 28)</f>
        <v>28</v>
      </c>
      <c r="DQ787">
        <f>HYPERLINK("http://exon.niaid.nih.gov/transcriptome/C_felis/S1/links/cluster/cf-5-36-asb40-50-Id-CLTL28.txt", 2)</f>
        <v>2</v>
      </c>
      <c r="DR787" s="4">
        <f>HYPERLINK("http://exon.niaid.nih.gov/transcriptome/C_felis/S1/links/cluster/cf-5-36-asb45-50-Id-CLU26.txt", 26)</f>
        <v>26</v>
      </c>
      <c r="DS787">
        <f>HYPERLINK("http://exon.niaid.nih.gov/transcriptome/C_felis/S1/links/cluster/cf-5-36-asb45-50-Id-CLTL26.txt", 2)</f>
        <v>2</v>
      </c>
      <c r="DT787" s="4">
        <f>HYPERLINK("http://exon.niaid.nih.gov/transcriptome/C_felis/S1/links/cluster/cf-5-36-asb50-50-Id-CLU22.txt", 22)</f>
        <v>22</v>
      </c>
      <c r="DU787">
        <f>HYPERLINK("http://exon.niaid.nih.gov/transcriptome/C_felis/S1/links/cluster/cf-5-36-asb50-50-Id-CLTL22.txt", 2)</f>
        <v>2</v>
      </c>
      <c r="DV787" s="4">
        <v>105</v>
      </c>
      <c r="DW787">
        <v>1</v>
      </c>
      <c r="DX787" s="4">
        <v>104</v>
      </c>
      <c r="DY787">
        <v>1</v>
      </c>
      <c r="DZ787" s="4">
        <v>102</v>
      </c>
      <c r="EA787">
        <v>1</v>
      </c>
      <c r="EB787" s="4">
        <v>102</v>
      </c>
      <c r="EC787">
        <v>1</v>
      </c>
      <c r="ED787" s="4">
        <v>103</v>
      </c>
      <c r="EE787">
        <v>1</v>
      </c>
      <c r="EF787" s="4">
        <v>100</v>
      </c>
      <c r="EG787">
        <v>1</v>
      </c>
      <c r="EH787" s="4">
        <v>95</v>
      </c>
      <c r="EI787">
        <v>1</v>
      </c>
      <c r="EJ787" s="4">
        <v>93</v>
      </c>
      <c r="EK787">
        <v>1</v>
      </c>
    </row>
    <row r="788" spans="1:141" x14ac:dyDescent="0.2">
      <c r="A788" t="str">
        <f>HYPERLINK("http://exon.niaid.nih.gov/transcriptome/C_felis/S1/links/cf/cf-contig_446.txt","cf-contig_446")</f>
        <v>cf-contig_446</v>
      </c>
      <c r="B788">
        <v>1</v>
      </c>
      <c r="C788" s="10" t="s">
        <v>4600</v>
      </c>
      <c r="D788">
        <v>1</v>
      </c>
      <c r="E788" t="str">
        <f>HYPERLINK("http://exon.niaid.nih.gov/transcriptome/C_felis/S1/links/cf/cf-5-36-asb-446.txt","Contig-446")</f>
        <v>Contig-446</v>
      </c>
      <c r="F788" t="str">
        <f>HYPERLINK("http://exon.niaid.nih.gov/transcriptome/C_felis/S1/links/cf/cf-5-36-446-CLU.txt","Contig446")</f>
        <v>Contig446</v>
      </c>
      <c r="G788" t="str">
        <f>HYPERLINK("http://exon.niaid.nih.gov/transcriptome/C_felis/S1/links/cf/cf-5-36-446-qual.txt","65.")</f>
        <v>65.</v>
      </c>
      <c r="H788" t="s">
        <v>11</v>
      </c>
      <c r="I788">
        <v>70.900000000000006</v>
      </c>
      <c r="J788">
        <v>256</v>
      </c>
      <c r="K788" t="s">
        <v>12</v>
      </c>
      <c r="L788">
        <v>1</v>
      </c>
      <c r="M788" t="s">
        <v>459</v>
      </c>
      <c r="N788">
        <v>256</v>
      </c>
      <c r="O788">
        <v>275</v>
      </c>
      <c r="P788">
        <v>129</v>
      </c>
      <c r="Q788" t="s">
        <v>1265</v>
      </c>
      <c r="R788">
        <v>1</v>
      </c>
      <c r="S788" s="7" t="s">
        <v>4585</v>
      </c>
      <c r="U788">
        <v>1</v>
      </c>
      <c r="V788" s="4">
        <v>361</v>
      </c>
      <c r="W788">
        <v>1</v>
      </c>
      <c r="X788" s="4">
        <v>370</v>
      </c>
      <c r="Y788">
        <v>1</v>
      </c>
      <c r="Z788" s="4">
        <v>375</v>
      </c>
      <c r="AA788">
        <v>1</v>
      </c>
      <c r="AB788" s="4" t="str">
        <f>HYPERLINK("http://exon.niaid.nih.gov/transcriptome/C_felis/S1/links/XC-ASB/cf-contig_446-XC-ASB.txt","XC-contig_104")</f>
        <v>XC-contig_104</v>
      </c>
      <c r="AC788">
        <v>0.18</v>
      </c>
      <c r="AD788" s="10" t="s">
        <v>4600</v>
      </c>
      <c r="AE788" t="s">
        <v>4601</v>
      </c>
      <c r="AI788" s="4" t="str">
        <f>HYPERLINK("http://exon.niaid.nih.gov/transcriptome/C_felis/S1/links/NR/cf-contig_446-NR.txt","YJL049W-like protein")</f>
        <v>YJL049W-like protein</v>
      </c>
      <c r="AJ788" t="str">
        <f>HYPERLINK("http://www.ncbi.nlm.nih.gov/sutils/blink.cgi?pid=256271010","7.2")</f>
        <v>7.2</v>
      </c>
      <c r="AK788" t="str">
        <f>HYPERLINK("http://www.ncbi.nlm.nih.gov/protein/256271010","gi|256271010")</f>
        <v>gi|256271010</v>
      </c>
      <c r="AL788">
        <v>34.299999999999997</v>
      </c>
      <c r="AM788">
        <v>37</v>
      </c>
      <c r="AN788">
        <v>450</v>
      </c>
      <c r="AO788">
        <v>36</v>
      </c>
      <c r="AP788">
        <v>8</v>
      </c>
      <c r="AQ788">
        <v>24</v>
      </c>
      <c r="AR788">
        <v>0</v>
      </c>
      <c r="AS788">
        <v>177</v>
      </c>
      <c r="AT788">
        <v>138</v>
      </c>
      <c r="AU788">
        <v>1</v>
      </c>
      <c r="AV788">
        <v>3</v>
      </c>
      <c r="AW788" t="s">
        <v>12</v>
      </c>
      <c r="AX788">
        <v>2.7029999999999998</v>
      </c>
      <c r="AY788" t="s">
        <v>1676</v>
      </c>
      <c r="AZ788" t="s">
        <v>3273</v>
      </c>
      <c r="BA788" s="4" t="str">
        <f>HYPERLINK("http://exon.niaid.nih.gov/transcriptome/C_felis/S1/links/SWISSP/cf-contig_446-SWISSP.txt","Uncharacterized protein YJL049W")</f>
        <v>Uncharacterized protein YJL049W</v>
      </c>
      <c r="BB788" t="str">
        <f>HYPERLINK("http://www.uniprot.org/uniprot/P47048","0.56")</f>
        <v>0.56</v>
      </c>
      <c r="BC788" t="s">
        <v>3274</v>
      </c>
      <c r="BD788">
        <v>33.1</v>
      </c>
      <c r="BE788">
        <v>37</v>
      </c>
      <c r="BF788">
        <v>450</v>
      </c>
      <c r="BG788">
        <v>36</v>
      </c>
      <c r="BH788">
        <v>8</v>
      </c>
      <c r="BI788">
        <v>24</v>
      </c>
      <c r="BJ788">
        <v>0</v>
      </c>
      <c r="BK788">
        <v>177</v>
      </c>
      <c r="BL788">
        <v>138</v>
      </c>
      <c r="BM788">
        <v>1</v>
      </c>
      <c r="BN788">
        <v>3</v>
      </c>
      <c r="BO788" t="s">
        <v>12</v>
      </c>
      <c r="BP788">
        <v>2.7029999999999998</v>
      </c>
      <c r="BQ788" t="s">
        <v>1676</v>
      </c>
      <c r="BR788" t="s">
        <v>1796</v>
      </c>
      <c r="BS788" s="4" t="str">
        <f>HYPERLINK("http://exon.niaid.nih.gov/transcriptome/C_felis/S1/links/CDD/cf-contig_446-CDD.txt","ND2")</f>
        <v>ND2</v>
      </c>
      <c r="BT788" t="str">
        <f>HYPERLINK("http://www.ncbi.nlm.nih.gov/Structure/cdd/cddsrv.cgi?uid=MTH00160&amp;version=v4.0","0.20")</f>
        <v>0.20</v>
      </c>
      <c r="BU788" t="s">
        <v>3275</v>
      </c>
      <c r="BV788" s="4" t="s">
        <v>42</v>
      </c>
      <c r="BW788" t="s">
        <v>42</v>
      </c>
      <c r="BX788" t="s">
        <v>42</v>
      </c>
      <c r="BY788" t="s">
        <v>42</v>
      </c>
      <c r="BZ788" t="s">
        <v>42</v>
      </c>
      <c r="CA788" t="s">
        <v>42</v>
      </c>
      <c r="CB788" t="s">
        <v>42</v>
      </c>
      <c r="CC788" t="s">
        <v>42</v>
      </c>
      <c r="CD788" t="s">
        <v>42</v>
      </c>
      <c r="CE788" t="s">
        <v>42</v>
      </c>
      <c r="CF788" t="s">
        <v>42</v>
      </c>
      <c r="CG788" t="s">
        <v>42</v>
      </c>
      <c r="CH788" t="s">
        <v>42</v>
      </c>
      <c r="CI788" t="s">
        <v>42</v>
      </c>
      <c r="CJ788" t="s">
        <v>42</v>
      </c>
      <c r="CK788" t="s">
        <v>42</v>
      </c>
      <c r="CL788" t="s">
        <v>42</v>
      </c>
      <c r="CM788" t="s">
        <v>42</v>
      </c>
      <c r="CN788" t="s">
        <v>42</v>
      </c>
      <c r="CO788" t="s">
        <v>42</v>
      </c>
      <c r="CP788" t="s">
        <v>42</v>
      </c>
      <c r="CQ788" t="s">
        <v>42</v>
      </c>
      <c r="CR788" t="s">
        <v>42</v>
      </c>
      <c r="CS788" s="4" t="str">
        <f>HYPERLINK("http://exon.niaid.nih.gov/transcriptome/C_felis/S1/links/KOG/cf-contig_446-KOG.txt","Inositol 1,4,5-trisphosphate receptor")</f>
        <v>Inositol 1,4,5-trisphosphate receptor</v>
      </c>
      <c r="CT788" t="str">
        <f>HYPERLINK("http://www.ncbi.nlm.nih.gov/COG/grace/shokog.cgi?KOG3533","0.19")</f>
        <v>0.19</v>
      </c>
      <c r="CU788" t="s">
        <v>1780</v>
      </c>
      <c r="CV788" s="4" t="str">
        <f>HYPERLINK("http://exon.niaid.nih.gov/transcriptome/C_felis/S1/links/PFAM/cf-contig_446-PFAM.txt","7TM_GPCR_Srx")</f>
        <v>7TM_GPCR_Srx</v>
      </c>
      <c r="CW788" t="str">
        <f>HYPERLINK("http://pfam.sanger.ac.uk/family?acc=PF10328","0.090")</f>
        <v>0.090</v>
      </c>
      <c r="CX788" s="4" t="str">
        <f>HYPERLINK("http://exon.niaid.nih.gov/transcriptome/C_felis/S1/links/SMART/cf-contig_446-SMART.txt","CAP10")</f>
        <v>CAP10</v>
      </c>
      <c r="CY788" t="str">
        <f>HYPERLINK("http://smart.embl-heidelberg.de/smart/do_annotation.pl?DOMAIN=CAP10&amp;BLAST=DUMMY","0.19")</f>
        <v>0.19</v>
      </c>
      <c r="CZ788" s="4" t="s">
        <v>42</v>
      </c>
      <c r="DA788" t="s">
        <v>42</v>
      </c>
      <c r="DB788" t="s">
        <v>42</v>
      </c>
      <c r="DC788" t="s">
        <v>42</v>
      </c>
      <c r="DD788" t="s">
        <v>42</v>
      </c>
      <c r="DE788" t="s">
        <v>42</v>
      </c>
      <c r="DF788" t="s">
        <v>42</v>
      </c>
      <c r="DG788" t="s">
        <v>42</v>
      </c>
      <c r="DH788" s="4" t="s">
        <v>42</v>
      </c>
      <c r="DI788" t="s">
        <v>42</v>
      </c>
      <c r="DJ788" s="4" t="s">
        <v>42</v>
      </c>
      <c r="DK788" t="s">
        <v>42</v>
      </c>
      <c r="DL788" s="4">
        <v>361</v>
      </c>
      <c r="DM788">
        <v>1</v>
      </c>
      <c r="DN788" s="4">
        <v>370</v>
      </c>
      <c r="DO788">
        <v>1</v>
      </c>
      <c r="DP788" s="4">
        <v>375</v>
      </c>
      <c r="DQ788">
        <v>1</v>
      </c>
      <c r="DR788" s="4">
        <v>389</v>
      </c>
      <c r="DS788">
        <v>1</v>
      </c>
      <c r="DT788" s="4">
        <v>399</v>
      </c>
      <c r="DU788">
        <v>1</v>
      </c>
      <c r="DV788" s="4">
        <v>413</v>
      </c>
      <c r="DW788">
        <v>1</v>
      </c>
      <c r="DX788" s="4">
        <v>416</v>
      </c>
      <c r="DY788">
        <v>1</v>
      </c>
      <c r="DZ788" s="4">
        <v>421</v>
      </c>
      <c r="EA788">
        <v>1</v>
      </c>
      <c r="EB788" s="4">
        <v>426</v>
      </c>
      <c r="EC788">
        <v>1</v>
      </c>
      <c r="ED788" s="4">
        <v>430</v>
      </c>
      <c r="EE788">
        <v>1</v>
      </c>
      <c r="EF788" s="4">
        <v>435</v>
      </c>
      <c r="EG788">
        <v>1</v>
      </c>
      <c r="EH788" s="4">
        <v>440</v>
      </c>
      <c r="EI788">
        <v>1</v>
      </c>
      <c r="EJ788" s="4">
        <v>446</v>
      </c>
      <c r="EK788">
        <v>1</v>
      </c>
    </row>
    <row r="789" spans="1:141" x14ac:dyDescent="0.2">
      <c r="A789" t="str">
        <f>HYPERLINK("http://exon.niaid.nih.gov/transcriptome/C_felis/S1/links/cf/cf-contig_752.txt","cf-contig_752")</f>
        <v>cf-contig_752</v>
      </c>
      <c r="B789">
        <v>1</v>
      </c>
      <c r="C789" s="10" t="s">
        <v>4600</v>
      </c>
      <c r="D789">
        <v>1</v>
      </c>
      <c r="E789" t="str">
        <f>HYPERLINK("http://exon.niaid.nih.gov/transcriptome/C_felis/S1/links/cf/cf-5-36-asb-752.txt","Contig-752")</f>
        <v>Contig-752</v>
      </c>
      <c r="F789" t="str">
        <f>HYPERLINK("http://exon.niaid.nih.gov/transcriptome/C_felis/S1/links/cf/cf-5-36-752-CLU.txt","Contig752")</f>
        <v>Contig752</v>
      </c>
      <c r="G789" t="str">
        <f>HYPERLINK("http://exon.niaid.nih.gov/transcriptome/C_felis/S1/links/cf/cf-5-36-752-qual.txt","60.3")</f>
        <v>60.3</v>
      </c>
      <c r="H789">
        <v>0.4</v>
      </c>
      <c r="I789">
        <v>68.599999999999994</v>
      </c>
      <c r="J789">
        <v>433</v>
      </c>
      <c r="K789" t="s">
        <v>12</v>
      </c>
      <c r="L789">
        <v>1</v>
      </c>
      <c r="M789" t="s">
        <v>765</v>
      </c>
      <c r="N789">
        <v>433</v>
      </c>
      <c r="O789">
        <v>452</v>
      </c>
      <c r="P789">
        <v>183</v>
      </c>
      <c r="Q789" t="s">
        <v>1571</v>
      </c>
      <c r="R789">
        <v>2</v>
      </c>
      <c r="S789" s="7" t="s">
        <v>4585</v>
      </c>
      <c r="U789">
        <v>1</v>
      </c>
      <c r="V789" s="4">
        <v>605</v>
      </c>
      <c r="W789">
        <v>1</v>
      </c>
      <c r="X789" s="4">
        <v>625</v>
      </c>
      <c r="Y789">
        <v>1</v>
      </c>
      <c r="Z789" s="4">
        <v>639</v>
      </c>
      <c r="AA789">
        <v>1</v>
      </c>
      <c r="AB789" s="4" t="str">
        <f>HYPERLINK("http://exon.niaid.nih.gov/transcriptome/C_felis/S1/links/XC-ASB/cf-contig_752-XC-ASB.txt","XC-contig_220")</f>
        <v>XC-contig_220</v>
      </c>
      <c r="AC789">
        <v>0.25</v>
      </c>
      <c r="AD789" s="10" t="s">
        <v>4600</v>
      </c>
      <c r="AE789" t="s">
        <v>4601</v>
      </c>
      <c r="AI789" s="4" t="str">
        <f>HYPERLINK("http://exon.niaid.nih.gov/transcriptome/C_felis/S1/links/NR/cf-contig_752-NR.txt","hypothetical protein")</f>
        <v>hypothetical protein</v>
      </c>
      <c r="AJ789" t="str">
        <f>HYPERLINK("http://www.ncbi.nlm.nih.gov/sutils/blink.cgi?pid=291237017","0.23")</f>
        <v>0.23</v>
      </c>
      <c r="AK789" t="str">
        <f>HYPERLINK("http://www.ncbi.nlm.nih.gov/protein/291237017","gi|291237017")</f>
        <v>gi|291237017</v>
      </c>
      <c r="AL789">
        <v>39.299999999999997</v>
      </c>
      <c r="AM789">
        <v>312</v>
      </c>
      <c r="AN789">
        <v>321</v>
      </c>
      <c r="AO789">
        <v>52</v>
      </c>
      <c r="AP789">
        <v>98</v>
      </c>
      <c r="AQ789">
        <v>19</v>
      </c>
      <c r="AR789">
        <v>0</v>
      </c>
      <c r="AS789">
        <v>8</v>
      </c>
      <c r="AT789">
        <v>1</v>
      </c>
      <c r="AU789">
        <v>17</v>
      </c>
      <c r="AV789">
        <v>-3</v>
      </c>
      <c r="AW789" t="s">
        <v>1689</v>
      </c>
      <c r="AY789" t="s">
        <v>1666</v>
      </c>
      <c r="AZ789" t="s">
        <v>1820</v>
      </c>
      <c r="BA789" s="4" t="str">
        <f>HYPERLINK("http://exon.niaid.nih.gov/transcriptome/C_felis/S1/links/SWISSP/cf-contig_752-SWISSP.txt","Prolactin (Fragment)")</f>
        <v>Prolactin (Fragment)</v>
      </c>
      <c r="BB789" t="str">
        <f>HYPERLINK("http://www.uniprot.org/uniprot/P43001","5.7")</f>
        <v>5.7</v>
      </c>
      <c r="BC789" t="s">
        <v>4396</v>
      </c>
      <c r="BD789">
        <v>30</v>
      </c>
      <c r="BE789">
        <v>30</v>
      </c>
      <c r="BF789">
        <v>134</v>
      </c>
      <c r="BG789">
        <v>32</v>
      </c>
      <c r="BH789">
        <v>23</v>
      </c>
      <c r="BI789">
        <v>21</v>
      </c>
      <c r="BJ789">
        <v>0</v>
      </c>
      <c r="BK789">
        <v>14</v>
      </c>
      <c r="BL789">
        <v>92</v>
      </c>
      <c r="BM789">
        <v>1</v>
      </c>
      <c r="BN789">
        <v>-2</v>
      </c>
      <c r="BO789" t="s">
        <v>12</v>
      </c>
      <c r="BQ789" t="s">
        <v>1666</v>
      </c>
      <c r="BR789" t="s">
        <v>4397</v>
      </c>
      <c r="BS789" s="4" t="str">
        <f>HYPERLINK("http://exon.niaid.nih.gov/transcriptome/C_felis/S1/links/CDD/cf-contig_752-CDD.txt","7TM_GPCR_Srt")</f>
        <v>7TM_GPCR_Srt</v>
      </c>
      <c r="BT789" t="str">
        <f>HYPERLINK("http://www.ncbi.nlm.nih.gov/Structure/cdd/cddsrv.cgi?uid=pfam10321&amp;version=v4.0","0.051")</f>
        <v>0.051</v>
      </c>
      <c r="BU789" t="s">
        <v>4398</v>
      </c>
      <c r="BV789" s="4" t="s">
        <v>42</v>
      </c>
      <c r="BW789" t="s">
        <v>42</v>
      </c>
      <c r="BX789" t="s">
        <v>42</v>
      </c>
      <c r="BY789" t="s">
        <v>42</v>
      </c>
      <c r="BZ789" t="s">
        <v>42</v>
      </c>
      <c r="CA789" t="s">
        <v>42</v>
      </c>
      <c r="CB789" t="s">
        <v>42</v>
      </c>
      <c r="CC789" t="s">
        <v>42</v>
      </c>
      <c r="CD789" t="s">
        <v>42</v>
      </c>
      <c r="CE789" t="s">
        <v>42</v>
      </c>
      <c r="CF789" t="s">
        <v>42</v>
      </c>
      <c r="CG789" t="s">
        <v>42</v>
      </c>
      <c r="CH789" t="s">
        <v>42</v>
      </c>
      <c r="CI789" t="s">
        <v>42</v>
      </c>
      <c r="CJ789" t="s">
        <v>42</v>
      </c>
      <c r="CK789" t="s">
        <v>42</v>
      </c>
      <c r="CL789" t="s">
        <v>42</v>
      </c>
      <c r="CM789" t="s">
        <v>42</v>
      </c>
      <c r="CN789" t="s">
        <v>42</v>
      </c>
      <c r="CO789" t="s">
        <v>42</v>
      </c>
      <c r="CP789" t="s">
        <v>42</v>
      </c>
      <c r="CQ789" t="s">
        <v>42</v>
      </c>
      <c r="CR789" t="s">
        <v>42</v>
      </c>
      <c r="CS789" s="4" t="str">
        <f>HYPERLINK("http://exon.niaid.nih.gov/transcriptome/C_felis/S1/links/KOG/cf-contig_752-KOG.txt","NADH dehydrogenase subunits 2, 5, and related proteins")</f>
        <v>NADH dehydrogenase subunits 2, 5, and related proteins</v>
      </c>
      <c r="CT789" t="str">
        <f>HYPERLINK("http://www.ncbi.nlm.nih.gov/COG/grace/shokog.cgi?KOG4668","0.96")</f>
        <v>0.96</v>
      </c>
      <c r="CU789" t="s">
        <v>1793</v>
      </c>
      <c r="CV789" s="4" t="str">
        <f>HYPERLINK("http://exon.niaid.nih.gov/transcriptome/C_felis/S1/links/PFAM/cf-contig_752-PFAM.txt","7TM_GPCR_Srt")</f>
        <v>7TM_GPCR_Srt</v>
      </c>
      <c r="CW789" t="str">
        <f>HYPERLINK("http://pfam.sanger.ac.uk/family?acc=PF10321","0.011")</f>
        <v>0.011</v>
      </c>
      <c r="CX789" s="4" t="str">
        <f>HYPERLINK("http://exon.niaid.nih.gov/transcriptome/C_felis/S1/links/SMART/cf-contig_752-SMART.txt","DM8")</f>
        <v>DM8</v>
      </c>
      <c r="CY789" t="str">
        <f>HYPERLINK("http://smart.embl-heidelberg.de/smart/do_annotation.pl?DOMAIN=DM8&amp;BLAST=DUMMY","0.050")</f>
        <v>0.050</v>
      </c>
      <c r="CZ789" s="4" t="s">
        <v>42</v>
      </c>
      <c r="DA789" t="s">
        <v>42</v>
      </c>
      <c r="DB789" t="s">
        <v>42</v>
      </c>
      <c r="DC789" t="s">
        <v>42</v>
      </c>
      <c r="DD789" t="s">
        <v>42</v>
      </c>
      <c r="DE789" t="s">
        <v>42</v>
      </c>
      <c r="DF789" t="s">
        <v>42</v>
      </c>
      <c r="DG789" t="s">
        <v>42</v>
      </c>
      <c r="DH789" s="4" t="s">
        <v>42</v>
      </c>
      <c r="DI789" t="s">
        <v>42</v>
      </c>
      <c r="DJ789" s="4" t="s">
        <v>42</v>
      </c>
      <c r="DK789" t="s">
        <v>42</v>
      </c>
      <c r="DL789" s="4">
        <v>605</v>
      </c>
      <c r="DM789">
        <v>1</v>
      </c>
      <c r="DN789" s="4">
        <v>625</v>
      </c>
      <c r="DO789">
        <v>1</v>
      </c>
      <c r="DP789" s="4">
        <v>639</v>
      </c>
      <c r="DQ789">
        <v>1</v>
      </c>
      <c r="DR789" s="4">
        <v>661</v>
      </c>
      <c r="DS789">
        <v>1</v>
      </c>
      <c r="DT789" s="4">
        <v>676</v>
      </c>
      <c r="DU789">
        <v>1</v>
      </c>
      <c r="DV789" s="4">
        <v>691</v>
      </c>
      <c r="DW789">
        <v>1</v>
      </c>
      <c r="DX789" s="4">
        <v>703</v>
      </c>
      <c r="DY789">
        <v>1</v>
      </c>
      <c r="DZ789" s="4">
        <v>714</v>
      </c>
      <c r="EA789">
        <v>1</v>
      </c>
      <c r="EB789" s="4">
        <v>720</v>
      </c>
      <c r="EC789">
        <v>1</v>
      </c>
      <c r="ED789" s="4">
        <v>725</v>
      </c>
      <c r="EE789">
        <v>1</v>
      </c>
      <c r="EF789" s="4">
        <v>731</v>
      </c>
      <c r="EG789">
        <v>1</v>
      </c>
      <c r="EH789" s="4">
        <v>743</v>
      </c>
      <c r="EI789">
        <v>1</v>
      </c>
      <c r="EJ789" s="4">
        <v>752</v>
      </c>
      <c r="EK789">
        <v>1</v>
      </c>
    </row>
    <row r="790" spans="1:141" x14ac:dyDescent="0.2">
      <c r="A790" t="str">
        <f>HYPERLINK("http://exon.niaid.nih.gov/transcriptome/C_felis/S1/links/cf/cf-contig_44.txt","cf-contig_44")</f>
        <v>cf-contig_44</v>
      </c>
      <c r="B790">
        <v>1</v>
      </c>
      <c r="C790" s="10" t="s">
        <v>4600</v>
      </c>
      <c r="D790">
        <v>1</v>
      </c>
      <c r="E790" t="str">
        <f>HYPERLINK("http://exon.niaid.nih.gov/transcriptome/C_felis/S1/links/cf/cf-5-36-asb-44.txt","Contig-44")</f>
        <v>Contig-44</v>
      </c>
      <c r="F790" t="str">
        <f>HYPERLINK("http://exon.niaid.nih.gov/transcriptome/C_felis/S1/links/cf/cf-5-36-44-CLU.txt","Contig44")</f>
        <v>Contig44</v>
      </c>
      <c r="G790" t="str">
        <f>HYPERLINK("http://exon.niaid.nih.gov/transcriptome/C_felis/S1/links/cf/cf-5-36-44-qual.txt","60.1")</f>
        <v>60.1</v>
      </c>
      <c r="H790" t="s">
        <v>11</v>
      </c>
      <c r="I790">
        <v>72.900000000000006</v>
      </c>
      <c r="J790">
        <v>147</v>
      </c>
      <c r="K790" t="s">
        <v>12</v>
      </c>
      <c r="L790">
        <v>1</v>
      </c>
      <c r="M790" t="s">
        <v>57</v>
      </c>
      <c r="N790">
        <v>147</v>
      </c>
      <c r="O790">
        <v>166</v>
      </c>
      <c r="P790">
        <v>96</v>
      </c>
      <c r="Q790" t="s">
        <v>866</v>
      </c>
      <c r="R790">
        <v>2</v>
      </c>
      <c r="S790" s="7" t="s">
        <v>4585</v>
      </c>
      <c r="U790">
        <v>1</v>
      </c>
      <c r="V790" s="4">
        <f>HYPERLINK("http://exon.niaid.nih.gov/transcriptome/C_felis/S1/links/cluster/cf-5-36-asb30-50-Id-CLU1.txt", 1)</f>
        <v>1</v>
      </c>
      <c r="W790">
        <f>HYPERLINK("http://exon.niaid.nih.gov/transcriptome/C_felis/S1/links/cluster/cf-5-36-asb30-50-Id-CLTL1.txt", 14)</f>
        <v>14</v>
      </c>
      <c r="X790" s="4">
        <f>HYPERLINK("http://exon.niaid.nih.gov/transcriptome/C_felis/S1/links/cluster/cf-5-36-asb35-50-Id-CLU2.txt", 2)</f>
        <v>2</v>
      </c>
      <c r="Y790">
        <f>HYPERLINK("http://exon.niaid.nih.gov/transcriptome/C_felis/S1/links/cluster/cf-5-36-asb35-50-Id-CLTL2.txt", 9)</f>
        <v>9</v>
      </c>
      <c r="Z790" s="4">
        <f>HYPERLINK("http://exon.niaid.nih.gov/transcriptome/C_felis/S1/links/cluster/cf-5-36-asb40-50-Id-CLU2.txt", 2)</f>
        <v>2</v>
      </c>
      <c r="AA790">
        <f>HYPERLINK("http://exon.niaid.nih.gov/transcriptome/C_felis/S1/links/cluster/cf-5-36-asb40-50-Id-CLTL2.txt", 7)</f>
        <v>7</v>
      </c>
      <c r="AB790" s="4" t="str">
        <f>HYPERLINK("http://exon.niaid.nih.gov/transcriptome/C_felis/S1/links/XC-ASB/cf-contig_44-XC-ASB.txt","XC-contig_143")</f>
        <v>XC-contig_143</v>
      </c>
      <c r="AC790">
        <v>4.3999999999999997E-2</v>
      </c>
      <c r="AD790" s="10" t="s">
        <v>4600</v>
      </c>
      <c r="AE790" t="s">
        <v>4601</v>
      </c>
      <c r="AI790" s="4" t="str">
        <f>HYPERLINK("http://exon.niaid.nih.gov/transcriptome/C_felis/S1/links/NR/cf-contig_44-NR.txt","peroxisomal trans-2-enoyl-CoA reductase-like")</f>
        <v>peroxisomal trans-2-enoyl-CoA reductase-like</v>
      </c>
      <c r="AJ790" t="str">
        <f>HYPERLINK("http://www.ncbi.nlm.nih.gov/sutils/blink.cgi?pid=291225235","61")</f>
        <v>61</v>
      </c>
      <c r="AK790" t="str">
        <f>HYPERLINK("http://www.ncbi.nlm.nih.gov/protein/291225235","gi|291225235")</f>
        <v>gi|291225235</v>
      </c>
      <c r="AL790">
        <v>31.2</v>
      </c>
      <c r="AM790">
        <v>30</v>
      </c>
      <c r="AN790">
        <v>304</v>
      </c>
      <c r="AO790">
        <v>41</v>
      </c>
      <c r="AP790">
        <v>10</v>
      </c>
      <c r="AQ790">
        <v>18</v>
      </c>
      <c r="AR790">
        <v>0</v>
      </c>
      <c r="AS790">
        <v>196</v>
      </c>
      <c r="AT790">
        <v>3</v>
      </c>
      <c r="AU790">
        <v>1</v>
      </c>
      <c r="AV790">
        <v>-3</v>
      </c>
      <c r="AW790" t="s">
        <v>12</v>
      </c>
      <c r="AX790">
        <v>3.3330000000000002</v>
      </c>
      <c r="AY790" t="s">
        <v>1666</v>
      </c>
      <c r="AZ790" t="s">
        <v>1820</v>
      </c>
      <c r="BA790" s="4" t="str">
        <f>HYPERLINK("http://exon.niaid.nih.gov/transcriptome/C_felis/S1/links/SWISSP/cf-contig_44-SWISSP.txt","Adenosine receptor A1")</f>
        <v>Adenosine receptor A1</v>
      </c>
      <c r="BB790" t="str">
        <f>HYPERLINK("http://www.uniprot.org/uniprot/P49892","6.2")</f>
        <v>6.2</v>
      </c>
      <c r="BC790" t="s">
        <v>1821</v>
      </c>
      <c r="BD790">
        <v>29.6</v>
      </c>
      <c r="BE790">
        <v>37</v>
      </c>
      <c r="BF790">
        <v>324</v>
      </c>
      <c r="BG790">
        <v>39</v>
      </c>
      <c r="BH790">
        <v>12</v>
      </c>
      <c r="BI790">
        <v>23</v>
      </c>
      <c r="BJ790">
        <v>1</v>
      </c>
      <c r="BK790">
        <v>186</v>
      </c>
      <c r="BL790">
        <v>20</v>
      </c>
      <c r="BM790">
        <v>1</v>
      </c>
      <c r="BN790">
        <v>-1</v>
      </c>
      <c r="BO790" t="s">
        <v>12</v>
      </c>
      <c r="BP790">
        <v>2.7029999999999998</v>
      </c>
      <c r="BQ790" t="s">
        <v>1666</v>
      </c>
      <c r="BR790" t="s">
        <v>1809</v>
      </c>
      <c r="BS790" s="4" t="str">
        <f>HYPERLINK("http://exon.niaid.nih.gov/transcriptome/C_felis/S1/links/CDD/cf-contig_44-CDD.txt","PHA03031")</f>
        <v>PHA03031</v>
      </c>
      <c r="BT790" t="str">
        <f>HYPERLINK("http://www.ncbi.nlm.nih.gov/Structure/cdd/cddsrv.cgi?uid=PHA03031&amp;version=v4.0","1.4")</f>
        <v>1.4</v>
      </c>
      <c r="BU790" t="s">
        <v>1822</v>
      </c>
      <c r="BV790" s="4" t="s">
        <v>42</v>
      </c>
      <c r="BW790" t="s">
        <v>42</v>
      </c>
      <c r="BX790" t="s">
        <v>42</v>
      </c>
      <c r="BY790" t="s">
        <v>42</v>
      </c>
      <c r="BZ790" t="s">
        <v>42</v>
      </c>
      <c r="CA790" t="s">
        <v>42</v>
      </c>
      <c r="CB790" t="s">
        <v>42</v>
      </c>
      <c r="CC790" t="s">
        <v>42</v>
      </c>
      <c r="CD790" t="s">
        <v>42</v>
      </c>
      <c r="CE790" t="s">
        <v>42</v>
      </c>
      <c r="CF790" t="s">
        <v>42</v>
      </c>
      <c r="CG790" t="s">
        <v>42</v>
      </c>
      <c r="CH790" t="s">
        <v>42</v>
      </c>
      <c r="CI790" t="s">
        <v>42</v>
      </c>
      <c r="CJ790" t="s">
        <v>42</v>
      </c>
      <c r="CK790" t="s">
        <v>42</v>
      </c>
      <c r="CL790" t="s">
        <v>42</v>
      </c>
      <c r="CM790" t="s">
        <v>42</v>
      </c>
      <c r="CN790" t="s">
        <v>42</v>
      </c>
      <c r="CO790" t="s">
        <v>42</v>
      </c>
      <c r="CP790" t="s">
        <v>42</v>
      </c>
      <c r="CQ790" t="s">
        <v>42</v>
      </c>
      <c r="CR790" t="s">
        <v>42</v>
      </c>
      <c r="CS790" s="4" t="str">
        <f>HYPERLINK("http://exon.niaid.nih.gov/transcriptome/C_felis/S1/links/KOG/cf-contig_44-KOG.txt","Alpha-mannosidase")</f>
        <v>Alpha-mannosidase</v>
      </c>
      <c r="CT790" t="str">
        <f>HYPERLINK("http://www.ncbi.nlm.nih.gov/COG/grace/shokog.cgi?KOG4342","2.9")</f>
        <v>2.9</v>
      </c>
      <c r="CU790" t="s">
        <v>1823</v>
      </c>
      <c r="CV790" s="4" t="str">
        <f>HYPERLINK("http://exon.niaid.nih.gov/transcriptome/C_felis/S1/links/PFAM/cf-contig_44-PFAM.txt","TLC")</f>
        <v>TLC</v>
      </c>
      <c r="CW790" t="str">
        <f>HYPERLINK("http://pfam.sanger.ac.uk/family?acc=PF03219","0.54")</f>
        <v>0.54</v>
      </c>
      <c r="CX790" s="4" t="str">
        <f>HYPERLINK("http://exon.niaid.nih.gov/transcriptome/C_felis/S1/links/SMART/cf-contig_44-SMART.txt","G_alpha")</f>
        <v>G_alpha</v>
      </c>
      <c r="CY790" t="str">
        <f>HYPERLINK("http://smart.embl-heidelberg.de/smart/do_annotation.pl?DOMAIN=G_alpha&amp;BLAST=DUMMY","0.44")</f>
        <v>0.44</v>
      </c>
      <c r="CZ790" s="4" t="s">
        <v>42</v>
      </c>
      <c r="DA790" t="s">
        <v>42</v>
      </c>
      <c r="DB790" t="s">
        <v>42</v>
      </c>
      <c r="DC790" t="s">
        <v>42</v>
      </c>
      <c r="DD790" t="s">
        <v>42</v>
      </c>
      <c r="DE790" t="s">
        <v>42</v>
      </c>
      <c r="DF790" t="s">
        <v>42</v>
      </c>
      <c r="DG790" t="s">
        <v>42</v>
      </c>
      <c r="DH790" s="4" t="s">
        <v>42</v>
      </c>
      <c r="DI790" t="s">
        <v>42</v>
      </c>
      <c r="DJ790" s="4" t="s">
        <v>42</v>
      </c>
      <c r="DK790" t="s">
        <v>42</v>
      </c>
      <c r="DL790" s="4">
        <f>HYPERLINK("http://exon.niaid.nih.gov/transcriptome/C_felis/S1/links/cluster/cf-5-36-asb30-50-Id-CLU1.txt", 1)</f>
        <v>1</v>
      </c>
      <c r="DM790">
        <f>HYPERLINK("http://exon.niaid.nih.gov/transcriptome/C_felis/S1/links/cluster/cf-5-36-asb30-50-Id-CLTL1.txt", 14)</f>
        <v>14</v>
      </c>
      <c r="DN790" s="4">
        <f>HYPERLINK("http://exon.niaid.nih.gov/transcriptome/C_felis/S1/links/cluster/cf-5-36-asb35-50-Id-CLU2.txt", 2)</f>
        <v>2</v>
      </c>
      <c r="DO790">
        <f>HYPERLINK("http://exon.niaid.nih.gov/transcriptome/C_felis/S1/links/cluster/cf-5-36-asb35-50-Id-CLTL2.txt", 9)</f>
        <v>9</v>
      </c>
      <c r="DP790" s="4">
        <f>HYPERLINK("http://exon.niaid.nih.gov/transcriptome/C_felis/S1/links/cluster/cf-5-36-asb40-50-Id-CLU2.txt", 2)</f>
        <v>2</v>
      </c>
      <c r="DQ790">
        <f>HYPERLINK("http://exon.niaid.nih.gov/transcriptome/C_felis/S1/links/cluster/cf-5-36-asb40-50-Id-CLTL2.txt", 7)</f>
        <v>7</v>
      </c>
      <c r="DR790" s="4">
        <f>HYPERLINK("http://exon.niaid.nih.gov/transcriptome/C_felis/S1/links/cluster/cf-5-36-asb45-50-Id-CLU2.txt", 2)</f>
        <v>2</v>
      </c>
      <c r="DS790">
        <f>HYPERLINK("http://exon.niaid.nih.gov/transcriptome/C_felis/S1/links/cluster/cf-5-36-asb45-50-Id-CLTL2.txt", 6)</f>
        <v>6</v>
      </c>
      <c r="DT790" s="4">
        <f>HYPERLINK("http://exon.niaid.nih.gov/transcriptome/C_felis/S1/links/cluster/cf-5-36-asb50-50-Id-CLU2.txt", 2)</f>
        <v>2</v>
      </c>
      <c r="DU790">
        <f>HYPERLINK("http://exon.niaid.nih.gov/transcriptome/C_felis/S1/links/cluster/cf-5-36-asb50-50-Id-CLTL2.txt", 6)</f>
        <v>6</v>
      </c>
      <c r="DV790" s="4">
        <v>69</v>
      </c>
      <c r="DW790">
        <v>1</v>
      </c>
      <c r="DX790" s="4">
        <v>64</v>
      </c>
      <c r="DY790">
        <v>1</v>
      </c>
      <c r="DZ790" s="4">
        <v>62</v>
      </c>
      <c r="EA790">
        <v>1</v>
      </c>
      <c r="EB790" s="4">
        <v>62</v>
      </c>
      <c r="EC790">
        <v>1</v>
      </c>
      <c r="ED790" s="4">
        <v>63</v>
      </c>
      <c r="EE790">
        <v>1</v>
      </c>
      <c r="EF790" s="4">
        <v>58</v>
      </c>
      <c r="EG790">
        <v>1</v>
      </c>
      <c r="EH790" s="4">
        <v>46</v>
      </c>
      <c r="EI790">
        <v>1</v>
      </c>
      <c r="EJ790" s="4">
        <v>44</v>
      </c>
      <c r="EK790">
        <v>1</v>
      </c>
    </row>
    <row r="791" spans="1:141" x14ac:dyDescent="0.2">
      <c r="A791" t="str">
        <f>HYPERLINK("http://exon.niaid.nih.gov/transcriptome/C_felis/S1/links/cf/cf-contig_271.txt","cf-contig_271")</f>
        <v>cf-contig_271</v>
      </c>
      <c r="B791">
        <v>1</v>
      </c>
      <c r="C791" s="10" t="s">
        <v>4600</v>
      </c>
      <c r="D791">
        <v>1</v>
      </c>
      <c r="E791" t="str">
        <f>HYPERLINK("http://exon.niaid.nih.gov/transcriptome/C_felis/S1/links/cf/cf-5-36-asb-271.txt","Contig-271")</f>
        <v>Contig-271</v>
      </c>
      <c r="F791" t="str">
        <f>HYPERLINK("http://exon.niaid.nih.gov/transcriptome/C_felis/S1/links/cf/cf-5-36-271-CLU.txt","Contig271")</f>
        <v>Contig271</v>
      </c>
      <c r="G791" t="str">
        <f>HYPERLINK("http://exon.niaid.nih.gov/transcriptome/C_felis/S1/links/cf/cf-5-36-271-qual.txt","65.7")</f>
        <v>65.7</v>
      </c>
      <c r="H791" t="s">
        <v>11</v>
      </c>
      <c r="I791">
        <v>68.900000000000006</v>
      </c>
      <c r="J791">
        <v>164</v>
      </c>
      <c r="K791" t="s">
        <v>12</v>
      </c>
      <c r="L791">
        <v>1</v>
      </c>
      <c r="M791" t="s">
        <v>284</v>
      </c>
      <c r="N791">
        <v>164</v>
      </c>
      <c r="O791">
        <v>183</v>
      </c>
      <c r="P791">
        <v>129</v>
      </c>
      <c r="Q791" t="s">
        <v>1091</v>
      </c>
      <c r="R791">
        <v>3</v>
      </c>
      <c r="S791" s="7" t="s">
        <v>4585</v>
      </c>
      <c r="U791">
        <v>1</v>
      </c>
      <c r="V791" s="4">
        <v>215</v>
      </c>
      <c r="W791">
        <v>1</v>
      </c>
      <c r="X791" s="4">
        <v>220</v>
      </c>
      <c r="Y791">
        <v>1</v>
      </c>
      <c r="Z791" s="4">
        <v>219</v>
      </c>
      <c r="AA791">
        <v>1</v>
      </c>
      <c r="AB791" s="4" t="str">
        <f>HYPERLINK("http://exon.niaid.nih.gov/transcriptome/C_felis/S1/links/XC-ASB/cf-contig_271-XC-ASB.txt","XC-contig_152")</f>
        <v>XC-contig_152</v>
      </c>
      <c r="AC791">
        <v>1.2</v>
      </c>
      <c r="AD791" s="10" t="s">
        <v>4600</v>
      </c>
      <c r="AE791" t="s">
        <v>4601</v>
      </c>
      <c r="AI791" s="4" t="str">
        <f>HYPERLINK("http://exon.niaid.nih.gov/transcriptome/C_felis/S1/links/NR/cf-contig_271-NR.txt","sec1 family domain containing 2-like")</f>
        <v>sec1 family domain containing 2-like</v>
      </c>
      <c r="AJ791" t="str">
        <f>HYPERLINK("http://www.ncbi.nlm.nih.gov/sutils/blink.cgi?pid=291233721","82")</f>
        <v>82</v>
      </c>
      <c r="AK791" t="str">
        <f>HYPERLINK("http://www.ncbi.nlm.nih.gov/protein/291233721","gi|291233721")</f>
        <v>gi|291233721</v>
      </c>
      <c r="AL791">
        <v>30.8</v>
      </c>
      <c r="AM791">
        <v>25</v>
      </c>
      <c r="AN791">
        <v>730</v>
      </c>
      <c r="AO791">
        <v>50</v>
      </c>
      <c r="AP791">
        <v>4</v>
      </c>
      <c r="AQ791">
        <v>13</v>
      </c>
      <c r="AR791">
        <v>0</v>
      </c>
      <c r="AS791">
        <v>374</v>
      </c>
      <c r="AT791">
        <v>31</v>
      </c>
      <c r="AU791">
        <v>1</v>
      </c>
      <c r="AV791">
        <v>-1</v>
      </c>
      <c r="AW791" t="s">
        <v>12</v>
      </c>
      <c r="AX791">
        <v>4</v>
      </c>
      <c r="AY791" t="s">
        <v>1666</v>
      </c>
      <c r="AZ791" t="s">
        <v>1820</v>
      </c>
      <c r="BA791" s="4" t="str">
        <f>HYPERLINK("http://exon.niaid.nih.gov/transcriptome/C_felis/S1/links/SWISSP/cf-contig_271-SWISSP.txt","D-alanine--D-alanine ligase")</f>
        <v>D-alanine--D-alanine ligase</v>
      </c>
      <c r="BB791" t="str">
        <f>HYPERLINK("http://www.uniprot.org/uniprot/A0M4U5","88")</f>
        <v>88</v>
      </c>
      <c r="BC791" t="s">
        <v>2653</v>
      </c>
      <c r="BD791">
        <v>25.8</v>
      </c>
      <c r="BE791">
        <v>58</v>
      </c>
      <c r="BF791">
        <v>326</v>
      </c>
      <c r="BG791">
        <v>28</v>
      </c>
      <c r="BH791">
        <v>18</v>
      </c>
      <c r="BI791">
        <v>42</v>
      </c>
      <c r="BJ791">
        <v>10</v>
      </c>
      <c r="BK791">
        <v>7</v>
      </c>
      <c r="BL791">
        <v>18</v>
      </c>
      <c r="BM791">
        <v>1</v>
      </c>
      <c r="BN791">
        <v>3</v>
      </c>
      <c r="BO791" t="s">
        <v>12</v>
      </c>
      <c r="BP791">
        <v>1.724</v>
      </c>
      <c r="BQ791" t="s">
        <v>1676</v>
      </c>
      <c r="BR791" t="s">
        <v>2654</v>
      </c>
      <c r="BS791" s="4" t="str">
        <f>HYPERLINK("http://exon.niaid.nih.gov/transcriptome/C_felis/S1/links/CDD/cf-contig_271-CDD.txt","urea_carbox")</f>
        <v>urea_carbox</v>
      </c>
      <c r="BT791" t="str">
        <f>HYPERLINK("http://www.ncbi.nlm.nih.gov/Structure/cdd/cddsrv.cgi?uid=TIGR02712&amp;version=v4.0","0.74")</f>
        <v>0.74</v>
      </c>
      <c r="BU791" t="s">
        <v>2655</v>
      </c>
      <c r="BV791" s="4" t="s">
        <v>42</v>
      </c>
      <c r="BW791" t="s">
        <v>42</v>
      </c>
      <c r="BX791" t="s">
        <v>42</v>
      </c>
      <c r="BY791" t="s">
        <v>42</v>
      </c>
      <c r="BZ791" t="s">
        <v>42</v>
      </c>
      <c r="CA791" t="s">
        <v>42</v>
      </c>
      <c r="CB791" t="s">
        <v>42</v>
      </c>
      <c r="CC791" t="s">
        <v>42</v>
      </c>
      <c r="CD791" t="s">
        <v>42</v>
      </c>
      <c r="CE791" t="s">
        <v>42</v>
      </c>
      <c r="CF791" t="s">
        <v>42</v>
      </c>
      <c r="CG791" t="s">
        <v>42</v>
      </c>
      <c r="CH791" t="s">
        <v>42</v>
      </c>
      <c r="CI791" t="s">
        <v>42</v>
      </c>
      <c r="CJ791" t="s">
        <v>42</v>
      </c>
      <c r="CK791" t="s">
        <v>42</v>
      </c>
      <c r="CL791" t="s">
        <v>42</v>
      </c>
      <c r="CM791" t="s">
        <v>42</v>
      </c>
      <c r="CN791" t="s">
        <v>42</v>
      </c>
      <c r="CO791" t="s">
        <v>42</v>
      </c>
      <c r="CP791" t="s">
        <v>42</v>
      </c>
      <c r="CQ791" t="s">
        <v>42</v>
      </c>
      <c r="CR791" t="s">
        <v>42</v>
      </c>
      <c r="CS791" s="4" t="str">
        <f>HYPERLINK("http://exon.niaid.nih.gov/transcriptome/C_felis/S1/links/KOG/cf-contig_271-KOG.txt","Na+/K+ symporter")</f>
        <v>Na+/K+ symporter</v>
      </c>
      <c r="CT791" t="str">
        <f>HYPERLINK("http://www.ncbi.nlm.nih.gov/COG/grace/shokog.cgi?KOG2083","1.7")</f>
        <v>1.7</v>
      </c>
      <c r="CU791" t="s">
        <v>1681</v>
      </c>
      <c r="CV791" s="4" t="str">
        <f>HYPERLINK("http://exon.niaid.nih.gov/transcriptome/C_felis/S1/links/PFAM/cf-contig_271-PFAM.txt","7TM_GPCR_Str")</f>
        <v>7TM_GPCR_Str</v>
      </c>
      <c r="CW791" t="str">
        <f>HYPERLINK("http://pfam.sanger.ac.uk/family?acc=PF10326","1.1")</f>
        <v>1.1</v>
      </c>
      <c r="CX791" s="4" t="str">
        <f>HYPERLINK("http://exon.niaid.nih.gov/transcriptome/C_felis/S1/links/SMART/cf-contig_271-SMART.txt","PI3Ka")</f>
        <v>PI3Ka</v>
      </c>
      <c r="CY791" t="str">
        <f>HYPERLINK("http://smart.embl-heidelberg.de/smart/do_annotation.pl?DOMAIN=PI3Ka&amp;BLAST=DUMMY","0.62")</f>
        <v>0.62</v>
      </c>
      <c r="CZ791" s="4" t="s">
        <v>42</v>
      </c>
      <c r="DA791" t="s">
        <v>42</v>
      </c>
      <c r="DB791" t="s">
        <v>42</v>
      </c>
      <c r="DC791" t="s">
        <v>42</v>
      </c>
      <c r="DD791" t="s">
        <v>42</v>
      </c>
      <c r="DE791" t="s">
        <v>42</v>
      </c>
      <c r="DF791" t="s">
        <v>42</v>
      </c>
      <c r="DG791" t="s">
        <v>42</v>
      </c>
      <c r="DH791" s="4" t="s">
        <v>42</v>
      </c>
      <c r="DI791" t="s">
        <v>42</v>
      </c>
      <c r="DJ791" s="4" t="s">
        <v>42</v>
      </c>
      <c r="DK791" t="s">
        <v>42</v>
      </c>
      <c r="DL791" s="4">
        <v>215</v>
      </c>
      <c r="DM791">
        <v>1</v>
      </c>
      <c r="DN791" s="4">
        <v>220</v>
      </c>
      <c r="DO791">
        <v>1</v>
      </c>
      <c r="DP791" s="4">
        <v>219</v>
      </c>
      <c r="DQ791">
        <v>1</v>
      </c>
      <c r="DR791" s="4">
        <v>228</v>
      </c>
      <c r="DS791">
        <v>1</v>
      </c>
      <c r="DT791" s="4">
        <v>234</v>
      </c>
      <c r="DU791">
        <v>1</v>
      </c>
      <c r="DV791" s="4">
        <v>246</v>
      </c>
      <c r="DW791">
        <v>1</v>
      </c>
      <c r="DX791" s="4">
        <v>248</v>
      </c>
      <c r="DY791">
        <v>1</v>
      </c>
      <c r="DZ791" s="4">
        <v>253</v>
      </c>
      <c r="EA791">
        <v>1</v>
      </c>
      <c r="EB791" s="4">
        <v>258</v>
      </c>
      <c r="EC791">
        <v>1</v>
      </c>
      <c r="ED791" s="4">
        <v>261</v>
      </c>
      <c r="EE791">
        <v>1</v>
      </c>
      <c r="EF791" s="4">
        <v>264</v>
      </c>
      <c r="EG791">
        <v>1</v>
      </c>
      <c r="EH791" s="4">
        <v>266</v>
      </c>
      <c r="EI791">
        <v>1</v>
      </c>
      <c r="EJ791" s="4">
        <v>271</v>
      </c>
      <c r="EK791">
        <v>1</v>
      </c>
    </row>
    <row r="792" spans="1:141" x14ac:dyDescent="0.2">
      <c r="A792" t="str">
        <f>HYPERLINK("http://exon.niaid.nih.gov/transcriptome/C_felis/S1/links/cf/cf-contig_600.txt","cf-contig_600")</f>
        <v>cf-contig_600</v>
      </c>
      <c r="B792">
        <v>1</v>
      </c>
      <c r="C792" s="10" t="s">
        <v>4600</v>
      </c>
      <c r="D792">
        <v>1</v>
      </c>
      <c r="E792" t="str">
        <f>HYPERLINK("http://exon.niaid.nih.gov/transcriptome/C_felis/S1/links/cf/cf-5-36-asb-600.txt","Contig-600")</f>
        <v>Contig-600</v>
      </c>
      <c r="F792" t="str">
        <f>HYPERLINK("http://exon.niaid.nih.gov/transcriptome/C_felis/S1/links/cf/cf-5-36-600-CLU.txt","Contig600")</f>
        <v>Contig600</v>
      </c>
      <c r="G792" t="str">
        <f>HYPERLINK("http://exon.niaid.nih.gov/transcriptome/C_felis/S1/links/cf/cf-5-36-600-qual.txt","59.8")</f>
        <v>59.8</v>
      </c>
      <c r="H792">
        <v>0.3</v>
      </c>
      <c r="I792">
        <v>64.3</v>
      </c>
      <c r="J792">
        <v>583</v>
      </c>
      <c r="K792" t="s">
        <v>12</v>
      </c>
      <c r="L792">
        <v>1</v>
      </c>
      <c r="M792" t="s">
        <v>613</v>
      </c>
      <c r="N792">
        <v>583</v>
      </c>
      <c r="O792">
        <v>602</v>
      </c>
      <c r="P792">
        <v>177</v>
      </c>
      <c r="Q792" t="s">
        <v>1419</v>
      </c>
      <c r="R792">
        <v>2</v>
      </c>
      <c r="S792" s="7" t="str">
        <f>HYPERLINK("http://exon.niaid.nih.gov/transcriptome/C_felis/S1/links/Sigp/CF-CONTIG_600-SigP.txt","Cyt")</f>
        <v>Cyt</v>
      </c>
      <c r="U792">
        <v>1</v>
      </c>
      <c r="V792" s="4">
        <v>487</v>
      </c>
      <c r="W792">
        <v>1</v>
      </c>
      <c r="X792" s="4">
        <v>499</v>
      </c>
      <c r="Y792">
        <v>1</v>
      </c>
      <c r="Z792" s="4">
        <v>509</v>
      </c>
      <c r="AA792">
        <v>1</v>
      </c>
      <c r="AB792" s="4" t="str">
        <f>HYPERLINK("http://exon.niaid.nih.gov/transcriptome/C_felis/S1/links/XC-ASB/cf-contig_600-XC-ASB.txt","XC-contig_236")</f>
        <v>XC-contig_236</v>
      </c>
      <c r="AC792">
        <v>1.7</v>
      </c>
      <c r="AD792" s="10" t="s">
        <v>4600</v>
      </c>
      <c r="AE792" t="s">
        <v>4601</v>
      </c>
      <c r="AI792" s="4" t="str">
        <f>HYPERLINK("http://exon.niaid.nih.gov/transcriptome/C_felis/S1/links/NR/cf-contig_600-NR.txt","alpha/beta fold family hydrolase")</f>
        <v>alpha/beta fold family hydrolase</v>
      </c>
      <c r="AJ792" t="str">
        <f>HYPERLINK("http://www.ncbi.nlm.nih.gov/sutils/blink.cgi?pid=335419597","7.0")</f>
        <v>7.0</v>
      </c>
      <c r="AK792" t="str">
        <f>HYPERLINK("http://www.ncbi.nlm.nih.gov/protein/335419597","gi|335419597")</f>
        <v>gi|335419597</v>
      </c>
      <c r="AL792">
        <v>35</v>
      </c>
      <c r="AM792">
        <v>35</v>
      </c>
      <c r="AN792">
        <v>277</v>
      </c>
      <c r="AO792">
        <v>41</v>
      </c>
      <c r="AP792">
        <v>13</v>
      </c>
      <c r="AQ792">
        <v>21</v>
      </c>
      <c r="AR792">
        <v>0</v>
      </c>
      <c r="AS792">
        <v>68</v>
      </c>
      <c r="AT792">
        <v>266</v>
      </c>
      <c r="AU792">
        <v>1</v>
      </c>
      <c r="AV792">
        <v>-2</v>
      </c>
      <c r="AW792" t="s">
        <v>12</v>
      </c>
      <c r="AX792">
        <v>2.8570000000000002</v>
      </c>
      <c r="AY792" t="s">
        <v>1666</v>
      </c>
      <c r="AZ792" t="s">
        <v>3874</v>
      </c>
      <c r="BA792" s="4" t="str">
        <f>HYPERLINK("http://exon.niaid.nih.gov/transcriptome/C_felis/S1/links/SWISSP/cf-contig_600-SWISSP.txt","UPF0313 protein BT_0254")</f>
        <v>UPF0313 protein BT_0254</v>
      </c>
      <c r="BB792" t="str">
        <f>HYPERLINK("http://www.uniprot.org/uniprot/Q8AB57","8.8")</f>
        <v>8.8</v>
      </c>
      <c r="BC792" t="s">
        <v>3875</v>
      </c>
      <c r="BD792">
        <v>30.4</v>
      </c>
      <c r="BE792">
        <v>40</v>
      </c>
      <c r="BF792">
        <v>620</v>
      </c>
      <c r="BG792">
        <v>30</v>
      </c>
      <c r="BH792">
        <v>7</v>
      </c>
      <c r="BI792">
        <v>34</v>
      </c>
      <c r="BJ792">
        <v>0</v>
      </c>
      <c r="BK792">
        <v>382</v>
      </c>
      <c r="BL792">
        <v>341</v>
      </c>
      <c r="BM792">
        <v>1</v>
      </c>
      <c r="BN792">
        <v>2</v>
      </c>
      <c r="BO792" t="s">
        <v>12</v>
      </c>
      <c r="BQ792" t="s">
        <v>1676</v>
      </c>
      <c r="BR792" t="s">
        <v>3876</v>
      </c>
      <c r="BS792" s="4" t="str">
        <f>HYPERLINK("http://exon.niaid.nih.gov/transcriptome/C_felis/S1/links/CDD/cf-contig_600-CDD.txt","LIM1_Prickle")</f>
        <v>LIM1_Prickle</v>
      </c>
      <c r="BT792" t="str">
        <f>HYPERLINK("http://www.ncbi.nlm.nih.gov/Structure/cdd/cddsrv.cgi?uid=cd09415&amp;version=v4.0","0.072")</f>
        <v>0.072</v>
      </c>
      <c r="BU792" t="s">
        <v>3877</v>
      </c>
      <c r="BV792" s="4" t="s">
        <v>42</v>
      </c>
      <c r="BW792" t="s">
        <v>42</v>
      </c>
      <c r="BX792" t="s">
        <v>42</v>
      </c>
      <c r="BY792" t="s">
        <v>42</v>
      </c>
      <c r="BZ792" t="s">
        <v>42</v>
      </c>
      <c r="CA792" t="s">
        <v>42</v>
      </c>
      <c r="CB792" t="s">
        <v>42</v>
      </c>
      <c r="CC792" t="s">
        <v>42</v>
      </c>
      <c r="CD792" t="s">
        <v>42</v>
      </c>
      <c r="CE792" t="s">
        <v>42</v>
      </c>
      <c r="CF792" t="s">
        <v>42</v>
      </c>
      <c r="CG792" t="s">
        <v>42</v>
      </c>
      <c r="CH792" t="s">
        <v>42</v>
      </c>
      <c r="CI792" t="s">
        <v>42</v>
      </c>
      <c r="CJ792" t="s">
        <v>42</v>
      </c>
      <c r="CK792" t="s">
        <v>42</v>
      </c>
      <c r="CL792" t="s">
        <v>42</v>
      </c>
      <c r="CM792" t="s">
        <v>42</v>
      </c>
      <c r="CN792" t="s">
        <v>42</v>
      </c>
      <c r="CO792" t="s">
        <v>42</v>
      </c>
      <c r="CP792" t="s">
        <v>42</v>
      </c>
      <c r="CQ792" t="s">
        <v>42</v>
      </c>
      <c r="CR792" t="s">
        <v>42</v>
      </c>
      <c r="CS792" s="4" t="str">
        <f>HYPERLINK("http://exon.niaid.nih.gov/transcriptome/C_felis/S1/links/KOG/cf-contig_600-KOG.txt","Amino acid transporters")</f>
        <v>Amino acid transporters</v>
      </c>
      <c r="CT792" t="str">
        <f>HYPERLINK("http://www.ncbi.nlm.nih.gov/COG/grace/shokog.cgi?KOG1304","0.79")</f>
        <v>0.79</v>
      </c>
      <c r="CU792" t="s">
        <v>2408</v>
      </c>
      <c r="CV792" s="4" t="str">
        <f>HYPERLINK("http://exon.niaid.nih.gov/transcriptome/C_felis/S1/links/PFAM/cf-contig_600-PFAM.txt","YfhO")</f>
        <v>YfhO</v>
      </c>
      <c r="CW792" t="str">
        <f>HYPERLINK("http://pfam.sanger.ac.uk/family?acc=PF09586","0.59")</f>
        <v>0.59</v>
      </c>
      <c r="CX792" s="4" t="str">
        <f>HYPERLINK("http://exon.niaid.nih.gov/transcriptome/C_felis/S1/links/SMART/cf-contig_600-SMART.txt","PSN")</f>
        <v>PSN</v>
      </c>
      <c r="CY792" t="str">
        <f>HYPERLINK("http://smart.embl-heidelberg.de/smart/do_annotation.pl?DOMAIN=PSN&amp;BLAST=DUMMY","0.22")</f>
        <v>0.22</v>
      </c>
      <c r="CZ792" s="4" t="s">
        <v>42</v>
      </c>
      <c r="DA792" t="s">
        <v>42</v>
      </c>
      <c r="DB792" t="s">
        <v>42</v>
      </c>
      <c r="DC792" t="s">
        <v>42</v>
      </c>
      <c r="DD792" t="s">
        <v>42</v>
      </c>
      <c r="DE792" t="s">
        <v>42</v>
      </c>
      <c r="DF792" t="s">
        <v>42</v>
      </c>
      <c r="DG792" t="s">
        <v>42</v>
      </c>
      <c r="DH792" s="4" t="s">
        <v>42</v>
      </c>
      <c r="DI792" t="s">
        <v>42</v>
      </c>
      <c r="DJ792" s="4" t="s">
        <v>42</v>
      </c>
      <c r="DK792" t="s">
        <v>42</v>
      </c>
      <c r="DL792" s="4">
        <v>487</v>
      </c>
      <c r="DM792">
        <v>1</v>
      </c>
      <c r="DN792" s="4">
        <v>499</v>
      </c>
      <c r="DO792">
        <v>1</v>
      </c>
      <c r="DP792" s="4">
        <v>509</v>
      </c>
      <c r="DQ792">
        <v>1</v>
      </c>
      <c r="DR792" s="4">
        <v>528</v>
      </c>
      <c r="DS792">
        <v>1</v>
      </c>
      <c r="DT792" s="4">
        <v>540</v>
      </c>
      <c r="DU792">
        <v>1</v>
      </c>
      <c r="DV792" s="4">
        <v>554</v>
      </c>
      <c r="DW792">
        <v>1</v>
      </c>
      <c r="DX792" s="4">
        <v>563</v>
      </c>
      <c r="DY792">
        <v>1</v>
      </c>
      <c r="DZ792" s="4">
        <v>571</v>
      </c>
      <c r="EA792">
        <v>1</v>
      </c>
      <c r="EB792" s="4">
        <v>576</v>
      </c>
      <c r="EC792">
        <v>1</v>
      </c>
      <c r="ED792" s="4">
        <v>580</v>
      </c>
      <c r="EE792">
        <v>1</v>
      </c>
      <c r="EF792" s="4">
        <v>586</v>
      </c>
      <c r="EG792">
        <v>1</v>
      </c>
      <c r="EH792" s="4">
        <v>593</v>
      </c>
      <c r="EI792">
        <v>1</v>
      </c>
      <c r="EJ792" s="4">
        <v>600</v>
      </c>
      <c r="EK792">
        <v>1</v>
      </c>
    </row>
    <row r="793" spans="1:141" x14ac:dyDescent="0.2">
      <c r="A793" t="str">
        <f>HYPERLINK("http://exon.niaid.nih.gov/transcriptome/C_felis/S1/links/cf/cf-contig_675.txt","cf-contig_675")</f>
        <v>cf-contig_675</v>
      </c>
      <c r="B793">
        <v>1</v>
      </c>
      <c r="C793" s="10" t="s">
        <v>4600</v>
      </c>
      <c r="D793">
        <v>1</v>
      </c>
      <c r="E793" t="str">
        <f>HYPERLINK("http://exon.niaid.nih.gov/transcriptome/C_felis/S1/links/cf/cf-5-36-asb-675.txt","Contig-675")</f>
        <v>Contig-675</v>
      </c>
      <c r="F793" t="str">
        <f>HYPERLINK("http://exon.niaid.nih.gov/transcriptome/C_felis/S1/links/cf/cf-5-36-675-CLU.txt","Contig675")</f>
        <v>Contig675</v>
      </c>
      <c r="G793" t="str">
        <f>HYPERLINK("http://exon.niaid.nih.gov/transcriptome/C_felis/S1/links/cf/cf-5-36-675-qual.txt","39.3")</f>
        <v>39.3</v>
      </c>
      <c r="H793" t="s">
        <v>11</v>
      </c>
      <c r="I793">
        <v>72.599999999999994</v>
      </c>
      <c r="J793">
        <v>536</v>
      </c>
      <c r="K793" t="s">
        <v>12</v>
      </c>
      <c r="L793">
        <v>1</v>
      </c>
      <c r="M793" t="s">
        <v>688</v>
      </c>
      <c r="N793">
        <v>536</v>
      </c>
      <c r="O793">
        <v>555</v>
      </c>
      <c r="P793">
        <v>180</v>
      </c>
      <c r="Q793" t="s">
        <v>1494</v>
      </c>
      <c r="R793">
        <v>1</v>
      </c>
      <c r="S793" s="7" t="str">
        <f>HYPERLINK("http://exon.niaid.nih.gov/transcriptome/C_felis/S1/links/Sigp/CF-CONTIG_675-SigP.txt","Cyt")</f>
        <v>Cyt</v>
      </c>
      <c r="U793">
        <v>1</v>
      </c>
      <c r="V793" s="4">
        <f>HYPERLINK("http://exon.niaid.nih.gov/transcriptome/C_felis/S1/links/cluster/cf-5-36-asb30-50-Id-CLU92.txt", 92)</f>
        <v>92</v>
      </c>
      <c r="W793">
        <f>HYPERLINK("http://exon.niaid.nih.gov/transcriptome/C_felis/S1/links/cluster/cf-5-36-asb30-50-Id-CLTL92.txt", 2)</f>
        <v>2</v>
      </c>
      <c r="X793" s="4">
        <f>HYPERLINK("http://exon.niaid.nih.gov/transcriptome/C_felis/S1/links/cluster/cf-5-36-asb35-50-Id-CLU85.txt", 85)</f>
        <v>85</v>
      </c>
      <c r="Y793">
        <f>HYPERLINK("http://exon.niaid.nih.gov/transcriptome/C_felis/S1/links/cluster/cf-5-36-asb35-50-Id-CLTL85.txt", 2)</f>
        <v>2</v>
      </c>
      <c r="Z793" s="4">
        <f>HYPERLINK("http://exon.niaid.nih.gov/transcriptome/C_felis/S1/links/cluster/cf-5-36-asb40-50-Id-CLU76.txt", 76)</f>
        <v>76</v>
      </c>
      <c r="AA793">
        <f>HYPERLINK("http://exon.niaid.nih.gov/transcriptome/C_felis/S1/links/cluster/cf-5-36-asb40-50-Id-CLTL76.txt", 2)</f>
        <v>2</v>
      </c>
      <c r="AB793" s="4" t="str">
        <f>HYPERLINK("http://exon.niaid.nih.gov/transcriptome/C_felis/S1/links/XC-ASB/cf-contig_675-XC-ASB.txt","XC-contig_16")</f>
        <v>XC-contig_16</v>
      </c>
      <c r="AC793">
        <v>0.17</v>
      </c>
      <c r="AD793" s="10" t="s">
        <v>4600</v>
      </c>
      <c r="AE793" t="s">
        <v>4601</v>
      </c>
      <c r="AI793" s="4" t="str">
        <f>HYPERLINK("http://exon.niaid.nih.gov/transcriptome/C_felis/S1/links/NR/cf-contig_675-NR.txt","Glucose-repressible alcohol dehydrogenase transcriptional effector (Cytoplasmic")</f>
        <v>Glucose-repressible alcohol dehydrogenase transcriptional effector (Cytoplasmic</v>
      </c>
      <c r="AJ793" t="str">
        <f>HYPERLINK("http://www.ncbi.nlm.nih.gov/sutils/blink.cgi?pid=150864008","5.6")</f>
        <v>5.6</v>
      </c>
      <c r="AK793" t="str">
        <f>HYPERLINK("http://www.ncbi.nlm.nih.gov/protein/150864008","gi|150864008")</f>
        <v>gi|150864008</v>
      </c>
      <c r="AL793">
        <v>35</v>
      </c>
      <c r="AM793">
        <v>40</v>
      </c>
      <c r="AN793">
        <v>369</v>
      </c>
      <c r="AO793">
        <v>36</v>
      </c>
      <c r="AP793">
        <v>11</v>
      </c>
      <c r="AQ793">
        <v>26</v>
      </c>
      <c r="AR793">
        <v>1</v>
      </c>
      <c r="AS793">
        <v>16</v>
      </c>
      <c r="AT793">
        <v>332</v>
      </c>
      <c r="AU793">
        <v>1</v>
      </c>
      <c r="AV793">
        <v>-3</v>
      </c>
      <c r="AW793" t="s">
        <v>12</v>
      </c>
      <c r="AX793">
        <v>5</v>
      </c>
      <c r="AY793" t="s">
        <v>1666</v>
      </c>
      <c r="AZ793" t="s">
        <v>4125</v>
      </c>
      <c r="BA793" s="4" t="str">
        <f>HYPERLINK("http://exon.niaid.nih.gov/transcriptome/C_felis/S1/links/SWISSP/cf-contig_675-SWISSP.txt","Protein PUN1")</f>
        <v>Protein PUN1</v>
      </c>
      <c r="BB793" t="str">
        <f>HYPERLINK("http://www.uniprot.org/uniprot/Q06991","4.4")</f>
        <v>4.4</v>
      </c>
      <c r="BC793" t="s">
        <v>4126</v>
      </c>
      <c r="BD793">
        <v>31.2</v>
      </c>
      <c r="BE793">
        <v>26</v>
      </c>
      <c r="BF793">
        <v>263</v>
      </c>
      <c r="BG793">
        <v>44</v>
      </c>
      <c r="BH793">
        <v>10</v>
      </c>
      <c r="BI793">
        <v>15</v>
      </c>
      <c r="BJ793">
        <v>0</v>
      </c>
      <c r="BK793">
        <v>129</v>
      </c>
      <c r="BL793">
        <v>166</v>
      </c>
      <c r="BM793">
        <v>1</v>
      </c>
      <c r="BN793">
        <v>1</v>
      </c>
      <c r="BO793" t="s">
        <v>12</v>
      </c>
      <c r="BQ793" t="s">
        <v>1676</v>
      </c>
      <c r="BR793" t="s">
        <v>1796</v>
      </c>
      <c r="BS793" s="4" t="str">
        <f>HYPERLINK("http://exon.niaid.nih.gov/transcriptome/C_felis/S1/links/CDD/cf-contig_675-CDD.txt","7TM_GPCR_Srx")</f>
        <v>7TM_GPCR_Srx</v>
      </c>
      <c r="BT793" t="str">
        <f>HYPERLINK("http://www.ncbi.nlm.nih.gov/Structure/cdd/cddsrv.cgi?uid=pfam10328&amp;version=v4.0","0.17")</f>
        <v>0.17</v>
      </c>
      <c r="BU793" t="s">
        <v>4127</v>
      </c>
      <c r="BV793" s="4" t="s">
        <v>42</v>
      </c>
      <c r="BW793" t="s">
        <v>42</v>
      </c>
      <c r="BX793" t="s">
        <v>42</v>
      </c>
      <c r="BY793" t="s">
        <v>42</v>
      </c>
      <c r="BZ793" t="s">
        <v>42</v>
      </c>
      <c r="CA793" t="s">
        <v>42</v>
      </c>
      <c r="CB793" t="s">
        <v>42</v>
      </c>
      <c r="CC793" t="s">
        <v>42</v>
      </c>
      <c r="CD793" t="s">
        <v>42</v>
      </c>
      <c r="CE793" t="s">
        <v>42</v>
      </c>
      <c r="CF793" t="s">
        <v>42</v>
      </c>
      <c r="CG793" t="s">
        <v>42</v>
      </c>
      <c r="CH793" t="s">
        <v>42</v>
      </c>
      <c r="CI793" t="s">
        <v>42</v>
      </c>
      <c r="CJ793" t="s">
        <v>42</v>
      </c>
      <c r="CK793" t="s">
        <v>42</v>
      </c>
      <c r="CL793" t="s">
        <v>42</v>
      </c>
      <c r="CM793" t="s">
        <v>42</v>
      </c>
      <c r="CN793" t="s">
        <v>42</v>
      </c>
      <c r="CO793" t="s">
        <v>42</v>
      </c>
      <c r="CP793" t="s">
        <v>42</v>
      </c>
      <c r="CQ793" t="s">
        <v>42</v>
      </c>
      <c r="CR793" t="s">
        <v>42</v>
      </c>
      <c r="CS793" s="4" t="str">
        <f>HYPERLINK("http://exon.niaid.nih.gov/transcriptome/C_felis/S1/links/KOG/cf-contig_675-KOG.txt","Predicted NUDIX hydrolase FGF-2 and related proteins")</f>
        <v>Predicted NUDIX hydrolase FGF-2 and related proteins</v>
      </c>
      <c r="CT793" t="str">
        <f>HYPERLINK("http://www.ncbi.nlm.nih.gov/COG/grace/shokog.cgi?KOG0648","1.8")</f>
        <v>1.8</v>
      </c>
      <c r="CU793" t="s">
        <v>1780</v>
      </c>
      <c r="CV793" s="4" t="str">
        <f>HYPERLINK("http://exon.niaid.nih.gov/transcriptome/C_felis/S1/links/PFAM/cf-contig_675-PFAM.txt","7TM_GPCR_Srx")</f>
        <v>7TM_GPCR_Srx</v>
      </c>
      <c r="CW793" t="str">
        <f>HYPERLINK("http://pfam.sanger.ac.uk/family?acc=PF10328","0.036")</f>
        <v>0.036</v>
      </c>
      <c r="CX793" s="4" t="str">
        <f>HYPERLINK("http://exon.niaid.nih.gov/transcriptome/C_felis/S1/links/SMART/cf-contig_675-SMART.txt","POL3Bc")</f>
        <v>POL3Bc</v>
      </c>
      <c r="CY793" t="str">
        <f>HYPERLINK("http://smart.embl-heidelberg.de/smart/do_annotation.pl?DOMAIN=POL3Bc&amp;BLAST=DUMMY","0.055")</f>
        <v>0.055</v>
      </c>
      <c r="CZ793" s="4" t="s">
        <v>42</v>
      </c>
      <c r="DA793" t="s">
        <v>42</v>
      </c>
      <c r="DB793" t="s">
        <v>42</v>
      </c>
      <c r="DC793" t="s">
        <v>42</v>
      </c>
      <c r="DD793" t="s">
        <v>42</v>
      </c>
      <c r="DE793" t="s">
        <v>42</v>
      </c>
      <c r="DF793" t="s">
        <v>42</v>
      </c>
      <c r="DG793" t="s">
        <v>42</v>
      </c>
      <c r="DH793" s="4" t="s">
        <v>42</v>
      </c>
      <c r="DI793" t="s">
        <v>42</v>
      </c>
      <c r="DJ793" s="4" t="s">
        <v>42</v>
      </c>
      <c r="DK793" t="s">
        <v>42</v>
      </c>
      <c r="DL793" s="4">
        <f>HYPERLINK("http://exon.niaid.nih.gov/transcriptome/C_felis/S1/links/cluster/cf-5-36-asb30-50-Id-CLU92.txt", 92)</f>
        <v>92</v>
      </c>
      <c r="DM793">
        <f>HYPERLINK("http://exon.niaid.nih.gov/transcriptome/C_felis/S1/links/cluster/cf-5-36-asb30-50-Id-CLTL92.txt", 2)</f>
        <v>2</v>
      </c>
      <c r="DN793" s="4">
        <f>HYPERLINK("http://exon.niaid.nih.gov/transcriptome/C_felis/S1/links/cluster/cf-5-36-asb35-50-Id-CLU85.txt", 85)</f>
        <v>85</v>
      </c>
      <c r="DO793">
        <f>HYPERLINK("http://exon.niaid.nih.gov/transcriptome/C_felis/S1/links/cluster/cf-5-36-asb35-50-Id-CLTL85.txt", 2)</f>
        <v>2</v>
      </c>
      <c r="DP793" s="4">
        <f>HYPERLINK("http://exon.niaid.nih.gov/transcriptome/C_felis/S1/links/cluster/cf-5-36-asb40-50-Id-CLU76.txt", 76)</f>
        <v>76</v>
      </c>
      <c r="DQ793">
        <f>HYPERLINK("http://exon.niaid.nih.gov/transcriptome/C_felis/S1/links/cluster/cf-5-36-asb40-50-Id-CLTL76.txt", 2)</f>
        <v>2</v>
      </c>
      <c r="DR793" s="4">
        <f>HYPERLINK("http://exon.niaid.nih.gov/transcriptome/C_felis/S1/links/cluster/cf-5-36-asb45-50-Id-CLU62.txt", 62)</f>
        <v>62</v>
      </c>
      <c r="DS793">
        <f>HYPERLINK("http://exon.niaid.nih.gov/transcriptome/C_felis/S1/links/cluster/cf-5-36-asb45-50-Id-CLTL62.txt", 2)</f>
        <v>2</v>
      </c>
      <c r="DT793" s="4">
        <f>HYPERLINK("http://exon.niaid.nih.gov/transcriptome/C_felis/S1/links/cluster/cf-5-36-asb50-50-Id-CLU53.txt", 53)</f>
        <v>53</v>
      </c>
      <c r="DU793">
        <f>HYPERLINK("http://exon.niaid.nih.gov/transcriptome/C_felis/S1/links/cluster/cf-5-36-asb50-50-Id-CLTL53.txt", 2)</f>
        <v>2</v>
      </c>
      <c r="DV793" s="4">
        <f>HYPERLINK("http://exon.niaid.nih.gov/transcriptome/C_felis/S1/links/cluster/cf-5-36-asb55-50-Id-CLU49.txt", 49)</f>
        <v>49</v>
      </c>
      <c r="DW793">
        <f>HYPERLINK("http://exon.niaid.nih.gov/transcriptome/C_felis/S1/links/cluster/cf-5-36-asb55-50-Id-CLTL49.txt", 2)</f>
        <v>2</v>
      </c>
      <c r="DX793" s="4">
        <f>HYPERLINK("http://exon.niaid.nih.gov/transcriptome/C_felis/S1/links/cluster/cf-5-36-asb60-50-Id-CLU41.txt", 41)</f>
        <v>41</v>
      </c>
      <c r="DY793">
        <f>HYPERLINK("http://exon.niaid.nih.gov/transcriptome/C_felis/S1/links/cluster/cf-5-36-asb60-50-Id-CLTL41.txt", 2)</f>
        <v>2</v>
      </c>
      <c r="DZ793" s="4">
        <f>HYPERLINK("http://exon.niaid.nih.gov/transcriptome/C_felis/S1/links/cluster/cf-5-36-asb65-50-Id-CLU34.txt", 34)</f>
        <v>34</v>
      </c>
      <c r="EA793">
        <f>HYPERLINK("http://exon.niaid.nih.gov/transcriptome/C_felis/S1/links/cluster/cf-5-36-asb65-50-Id-CLTL34.txt", 2)</f>
        <v>2</v>
      </c>
      <c r="EB793" s="4">
        <f>HYPERLINK("http://exon.niaid.nih.gov/transcriptome/C_felis/S1/links/cluster/cf-5-36-asb70-50-Id-CLU29.txt", 29)</f>
        <v>29</v>
      </c>
      <c r="EC793">
        <f>HYPERLINK("http://exon.niaid.nih.gov/transcriptome/C_felis/S1/links/cluster/cf-5-36-asb70-50-Id-CLTL29.txt", 2)</f>
        <v>2</v>
      </c>
      <c r="ED793" s="4">
        <f>HYPERLINK("http://exon.niaid.nih.gov/transcriptome/C_felis/S1/links/cluster/cf-5-36-asb75-50-Id-CLU25.txt", 25)</f>
        <v>25</v>
      </c>
      <c r="EE793">
        <f>HYPERLINK("http://exon.niaid.nih.gov/transcriptome/C_felis/S1/links/cluster/cf-5-36-asb75-50-Id-CLTL25.txt", 2)</f>
        <v>2</v>
      </c>
      <c r="EF793" s="4">
        <f>HYPERLINK("http://exon.niaid.nih.gov/transcriptome/C_felis/S1/links/cluster/cf-5-36-asb80-50-Id-CLU18.txt", 18)</f>
        <v>18</v>
      </c>
      <c r="EG793">
        <f>HYPERLINK("http://exon.niaid.nih.gov/transcriptome/C_felis/S1/links/cluster/cf-5-36-asb80-50-Id-CLTL18.txt", 2)</f>
        <v>2</v>
      </c>
      <c r="EH793" s="4">
        <f>HYPERLINK("http://exon.niaid.nih.gov/transcriptome/C_felis/S1/links/cluster/cf-5-36-asb90-50-Id-CLU7.txt", 7)</f>
        <v>7</v>
      </c>
      <c r="EI793">
        <f>HYPERLINK("http://exon.niaid.nih.gov/transcriptome/C_felis/S1/links/cluster/cf-5-36-asb90-50-Id-CLTL7.txt", 2)</f>
        <v>2</v>
      </c>
      <c r="EJ793" s="4">
        <v>675</v>
      </c>
      <c r="EK793">
        <v>1</v>
      </c>
    </row>
    <row r="794" spans="1:141" x14ac:dyDescent="0.2">
      <c r="A794" t="str">
        <f>HYPERLINK("http://exon.niaid.nih.gov/transcriptome/C_felis/S1/links/cf/cf-contig_24.txt","cf-contig_24")</f>
        <v>cf-contig_24</v>
      </c>
      <c r="B794">
        <v>8</v>
      </c>
      <c r="C794" s="10" t="s">
        <v>4600</v>
      </c>
      <c r="D794">
        <v>8</v>
      </c>
      <c r="E794" t="str">
        <f>HYPERLINK("http://exon.niaid.nih.gov/transcriptome/C_felis/S1/links/cf/cf-5-36-asb-24.txt","Contig-24")</f>
        <v>Contig-24</v>
      </c>
      <c r="F794" t="str">
        <f>HYPERLINK("http://exon.niaid.nih.gov/transcriptome/C_felis/S1/links/cf/cf-5-36-24-CLU.txt","Contig24")</f>
        <v>Contig24</v>
      </c>
      <c r="G794" t="str">
        <f>HYPERLINK("http://exon.niaid.nih.gov/transcriptome/C_felis/S1/links/cf/cf-5-36-24-qual.txt","88.2")</f>
        <v>88.2</v>
      </c>
      <c r="H794" t="s">
        <v>11</v>
      </c>
      <c r="I794">
        <v>71.2</v>
      </c>
      <c r="J794">
        <v>244</v>
      </c>
      <c r="K794" t="s">
        <v>12</v>
      </c>
      <c r="L794">
        <v>8</v>
      </c>
      <c r="M794" t="s">
        <v>36</v>
      </c>
      <c r="N794">
        <v>270</v>
      </c>
      <c r="O794">
        <v>264</v>
      </c>
      <c r="P794">
        <v>99</v>
      </c>
      <c r="Q794" t="s">
        <v>846</v>
      </c>
      <c r="R794">
        <v>1</v>
      </c>
      <c r="S794" s="7" t="s">
        <v>4585</v>
      </c>
      <c r="U794">
        <v>8</v>
      </c>
      <c r="V794" s="4">
        <f>HYPERLINK("http://exon.niaid.nih.gov/transcriptome/C_felis/S1/links/cluster/cf-5-36-asb30-50-Id-CLU6.txt", 6)</f>
        <v>6</v>
      </c>
      <c r="W794">
        <f>HYPERLINK("http://exon.niaid.nih.gov/transcriptome/C_felis/S1/links/cluster/cf-5-36-asb30-50-Id-CLTL6.txt", 4)</f>
        <v>4</v>
      </c>
      <c r="X794" s="4">
        <f>HYPERLINK("http://exon.niaid.nih.gov/transcriptome/C_felis/S1/links/cluster/cf-5-36-asb35-50-Id-CLU6.txt", 6)</f>
        <v>6</v>
      </c>
      <c r="Y794">
        <f>HYPERLINK("http://exon.niaid.nih.gov/transcriptome/C_felis/S1/links/cluster/cf-5-36-asb35-50-Id-CLTL6.txt", 4)</f>
        <v>4</v>
      </c>
      <c r="Z794" s="4">
        <f>HYPERLINK("http://exon.niaid.nih.gov/transcriptome/C_felis/S1/links/cluster/cf-5-36-asb40-50-Id-CLU11.txt", 11)</f>
        <v>11</v>
      </c>
      <c r="AA794">
        <f>HYPERLINK("http://exon.niaid.nih.gov/transcriptome/C_felis/S1/links/cluster/cf-5-36-asb40-50-Id-CLTL11.txt", 3)</f>
        <v>3</v>
      </c>
      <c r="AB794" s="4" t="str">
        <f>HYPERLINK("http://exon.niaid.nih.gov/transcriptome/C_felis/S1/links/XC-ASB/cf-contig_24-XC-ASB.txt","XC-contig_99")</f>
        <v>XC-contig_99</v>
      </c>
      <c r="AC794">
        <v>4.0000000000000001E-3</v>
      </c>
      <c r="AD794" s="10" t="s">
        <v>4600</v>
      </c>
      <c r="AE794" t="s">
        <v>4601</v>
      </c>
      <c r="AI794" s="4" t="str">
        <f>HYPERLINK("http://exon.niaid.nih.gov/transcriptome/C_felis/S1/links/NR/cf-contig_24-NR.txt","SJCHGC02650 protein")</f>
        <v>SJCHGC02650 protein</v>
      </c>
      <c r="AJ794" t="str">
        <f>HYPERLINK("http://www.ncbi.nlm.nih.gov/sutils/blink.cgi?pid=76155301","9.5")</f>
        <v>9.5</v>
      </c>
      <c r="AK794" t="str">
        <f>HYPERLINK("http://www.ncbi.nlm.nih.gov/protein/76155301","gi|76155301")</f>
        <v>gi|76155301</v>
      </c>
      <c r="AL794">
        <v>33.9</v>
      </c>
      <c r="AM794">
        <v>35</v>
      </c>
      <c r="AN794">
        <v>161</v>
      </c>
      <c r="AO794">
        <v>37</v>
      </c>
      <c r="AP794">
        <v>22</v>
      </c>
      <c r="AQ794">
        <v>25</v>
      </c>
      <c r="AR794">
        <v>0</v>
      </c>
      <c r="AS794">
        <v>48</v>
      </c>
      <c r="AT794">
        <v>122</v>
      </c>
      <c r="AU794">
        <v>1</v>
      </c>
      <c r="AV794">
        <v>-3</v>
      </c>
      <c r="AW794" t="s">
        <v>12</v>
      </c>
      <c r="AX794">
        <v>5.7140000000000004</v>
      </c>
      <c r="AY794" t="s">
        <v>1666</v>
      </c>
      <c r="AZ794" t="s">
        <v>1759</v>
      </c>
      <c r="BA794" s="4" t="str">
        <f>HYPERLINK("http://exon.niaid.nih.gov/transcriptome/C_felis/S1/links/SWISSP/cf-contig_24-SWISSP.txt","Xenotropic and polytropic retrovirus receptor 1 homolog")</f>
        <v>Xenotropic and polytropic retrovirus receptor 1 homolog</v>
      </c>
      <c r="BB794" t="str">
        <f>HYPERLINK("http://www.uniprot.org/uniprot/Q9R031","3.7")</f>
        <v>3.7</v>
      </c>
      <c r="BC794" t="s">
        <v>1756</v>
      </c>
      <c r="BD794">
        <v>30.4</v>
      </c>
      <c r="BE794">
        <v>58</v>
      </c>
      <c r="BF794">
        <v>691</v>
      </c>
      <c r="BG794">
        <v>29</v>
      </c>
      <c r="BH794">
        <v>9</v>
      </c>
      <c r="BI794">
        <v>47</v>
      </c>
      <c r="BJ794">
        <v>0</v>
      </c>
      <c r="BK794">
        <v>344</v>
      </c>
      <c r="BL794">
        <v>40</v>
      </c>
      <c r="BM794">
        <v>1</v>
      </c>
      <c r="BN794">
        <v>-1</v>
      </c>
      <c r="BO794" t="s">
        <v>12</v>
      </c>
      <c r="BP794">
        <v>3.448</v>
      </c>
      <c r="BQ794" t="s">
        <v>1666</v>
      </c>
      <c r="BR794" t="s">
        <v>1757</v>
      </c>
      <c r="BS794" s="4" t="str">
        <f>HYPERLINK("http://exon.niaid.nih.gov/transcriptome/C_felis/S1/links/CDD/cf-contig_24-CDD.txt","ND6")</f>
        <v>ND6</v>
      </c>
      <c r="BT794" t="str">
        <f>HYPERLINK("http://www.ncbi.nlm.nih.gov/Structure/cdd/cddsrv.cgi?uid=MTH00097&amp;version=v4.0","0.093")</f>
        <v>0.093</v>
      </c>
      <c r="BU794" t="s">
        <v>1760</v>
      </c>
      <c r="BV794" s="4" t="s">
        <v>42</v>
      </c>
      <c r="BW794" t="s">
        <v>42</v>
      </c>
      <c r="BX794" t="s">
        <v>42</v>
      </c>
      <c r="BY794" t="s">
        <v>42</v>
      </c>
      <c r="BZ794" t="s">
        <v>42</v>
      </c>
      <c r="CA794" t="s">
        <v>42</v>
      </c>
      <c r="CB794" t="s">
        <v>42</v>
      </c>
      <c r="CC794" t="s">
        <v>42</v>
      </c>
      <c r="CD794" t="s">
        <v>42</v>
      </c>
      <c r="CE794" t="s">
        <v>42</v>
      </c>
      <c r="CF794" t="s">
        <v>42</v>
      </c>
      <c r="CG794" t="s">
        <v>42</v>
      </c>
      <c r="CH794" t="s">
        <v>42</v>
      </c>
      <c r="CI794" t="s">
        <v>42</v>
      </c>
      <c r="CJ794" t="s">
        <v>42</v>
      </c>
      <c r="CK794" t="s">
        <v>42</v>
      </c>
      <c r="CL794" t="s">
        <v>42</v>
      </c>
      <c r="CM794" t="s">
        <v>42</v>
      </c>
      <c r="CN794" t="s">
        <v>42</v>
      </c>
      <c r="CO794" t="s">
        <v>42</v>
      </c>
      <c r="CP794" t="s">
        <v>42</v>
      </c>
      <c r="CQ794" t="s">
        <v>42</v>
      </c>
      <c r="CR794" t="s">
        <v>42</v>
      </c>
      <c r="CS794" s="4" t="str">
        <f>HYPERLINK("http://exon.niaid.nih.gov/transcriptome/C_felis/S1/links/KOG/cf-contig_24-KOG.txt","Fatty acyl-CoA elongase/Polyunsaturated fatty acid specific elongation enzyme")</f>
        <v>Fatty acyl-CoA elongase/Polyunsaturated fatty acid specific elongation enzyme</v>
      </c>
      <c r="CT794" t="str">
        <f>HYPERLINK("http://www.ncbi.nlm.nih.gov/COG/grace/shokog.cgi?KOG3071","0.17")</f>
        <v>0.17</v>
      </c>
      <c r="CU794" t="s">
        <v>1761</v>
      </c>
      <c r="CV794" s="4" t="str">
        <f>HYPERLINK("http://exon.niaid.nih.gov/transcriptome/C_felis/S1/links/PFAM/cf-contig_24-PFAM.txt","Trehalose_recp")</f>
        <v>Trehalose_recp</v>
      </c>
      <c r="CW794" t="str">
        <f>HYPERLINK("http://pfam.sanger.ac.uk/family?acc=PF06151","0.089")</f>
        <v>0.089</v>
      </c>
      <c r="CX794" s="4" t="str">
        <f>HYPERLINK("http://exon.niaid.nih.gov/transcriptome/C_felis/S1/links/SMART/cf-contig_24-SMART.txt","HTTM")</f>
        <v>HTTM</v>
      </c>
      <c r="CY794" t="str">
        <f>HYPERLINK("http://smart.embl-heidelberg.de/smart/do_annotation.pl?DOMAIN=HTTM&amp;BLAST=DUMMY","0.060")</f>
        <v>0.060</v>
      </c>
      <c r="CZ794" s="4" t="s">
        <v>42</v>
      </c>
      <c r="DA794" t="s">
        <v>42</v>
      </c>
      <c r="DB794" t="s">
        <v>42</v>
      </c>
      <c r="DC794" t="s">
        <v>42</v>
      </c>
      <c r="DD794" t="s">
        <v>42</v>
      </c>
      <c r="DE794" t="s">
        <v>42</v>
      </c>
      <c r="DF794" t="s">
        <v>42</v>
      </c>
      <c r="DG794" t="s">
        <v>42</v>
      </c>
      <c r="DH794" s="4" t="s">
        <v>42</v>
      </c>
      <c r="DI794" t="s">
        <v>42</v>
      </c>
      <c r="DJ794" s="4" t="s">
        <v>42</v>
      </c>
      <c r="DK794" t="s">
        <v>42</v>
      </c>
      <c r="DL794" s="4">
        <f>HYPERLINK("http://exon.niaid.nih.gov/transcriptome/C_felis/S1/links/cluster/cf-5-36-asb30-50-Id-CLU6.txt", 6)</f>
        <v>6</v>
      </c>
      <c r="DM794">
        <f>HYPERLINK("http://exon.niaid.nih.gov/transcriptome/C_felis/S1/links/cluster/cf-5-36-asb30-50-Id-CLTL6.txt", 4)</f>
        <v>4</v>
      </c>
      <c r="DN794" s="4">
        <f>HYPERLINK("http://exon.niaid.nih.gov/transcriptome/C_felis/S1/links/cluster/cf-5-36-asb35-50-Id-CLU6.txt", 6)</f>
        <v>6</v>
      </c>
      <c r="DO794">
        <f>HYPERLINK("http://exon.niaid.nih.gov/transcriptome/C_felis/S1/links/cluster/cf-5-36-asb35-50-Id-CLTL6.txt", 4)</f>
        <v>4</v>
      </c>
      <c r="DP794" s="4">
        <f>HYPERLINK("http://exon.niaid.nih.gov/transcriptome/C_felis/S1/links/cluster/cf-5-36-asb40-50-Id-CLU11.txt", 11)</f>
        <v>11</v>
      </c>
      <c r="DQ794">
        <f>HYPERLINK("http://exon.niaid.nih.gov/transcriptome/C_felis/S1/links/cluster/cf-5-36-asb40-50-Id-CLTL11.txt", 3)</f>
        <v>3</v>
      </c>
      <c r="DR794" s="4">
        <f>HYPERLINK("http://exon.niaid.nih.gov/transcriptome/C_felis/S1/links/cluster/cf-5-36-asb45-50-Id-CLU18.txt", 18)</f>
        <v>18</v>
      </c>
      <c r="DS794">
        <f>HYPERLINK("http://exon.niaid.nih.gov/transcriptome/C_felis/S1/links/cluster/cf-5-36-asb45-50-Id-CLTL18.txt", 2)</f>
        <v>2</v>
      </c>
      <c r="DT794" s="4">
        <f>HYPERLINK("http://exon.niaid.nih.gov/transcriptome/C_felis/S1/links/cluster/cf-5-36-asb50-50-Id-CLU14.txt", 14)</f>
        <v>14</v>
      </c>
      <c r="DU794">
        <f>HYPERLINK("http://exon.niaid.nih.gov/transcriptome/C_felis/S1/links/cluster/cf-5-36-asb50-50-Id-CLTL14.txt", 2)</f>
        <v>2</v>
      </c>
      <c r="DV794" s="4">
        <f>HYPERLINK("http://exon.niaid.nih.gov/transcriptome/C_felis/S1/links/cluster/cf-5-36-asb55-50-Id-CLU15.txt", 15)</f>
        <v>15</v>
      </c>
      <c r="DW794">
        <f>HYPERLINK("http://exon.niaid.nih.gov/transcriptome/C_felis/S1/links/cluster/cf-5-36-asb55-50-Id-CLTL15.txt", 2)</f>
        <v>2</v>
      </c>
      <c r="DX794" s="4">
        <f>HYPERLINK("http://exon.niaid.nih.gov/transcriptome/C_felis/S1/links/cluster/cf-5-36-asb60-50-Id-CLU13.txt", 13)</f>
        <v>13</v>
      </c>
      <c r="DY794">
        <f>HYPERLINK("http://exon.niaid.nih.gov/transcriptome/C_felis/S1/links/cluster/cf-5-36-asb60-50-Id-CLTL13.txt", 2)</f>
        <v>2</v>
      </c>
      <c r="DZ794" s="4">
        <f>HYPERLINK("http://exon.niaid.nih.gov/transcriptome/C_felis/S1/links/cluster/cf-5-36-asb65-50-Id-CLU10.txt", 10)</f>
        <v>10</v>
      </c>
      <c r="EA794">
        <f>HYPERLINK("http://exon.niaid.nih.gov/transcriptome/C_felis/S1/links/cluster/cf-5-36-asb65-50-Id-CLTL10.txt", 2)</f>
        <v>2</v>
      </c>
      <c r="EB794" s="4">
        <v>47</v>
      </c>
      <c r="EC794">
        <v>1</v>
      </c>
      <c r="ED794" s="4">
        <v>47</v>
      </c>
      <c r="EE794">
        <v>1</v>
      </c>
      <c r="EF794" s="4">
        <v>41</v>
      </c>
      <c r="EG794">
        <v>1</v>
      </c>
      <c r="EH794" s="4">
        <v>29</v>
      </c>
      <c r="EI794">
        <v>1</v>
      </c>
      <c r="EJ794" s="4">
        <v>24</v>
      </c>
      <c r="EK794">
        <v>1</v>
      </c>
    </row>
    <row r="795" spans="1:141" x14ac:dyDescent="0.2">
      <c r="A795" t="str">
        <f>HYPERLINK("http://exon.niaid.nih.gov/transcriptome/C_felis/S1/links/cf/cf-contig_518.txt","cf-contig_518")</f>
        <v>cf-contig_518</v>
      </c>
      <c r="B795">
        <v>1</v>
      </c>
      <c r="C795" s="10" t="s">
        <v>4600</v>
      </c>
      <c r="D795">
        <v>1</v>
      </c>
      <c r="E795" t="str">
        <f>HYPERLINK("http://exon.niaid.nih.gov/transcriptome/C_felis/S1/links/cf/cf-5-36-asb-518.txt","Contig-518")</f>
        <v>Contig-518</v>
      </c>
      <c r="F795" t="str">
        <f>HYPERLINK("http://exon.niaid.nih.gov/transcriptome/C_felis/S1/links/cf/cf-5-36-518-CLU.txt","Contig518")</f>
        <v>Contig518</v>
      </c>
      <c r="G795" t="str">
        <f>HYPERLINK("http://exon.niaid.nih.gov/transcriptome/C_felis/S1/links/cf/cf-5-36-518-qual.txt","63.1")</f>
        <v>63.1</v>
      </c>
      <c r="H795" t="s">
        <v>11</v>
      </c>
      <c r="I795">
        <v>71.5</v>
      </c>
      <c r="J795">
        <v>641</v>
      </c>
      <c r="K795" t="s">
        <v>12</v>
      </c>
      <c r="L795">
        <v>1</v>
      </c>
      <c r="M795" t="s">
        <v>531</v>
      </c>
      <c r="N795">
        <v>641</v>
      </c>
      <c r="O795">
        <v>660</v>
      </c>
      <c r="P795">
        <v>279</v>
      </c>
      <c r="Q795" t="s">
        <v>1337</v>
      </c>
      <c r="R795">
        <v>3</v>
      </c>
      <c r="S795" s="7" t="str">
        <f>HYPERLINK("http://exon.niaid.nih.gov/transcriptome/C_felis/S1/links/Sigp/CF-CONTIG_518-SigP.txt","Cyt")</f>
        <v>Cyt</v>
      </c>
      <c r="U795">
        <v>1</v>
      </c>
      <c r="V795" s="4">
        <v>423</v>
      </c>
      <c r="W795">
        <v>1</v>
      </c>
      <c r="X795" s="4">
        <v>432</v>
      </c>
      <c r="Y795">
        <v>1</v>
      </c>
      <c r="Z795" s="4">
        <v>437</v>
      </c>
      <c r="AA795">
        <v>1</v>
      </c>
      <c r="AB795" s="4" t="str">
        <f>HYPERLINK("http://exon.niaid.nih.gov/transcriptome/C_felis/S1/links/XC-ASB/cf-contig_518-XC-ASB.txt","XC-contig_129")</f>
        <v>XC-contig_129</v>
      </c>
      <c r="AC795">
        <v>0.11</v>
      </c>
      <c r="AD795" s="10" t="s">
        <v>4600</v>
      </c>
      <c r="AE795" t="s">
        <v>4601</v>
      </c>
      <c r="AI795" s="4" t="str">
        <f>HYPERLINK("http://exon.niaid.nih.gov/transcriptome/C_felis/S1/links/NR/cf-contig_518-NR.txt","hypothetical protein")</f>
        <v>hypothetical protein</v>
      </c>
      <c r="AJ795" t="str">
        <f>HYPERLINK("http://www.ncbi.nlm.nih.gov/sutils/blink.cgi?pid=256073275","4.0")</f>
        <v>4.0</v>
      </c>
      <c r="AK795" t="str">
        <f>HYPERLINK("http://www.ncbi.nlm.nih.gov/protein/256073275","gi|256073275")</f>
        <v>gi|256073275</v>
      </c>
      <c r="AL795">
        <v>36.200000000000003</v>
      </c>
      <c r="AM795">
        <v>95</v>
      </c>
      <c r="AN795">
        <v>452</v>
      </c>
      <c r="AO795">
        <v>23</v>
      </c>
      <c r="AP795">
        <v>21</v>
      </c>
      <c r="AQ795">
        <v>73</v>
      </c>
      <c r="AR795">
        <v>1</v>
      </c>
      <c r="AS795">
        <v>32</v>
      </c>
      <c r="AT795">
        <v>87</v>
      </c>
      <c r="AU795">
        <v>1</v>
      </c>
      <c r="AV795">
        <v>3</v>
      </c>
      <c r="AW795" t="s">
        <v>12</v>
      </c>
      <c r="AX795">
        <v>3.1579999999999999</v>
      </c>
      <c r="AY795" t="s">
        <v>1676</v>
      </c>
      <c r="AZ795" t="s">
        <v>2283</v>
      </c>
      <c r="BA795" s="4" t="str">
        <f>HYPERLINK("http://exon.niaid.nih.gov/transcriptome/C_felis/S1/links/SWISSP/cf-contig_518-SWISSP.txt","Serpentine receptor class alpha-13")</f>
        <v>Serpentine receptor class alpha-13</v>
      </c>
      <c r="BB795" t="str">
        <f>HYPERLINK("http://www.uniprot.org/uniprot/Q20618","3.6")</f>
        <v>3.6</v>
      </c>
      <c r="BC795" t="s">
        <v>3566</v>
      </c>
      <c r="BD795">
        <v>32</v>
      </c>
      <c r="BE795">
        <v>59</v>
      </c>
      <c r="BF795">
        <v>335</v>
      </c>
      <c r="BG795">
        <v>26</v>
      </c>
      <c r="BH795">
        <v>18</v>
      </c>
      <c r="BI795">
        <v>47</v>
      </c>
      <c r="BJ795">
        <v>0</v>
      </c>
      <c r="BK795">
        <v>212</v>
      </c>
      <c r="BL795">
        <v>60</v>
      </c>
      <c r="BM795">
        <v>1</v>
      </c>
      <c r="BN795">
        <v>3</v>
      </c>
      <c r="BO795" t="s">
        <v>12</v>
      </c>
      <c r="BQ795" t="s">
        <v>1676</v>
      </c>
      <c r="BR795" t="s">
        <v>1735</v>
      </c>
      <c r="BS795" s="4" t="str">
        <f>HYPERLINK("http://exon.niaid.nih.gov/transcriptome/C_felis/S1/links/CDD/cf-contig_518-CDD.txt","TATR")</f>
        <v>TATR</v>
      </c>
      <c r="BT795" t="str">
        <f>HYPERLINK("http://www.ncbi.nlm.nih.gov/Structure/cdd/cddsrv.cgi?uid=pfam03430&amp;version=v4.0","0.26")</f>
        <v>0.26</v>
      </c>
      <c r="BU795" t="s">
        <v>3567</v>
      </c>
      <c r="BV795" s="4" t="s">
        <v>42</v>
      </c>
      <c r="BW795" t="s">
        <v>42</v>
      </c>
      <c r="BX795" t="s">
        <v>42</v>
      </c>
      <c r="BY795" t="s">
        <v>42</v>
      </c>
      <c r="BZ795" t="s">
        <v>42</v>
      </c>
      <c r="CA795" t="s">
        <v>42</v>
      </c>
      <c r="CB795" t="s">
        <v>42</v>
      </c>
      <c r="CC795" t="s">
        <v>42</v>
      </c>
      <c r="CD795" t="s">
        <v>42</v>
      </c>
      <c r="CE795" t="s">
        <v>42</v>
      </c>
      <c r="CF795" t="s">
        <v>42</v>
      </c>
      <c r="CG795" t="s">
        <v>42</v>
      </c>
      <c r="CH795" t="s">
        <v>42</v>
      </c>
      <c r="CI795" t="s">
        <v>42</v>
      </c>
      <c r="CJ795" t="s">
        <v>42</v>
      </c>
      <c r="CK795" t="s">
        <v>42</v>
      </c>
      <c r="CL795" t="s">
        <v>42</v>
      </c>
      <c r="CM795" t="s">
        <v>42</v>
      </c>
      <c r="CN795" t="s">
        <v>42</v>
      </c>
      <c r="CO795" t="s">
        <v>42</v>
      </c>
      <c r="CP795" t="s">
        <v>42</v>
      </c>
      <c r="CQ795" t="s">
        <v>42</v>
      </c>
      <c r="CR795" t="s">
        <v>42</v>
      </c>
      <c r="CS795" s="4" t="str">
        <f>HYPERLINK("http://exon.niaid.nih.gov/transcriptome/C_felis/S1/links/KOG/cf-contig_518-KOG.txt","Protein transporter of the TRAM (translocating chain-associating membrane) superfamily")</f>
        <v>Protein transporter of the TRAM (translocating chain-associating membrane) superfamily</v>
      </c>
      <c r="CT795" t="str">
        <f>HYPERLINK("http://www.ncbi.nlm.nih.gov/COG/grace/shokog.cgi?KOG1608","0.33")</f>
        <v>0.33</v>
      </c>
      <c r="CU795" t="s">
        <v>1686</v>
      </c>
      <c r="CV795" s="4" t="str">
        <f>HYPERLINK("http://exon.niaid.nih.gov/transcriptome/C_felis/S1/links/PFAM/cf-contig_518-PFAM.txt","TATR")</f>
        <v>TATR</v>
      </c>
      <c r="CW795" t="str">
        <f>HYPERLINK("http://pfam.sanger.ac.uk/family?acc=PF03430","0.051")</f>
        <v>0.051</v>
      </c>
      <c r="CX795" s="4" t="str">
        <f>HYPERLINK("http://exon.niaid.nih.gov/transcriptome/C_felis/S1/links/SMART/cf-contig_518-SMART.txt","INB")</f>
        <v>INB</v>
      </c>
      <c r="CY795" t="str">
        <f>HYPERLINK("http://smart.embl-heidelberg.de/smart/do_annotation.pl?DOMAIN=INB&amp;BLAST=DUMMY","0.19")</f>
        <v>0.19</v>
      </c>
      <c r="CZ795" s="4" t="s">
        <v>42</v>
      </c>
      <c r="DA795" t="s">
        <v>42</v>
      </c>
      <c r="DB795" t="s">
        <v>42</v>
      </c>
      <c r="DC795" t="s">
        <v>42</v>
      </c>
      <c r="DD795" t="s">
        <v>42</v>
      </c>
      <c r="DE795" t="s">
        <v>42</v>
      </c>
      <c r="DF795" t="s">
        <v>42</v>
      </c>
      <c r="DG795" t="s">
        <v>42</v>
      </c>
      <c r="DH795" s="4" t="s">
        <v>42</v>
      </c>
      <c r="DI795" t="s">
        <v>42</v>
      </c>
      <c r="DJ795" s="4" t="s">
        <v>42</v>
      </c>
      <c r="DK795" t="s">
        <v>42</v>
      </c>
      <c r="DL795" s="4">
        <v>423</v>
      </c>
      <c r="DM795">
        <v>1</v>
      </c>
      <c r="DN795" s="4">
        <v>432</v>
      </c>
      <c r="DO795">
        <v>1</v>
      </c>
      <c r="DP795" s="4">
        <v>437</v>
      </c>
      <c r="DQ795">
        <v>1</v>
      </c>
      <c r="DR795" s="4">
        <v>452</v>
      </c>
      <c r="DS795">
        <v>1</v>
      </c>
      <c r="DT795" s="4">
        <v>463</v>
      </c>
      <c r="DU795">
        <v>1</v>
      </c>
      <c r="DV795" s="4">
        <v>477</v>
      </c>
      <c r="DW795">
        <v>1</v>
      </c>
      <c r="DX795" s="4">
        <v>483</v>
      </c>
      <c r="DY795">
        <v>1</v>
      </c>
      <c r="DZ795" s="4">
        <v>491</v>
      </c>
      <c r="EA795">
        <v>1</v>
      </c>
      <c r="EB795" s="4">
        <v>496</v>
      </c>
      <c r="EC795">
        <v>1</v>
      </c>
      <c r="ED795" s="4">
        <v>500</v>
      </c>
      <c r="EE795">
        <v>1</v>
      </c>
      <c r="EF795" s="4">
        <v>505</v>
      </c>
      <c r="EG795">
        <v>1</v>
      </c>
      <c r="EH795" s="4">
        <v>511</v>
      </c>
      <c r="EI795">
        <v>1</v>
      </c>
      <c r="EJ795" s="4">
        <v>518</v>
      </c>
      <c r="EK795">
        <v>1</v>
      </c>
    </row>
    <row r="796" spans="1:141" x14ac:dyDescent="0.2">
      <c r="A796" t="str">
        <f>HYPERLINK("http://exon.niaid.nih.gov/transcriptome/C_felis/S1/links/cf/cf-contig_158.txt","cf-contig_158")</f>
        <v>cf-contig_158</v>
      </c>
      <c r="B796">
        <v>1</v>
      </c>
      <c r="C796" s="10" t="s">
        <v>4600</v>
      </c>
      <c r="D796">
        <v>1</v>
      </c>
      <c r="E796" t="str">
        <f>HYPERLINK("http://exon.niaid.nih.gov/transcriptome/C_felis/S1/links/cf/cf-5-36-asb-158.txt","Contig-158")</f>
        <v>Contig-158</v>
      </c>
      <c r="F796" t="str">
        <f>HYPERLINK("http://exon.niaid.nih.gov/transcriptome/C_felis/S1/links/cf/cf-5-36-158-CLU.txt","Contig158")</f>
        <v>Contig158</v>
      </c>
      <c r="G796" t="str">
        <f>HYPERLINK("http://exon.niaid.nih.gov/transcriptome/C_felis/S1/links/cf/cf-5-36-158-qual.txt","40.6")</f>
        <v>40.6</v>
      </c>
      <c r="H796" t="s">
        <v>11</v>
      </c>
      <c r="I796">
        <v>70.3</v>
      </c>
      <c r="J796">
        <v>422</v>
      </c>
      <c r="K796" t="s">
        <v>12</v>
      </c>
      <c r="L796">
        <v>1</v>
      </c>
      <c r="M796" t="s">
        <v>171</v>
      </c>
      <c r="N796">
        <v>422</v>
      </c>
      <c r="O796">
        <v>441</v>
      </c>
      <c r="P796">
        <v>138</v>
      </c>
      <c r="Q796" t="s">
        <v>978</v>
      </c>
      <c r="R796">
        <v>1</v>
      </c>
      <c r="S796" s="7" t="s">
        <v>4585</v>
      </c>
      <c r="U796">
        <v>1</v>
      </c>
      <c r="V796" s="4">
        <f>HYPERLINK("http://exon.niaid.nih.gov/transcriptome/C_felis/S1/links/cluster/cf-5-36-asb30-50-Id-CLU21.txt", 21)</f>
        <v>21</v>
      </c>
      <c r="W796">
        <f>HYPERLINK("http://exon.niaid.nih.gov/transcriptome/C_felis/S1/links/cluster/cf-5-36-asb30-50-Id-CLTL21.txt", 3)</f>
        <v>3</v>
      </c>
      <c r="X796" s="4">
        <v>144</v>
      </c>
      <c r="Y796">
        <v>1</v>
      </c>
      <c r="Z796" s="4">
        <v>141</v>
      </c>
      <c r="AA796">
        <v>1</v>
      </c>
      <c r="AB796" s="4" t="str">
        <f>HYPERLINK("http://exon.niaid.nih.gov/transcriptome/C_felis/S1/links/XC-ASB/cf-contig_158-XC-ASB.txt","XC-contig_90")</f>
        <v>XC-contig_90</v>
      </c>
      <c r="AC796">
        <v>6.7000000000000004E-2</v>
      </c>
      <c r="AD796" s="10" t="s">
        <v>4600</v>
      </c>
      <c r="AE796" t="s">
        <v>4601</v>
      </c>
      <c r="AI796" s="4" t="str">
        <f>HYPERLINK("http://exon.niaid.nih.gov/transcriptome/C_felis/S1/links/NR/cf-contig_158-NR.txt","otopetrin, putative")</f>
        <v>otopetrin, putative</v>
      </c>
      <c r="AJ796" t="str">
        <f>HYPERLINK("http://www.ncbi.nlm.nih.gov/sutils/blink.cgi?pid=350644163","0.87")</f>
        <v>0.87</v>
      </c>
      <c r="AK796" t="str">
        <f>HYPERLINK("http://www.ncbi.nlm.nih.gov/protein/350644163","gi|350644163")</f>
        <v>gi|350644163</v>
      </c>
      <c r="AL796">
        <v>37.4</v>
      </c>
      <c r="AM796">
        <v>49</v>
      </c>
      <c r="AN796">
        <v>853</v>
      </c>
      <c r="AO796">
        <v>36</v>
      </c>
      <c r="AP796">
        <v>6</v>
      </c>
      <c r="AQ796">
        <v>32</v>
      </c>
      <c r="AR796">
        <v>0</v>
      </c>
      <c r="AS796">
        <v>248</v>
      </c>
      <c r="AT796">
        <v>31</v>
      </c>
      <c r="AU796">
        <v>1</v>
      </c>
      <c r="AV796">
        <v>1</v>
      </c>
      <c r="AW796" t="s">
        <v>12</v>
      </c>
      <c r="AX796">
        <v>2.0409999999999999</v>
      </c>
      <c r="AY796" t="s">
        <v>1676</v>
      </c>
      <c r="AZ796" t="s">
        <v>2283</v>
      </c>
      <c r="BA796" s="4" t="str">
        <f>HYPERLINK("http://exon.niaid.nih.gov/transcriptome/C_felis/S1/links/SWISSP/cf-contig_158-SWISSP.txt","Undecaprenyl phosphate-alpha-4-amino-4-deoxy-L-arabinose arabinosyl transferase")</f>
        <v>Undecaprenyl phosphate-alpha-4-amino-4-deoxy-L-arabinose arabinosyl transferase</v>
      </c>
      <c r="BB796" t="str">
        <f>HYPERLINK("http://www.uniprot.org/uniprot/Q8D339","5.4")</f>
        <v>5.4</v>
      </c>
      <c r="BC796" t="s">
        <v>2284</v>
      </c>
      <c r="BD796">
        <v>30</v>
      </c>
      <c r="BE796">
        <v>32</v>
      </c>
      <c r="BF796">
        <v>562</v>
      </c>
      <c r="BG796">
        <v>42</v>
      </c>
      <c r="BH796">
        <v>6</v>
      </c>
      <c r="BI796">
        <v>19</v>
      </c>
      <c r="BJ796">
        <v>0</v>
      </c>
      <c r="BK796">
        <v>97</v>
      </c>
      <c r="BL796">
        <v>314</v>
      </c>
      <c r="BM796">
        <v>1</v>
      </c>
      <c r="BN796">
        <v>-3</v>
      </c>
      <c r="BO796" t="s">
        <v>12</v>
      </c>
      <c r="BP796">
        <v>3.125</v>
      </c>
      <c r="BQ796" t="s">
        <v>1666</v>
      </c>
      <c r="BR796" t="s">
        <v>1988</v>
      </c>
      <c r="BS796" s="4" t="str">
        <f>HYPERLINK("http://exon.niaid.nih.gov/transcriptome/C_felis/S1/links/CDD/cf-contig_158-CDD.txt","SpecificRecomb")</f>
        <v>SpecificRecomb</v>
      </c>
      <c r="BT796" t="str">
        <f>HYPERLINK("http://www.ncbi.nlm.nih.gov/Structure/cdd/cddsrv.cgi?uid=pfam10136&amp;version=v4.0","0.072")</f>
        <v>0.072</v>
      </c>
      <c r="BU796" t="s">
        <v>2285</v>
      </c>
      <c r="BV796" s="4" t="s">
        <v>42</v>
      </c>
      <c r="BW796" t="s">
        <v>42</v>
      </c>
      <c r="BX796" t="s">
        <v>42</v>
      </c>
      <c r="BY796" t="s">
        <v>42</v>
      </c>
      <c r="BZ796" t="s">
        <v>42</v>
      </c>
      <c r="CA796" t="s">
        <v>42</v>
      </c>
      <c r="CB796" t="s">
        <v>42</v>
      </c>
      <c r="CC796" t="s">
        <v>42</v>
      </c>
      <c r="CD796" t="s">
        <v>42</v>
      </c>
      <c r="CE796" t="s">
        <v>42</v>
      </c>
      <c r="CF796" t="s">
        <v>42</v>
      </c>
      <c r="CG796" t="s">
        <v>42</v>
      </c>
      <c r="CH796" t="s">
        <v>42</v>
      </c>
      <c r="CI796" t="s">
        <v>42</v>
      </c>
      <c r="CJ796" t="s">
        <v>42</v>
      </c>
      <c r="CK796" t="s">
        <v>42</v>
      </c>
      <c r="CL796" t="s">
        <v>42</v>
      </c>
      <c r="CM796" t="s">
        <v>42</v>
      </c>
      <c r="CN796" t="s">
        <v>42</v>
      </c>
      <c r="CO796" t="s">
        <v>42</v>
      </c>
      <c r="CP796" t="s">
        <v>42</v>
      </c>
      <c r="CQ796" t="s">
        <v>42</v>
      </c>
      <c r="CR796" t="s">
        <v>42</v>
      </c>
      <c r="CS796" s="4" t="str">
        <f>HYPERLINK("http://exon.niaid.nih.gov/transcriptome/C_felis/S1/links/KOG/cf-contig_158-KOG.txt","Predicted E3 ubiquitin ligase")</f>
        <v>Predicted E3 ubiquitin ligase</v>
      </c>
      <c r="CT796" t="str">
        <f>HYPERLINK("http://www.ncbi.nlm.nih.gov/COG/grace/shokog.cgi?KOG4265","0.13")</f>
        <v>0.13</v>
      </c>
      <c r="CU796" t="s">
        <v>2198</v>
      </c>
      <c r="CV796" s="4" t="str">
        <f>HYPERLINK("http://exon.niaid.nih.gov/transcriptome/C_felis/S1/links/PFAM/cf-contig_158-PFAM.txt","SpecificRecomb")</f>
        <v>SpecificRecomb</v>
      </c>
      <c r="CW796" t="str">
        <f>HYPERLINK("http://pfam.sanger.ac.uk/family?acc=PF10136","0.016")</f>
        <v>0.016</v>
      </c>
      <c r="CX796" s="4" t="str">
        <f>HYPERLINK("http://exon.niaid.nih.gov/transcriptome/C_felis/S1/links/SMART/cf-contig_158-SMART.txt","PI3K_rbd")</f>
        <v>PI3K_rbd</v>
      </c>
      <c r="CY796" t="str">
        <f>HYPERLINK("http://smart.embl-heidelberg.de/smart/do_annotation.pl?DOMAIN=PI3K_rbd&amp;BLAST=DUMMY","0.20")</f>
        <v>0.20</v>
      </c>
      <c r="CZ796" s="4" t="s">
        <v>42</v>
      </c>
      <c r="DA796" t="s">
        <v>42</v>
      </c>
      <c r="DB796" t="s">
        <v>42</v>
      </c>
      <c r="DC796" t="s">
        <v>42</v>
      </c>
      <c r="DD796" t="s">
        <v>42</v>
      </c>
      <c r="DE796" t="s">
        <v>42</v>
      </c>
      <c r="DF796" t="s">
        <v>42</v>
      </c>
      <c r="DG796" t="s">
        <v>42</v>
      </c>
      <c r="DH796" s="4" t="s">
        <v>42</v>
      </c>
      <c r="DI796" t="s">
        <v>42</v>
      </c>
      <c r="DJ796" s="4" t="s">
        <v>42</v>
      </c>
      <c r="DK796" t="s">
        <v>42</v>
      </c>
      <c r="DL796" s="4">
        <f>HYPERLINK("http://exon.niaid.nih.gov/transcriptome/C_felis/S1/links/cluster/cf-5-36-asb30-50-Id-CLU21.txt", 21)</f>
        <v>21</v>
      </c>
      <c r="DM796">
        <f>HYPERLINK("http://exon.niaid.nih.gov/transcriptome/C_felis/S1/links/cluster/cf-5-36-asb30-50-Id-CLTL21.txt", 3)</f>
        <v>3</v>
      </c>
      <c r="DN796" s="4">
        <v>144</v>
      </c>
      <c r="DO796">
        <v>1</v>
      </c>
      <c r="DP796" s="4">
        <v>141</v>
      </c>
      <c r="DQ796">
        <v>1</v>
      </c>
      <c r="DR796" s="4">
        <v>138</v>
      </c>
      <c r="DS796">
        <v>1</v>
      </c>
      <c r="DT796" s="4">
        <v>137</v>
      </c>
      <c r="DU796">
        <v>1</v>
      </c>
      <c r="DV796" s="4">
        <v>147</v>
      </c>
      <c r="DW796">
        <v>1</v>
      </c>
      <c r="DX796" s="4">
        <v>149</v>
      </c>
      <c r="DY796">
        <v>1</v>
      </c>
      <c r="DZ796" s="4">
        <v>149</v>
      </c>
      <c r="EA796">
        <v>1</v>
      </c>
      <c r="EB796" s="4">
        <v>154</v>
      </c>
      <c r="EC796">
        <v>1</v>
      </c>
      <c r="ED796" s="4">
        <v>155</v>
      </c>
      <c r="EE796">
        <v>1</v>
      </c>
      <c r="EF796" s="4">
        <v>156</v>
      </c>
      <c r="EG796">
        <v>1</v>
      </c>
      <c r="EH796" s="4">
        <v>155</v>
      </c>
      <c r="EI796">
        <v>1</v>
      </c>
      <c r="EJ796" s="4">
        <v>158</v>
      </c>
      <c r="EK796">
        <v>1</v>
      </c>
    </row>
    <row r="797" spans="1:141" x14ac:dyDescent="0.2">
      <c r="A797" t="str">
        <f>HYPERLINK("http://exon.niaid.nih.gov/transcriptome/C_felis/S1/links/cf/cf-contig_305.txt","cf-contig_305")</f>
        <v>cf-contig_305</v>
      </c>
      <c r="B797">
        <v>1</v>
      </c>
      <c r="C797" s="10" t="s">
        <v>4600</v>
      </c>
      <c r="D797">
        <v>1</v>
      </c>
      <c r="E797" t="str">
        <f>HYPERLINK("http://exon.niaid.nih.gov/transcriptome/C_felis/S1/links/cf/cf-5-36-asb-305.txt","Contig-305")</f>
        <v>Contig-305</v>
      </c>
      <c r="F797" t="str">
        <f>HYPERLINK("http://exon.niaid.nih.gov/transcriptome/C_felis/S1/links/cf/cf-5-36-305-CLU.txt","Contig305")</f>
        <v>Contig305</v>
      </c>
      <c r="G797" t="str">
        <f>HYPERLINK("http://exon.niaid.nih.gov/transcriptome/C_felis/S1/links/cf/cf-5-36-305-qual.txt","61.5")</f>
        <v>61.5</v>
      </c>
      <c r="H797" t="s">
        <v>11</v>
      </c>
      <c r="I797">
        <v>73.7</v>
      </c>
      <c r="J797">
        <v>167</v>
      </c>
      <c r="K797" t="s">
        <v>12</v>
      </c>
      <c r="L797">
        <v>1</v>
      </c>
      <c r="M797" t="s">
        <v>318</v>
      </c>
      <c r="N797">
        <v>167</v>
      </c>
      <c r="O797">
        <v>186</v>
      </c>
      <c r="P797">
        <v>114</v>
      </c>
      <c r="Q797" t="s">
        <v>1125</v>
      </c>
      <c r="R797">
        <v>1</v>
      </c>
      <c r="S797" s="7" t="s">
        <v>4585</v>
      </c>
      <c r="U797">
        <v>1</v>
      </c>
      <c r="V797" s="4">
        <v>246</v>
      </c>
      <c r="W797">
        <v>1</v>
      </c>
      <c r="X797" s="4">
        <v>251</v>
      </c>
      <c r="Y797">
        <v>1</v>
      </c>
      <c r="Z797" s="4">
        <v>250</v>
      </c>
      <c r="AA797">
        <v>1</v>
      </c>
      <c r="AB797" s="4" t="str">
        <f>HYPERLINK("http://exon.niaid.nih.gov/transcriptome/C_felis/S1/links/XC-ASB/cf-contig_305-XC-ASB.txt","XC-contig_2")</f>
        <v>XC-contig_2</v>
      </c>
      <c r="AC797">
        <v>3.9E-2</v>
      </c>
      <c r="AD797" s="10" t="s">
        <v>4600</v>
      </c>
      <c r="AE797" t="s">
        <v>4601</v>
      </c>
      <c r="AI797" s="4" t="str">
        <f>HYPERLINK("http://exon.niaid.nih.gov/transcriptome/C_felis/S1/links/NR/cf-contig_305-NR.txt","DNA-directed RNA polymerase subunit beta")</f>
        <v>DNA-directed RNA polymerase subunit beta</v>
      </c>
      <c r="AJ797" t="str">
        <f>HYPERLINK("http://www.ncbi.nlm.nih.gov/sutils/blink.cgi?pid=338733407","48")</f>
        <v>48</v>
      </c>
      <c r="AK797" t="str">
        <f>HYPERLINK("http://www.ncbi.nlm.nih.gov/protein/338733407","gi|338733407")</f>
        <v>gi|338733407</v>
      </c>
      <c r="AL797">
        <v>31.6</v>
      </c>
      <c r="AM797">
        <v>34</v>
      </c>
      <c r="AN797">
        <v>1254</v>
      </c>
      <c r="AO797">
        <v>34</v>
      </c>
      <c r="AP797">
        <v>3</v>
      </c>
      <c r="AQ797">
        <v>23</v>
      </c>
      <c r="AR797">
        <v>0</v>
      </c>
      <c r="AS797">
        <v>676</v>
      </c>
      <c r="AT797">
        <v>61</v>
      </c>
      <c r="AU797">
        <v>1</v>
      </c>
      <c r="AV797">
        <v>1</v>
      </c>
      <c r="AW797" t="s">
        <v>12</v>
      </c>
      <c r="AX797">
        <v>2.9409999999999998</v>
      </c>
      <c r="AY797" t="s">
        <v>1676</v>
      </c>
      <c r="AZ797" t="s">
        <v>2743</v>
      </c>
      <c r="BA797" s="4" t="str">
        <f>HYPERLINK("http://exon.niaid.nih.gov/transcriptome/C_felis/S1/links/SWISSP/cf-contig_305-SWISSP.txt","DNA-directed RNA polymerase subunit beta'' (Fragment)")</f>
        <v>DNA-directed RNA polymerase subunit beta'' (Fragment)</v>
      </c>
      <c r="BB797" t="str">
        <f>HYPERLINK("http://www.uniprot.org/uniprot/P12227","14")</f>
        <v>14</v>
      </c>
      <c r="BC797" t="s">
        <v>2744</v>
      </c>
      <c r="BD797">
        <v>28.5</v>
      </c>
      <c r="BE797">
        <v>25</v>
      </c>
      <c r="BF797">
        <v>1163</v>
      </c>
      <c r="BG797">
        <v>42</v>
      </c>
      <c r="BH797">
        <v>2</v>
      </c>
      <c r="BI797">
        <v>15</v>
      </c>
      <c r="BJ797">
        <v>0</v>
      </c>
      <c r="BK797">
        <v>872</v>
      </c>
      <c r="BL797">
        <v>5</v>
      </c>
      <c r="BM797">
        <v>1</v>
      </c>
      <c r="BN797">
        <v>-3</v>
      </c>
      <c r="BO797" t="s">
        <v>12</v>
      </c>
      <c r="BQ797" t="s">
        <v>1666</v>
      </c>
      <c r="BR797" t="s">
        <v>2745</v>
      </c>
      <c r="BS797" s="4" t="str">
        <f>HYPERLINK("http://exon.niaid.nih.gov/transcriptome/C_felis/S1/links/CDD/cf-contig_305-CDD.txt","PLN02672")</f>
        <v>PLN02672</v>
      </c>
      <c r="BT797" t="str">
        <f>HYPERLINK("http://www.ncbi.nlm.nih.gov/Structure/cdd/cddsrv.cgi?uid=PLN02672&amp;version=v4.0","2.7")</f>
        <v>2.7</v>
      </c>
      <c r="BU797" t="s">
        <v>2746</v>
      </c>
      <c r="BV797" s="4" t="s">
        <v>42</v>
      </c>
      <c r="BW797" t="s">
        <v>42</v>
      </c>
      <c r="BX797" t="s">
        <v>42</v>
      </c>
      <c r="BY797" t="s">
        <v>42</v>
      </c>
      <c r="BZ797" t="s">
        <v>42</v>
      </c>
      <c r="CA797" t="s">
        <v>42</v>
      </c>
      <c r="CB797" t="s">
        <v>42</v>
      </c>
      <c r="CC797" t="s">
        <v>42</v>
      </c>
      <c r="CD797" t="s">
        <v>42</v>
      </c>
      <c r="CE797" t="s">
        <v>42</v>
      </c>
      <c r="CF797" t="s">
        <v>42</v>
      </c>
      <c r="CG797" t="s">
        <v>42</v>
      </c>
      <c r="CH797" t="s">
        <v>42</v>
      </c>
      <c r="CI797" t="s">
        <v>42</v>
      </c>
      <c r="CJ797" t="s">
        <v>42</v>
      </c>
      <c r="CK797" t="s">
        <v>42</v>
      </c>
      <c r="CL797" t="s">
        <v>42</v>
      </c>
      <c r="CM797" t="s">
        <v>42</v>
      </c>
      <c r="CN797" t="s">
        <v>42</v>
      </c>
      <c r="CO797" t="s">
        <v>42</v>
      </c>
      <c r="CP797" t="s">
        <v>42</v>
      </c>
      <c r="CQ797" t="s">
        <v>42</v>
      </c>
      <c r="CR797" t="s">
        <v>42</v>
      </c>
      <c r="CS797" s="4" t="str">
        <f>HYPERLINK("http://exon.niaid.nih.gov/transcriptome/C_felis/S1/links/KOG/cf-contig_305-KOG.txt","F0F1-type ATP synthase, gamma subunit")</f>
        <v>F0F1-type ATP synthase, gamma subunit</v>
      </c>
      <c r="CT797" t="str">
        <f>HYPERLINK("http://www.ncbi.nlm.nih.gov/COG/grace/shokog.cgi?KOG1531","0.26")</f>
        <v>0.26</v>
      </c>
      <c r="CU797" t="s">
        <v>1793</v>
      </c>
      <c r="CV797" s="4" t="str">
        <f>HYPERLINK("http://exon.niaid.nih.gov/transcriptome/C_felis/S1/links/PFAM/cf-contig_305-PFAM.txt","ATP-synt")</f>
        <v>ATP-synt</v>
      </c>
      <c r="CW797" t="str">
        <f>HYPERLINK("http://pfam.sanger.ac.uk/family?acc=PF00231","2.2")</f>
        <v>2.2</v>
      </c>
      <c r="CX797" s="4" t="str">
        <f>HYPERLINK("http://exon.niaid.nih.gov/transcriptome/C_felis/S1/links/SMART/cf-contig_305-SMART.txt","PKS_AT")</f>
        <v>PKS_AT</v>
      </c>
      <c r="CY797" t="str">
        <f>HYPERLINK("http://smart.embl-heidelberg.de/smart/do_annotation.pl?DOMAIN=PKS_AT&amp;BLAST=DUMMY","0.40")</f>
        <v>0.40</v>
      </c>
      <c r="CZ797" s="4" t="s">
        <v>42</v>
      </c>
      <c r="DA797" t="s">
        <v>42</v>
      </c>
      <c r="DB797" t="s">
        <v>42</v>
      </c>
      <c r="DC797" t="s">
        <v>42</v>
      </c>
      <c r="DD797" t="s">
        <v>42</v>
      </c>
      <c r="DE797" t="s">
        <v>42</v>
      </c>
      <c r="DF797" t="s">
        <v>42</v>
      </c>
      <c r="DG797" t="s">
        <v>42</v>
      </c>
      <c r="DH797" s="4" t="s">
        <v>42</v>
      </c>
      <c r="DI797" t="s">
        <v>42</v>
      </c>
      <c r="DJ797" s="4" t="s">
        <v>42</v>
      </c>
      <c r="DK797" t="s">
        <v>42</v>
      </c>
      <c r="DL797" s="4">
        <v>246</v>
      </c>
      <c r="DM797">
        <v>1</v>
      </c>
      <c r="DN797" s="4">
        <v>251</v>
      </c>
      <c r="DO797">
        <v>1</v>
      </c>
      <c r="DP797" s="4">
        <v>250</v>
      </c>
      <c r="DQ797">
        <v>1</v>
      </c>
      <c r="DR797" s="4">
        <v>259</v>
      </c>
      <c r="DS797">
        <v>1</v>
      </c>
      <c r="DT797" s="4">
        <v>267</v>
      </c>
      <c r="DU797">
        <v>1</v>
      </c>
      <c r="DV797" s="4">
        <v>279</v>
      </c>
      <c r="DW797">
        <v>1</v>
      </c>
      <c r="DX797" s="4">
        <v>281</v>
      </c>
      <c r="DY797">
        <v>1</v>
      </c>
      <c r="DZ797" s="4">
        <v>286</v>
      </c>
      <c r="EA797">
        <v>1</v>
      </c>
      <c r="EB797" s="4">
        <v>291</v>
      </c>
      <c r="EC797">
        <v>1</v>
      </c>
      <c r="ED797" s="4">
        <v>294</v>
      </c>
      <c r="EE797">
        <v>1</v>
      </c>
      <c r="EF797" s="4">
        <v>298</v>
      </c>
      <c r="EG797">
        <v>1</v>
      </c>
      <c r="EH797" s="4">
        <v>300</v>
      </c>
      <c r="EI797">
        <v>1</v>
      </c>
      <c r="EJ797" s="4">
        <v>305</v>
      </c>
      <c r="EK797">
        <v>1</v>
      </c>
    </row>
    <row r="798" spans="1:141" x14ac:dyDescent="0.2">
      <c r="A798" t="str">
        <f>HYPERLINK("http://exon.niaid.nih.gov/transcriptome/C_felis/S1/links/cf/cf-contig_77.txt","cf-contig_77")</f>
        <v>cf-contig_77</v>
      </c>
      <c r="B798">
        <v>2</v>
      </c>
      <c r="C798" s="10" t="s">
        <v>4600</v>
      </c>
      <c r="D798">
        <v>2</v>
      </c>
      <c r="E798" t="str">
        <f>HYPERLINK("http://exon.niaid.nih.gov/transcriptome/C_felis/S1/links/cf/cf-5-36-asb-77.txt","Contig-77")</f>
        <v>Contig-77</v>
      </c>
      <c r="F798" t="str">
        <f>HYPERLINK("http://exon.niaid.nih.gov/transcriptome/C_felis/S1/links/cf/cf-5-36-77-CLU.txt","Contig77")</f>
        <v>Contig77</v>
      </c>
      <c r="G798" t="str">
        <f>HYPERLINK("http://exon.niaid.nih.gov/transcriptome/C_felis/S1/links/cf/cf-5-36-77-qual.txt","69.4")</f>
        <v>69.4</v>
      </c>
      <c r="H798" t="s">
        <v>11</v>
      </c>
      <c r="I798">
        <v>70.7</v>
      </c>
      <c r="J798">
        <v>353</v>
      </c>
      <c r="K798" t="s">
        <v>12</v>
      </c>
      <c r="L798">
        <v>2</v>
      </c>
      <c r="M798" t="s">
        <v>90</v>
      </c>
      <c r="N798">
        <v>376</v>
      </c>
      <c r="O798">
        <v>372</v>
      </c>
      <c r="P798">
        <v>171</v>
      </c>
      <c r="Q798" t="s">
        <v>897</v>
      </c>
      <c r="R798">
        <v>1</v>
      </c>
      <c r="S798" s="7" t="str">
        <f>HYPERLINK("http://exon.niaid.nih.gov/transcriptome/C_felis/S1/links/Sigp/CF-CONTIG_77-SigP.txt","Cyt")</f>
        <v>Cyt</v>
      </c>
      <c r="U798">
        <v>2</v>
      </c>
      <c r="V798" s="4">
        <f>HYPERLINK("http://exon.niaid.nih.gov/transcriptome/C_felis/S1/links/cluster/cf-5-36-asb30-50-Id-CLU16.txt", 16)</f>
        <v>16</v>
      </c>
      <c r="W798">
        <f>HYPERLINK("http://exon.niaid.nih.gov/transcriptome/C_felis/S1/links/cluster/cf-5-36-asb30-50-Id-CLTL16.txt", 3)</f>
        <v>3</v>
      </c>
      <c r="X798" s="4">
        <f>HYPERLINK("http://exon.niaid.nih.gov/transcriptome/C_felis/S1/links/cluster/cf-5-36-asb35-50-Id-CLU14.txt", 14)</f>
        <v>14</v>
      </c>
      <c r="Y798">
        <f>HYPERLINK("http://exon.niaid.nih.gov/transcriptome/C_felis/S1/links/cluster/cf-5-36-asb35-50-Id-CLTL14.txt", 3)</f>
        <v>3</v>
      </c>
      <c r="Z798" s="4">
        <f>HYPERLINK("http://exon.niaid.nih.gov/transcriptome/C_felis/S1/links/cluster/cf-5-36-asb40-50-Id-CLU14.txt", 14)</f>
        <v>14</v>
      </c>
      <c r="AA798">
        <f>HYPERLINK("http://exon.niaid.nih.gov/transcriptome/C_felis/S1/links/cluster/cf-5-36-asb40-50-Id-CLTL14.txt", 3)</f>
        <v>3</v>
      </c>
      <c r="AB798" s="4" t="str">
        <f>HYPERLINK("http://exon.niaid.nih.gov/transcriptome/C_felis/S1/links/XC-ASB/cf-contig_77-XC-ASB.txt","XC-contig_246")</f>
        <v>XC-contig_246</v>
      </c>
      <c r="AC798">
        <v>1.0999999999999999E-2</v>
      </c>
      <c r="AD798" s="10" t="s">
        <v>4600</v>
      </c>
      <c r="AE798" t="s">
        <v>4601</v>
      </c>
      <c r="AI798" s="4" t="str">
        <f>HYPERLINK("http://exon.niaid.nih.gov/transcriptome/C_felis/S1/links/NR/cf-contig_77-NR.txt","NADH dehydrogenase subunit 4")</f>
        <v>NADH dehydrogenase subunit 4</v>
      </c>
      <c r="AJ798" t="str">
        <f>HYPERLINK("http://www.ncbi.nlm.nih.gov/sutils/blink.cgi?pid=171473622","1.1")</f>
        <v>1.1</v>
      </c>
      <c r="AK798" t="str">
        <f>HYPERLINK("http://www.ncbi.nlm.nih.gov/protein/171473622","gi|171473622")</f>
        <v>gi|171473622</v>
      </c>
      <c r="AL798">
        <v>37</v>
      </c>
      <c r="AM798">
        <v>62</v>
      </c>
      <c r="AN798">
        <v>451</v>
      </c>
      <c r="AO798">
        <v>31</v>
      </c>
      <c r="AP798">
        <v>14</v>
      </c>
      <c r="AQ798">
        <v>43</v>
      </c>
      <c r="AR798">
        <v>0</v>
      </c>
      <c r="AS798">
        <v>18</v>
      </c>
      <c r="AT798">
        <v>148</v>
      </c>
      <c r="AU798">
        <v>1</v>
      </c>
      <c r="AV798">
        <v>-1</v>
      </c>
      <c r="AW798" t="s">
        <v>12</v>
      </c>
      <c r="AX798">
        <v>1.613</v>
      </c>
      <c r="AY798" t="s">
        <v>1666</v>
      </c>
      <c r="AZ798" t="s">
        <v>1946</v>
      </c>
      <c r="BA798" s="4" t="str">
        <f>HYPERLINK("http://exon.niaid.nih.gov/transcriptome/C_felis/S1/links/SWISSP/cf-contig_77-SWISSP.txt","Uncharacterized mitochondrial protein ORF4")</f>
        <v>Uncharacterized mitochondrial protein ORF4</v>
      </c>
      <c r="BB798" t="str">
        <f>HYPERLINK("http://www.uniprot.org/uniprot/P15605","1.2")</f>
        <v>1.2</v>
      </c>
      <c r="BC798" t="s">
        <v>1699</v>
      </c>
      <c r="BD798">
        <v>32</v>
      </c>
      <c r="BE798">
        <v>53</v>
      </c>
      <c r="BF798">
        <v>156</v>
      </c>
      <c r="BG798">
        <v>30</v>
      </c>
      <c r="BH798">
        <v>35</v>
      </c>
      <c r="BI798">
        <v>38</v>
      </c>
      <c r="BJ798">
        <v>1</v>
      </c>
      <c r="BK798">
        <v>79</v>
      </c>
      <c r="BL798">
        <v>188</v>
      </c>
      <c r="BM798">
        <v>1</v>
      </c>
      <c r="BN798">
        <v>-3</v>
      </c>
      <c r="BO798" t="s">
        <v>12</v>
      </c>
      <c r="BP798">
        <v>1.887</v>
      </c>
      <c r="BQ798" t="s">
        <v>1666</v>
      </c>
      <c r="BR798" t="s">
        <v>1700</v>
      </c>
      <c r="BS798" s="4" t="str">
        <f>HYPERLINK("http://exon.niaid.nih.gov/transcriptome/C_felis/S1/links/CDD/cf-contig_77-CDD.txt","ND5")</f>
        <v>ND5</v>
      </c>
      <c r="BT798" t="str">
        <f>HYPERLINK("http://www.ncbi.nlm.nih.gov/Structure/cdd/cddsrv.cgi?uid=MTH00095&amp;version=v4.0","0.002")</f>
        <v>0.002</v>
      </c>
      <c r="BU798" t="s">
        <v>1947</v>
      </c>
      <c r="BV798" s="4" t="s">
        <v>42</v>
      </c>
      <c r="BW798" t="s">
        <v>42</v>
      </c>
      <c r="BX798" t="s">
        <v>42</v>
      </c>
      <c r="BY798" t="s">
        <v>42</v>
      </c>
      <c r="BZ798" t="s">
        <v>42</v>
      </c>
      <c r="CA798" t="s">
        <v>42</v>
      </c>
      <c r="CB798" t="s">
        <v>42</v>
      </c>
      <c r="CC798" t="s">
        <v>42</v>
      </c>
      <c r="CD798" t="s">
        <v>42</v>
      </c>
      <c r="CE798" t="s">
        <v>42</v>
      </c>
      <c r="CF798" t="s">
        <v>42</v>
      </c>
      <c r="CG798" t="s">
        <v>42</v>
      </c>
      <c r="CH798" t="s">
        <v>42</v>
      </c>
      <c r="CI798" t="s">
        <v>42</v>
      </c>
      <c r="CJ798" t="s">
        <v>42</v>
      </c>
      <c r="CK798" t="s">
        <v>42</v>
      </c>
      <c r="CL798" t="s">
        <v>42</v>
      </c>
      <c r="CM798" t="s">
        <v>42</v>
      </c>
      <c r="CN798" t="s">
        <v>42</v>
      </c>
      <c r="CO798" t="s">
        <v>42</v>
      </c>
      <c r="CP798" t="s">
        <v>42</v>
      </c>
      <c r="CQ798" t="s">
        <v>42</v>
      </c>
      <c r="CR798" t="s">
        <v>42</v>
      </c>
      <c r="CS798" s="4" t="str">
        <f>HYPERLINK("http://exon.niaid.nih.gov/transcriptome/C_felis/S1/links/KOG/cf-contig_77-KOG.txt","N-acetylglucosaminyltransferase complex, subunit PIG-Q/GPI1, required for phosphatidylinositol biosynthesis")</f>
        <v>N-acetylglucosaminyltransferase complex, subunit PIG-Q/GPI1, required for phosphatidylinositol biosynthesis</v>
      </c>
      <c r="CT798" t="str">
        <f>HYPERLINK("http://www.ncbi.nlm.nih.gov/COG/grace/shokog.cgi?KOG1183","0.19")</f>
        <v>0.19</v>
      </c>
      <c r="CU798" t="s">
        <v>1948</v>
      </c>
      <c r="CV798" s="4" t="str">
        <f>HYPERLINK("http://exon.niaid.nih.gov/transcriptome/C_felis/S1/links/PFAM/cf-contig_77-PFAM.txt","7TM_GPCR_Srz")</f>
        <v>7TM_GPCR_Srz</v>
      </c>
      <c r="CW798" t="str">
        <f>HYPERLINK("http://pfam.sanger.ac.uk/family?acc=PF10325","7E-004")</f>
        <v>7E-004</v>
      </c>
      <c r="CX798" s="4" t="str">
        <f>HYPERLINK("http://exon.niaid.nih.gov/transcriptome/C_felis/S1/links/SMART/cf-contig_77-SMART.txt","AgrB")</f>
        <v>AgrB</v>
      </c>
      <c r="CY798" t="str">
        <f>HYPERLINK("http://smart.embl-heidelberg.de/smart/do_annotation.pl?DOMAIN=AgrB&amp;BLAST=DUMMY","0.016")</f>
        <v>0.016</v>
      </c>
      <c r="CZ798" s="4" t="s">
        <v>42</v>
      </c>
      <c r="DA798" t="s">
        <v>42</v>
      </c>
      <c r="DB798" t="s">
        <v>42</v>
      </c>
      <c r="DC798" t="s">
        <v>42</v>
      </c>
      <c r="DD798" t="s">
        <v>42</v>
      </c>
      <c r="DE798" t="s">
        <v>42</v>
      </c>
      <c r="DF798" t="s">
        <v>42</v>
      </c>
      <c r="DG798" t="s">
        <v>42</v>
      </c>
      <c r="DH798" s="4" t="s">
        <v>42</v>
      </c>
      <c r="DI798" t="s">
        <v>42</v>
      </c>
      <c r="DJ798" s="4" t="s">
        <v>42</v>
      </c>
      <c r="DK798" t="s">
        <v>42</v>
      </c>
      <c r="DL798" s="4">
        <f>HYPERLINK("http://exon.niaid.nih.gov/transcriptome/C_felis/S1/links/cluster/cf-5-36-asb30-50-Id-CLU16.txt", 16)</f>
        <v>16</v>
      </c>
      <c r="DM798">
        <f>HYPERLINK("http://exon.niaid.nih.gov/transcriptome/C_felis/S1/links/cluster/cf-5-36-asb30-50-Id-CLTL16.txt", 3)</f>
        <v>3</v>
      </c>
      <c r="DN798" s="4">
        <f>HYPERLINK("http://exon.niaid.nih.gov/transcriptome/C_felis/S1/links/cluster/cf-5-36-asb35-50-Id-CLU14.txt", 14)</f>
        <v>14</v>
      </c>
      <c r="DO798">
        <f>HYPERLINK("http://exon.niaid.nih.gov/transcriptome/C_felis/S1/links/cluster/cf-5-36-asb35-50-Id-CLTL14.txt", 3)</f>
        <v>3</v>
      </c>
      <c r="DP798" s="4">
        <f>HYPERLINK("http://exon.niaid.nih.gov/transcriptome/C_felis/S1/links/cluster/cf-5-36-asb40-50-Id-CLU14.txt", 14)</f>
        <v>14</v>
      </c>
      <c r="DQ798">
        <f>HYPERLINK("http://exon.niaid.nih.gov/transcriptome/C_felis/S1/links/cluster/cf-5-36-asb40-50-Id-CLTL14.txt", 3)</f>
        <v>3</v>
      </c>
      <c r="DR798" s="4">
        <f>HYPERLINK("http://exon.niaid.nih.gov/transcriptome/C_felis/S1/links/cluster/cf-5-36-asb45-50-Id-CLU12.txt", 12)</f>
        <v>12</v>
      </c>
      <c r="DS798">
        <f>HYPERLINK("http://exon.niaid.nih.gov/transcriptome/C_felis/S1/links/cluster/cf-5-36-asb45-50-Id-CLTL12.txt", 3)</f>
        <v>3</v>
      </c>
      <c r="DT798" s="4">
        <v>85</v>
      </c>
      <c r="DU798">
        <v>1</v>
      </c>
      <c r="DV798" s="4">
        <v>89</v>
      </c>
      <c r="DW798">
        <v>1</v>
      </c>
      <c r="DX798" s="4">
        <v>88</v>
      </c>
      <c r="DY798">
        <v>1</v>
      </c>
      <c r="DZ798" s="4">
        <v>86</v>
      </c>
      <c r="EA798">
        <v>1</v>
      </c>
      <c r="EB798" s="4">
        <v>86</v>
      </c>
      <c r="EC798">
        <v>1</v>
      </c>
      <c r="ED798" s="4">
        <v>87</v>
      </c>
      <c r="EE798">
        <v>1</v>
      </c>
      <c r="EF798" s="4">
        <v>84</v>
      </c>
      <c r="EG798">
        <v>1</v>
      </c>
      <c r="EH798" s="4">
        <v>79</v>
      </c>
      <c r="EI798">
        <v>1</v>
      </c>
      <c r="EJ798" s="4">
        <v>77</v>
      </c>
      <c r="EK798">
        <v>1</v>
      </c>
    </row>
    <row r="799" spans="1:141" x14ac:dyDescent="0.2">
      <c r="A799" t="str">
        <f>HYPERLINK("http://exon.niaid.nih.gov/transcriptome/C_felis/S1/links/cf/cf-contig_28.txt","cf-contig_28")</f>
        <v>cf-contig_28</v>
      </c>
      <c r="B799">
        <v>4</v>
      </c>
      <c r="C799" s="10" t="s">
        <v>4600</v>
      </c>
      <c r="D799">
        <v>4</v>
      </c>
      <c r="E799" t="str">
        <f>HYPERLINK("http://exon.niaid.nih.gov/transcriptome/C_felis/S1/links/cf/cf-5-36-asb-28.txt","Contig-28")</f>
        <v>Contig-28</v>
      </c>
      <c r="F799" t="str">
        <f>HYPERLINK("http://exon.niaid.nih.gov/transcriptome/C_felis/S1/links/cf/cf-5-36-28-CLU.txt","Contig28")</f>
        <v>Contig28</v>
      </c>
      <c r="G799" t="str">
        <f>HYPERLINK("http://exon.niaid.nih.gov/transcriptome/C_felis/S1/links/cf/cf-5-36-28-qual.txt","69.8")</f>
        <v>69.8</v>
      </c>
      <c r="H799" t="s">
        <v>11</v>
      </c>
      <c r="I799">
        <v>72.5</v>
      </c>
      <c r="J799">
        <v>817</v>
      </c>
      <c r="K799" t="s">
        <v>12</v>
      </c>
      <c r="L799">
        <v>4</v>
      </c>
      <c r="M799" t="s">
        <v>40</v>
      </c>
      <c r="N799">
        <v>842</v>
      </c>
      <c r="O799">
        <v>843</v>
      </c>
      <c r="P799">
        <v>276</v>
      </c>
      <c r="Q799" t="s">
        <v>850</v>
      </c>
      <c r="R799">
        <v>2</v>
      </c>
      <c r="S799" s="7" t="str">
        <f>HYPERLINK("http://exon.niaid.nih.gov/transcriptome/C_felis/S1/links/Sigp/CF-CONTIG_28-SigP.txt","Cyt")</f>
        <v>Cyt</v>
      </c>
      <c r="U799">
        <v>4</v>
      </c>
      <c r="V799" s="4">
        <v>101</v>
      </c>
      <c r="W799">
        <v>1</v>
      </c>
      <c r="X799" s="4">
        <v>93</v>
      </c>
      <c r="Y799">
        <v>1</v>
      </c>
      <c r="Z799" s="4">
        <v>86</v>
      </c>
      <c r="AA799">
        <v>1</v>
      </c>
      <c r="AB799" s="4" t="str">
        <f>HYPERLINK("http://exon.niaid.nih.gov/transcriptome/C_felis/S1/links/XC-ASB/cf-contig_28-XC-ASB.txt","XC-contig_209")</f>
        <v>XC-contig_209</v>
      </c>
      <c r="AC799">
        <v>1.4999999999999999E-2</v>
      </c>
      <c r="AD799" s="10" t="s">
        <v>4600</v>
      </c>
      <c r="AE799" t="s">
        <v>4601</v>
      </c>
      <c r="AI799" s="4" t="str">
        <f>HYPERLINK("http://exon.niaid.nih.gov/transcriptome/C_felis/S1/links/NR/cf-contig_28-NR.txt","hypothetical protein SINV_11683")</f>
        <v>hypothetical protein SINV_11683</v>
      </c>
      <c r="AJ799" t="str">
        <f>HYPERLINK("http://www.ncbi.nlm.nih.gov/sutils/blink.cgi?pid=322782200","0.054")</f>
        <v>0.054</v>
      </c>
      <c r="AK799" t="str">
        <f>HYPERLINK("http://www.ncbi.nlm.nih.gov/protein/322782200","gi|322782200")</f>
        <v>gi|322782200</v>
      </c>
      <c r="AL799">
        <v>43.1</v>
      </c>
      <c r="AM799">
        <v>66</v>
      </c>
      <c r="AN799">
        <v>1242</v>
      </c>
      <c r="AO799">
        <v>35</v>
      </c>
      <c r="AP799">
        <v>5</v>
      </c>
      <c r="AQ799">
        <v>44</v>
      </c>
      <c r="AR799">
        <v>1</v>
      </c>
      <c r="AS799">
        <v>224</v>
      </c>
      <c r="AT799">
        <v>19</v>
      </c>
      <c r="AU799">
        <v>1</v>
      </c>
      <c r="AV799">
        <v>1</v>
      </c>
      <c r="AW799" t="s">
        <v>12</v>
      </c>
      <c r="AX799">
        <v>1.5149999999999999</v>
      </c>
      <c r="AY799" t="s">
        <v>1676</v>
      </c>
      <c r="AZ799" t="s">
        <v>1773</v>
      </c>
      <c r="BA799" s="4" t="str">
        <f>HYPERLINK("http://exon.niaid.nih.gov/transcriptome/C_felis/S1/links/SWISSP/cf-contig_28-SWISSP.txt","Protein dml1")</f>
        <v>Protein dml1</v>
      </c>
      <c r="BB799" t="str">
        <f>HYPERLINK("http://www.uniprot.org/uniprot/A1CNV1","5.6")</f>
        <v>5.6</v>
      </c>
      <c r="BC799" t="s">
        <v>1774</v>
      </c>
      <c r="BD799">
        <v>32</v>
      </c>
      <c r="BE799">
        <v>93</v>
      </c>
      <c r="BF799">
        <v>499</v>
      </c>
      <c r="BG799">
        <v>28</v>
      </c>
      <c r="BH799">
        <v>19</v>
      </c>
      <c r="BI799">
        <v>71</v>
      </c>
      <c r="BJ799">
        <v>1</v>
      </c>
      <c r="BK799">
        <v>234</v>
      </c>
      <c r="BL799">
        <v>157</v>
      </c>
      <c r="BM799">
        <v>1</v>
      </c>
      <c r="BN799">
        <v>1</v>
      </c>
      <c r="BO799" t="s">
        <v>12</v>
      </c>
      <c r="BP799">
        <v>3.226</v>
      </c>
      <c r="BQ799" t="s">
        <v>1676</v>
      </c>
      <c r="BR799" t="s">
        <v>1775</v>
      </c>
      <c r="BS799" s="4" t="str">
        <f>HYPERLINK("http://exon.niaid.nih.gov/transcriptome/C_felis/S1/links/CDD/cf-contig_28-CDD.txt","DUF3522")</f>
        <v>DUF3522</v>
      </c>
      <c r="BT799" t="str">
        <f>HYPERLINK("http://www.ncbi.nlm.nih.gov/Structure/cdd/cddsrv.cgi?uid=pfam12036&amp;version=v4.0","0.23")</f>
        <v>0.23</v>
      </c>
      <c r="BU799" t="s">
        <v>1776</v>
      </c>
      <c r="BV799" s="4" t="s">
        <v>42</v>
      </c>
      <c r="BW799" t="s">
        <v>42</v>
      </c>
      <c r="BX799" t="s">
        <v>42</v>
      </c>
      <c r="BY799" t="s">
        <v>42</v>
      </c>
      <c r="BZ799" t="s">
        <v>42</v>
      </c>
      <c r="CA799" t="s">
        <v>42</v>
      </c>
      <c r="CB799" t="s">
        <v>42</v>
      </c>
      <c r="CC799" t="s">
        <v>42</v>
      </c>
      <c r="CD799" t="s">
        <v>42</v>
      </c>
      <c r="CE799" t="s">
        <v>42</v>
      </c>
      <c r="CF799" t="s">
        <v>42</v>
      </c>
      <c r="CG799" t="s">
        <v>42</v>
      </c>
      <c r="CH799" t="s">
        <v>42</v>
      </c>
      <c r="CI799" t="s">
        <v>42</v>
      </c>
      <c r="CJ799" t="s">
        <v>42</v>
      </c>
      <c r="CK799" t="s">
        <v>42</v>
      </c>
      <c r="CL799" t="s">
        <v>42</v>
      </c>
      <c r="CM799" t="s">
        <v>42</v>
      </c>
      <c r="CN799" t="s">
        <v>42</v>
      </c>
      <c r="CO799" t="s">
        <v>42</v>
      </c>
      <c r="CP799" t="s">
        <v>42</v>
      </c>
      <c r="CQ799" t="s">
        <v>42</v>
      </c>
      <c r="CR799" t="s">
        <v>42</v>
      </c>
      <c r="CS799" s="4" t="str">
        <f>HYPERLINK("http://exon.niaid.nih.gov/transcriptome/C_felis/S1/links/KOG/cf-contig_28-KOG.txt","Negative regulator of transcription")</f>
        <v>Negative regulator of transcription</v>
      </c>
      <c r="CT799" t="str">
        <f>HYPERLINK("http://www.ncbi.nlm.nih.gov/COG/grace/shokog.cgi?KOG1831","1.3")</f>
        <v>1.3</v>
      </c>
      <c r="CU799" t="s">
        <v>1692</v>
      </c>
      <c r="CV799" s="4" t="str">
        <f>HYPERLINK("http://exon.niaid.nih.gov/transcriptome/C_felis/S1/links/PFAM/cf-contig_28-PFAM.txt","DUF3522")</f>
        <v>DUF3522</v>
      </c>
      <c r="CW799" t="str">
        <f>HYPERLINK("http://pfam.sanger.ac.uk/family?acc=PF12036","0.043")</f>
        <v>0.043</v>
      </c>
      <c r="CX799" s="4" t="str">
        <f>HYPERLINK("http://exon.niaid.nih.gov/transcriptome/C_felis/S1/links/SMART/cf-contig_28-SMART.txt","AgrB")</f>
        <v>AgrB</v>
      </c>
      <c r="CY799" t="str">
        <f>HYPERLINK("http://smart.embl-heidelberg.de/smart/do_annotation.pl?DOMAIN=AgrB&amp;BLAST=DUMMY","0.12")</f>
        <v>0.12</v>
      </c>
      <c r="CZ799" s="4" t="s">
        <v>42</v>
      </c>
      <c r="DA799" t="s">
        <v>42</v>
      </c>
      <c r="DB799" t="s">
        <v>42</v>
      </c>
      <c r="DC799" t="s">
        <v>42</v>
      </c>
      <c r="DD799" t="s">
        <v>42</v>
      </c>
      <c r="DE799" t="s">
        <v>42</v>
      </c>
      <c r="DF799" t="s">
        <v>42</v>
      </c>
      <c r="DG799" t="s">
        <v>42</v>
      </c>
      <c r="DH799" s="4" t="s">
        <v>42</v>
      </c>
      <c r="DI799" t="s">
        <v>42</v>
      </c>
      <c r="DJ799" s="4" t="s">
        <v>42</v>
      </c>
      <c r="DK799" t="s">
        <v>42</v>
      </c>
      <c r="DL799" s="4">
        <v>101</v>
      </c>
      <c r="DM799">
        <v>1</v>
      </c>
      <c r="DN799" s="4">
        <v>93</v>
      </c>
      <c r="DO799">
        <v>1</v>
      </c>
      <c r="DP799" s="4">
        <v>86</v>
      </c>
      <c r="DQ799">
        <v>1</v>
      </c>
      <c r="DR799" s="4">
        <v>76</v>
      </c>
      <c r="DS799">
        <v>1</v>
      </c>
      <c r="DT799" s="4">
        <v>68</v>
      </c>
      <c r="DU799">
        <v>1</v>
      </c>
      <c r="DV799" s="4">
        <v>63</v>
      </c>
      <c r="DW799">
        <v>1</v>
      </c>
      <c r="DX799" s="4">
        <v>58</v>
      </c>
      <c r="DY799">
        <v>1</v>
      </c>
      <c r="DZ799" s="4">
        <v>53</v>
      </c>
      <c r="EA799">
        <v>1</v>
      </c>
      <c r="EB799" s="4">
        <v>51</v>
      </c>
      <c r="EC799">
        <v>1</v>
      </c>
      <c r="ED799" s="4">
        <v>51</v>
      </c>
      <c r="EE799">
        <v>1</v>
      </c>
      <c r="EF799" s="4">
        <v>45</v>
      </c>
      <c r="EG799">
        <v>1</v>
      </c>
      <c r="EH799" s="4">
        <v>33</v>
      </c>
      <c r="EI799">
        <v>1</v>
      </c>
      <c r="EJ799" s="4">
        <v>28</v>
      </c>
      <c r="EK799">
        <v>1</v>
      </c>
    </row>
    <row r="800" spans="1:141" x14ac:dyDescent="0.2">
      <c r="A800" t="str">
        <f>HYPERLINK("http://exon.niaid.nih.gov/transcriptome/C_felis/S1/links/cf/cf-contig_694.txt","cf-contig_694")</f>
        <v>cf-contig_694</v>
      </c>
      <c r="B800">
        <v>1</v>
      </c>
      <c r="C800" s="10" t="s">
        <v>4600</v>
      </c>
      <c r="D800">
        <v>1</v>
      </c>
      <c r="E800" t="str">
        <f>HYPERLINK("http://exon.niaid.nih.gov/transcriptome/C_felis/S1/links/cf/cf-5-36-asb-694.txt","Contig-694")</f>
        <v>Contig-694</v>
      </c>
      <c r="F800" t="str">
        <f>HYPERLINK("http://exon.niaid.nih.gov/transcriptome/C_felis/S1/links/cf/cf-5-36-694-CLU.txt","Contig694")</f>
        <v>Contig694</v>
      </c>
      <c r="G800" t="str">
        <f>HYPERLINK("http://exon.niaid.nih.gov/transcriptome/C_felis/S1/links/cf/cf-5-36-694-qual.txt","59.8")</f>
        <v>59.8</v>
      </c>
      <c r="H800" t="s">
        <v>11</v>
      </c>
      <c r="I800">
        <v>74.900000000000006</v>
      </c>
      <c r="J800">
        <v>431</v>
      </c>
      <c r="K800" t="s">
        <v>12</v>
      </c>
      <c r="L800">
        <v>1</v>
      </c>
      <c r="M800" t="s">
        <v>707</v>
      </c>
      <c r="N800">
        <v>431</v>
      </c>
      <c r="O800">
        <v>450</v>
      </c>
      <c r="P800">
        <v>129</v>
      </c>
      <c r="Q800" t="s">
        <v>1513</v>
      </c>
      <c r="R800">
        <v>3</v>
      </c>
      <c r="S800" s="7" t="s">
        <v>4585</v>
      </c>
      <c r="U800">
        <v>1</v>
      </c>
      <c r="V800" s="4">
        <v>566</v>
      </c>
      <c r="W800">
        <v>1</v>
      </c>
      <c r="X800" s="4">
        <v>581</v>
      </c>
      <c r="Y800">
        <v>1</v>
      </c>
      <c r="Z800" s="4">
        <v>593</v>
      </c>
      <c r="AA800">
        <v>1</v>
      </c>
      <c r="AB800" s="4" t="str">
        <f>HYPERLINK("http://exon.niaid.nih.gov/transcriptome/C_felis/S1/links/XC-ASB/cf-contig_694-XC-ASB.txt","XC-contig_80")</f>
        <v>XC-contig_80</v>
      </c>
      <c r="AC800">
        <v>0.05</v>
      </c>
      <c r="AD800" s="10" t="s">
        <v>4600</v>
      </c>
      <c r="AE800" t="s">
        <v>4601</v>
      </c>
      <c r="AI800" s="4" t="str">
        <f>HYPERLINK("http://exon.niaid.nih.gov/transcriptome/C_felis/S1/links/NR/cf-contig_694-NR.txt","ApbE family protein")</f>
        <v>ApbE family protein</v>
      </c>
      <c r="AJ800" t="str">
        <f>HYPERLINK("http://www.ncbi.nlm.nih.gov/sutils/blink.cgi?pid=320526974","2.5")</f>
        <v>2.5</v>
      </c>
      <c r="AK800" t="str">
        <f>HYPERLINK("http://www.ncbi.nlm.nih.gov/protein/320526974","gi|320526974")</f>
        <v>gi|320526974</v>
      </c>
      <c r="AL800">
        <v>35.799999999999997</v>
      </c>
      <c r="AM800">
        <v>56</v>
      </c>
      <c r="AN800">
        <v>384</v>
      </c>
      <c r="AO800">
        <v>33</v>
      </c>
      <c r="AP800">
        <v>15</v>
      </c>
      <c r="AQ800">
        <v>38</v>
      </c>
      <c r="AR800">
        <v>4</v>
      </c>
      <c r="AS800">
        <v>54</v>
      </c>
      <c r="AT800">
        <v>258</v>
      </c>
      <c r="AU800">
        <v>1</v>
      </c>
      <c r="AV800">
        <v>3</v>
      </c>
      <c r="AW800" t="s">
        <v>12</v>
      </c>
      <c r="AX800">
        <v>1.786</v>
      </c>
      <c r="AY800" t="s">
        <v>1676</v>
      </c>
      <c r="AZ800" t="s">
        <v>4185</v>
      </c>
      <c r="BA800" s="4" t="str">
        <f>HYPERLINK("http://exon.niaid.nih.gov/transcriptome/C_felis/S1/links/SWISSP/cf-contig_694-SWISSP.txt","RNA helicase NPH-II")</f>
        <v>RNA helicase NPH-II</v>
      </c>
      <c r="BB800" t="str">
        <f>HYPERLINK("http://www.uniprot.org/uniprot/O72904","3.4")</f>
        <v>3.4</v>
      </c>
      <c r="BC800" t="s">
        <v>4186</v>
      </c>
      <c r="BD800">
        <v>30.8</v>
      </c>
      <c r="BE800">
        <v>72</v>
      </c>
      <c r="BF800">
        <v>682</v>
      </c>
      <c r="BG800">
        <v>34</v>
      </c>
      <c r="BH800">
        <v>11</v>
      </c>
      <c r="BI800">
        <v>51</v>
      </c>
      <c r="BJ800">
        <v>0</v>
      </c>
      <c r="BK800">
        <v>515</v>
      </c>
      <c r="BL800">
        <v>185</v>
      </c>
      <c r="BM800">
        <v>1</v>
      </c>
      <c r="BN800">
        <v>-3</v>
      </c>
      <c r="BO800" t="s">
        <v>12</v>
      </c>
      <c r="BP800">
        <v>12.5</v>
      </c>
      <c r="BQ800" t="s">
        <v>1666</v>
      </c>
      <c r="BR800" t="s">
        <v>2054</v>
      </c>
      <c r="BS800" s="4" t="str">
        <f>HYPERLINK("http://exon.niaid.nih.gov/transcriptome/C_felis/S1/links/CDD/cf-contig_694-CDD.txt","ATP6")</f>
        <v>ATP6</v>
      </c>
      <c r="BT800" t="str">
        <f>HYPERLINK("http://www.ncbi.nlm.nih.gov/Structure/cdd/cddsrv.cgi?uid=MTH00087&amp;version=v4.0","0.022")</f>
        <v>0.022</v>
      </c>
      <c r="BU800" t="s">
        <v>4187</v>
      </c>
      <c r="BV800" s="4" t="s">
        <v>42</v>
      </c>
      <c r="BW800" t="s">
        <v>42</v>
      </c>
      <c r="BX800" t="s">
        <v>42</v>
      </c>
      <c r="BY800" t="s">
        <v>42</v>
      </c>
      <c r="BZ800" t="s">
        <v>42</v>
      </c>
      <c r="CA800" t="s">
        <v>42</v>
      </c>
      <c r="CB800" t="s">
        <v>42</v>
      </c>
      <c r="CC800" t="s">
        <v>42</v>
      </c>
      <c r="CD800" t="s">
        <v>42</v>
      </c>
      <c r="CE800" t="s">
        <v>42</v>
      </c>
      <c r="CF800" t="s">
        <v>42</v>
      </c>
      <c r="CG800" t="s">
        <v>42</v>
      </c>
      <c r="CH800" t="s">
        <v>42</v>
      </c>
      <c r="CI800" t="s">
        <v>42</v>
      </c>
      <c r="CJ800" t="s">
        <v>42</v>
      </c>
      <c r="CK800" t="s">
        <v>42</v>
      </c>
      <c r="CL800" t="s">
        <v>42</v>
      </c>
      <c r="CM800" t="s">
        <v>42</v>
      </c>
      <c r="CN800" t="s">
        <v>42</v>
      </c>
      <c r="CO800" t="s">
        <v>42</v>
      </c>
      <c r="CP800" t="s">
        <v>42</v>
      </c>
      <c r="CQ800" t="s">
        <v>42</v>
      </c>
      <c r="CR800" t="s">
        <v>42</v>
      </c>
      <c r="CS800" s="4" t="str">
        <f>HYPERLINK("http://exon.niaid.nih.gov/transcriptome/C_felis/S1/links/KOG/cf-contig_694-KOG.txt","Tumor differentially expressed (TDE) protein")</f>
        <v>Tumor differentially expressed (TDE) protein</v>
      </c>
      <c r="CT800" t="str">
        <f>HYPERLINK("http://www.ncbi.nlm.nih.gov/COG/grace/shokog.cgi?KOG2592","1.1")</f>
        <v>1.1</v>
      </c>
      <c r="CU800" t="s">
        <v>1711</v>
      </c>
      <c r="CV800" s="4" t="str">
        <f>HYPERLINK("http://exon.niaid.nih.gov/transcriptome/C_felis/S1/links/PFAM/cf-contig_694-PFAM.txt","DUF3021")</f>
        <v>DUF3021</v>
      </c>
      <c r="CW800" t="str">
        <f>HYPERLINK("http://pfam.sanger.ac.uk/family?acc=PF11457","0.020")</f>
        <v>0.020</v>
      </c>
      <c r="CX800" s="4" t="str">
        <f>HYPERLINK("http://exon.niaid.nih.gov/transcriptome/C_felis/S1/links/SMART/cf-contig_694-SMART.txt","AgrB")</f>
        <v>AgrB</v>
      </c>
      <c r="CY800" t="str">
        <f>HYPERLINK("http://smart.embl-heidelberg.de/smart/do_annotation.pl?DOMAIN=AgrB&amp;BLAST=DUMMY","0.11")</f>
        <v>0.11</v>
      </c>
      <c r="CZ800" s="4" t="s">
        <v>42</v>
      </c>
      <c r="DA800" t="s">
        <v>42</v>
      </c>
      <c r="DB800" t="s">
        <v>42</v>
      </c>
      <c r="DC800" t="s">
        <v>42</v>
      </c>
      <c r="DD800" t="s">
        <v>42</v>
      </c>
      <c r="DE800" t="s">
        <v>42</v>
      </c>
      <c r="DF800" t="s">
        <v>42</v>
      </c>
      <c r="DG800" t="s">
        <v>42</v>
      </c>
      <c r="DH800" s="4" t="s">
        <v>42</v>
      </c>
      <c r="DI800" t="s">
        <v>42</v>
      </c>
      <c r="DJ800" s="4" t="s">
        <v>42</v>
      </c>
      <c r="DK800" t="s">
        <v>42</v>
      </c>
      <c r="DL800" s="4">
        <v>566</v>
      </c>
      <c r="DM800">
        <v>1</v>
      </c>
      <c r="DN800" s="4">
        <v>581</v>
      </c>
      <c r="DO800">
        <v>1</v>
      </c>
      <c r="DP800" s="4">
        <v>593</v>
      </c>
      <c r="DQ800">
        <v>1</v>
      </c>
      <c r="DR800" s="4">
        <v>614</v>
      </c>
      <c r="DS800">
        <v>1</v>
      </c>
      <c r="DT800" s="4">
        <v>628</v>
      </c>
      <c r="DU800">
        <v>1</v>
      </c>
      <c r="DV800" s="4">
        <v>643</v>
      </c>
      <c r="DW800">
        <v>1</v>
      </c>
      <c r="DX800" s="4">
        <v>652</v>
      </c>
      <c r="DY800">
        <v>1</v>
      </c>
      <c r="DZ800" s="4">
        <v>662</v>
      </c>
      <c r="EA800">
        <v>1</v>
      </c>
      <c r="EB800" s="4">
        <v>667</v>
      </c>
      <c r="EC800">
        <v>1</v>
      </c>
      <c r="ED800" s="4">
        <v>671</v>
      </c>
      <c r="EE800">
        <v>1</v>
      </c>
      <c r="EF800" s="4">
        <v>677</v>
      </c>
      <c r="EG800">
        <v>1</v>
      </c>
      <c r="EH800" s="4">
        <v>685</v>
      </c>
      <c r="EI800">
        <v>1</v>
      </c>
      <c r="EJ800" s="4">
        <v>694</v>
      </c>
      <c r="EK800">
        <v>1</v>
      </c>
    </row>
    <row r="801" spans="1:141" x14ac:dyDescent="0.2">
      <c r="A801" t="str">
        <f>HYPERLINK("http://exon.niaid.nih.gov/transcriptome/C_felis/S1/links/cf/cf-contig_615.txt","cf-contig_615")</f>
        <v>cf-contig_615</v>
      </c>
      <c r="B801">
        <v>1</v>
      </c>
      <c r="C801" s="10" t="s">
        <v>4600</v>
      </c>
      <c r="D801">
        <v>1</v>
      </c>
      <c r="E801" t="str">
        <f>HYPERLINK("http://exon.niaid.nih.gov/transcriptome/C_felis/S1/links/cf/cf-5-36-asb-615.txt","Contig-615")</f>
        <v>Contig-615</v>
      </c>
      <c r="F801" t="str">
        <f>HYPERLINK("http://exon.niaid.nih.gov/transcriptome/C_felis/S1/links/cf/cf-5-36-615-CLU.txt","Contig615")</f>
        <v>Contig615</v>
      </c>
      <c r="G801" t="str">
        <f>HYPERLINK("http://exon.niaid.nih.gov/transcriptome/C_felis/S1/links/cf/cf-5-36-615-qual.txt","54.1")</f>
        <v>54.1</v>
      </c>
      <c r="H801" t="s">
        <v>11</v>
      </c>
      <c r="I801">
        <v>75.900000000000006</v>
      </c>
      <c r="J801">
        <v>276</v>
      </c>
      <c r="K801" t="s">
        <v>12</v>
      </c>
      <c r="L801">
        <v>1</v>
      </c>
      <c r="M801" t="s">
        <v>628</v>
      </c>
      <c r="N801">
        <v>276</v>
      </c>
      <c r="O801">
        <v>295</v>
      </c>
      <c r="P801">
        <v>129</v>
      </c>
      <c r="Q801" t="s">
        <v>1434</v>
      </c>
      <c r="R801">
        <v>2</v>
      </c>
      <c r="S801" s="7" t="s">
        <v>4585</v>
      </c>
      <c r="U801">
        <v>1</v>
      </c>
      <c r="V801" s="4">
        <v>501</v>
      </c>
      <c r="W801">
        <v>1</v>
      </c>
      <c r="X801" s="4">
        <v>513</v>
      </c>
      <c r="Y801">
        <v>1</v>
      </c>
      <c r="Z801" s="4">
        <v>523</v>
      </c>
      <c r="AA801">
        <v>1</v>
      </c>
      <c r="AB801" s="4" t="str">
        <f>HYPERLINK("http://exon.niaid.nih.gov/transcriptome/C_felis/S1/links/XC-ASB/cf-contig_615-XC-ASB.txt","XC-contig_225")</f>
        <v>XC-contig_225</v>
      </c>
      <c r="AC801">
        <v>0.04</v>
      </c>
      <c r="AD801" s="10" t="s">
        <v>4600</v>
      </c>
      <c r="AE801" t="s">
        <v>4601</v>
      </c>
      <c r="AI801" s="4" t="str">
        <f>HYPERLINK("http://exon.niaid.nih.gov/transcriptome/C_felis/S1/links/NR/cf-contig_615-NR.txt","hypothetical protein SORBIDRAFT_02g036255")</f>
        <v>hypothetical protein SORBIDRAFT_02g036255</v>
      </c>
      <c r="AJ801" t="str">
        <f>HYPERLINK("http://www.ncbi.nlm.nih.gov/sutils/blink.cgi?pid=242045960","9.5")</f>
        <v>9.5</v>
      </c>
      <c r="AK801" t="str">
        <f>HYPERLINK("http://www.ncbi.nlm.nih.gov/protein/242045960","gi|242045960")</f>
        <v>gi|242045960</v>
      </c>
      <c r="AL801">
        <v>33.9</v>
      </c>
      <c r="AM801">
        <v>60</v>
      </c>
      <c r="AN801">
        <v>76</v>
      </c>
      <c r="AO801">
        <v>29</v>
      </c>
      <c r="AP801">
        <v>80</v>
      </c>
      <c r="AQ801">
        <v>44</v>
      </c>
      <c r="AR801">
        <v>0</v>
      </c>
      <c r="AS801">
        <v>1</v>
      </c>
      <c r="AT801">
        <v>21</v>
      </c>
      <c r="AU801">
        <v>1</v>
      </c>
      <c r="AV801">
        <v>3</v>
      </c>
      <c r="AW801" t="s">
        <v>12</v>
      </c>
      <c r="AX801">
        <v>6.6669999999999998</v>
      </c>
      <c r="AY801" t="s">
        <v>1676</v>
      </c>
      <c r="AZ801" t="s">
        <v>2640</v>
      </c>
      <c r="BA801" s="4" t="str">
        <f>HYPERLINK("http://exon.niaid.nih.gov/transcriptome/C_felis/S1/links/SWISSP/cf-contig_615-SWISSP.txt","Lipoprotein signal peptidase")</f>
        <v>Lipoprotein signal peptidase</v>
      </c>
      <c r="BB801" t="str">
        <f>HYPERLINK("http://www.uniprot.org/uniprot/B6JPH7","2.2")</f>
        <v>2.2</v>
      </c>
      <c r="BC801" t="s">
        <v>3933</v>
      </c>
      <c r="BD801">
        <v>31.2</v>
      </c>
      <c r="BE801">
        <v>31</v>
      </c>
      <c r="BF801">
        <v>157</v>
      </c>
      <c r="BG801">
        <v>40</v>
      </c>
      <c r="BH801">
        <v>20</v>
      </c>
      <c r="BI801">
        <v>19</v>
      </c>
      <c r="BJ801">
        <v>0</v>
      </c>
      <c r="BK801">
        <v>2</v>
      </c>
      <c r="BL801">
        <v>92</v>
      </c>
      <c r="BM801">
        <v>1</v>
      </c>
      <c r="BN801">
        <v>2</v>
      </c>
      <c r="BO801" t="s">
        <v>12</v>
      </c>
      <c r="BQ801" t="s">
        <v>1676</v>
      </c>
      <c r="BR801" t="s">
        <v>3934</v>
      </c>
      <c r="BS801" s="4" t="str">
        <f>HYPERLINK("http://exon.niaid.nih.gov/transcriptome/C_felis/S1/links/CDD/cf-contig_615-CDD.txt","ND5")</f>
        <v>ND5</v>
      </c>
      <c r="BT801" t="str">
        <f>HYPERLINK("http://www.ncbi.nlm.nih.gov/Structure/cdd/cddsrv.cgi?uid=MTH00165&amp;version=v4.0","0.24")</f>
        <v>0.24</v>
      </c>
      <c r="BU801" t="s">
        <v>3935</v>
      </c>
      <c r="BV801" s="4" t="s">
        <v>42</v>
      </c>
      <c r="BW801" t="s">
        <v>42</v>
      </c>
      <c r="BX801" t="s">
        <v>42</v>
      </c>
      <c r="BY801" t="s">
        <v>42</v>
      </c>
      <c r="BZ801" t="s">
        <v>42</v>
      </c>
      <c r="CA801" t="s">
        <v>42</v>
      </c>
      <c r="CB801" t="s">
        <v>42</v>
      </c>
      <c r="CC801" t="s">
        <v>42</v>
      </c>
      <c r="CD801" t="s">
        <v>42</v>
      </c>
      <c r="CE801" t="s">
        <v>42</v>
      </c>
      <c r="CF801" t="s">
        <v>42</v>
      </c>
      <c r="CG801" t="s">
        <v>42</v>
      </c>
      <c r="CH801" t="s">
        <v>42</v>
      </c>
      <c r="CI801" t="s">
        <v>42</v>
      </c>
      <c r="CJ801" t="s">
        <v>42</v>
      </c>
      <c r="CK801" t="s">
        <v>42</v>
      </c>
      <c r="CL801" t="s">
        <v>42</v>
      </c>
      <c r="CM801" t="s">
        <v>42</v>
      </c>
      <c r="CN801" t="s">
        <v>42</v>
      </c>
      <c r="CO801" t="s">
        <v>42</v>
      </c>
      <c r="CP801" t="s">
        <v>42</v>
      </c>
      <c r="CQ801" t="s">
        <v>42</v>
      </c>
      <c r="CR801" t="s">
        <v>42</v>
      </c>
      <c r="CS801" s="4" t="str">
        <f>HYPERLINK("http://exon.niaid.nih.gov/transcriptome/C_felis/S1/links/KOG/cf-contig_615-KOG.txt","Predicted integral membrane protein")</f>
        <v>Predicted integral membrane protein</v>
      </c>
      <c r="CT801" t="str">
        <f>HYPERLINK("http://www.ncbi.nlm.nih.gov/COG/grace/shokog.cgi?KOG1443","0.65")</f>
        <v>0.65</v>
      </c>
      <c r="CU801" t="s">
        <v>1711</v>
      </c>
      <c r="CV801" s="4" t="str">
        <f>HYPERLINK("http://exon.niaid.nih.gov/transcriptome/C_felis/S1/links/PFAM/cf-contig_615-PFAM.txt","K-box")</f>
        <v>K-box</v>
      </c>
      <c r="CW801" t="str">
        <f>HYPERLINK("http://pfam.sanger.ac.uk/family?acc=PF01486","0.072")</f>
        <v>0.072</v>
      </c>
      <c r="CX801" s="4" t="str">
        <f>HYPERLINK("http://exon.niaid.nih.gov/transcriptome/C_felis/S1/links/SMART/cf-contig_615-SMART.txt","TLC")</f>
        <v>TLC</v>
      </c>
      <c r="CY801" t="str">
        <f>HYPERLINK("http://smart.embl-heidelberg.de/smart/do_annotation.pl?DOMAIN=TLC&amp;BLAST=DUMMY","0.022")</f>
        <v>0.022</v>
      </c>
      <c r="CZ801" s="4" t="s">
        <v>42</v>
      </c>
      <c r="DA801" t="s">
        <v>42</v>
      </c>
      <c r="DB801" t="s">
        <v>42</v>
      </c>
      <c r="DC801" t="s">
        <v>42</v>
      </c>
      <c r="DD801" t="s">
        <v>42</v>
      </c>
      <c r="DE801" t="s">
        <v>42</v>
      </c>
      <c r="DF801" t="s">
        <v>42</v>
      </c>
      <c r="DG801" t="s">
        <v>42</v>
      </c>
      <c r="DH801" s="4" t="s">
        <v>42</v>
      </c>
      <c r="DI801" t="s">
        <v>42</v>
      </c>
      <c r="DJ801" s="4" t="s">
        <v>42</v>
      </c>
      <c r="DK801" t="s">
        <v>42</v>
      </c>
      <c r="DL801" s="4">
        <v>501</v>
      </c>
      <c r="DM801">
        <v>1</v>
      </c>
      <c r="DN801" s="4">
        <v>513</v>
      </c>
      <c r="DO801">
        <v>1</v>
      </c>
      <c r="DP801" s="4">
        <v>523</v>
      </c>
      <c r="DQ801">
        <v>1</v>
      </c>
      <c r="DR801" s="4">
        <v>542</v>
      </c>
      <c r="DS801">
        <v>1</v>
      </c>
      <c r="DT801" s="4">
        <v>554</v>
      </c>
      <c r="DU801">
        <v>1</v>
      </c>
      <c r="DV801" s="4">
        <v>568</v>
      </c>
      <c r="DW801">
        <v>1</v>
      </c>
      <c r="DX801" s="4">
        <v>577</v>
      </c>
      <c r="DY801">
        <v>1</v>
      </c>
      <c r="DZ801" s="4">
        <v>585</v>
      </c>
      <c r="EA801">
        <v>1</v>
      </c>
      <c r="EB801" s="4">
        <v>590</v>
      </c>
      <c r="EC801">
        <v>1</v>
      </c>
      <c r="ED801" s="4">
        <v>594</v>
      </c>
      <c r="EE801">
        <v>1</v>
      </c>
      <c r="EF801" s="4">
        <v>600</v>
      </c>
      <c r="EG801">
        <v>1</v>
      </c>
      <c r="EH801" s="4">
        <v>608</v>
      </c>
      <c r="EI801">
        <v>1</v>
      </c>
      <c r="EJ801" s="4">
        <v>615</v>
      </c>
      <c r="EK801">
        <v>1</v>
      </c>
    </row>
    <row r="802" spans="1:141" x14ac:dyDescent="0.2">
      <c r="A802" t="str">
        <f>HYPERLINK("http://exon.niaid.nih.gov/transcriptome/C_felis/S1/links/cf/cf-contig_267.txt","cf-contig_267")</f>
        <v>cf-contig_267</v>
      </c>
      <c r="B802">
        <v>1</v>
      </c>
      <c r="C802" s="10" t="s">
        <v>4600</v>
      </c>
      <c r="D802">
        <v>1</v>
      </c>
      <c r="E802" t="str">
        <f>HYPERLINK("http://exon.niaid.nih.gov/transcriptome/C_felis/S1/links/cf/cf-5-36-asb-267.txt","Contig-267")</f>
        <v>Contig-267</v>
      </c>
      <c r="F802" t="str">
        <f>HYPERLINK("http://exon.niaid.nih.gov/transcriptome/C_felis/S1/links/cf/cf-5-36-267-CLU.txt","Contig267")</f>
        <v>Contig267</v>
      </c>
      <c r="G802" t="str">
        <f>HYPERLINK("http://exon.niaid.nih.gov/transcriptome/C_felis/S1/links/cf/cf-5-36-267-qual.txt","34.7")</f>
        <v>34.7</v>
      </c>
      <c r="H802">
        <v>2.8</v>
      </c>
      <c r="I802">
        <v>60.2</v>
      </c>
      <c r="J802">
        <v>89</v>
      </c>
      <c r="K802" t="s">
        <v>12</v>
      </c>
      <c r="L802">
        <v>1</v>
      </c>
      <c r="M802" t="s">
        <v>280</v>
      </c>
      <c r="N802">
        <v>89</v>
      </c>
      <c r="O802">
        <v>108</v>
      </c>
      <c r="P802">
        <v>105</v>
      </c>
      <c r="Q802" t="s">
        <v>1087</v>
      </c>
      <c r="R802">
        <v>2</v>
      </c>
      <c r="S802" s="7" t="s">
        <v>4585</v>
      </c>
      <c r="U802">
        <v>1</v>
      </c>
      <c r="V802" s="4">
        <f>HYPERLINK("http://exon.niaid.nih.gov/transcriptome/C_felis/S1/links/cluster/cf-5-36-asb30-50-Id-CLU60.txt", 60)</f>
        <v>60</v>
      </c>
      <c r="W802">
        <f>HYPERLINK("http://exon.niaid.nih.gov/transcriptome/C_felis/S1/links/cluster/cf-5-36-asb30-50-Id-CLTL60.txt", 2)</f>
        <v>2</v>
      </c>
      <c r="X802" s="4">
        <f>HYPERLINK("http://exon.niaid.nih.gov/transcriptome/C_felis/S1/links/cluster/cf-5-36-asb35-50-Id-CLU53.txt", 53)</f>
        <v>53</v>
      </c>
      <c r="Y802">
        <f>HYPERLINK("http://exon.niaid.nih.gov/transcriptome/C_felis/S1/links/cluster/cf-5-36-asb35-50-Id-CLTL53.txt", 2)</f>
        <v>2</v>
      </c>
      <c r="Z802" s="4">
        <v>216</v>
      </c>
      <c r="AA802">
        <v>1</v>
      </c>
      <c r="AB802" s="4" t="str">
        <f>HYPERLINK("http://exon.niaid.nih.gov/transcriptome/C_felis/S1/links/XC-ASB/cf-contig_267-XC-ASB.txt","XC-contig_181")</f>
        <v>XC-contig_181</v>
      </c>
      <c r="AC802">
        <v>0.16</v>
      </c>
      <c r="AD802" s="10" t="s">
        <v>4600</v>
      </c>
      <c r="AE802" t="s">
        <v>4601</v>
      </c>
      <c r="AI802" s="4" t="str">
        <f>HYPERLINK("http://exon.niaid.nih.gov/transcriptome/C_felis/S1/links/NR/cf-contig_267-NR.txt","hypothetical protein SORBIDRAFT_04g028700")</f>
        <v>hypothetical protein SORBIDRAFT_04g028700</v>
      </c>
      <c r="AJ802" t="str">
        <f>HYPERLINK("http://www.ncbi.nlm.nih.gov/sutils/blink.cgi?pid=242066070","82")</f>
        <v>82</v>
      </c>
      <c r="AK802" t="str">
        <f>HYPERLINK("http://www.ncbi.nlm.nih.gov/protein/242066070","gi|242066070")</f>
        <v>gi|242066070</v>
      </c>
      <c r="AL802">
        <v>30.8</v>
      </c>
      <c r="AM802">
        <v>23</v>
      </c>
      <c r="AN802">
        <v>446</v>
      </c>
      <c r="AO802">
        <v>45</v>
      </c>
      <c r="AP802">
        <v>5</v>
      </c>
      <c r="AQ802">
        <v>13</v>
      </c>
      <c r="AR802">
        <v>0</v>
      </c>
      <c r="AS802">
        <v>38</v>
      </c>
      <c r="AT802">
        <v>3</v>
      </c>
      <c r="AU802">
        <v>1</v>
      </c>
      <c r="AV802">
        <v>-2</v>
      </c>
      <c r="AW802" t="s">
        <v>12</v>
      </c>
      <c r="AY802" t="s">
        <v>1666</v>
      </c>
      <c r="AZ802" t="s">
        <v>2640</v>
      </c>
      <c r="BA802" s="4" t="str">
        <f>HYPERLINK("http://exon.niaid.nih.gov/transcriptome/C_felis/S1/links/SWISSP/cf-contig_267-SWISSP.txt","Inner membrane protein oxaA")</f>
        <v>Inner membrane protein oxaA</v>
      </c>
      <c r="BB802" t="str">
        <f>HYPERLINK("http://www.uniprot.org/uniprot/Q13SH4","91")</f>
        <v>91</v>
      </c>
      <c r="BC802" t="s">
        <v>2641</v>
      </c>
      <c r="BD802">
        <v>25.8</v>
      </c>
      <c r="BE802">
        <v>19</v>
      </c>
      <c r="BF802">
        <v>552</v>
      </c>
      <c r="BG802">
        <v>50</v>
      </c>
      <c r="BH802">
        <v>4</v>
      </c>
      <c r="BI802">
        <v>10</v>
      </c>
      <c r="BJ802">
        <v>2</v>
      </c>
      <c r="BK802">
        <v>17</v>
      </c>
      <c r="BL802">
        <v>25</v>
      </c>
      <c r="BM802">
        <v>1</v>
      </c>
      <c r="BN802">
        <v>-1</v>
      </c>
      <c r="BO802" t="s">
        <v>12</v>
      </c>
      <c r="BQ802" t="s">
        <v>1666</v>
      </c>
      <c r="BR802" t="s">
        <v>2642</v>
      </c>
      <c r="BS802" s="4" t="s">
        <v>42</v>
      </c>
      <c r="BT802" t="s">
        <v>42</v>
      </c>
      <c r="BU802" t="s">
        <v>42</v>
      </c>
      <c r="BV802" s="4" t="s">
        <v>42</v>
      </c>
      <c r="BW802" t="s">
        <v>42</v>
      </c>
      <c r="BX802" t="s">
        <v>42</v>
      </c>
      <c r="BY802" t="s">
        <v>42</v>
      </c>
      <c r="BZ802" t="s">
        <v>42</v>
      </c>
      <c r="CA802" t="s">
        <v>42</v>
      </c>
      <c r="CB802" t="s">
        <v>42</v>
      </c>
      <c r="CC802" t="s">
        <v>42</v>
      </c>
      <c r="CD802" t="s">
        <v>42</v>
      </c>
      <c r="CE802" t="s">
        <v>42</v>
      </c>
      <c r="CF802" t="s">
        <v>42</v>
      </c>
      <c r="CG802" t="s">
        <v>42</v>
      </c>
      <c r="CH802" t="s">
        <v>42</v>
      </c>
      <c r="CI802" t="s">
        <v>42</v>
      </c>
      <c r="CJ802" t="s">
        <v>42</v>
      </c>
      <c r="CK802" t="s">
        <v>42</v>
      </c>
      <c r="CL802" t="s">
        <v>42</v>
      </c>
      <c r="CM802" t="s">
        <v>42</v>
      </c>
      <c r="CN802" t="s">
        <v>42</v>
      </c>
      <c r="CO802" t="s">
        <v>42</v>
      </c>
      <c r="CP802" t="s">
        <v>42</v>
      </c>
      <c r="CQ802" t="s">
        <v>42</v>
      </c>
      <c r="CR802" t="s">
        <v>42</v>
      </c>
      <c r="CS802" s="4" t="str">
        <f>HYPERLINK("http://exon.niaid.nih.gov/transcriptome/C_felis/S1/links/KOG/cf-contig_267-KOG.txt","Cis-prenyltransferase")</f>
        <v>Cis-prenyltransferase</v>
      </c>
      <c r="CT802" t="str">
        <f>HYPERLINK("http://www.ncbi.nlm.nih.gov/COG/grace/shokog.cgi?KOG1602","4.4")</f>
        <v>4.4</v>
      </c>
      <c r="CU802" t="s">
        <v>1761</v>
      </c>
      <c r="CV802" s="4" t="str">
        <f>HYPERLINK("http://exon.niaid.nih.gov/transcriptome/C_felis/S1/links/PFAM/cf-contig_267-PFAM.txt","Adeno_IVa2")</f>
        <v>Adeno_IVa2</v>
      </c>
      <c r="CW802" t="str">
        <f>HYPERLINK("http://pfam.sanger.ac.uk/family?acc=PF02456","4.8")</f>
        <v>4.8</v>
      </c>
      <c r="CX802" s="4" t="str">
        <f>HYPERLINK("http://exon.niaid.nih.gov/transcriptome/C_felis/S1/links/SMART/cf-contig_267-SMART.txt","SCP")</f>
        <v>SCP</v>
      </c>
      <c r="CY802" t="str">
        <f>HYPERLINK("http://smart.embl-heidelberg.de/smart/do_annotation.pl?DOMAIN=SCP&amp;BLAST=DUMMY","0.51")</f>
        <v>0.51</v>
      </c>
      <c r="CZ802" s="4" t="s">
        <v>42</v>
      </c>
      <c r="DA802" t="s">
        <v>42</v>
      </c>
      <c r="DB802" t="s">
        <v>42</v>
      </c>
      <c r="DC802" t="s">
        <v>42</v>
      </c>
      <c r="DD802" t="s">
        <v>42</v>
      </c>
      <c r="DE802" t="s">
        <v>42</v>
      </c>
      <c r="DF802" t="s">
        <v>42</v>
      </c>
      <c r="DG802" t="s">
        <v>42</v>
      </c>
      <c r="DH802" s="4" t="s">
        <v>42</v>
      </c>
      <c r="DI802" t="s">
        <v>42</v>
      </c>
      <c r="DJ802" s="4" t="s">
        <v>42</v>
      </c>
      <c r="DK802" t="s">
        <v>42</v>
      </c>
      <c r="DL802" s="4">
        <f>HYPERLINK("http://exon.niaid.nih.gov/transcriptome/C_felis/S1/links/cluster/cf-5-36-asb30-50-Id-CLU60.txt", 60)</f>
        <v>60</v>
      </c>
      <c r="DM802">
        <f>HYPERLINK("http://exon.niaid.nih.gov/transcriptome/C_felis/S1/links/cluster/cf-5-36-asb30-50-Id-CLTL60.txt", 2)</f>
        <v>2</v>
      </c>
      <c r="DN802" s="4">
        <f>HYPERLINK("http://exon.niaid.nih.gov/transcriptome/C_felis/S1/links/cluster/cf-5-36-asb35-50-Id-CLU53.txt", 53)</f>
        <v>53</v>
      </c>
      <c r="DO802">
        <f>HYPERLINK("http://exon.niaid.nih.gov/transcriptome/C_felis/S1/links/cluster/cf-5-36-asb35-50-Id-CLTL53.txt", 2)</f>
        <v>2</v>
      </c>
      <c r="DP802" s="4">
        <v>216</v>
      </c>
      <c r="DQ802">
        <v>1</v>
      </c>
      <c r="DR802" s="4">
        <v>225</v>
      </c>
      <c r="DS802">
        <v>1</v>
      </c>
      <c r="DT802" s="4">
        <v>231</v>
      </c>
      <c r="DU802">
        <v>1</v>
      </c>
      <c r="DV802" s="4">
        <v>243</v>
      </c>
      <c r="DW802">
        <v>1</v>
      </c>
      <c r="DX802" s="4">
        <v>245</v>
      </c>
      <c r="DY802">
        <v>1</v>
      </c>
      <c r="DZ802" s="4">
        <v>249</v>
      </c>
      <c r="EA802">
        <v>1</v>
      </c>
      <c r="EB802" s="4">
        <v>254</v>
      </c>
      <c r="EC802">
        <v>1</v>
      </c>
      <c r="ED802" s="4">
        <v>257</v>
      </c>
      <c r="EE802">
        <v>1</v>
      </c>
      <c r="EF802" s="4">
        <v>260</v>
      </c>
      <c r="EG802">
        <v>1</v>
      </c>
      <c r="EH802" s="4">
        <v>262</v>
      </c>
      <c r="EI802">
        <v>1</v>
      </c>
      <c r="EJ802" s="4">
        <v>267</v>
      </c>
      <c r="EK802">
        <v>1</v>
      </c>
    </row>
    <row r="803" spans="1:141" x14ac:dyDescent="0.2">
      <c r="A803" t="str">
        <f>HYPERLINK("http://exon.niaid.nih.gov/transcriptome/C_felis/S1/links/cf/cf-contig_226.txt","cf-contig_226")</f>
        <v>cf-contig_226</v>
      </c>
      <c r="B803">
        <v>1</v>
      </c>
      <c r="C803" s="10" t="s">
        <v>4600</v>
      </c>
      <c r="D803">
        <v>1</v>
      </c>
      <c r="E803" t="str">
        <f>HYPERLINK("http://exon.niaid.nih.gov/transcriptome/C_felis/S1/links/cf/cf-5-36-asb-226.txt","Contig-226")</f>
        <v>Contig-226</v>
      </c>
      <c r="F803" t="str">
        <f>HYPERLINK("http://exon.niaid.nih.gov/transcriptome/C_felis/S1/links/cf/cf-5-36-226-CLU.txt","Contig226")</f>
        <v>Contig226</v>
      </c>
      <c r="G803" t="str">
        <f>HYPERLINK("http://exon.niaid.nih.gov/transcriptome/C_felis/S1/links/cf/cf-5-36-226-qual.txt","64.8")</f>
        <v>64.8</v>
      </c>
      <c r="H803" t="s">
        <v>11</v>
      </c>
      <c r="I803">
        <v>57.4</v>
      </c>
      <c r="J803">
        <v>357</v>
      </c>
      <c r="K803" t="s">
        <v>12</v>
      </c>
      <c r="L803">
        <v>1</v>
      </c>
      <c r="M803" t="s">
        <v>239</v>
      </c>
      <c r="N803">
        <v>357</v>
      </c>
      <c r="O803">
        <v>376</v>
      </c>
      <c r="P803">
        <v>192</v>
      </c>
      <c r="Q803" t="s">
        <v>1046</v>
      </c>
      <c r="R803">
        <v>2</v>
      </c>
      <c r="S803" s="7" t="s">
        <v>4585</v>
      </c>
      <c r="U803">
        <v>1</v>
      </c>
      <c r="V803" s="4">
        <f>HYPERLINK("http://exon.niaid.nih.gov/transcriptome/C_felis/S1/links/cluster/cf-5-36-asb30-50-Id-CLU55.txt", 55)</f>
        <v>55</v>
      </c>
      <c r="W803">
        <f>HYPERLINK("http://exon.niaid.nih.gov/transcriptome/C_felis/S1/links/cluster/cf-5-36-asb30-50-Id-CLTL55.txt", 2)</f>
        <v>2</v>
      </c>
      <c r="X803" s="4">
        <f>HYPERLINK("http://exon.niaid.nih.gov/transcriptome/C_felis/S1/links/cluster/cf-5-36-asb35-50-Id-CLU48.txt", 48)</f>
        <v>48</v>
      </c>
      <c r="Y803">
        <f>HYPERLINK("http://exon.niaid.nih.gov/transcriptome/C_felis/S1/links/cluster/cf-5-36-asb35-50-Id-CLTL48.txt", 2)</f>
        <v>2</v>
      </c>
      <c r="Z803" s="4">
        <f>HYPERLINK("http://exon.niaid.nih.gov/transcriptome/C_felis/S1/links/cluster/cf-5-36-asb40-50-Id-CLU45.txt", 45)</f>
        <v>45</v>
      </c>
      <c r="AA803">
        <f>HYPERLINK("http://exon.niaid.nih.gov/transcriptome/C_felis/S1/links/cluster/cf-5-36-asb40-50-Id-CLTL45.txt", 2)</f>
        <v>2</v>
      </c>
      <c r="AB803" s="4" t="str">
        <f>HYPERLINK("http://exon.niaid.nih.gov/transcriptome/C_felis/S1/links/XC-ASB/cf-contig_226-XC-ASB.txt","XC-contig_96")</f>
        <v>XC-contig_96</v>
      </c>
      <c r="AC803">
        <v>0.38</v>
      </c>
      <c r="AD803" s="10" t="s">
        <v>4600</v>
      </c>
      <c r="AE803" t="s">
        <v>4601</v>
      </c>
      <c r="AI803" s="4" t="str">
        <f>HYPERLINK("http://exon.niaid.nih.gov/transcriptome/C_felis/S1/links/NR/cf-contig_226-NR.txt","oligoendopeptidase, pepF/M3 family")</f>
        <v>oligoendopeptidase, pepF/M3 family</v>
      </c>
      <c r="AJ803" t="str">
        <f>HYPERLINK("http://www.ncbi.nlm.nih.gov/sutils/blink.cgi?pid=325970638","5.6")</f>
        <v>5.6</v>
      </c>
      <c r="AK803" t="str">
        <f>HYPERLINK("http://www.ncbi.nlm.nih.gov/protein/325970638","gi|325970638")</f>
        <v>gi|325970638</v>
      </c>
      <c r="AL803">
        <v>34.700000000000003</v>
      </c>
      <c r="AM803">
        <v>28</v>
      </c>
      <c r="AN803">
        <v>581</v>
      </c>
      <c r="AO803">
        <v>44</v>
      </c>
      <c r="AP803">
        <v>5</v>
      </c>
      <c r="AQ803">
        <v>16</v>
      </c>
      <c r="AR803">
        <v>0</v>
      </c>
      <c r="AS803">
        <v>323</v>
      </c>
      <c r="AT803">
        <v>45</v>
      </c>
      <c r="AU803">
        <v>1</v>
      </c>
      <c r="AV803">
        <v>3</v>
      </c>
      <c r="AW803" t="s">
        <v>12</v>
      </c>
      <c r="AX803">
        <v>3.5710000000000002</v>
      </c>
      <c r="AY803" t="s">
        <v>1676</v>
      </c>
      <c r="AZ803" t="s">
        <v>2516</v>
      </c>
      <c r="BA803" s="4" t="str">
        <f>HYPERLINK("http://exon.niaid.nih.gov/transcriptome/C_felis/S1/links/SWISSP/cf-contig_226-SWISSP.txt","Uncharacterized protein TP_0172")</f>
        <v>Uncharacterized protein TP_0172</v>
      </c>
      <c r="BB803" t="str">
        <f>HYPERLINK("http://www.uniprot.org/uniprot/O83202","8.0")</f>
        <v>8.0</v>
      </c>
      <c r="BC803" t="s">
        <v>2517</v>
      </c>
      <c r="BD803">
        <v>29.3</v>
      </c>
      <c r="BE803">
        <v>50</v>
      </c>
      <c r="BF803">
        <v>175</v>
      </c>
      <c r="BG803">
        <v>33</v>
      </c>
      <c r="BH803">
        <v>29</v>
      </c>
      <c r="BI803">
        <v>35</v>
      </c>
      <c r="BJ803">
        <v>0</v>
      </c>
      <c r="BK803">
        <v>1</v>
      </c>
      <c r="BL803">
        <v>25</v>
      </c>
      <c r="BM803">
        <v>1</v>
      </c>
      <c r="BN803">
        <v>-2</v>
      </c>
      <c r="BO803" t="s">
        <v>12</v>
      </c>
      <c r="BP803">
        <v>8</v>
      </c>
      <c r="BQ803" t="s">
        <v>1666</v>
      </c>
      <c r="BR803" t="s">
        <v>2518</v>
      </c>
      <c r="BS803" s="4" t="str">
        <f>HYPERLINK("http://exon.niaid.nih.gov/transcriptome/C_felis/S1/links/CDD/cf-contig_226-CDD.txt","entE")</f>
        <v>entE</v>
      </c>
      <c r="BT803" t="str">
        <f>HYPERLINK("http://www.ncbi.nlm.nih.gov/Structure/cdd/cddsrv.cgi?uid=PRK10946&amp;version=v4.0","0.59")</f>
        <v>0.59</v>
      </c>
      <c r="BU803" t="s">
        <v>2519</v>
      </c>
      <c r="BV803" s="4" t="s">
        <v>42</v>
      </c>
      <c r="BW803" t="s">
        <v>42</v>
      </c>
      <c r="BX803" t="s">
        <v>42</v>
      </c>
      <c r="BY803" t="s">
        <v>42</v>
      </c>
      <c r="BZ803" t="s">
        <v>42</v>
      </c>
      <c r="CA803" t="s">
        <v>42</v>
      </c>
      <c r="CB803" t="s">
        <v>42</v>
      </c>
      <c r="CC803" t="s">
        <v>42</v>
      </c>
      <c r="CD803" t="s">
        <v>42</v>
      </c>
      <c r="CE803" t="s">
        <v>42</v>
      </c>
      <c r="CF803" t="s">
        <v>42</v>
      </c>
      <c r="CG803" t="s">
        <v>42</v>
      </c>
      <c r="CH803" t="s">
        <v>42</v>
      </c>
      <c r="CI803" t="s">
        <v>42</v>
      </c>
      <c r="CJ803" t="s">
        <v>42</v>
      </c>
      <c r="CK803" t="s">
        <v>42</v>
      </c>
      <c r="CL803" t="s">
        <v>42</v>
      </c>
      <c r="CM803" t="s">
        <v>42</v>
      </c>
      <c r="CN803" t="s">
        <v>42</v>
      </c>
      <c r="CO803" t="s">
        <v>42</v>
      </c>
      <c r="CP803" t="s">
        <v>42</v>
      </c>
      <c r="CQ803" t="s">
        <v>42</v>
      </c>
      <c r="CR803" t="s">
        <v>42</v>
      </c>
      <c r="CS803" s="4" t="str">
        <f>HYPERLINK("http://exon.niaid.nih.gov/transcriptome/C_felis/S1/links/KOG/cf-contig_226-KOG.txt","DNA repair protein RHP57")</f>
        <v>DNA repair protein RHP57</v>
      </c>
      <c r="CT803" t="str">
        <f>HYPERLINK("http://www.ncbi.nlm.nih.gov/COG/grace/shokog.cgi?KOG1564","0.14")</f>
        <v>0.14</v>
      </c>
      <c r="CU803" t="s">
        <v>2520</v>
      </c>
      <c r="CV803" s="4" t="str">
        <f>HYPERLINK("http://exon.niaid.nih.gov/transcriptome/C_felis/S1/links/PFAM/cf-contig_226-PFAM.txt","NTNH_C")</f>
        <v>NTNH_C</v>
      </c>
      <c r="CW803" t="str">
        <f>HYPERLINK("http://pfam.sanger.ac.uk/family?acc=PF08470","0.85")</f>
        <v>0.85</v>
      </c>
      <c r="CX803" s="4" t="str">
        <f>HYPERLINK("http://exon.niaid.nih.gov/transcriptome/C_felis/S1/links/SMART/cf-contig_226-SMART.txt","Pept_C1")</f>
        <v>Pept_C1</v>
      </c>
      <c r="CY803" t="str">
        <f>HYPERLINK("http://smart.embl-heidelberg.de/smart/do_annotation.pl?DOMAIN=Pept_C1&amp;BLAST=DUMMY","0.40")</f>
        <v>0.40</v>
      </c>
      <c r="CZ803" s="4" t="s">
        <v>42</v>
      </c>
      <c r="DA803" t="s">
        <v>42</v>
      </c>
      <c r="DB803" t="s">
        <v>42</v>
      </c>
      <c r="DC803" t="s">
        <v>42</v>
      </c>
      <c r="DD803" t="s">
        <v>42</v>
      </c>
      <c r="DE803" t="s">
        <v>42</v>
      </c>
      <c r="DF803" t="s">
        <v>42</v>
      </c>
      <c r="DG803" t="s">
        <v>42</v>
      </c>
      <c r="DH803" s="4" t="s">
        <v>42</v>
      </c>
      <c r="DI803" t="s">
        <v>42</v>
      </c>
      <c r="DJ803" s="4" t="s">
        <v>42</v>
      </c>
      <c r="DK803" t="s">
        <v>42</v>
      </c>
      <c r="DL803" s="4">
        <f>HYPERLINK("http://exon.niaid.nih.gov/transcriptome/C_felis/S1/links/cluster/cf-5-36-asb30-50-Id-CLU55.txt", 55)</f>
        <v>55</v>
      </c>
      <c r="DM803">
        <f>HYPERLINK("http://exon.niaid.nih.gov/transcriptome/C_felis/S1/links/cluster/cf-5-36-asb30-50-Id-CLTL55.txt", 2)</f>
        <v>2</v>
      </c>
      <c r="DN803" s="4">
        <f>HYPERLINK("http://exon.niaid.nih.gov/transcriptome/C_felis/S1/links/cluster/cf-5-36-asb35-50-Id-CLU48.txt", 48)</f>
        <v>48</v>
      </c>
      <c r="DO803">
        <f>HYPERLINK("http://exon.niaid.nih.gov/transcriptome/C_felis/S1/links/cluster/cf-5-36-asb35-50-Id-CLTL48.txt", 2)</f>
        <v>2</v>
      </c>
      <c r="DP803" s="4">
        <f>HYPERLINK("http://exon.niaid.nih.gov/transcriptome/C_felis/S1/links/cluster/cf-5-36-asb40-50-Id-CLU45.txt", 45)</f>
        <v>45</v>
      </c>
      <c r="DQ803">
        <f>HYPERLINK("http://exon.niaid.nih.gov/transcriptome/C_felis/S1/links/cluster/cf-5-36-asb40-50-Id-CLTL45.txt", 2)</f>
        <v>2</v>
      </c>
      <c r="DR803" s="4">
        <f>HYPERLINK("http://exon.niaid.nih.gov/transcriptome/C_felis/S1/links/cluster/cf-5-36-asb45-50-Id-CLU40.txt", 40)</f>
        <v>40</v>
      </c>
      <c r="DS803">
        <f>HYPERLINK("http://exon.niaid.nih.gov/transcriptome/C_felis/S1/links/cluster/cf-5-36-asb45-50-Id-CLTL40.txt", 2)</f>
        <v>2</v>
      </c>
      <c r="DT803" s="4">
        <v>190</v>
      </c>
      <c r="DU803">
        <v>1</v>
      </c>
      <c r="DV803" s="4">
        <v>202</v>
      </c>
      <c r="DW803">
        <v>1</v>
      </c>
      <c r="DX803" s="4">
        <v>204</v>
      </c>
      <c r="DY803">
        <v>1</v>
      </c>
      <c r="DZ803" s="4">
        <v>208</v>
      </c>
      <c r="EA803">
        <v>1</v>
      </c>
      <c r="EB803" s="4">
        <v>213</v>
      </c>
      <c r="EC803">
        <v>1</v>
      </c>
      <c r="ED803" s="4">
        <v>216</v>
      </c>
      <c r="EE803">
        <v>1</v>
      </c>
      <c r="EF803" s="4">
        <v>219</v>
      </c>
      <c r="EG803">
        <v>1</v>
      </c>
      <c r="EH803" s="4">
        <v>221</v>
      </c>
      <c r="EI803">
        <v>1</v>
      </c>
      <c r="EJ803" s="4">
        <v>226</v>
      </c>
      <c r="EK803">
        <v>1</v>
      </c>
    </row>
    <row r="804" spans="1:141" x14ac:dyDescent="0.2">
      <c r="A804" t="str">
        <f>HYPERLINK("http://exon.niaid.nih.gov/transcriptome/C_felis/S1/links/cf/cf-contig_136.txt","cf-contig_136")</f>
        <v>cf-contig_136</v>
      </c>
      <c r="B804">
        <v>1</v>
      </c>
      <c r="C804" s="10" t="s">
        <v>4600</v>
      </c>
      <c r="D804">
        <v>1</v>
      </c>
      <c r="E804" t="str">
        <f>HYPERLINK("http://exon.niaid.nih.gov/transcriptome/C_felis/S1/links/cf/cf-5-36-asb-136.txt","Contig-136")</f>
        <v>Contig-136</v>
      </c>
      <c r="F804" t="str">
        <f>HYPERLINK("http://exon.niaid.nih.gov/transcriptome/C_felis/S1/links/cf/cf-5-36-136-CLU.txt","Contig136")</f>
        <v>Contig136</v>
      </c>
      <c r="G804" t="str">
        <f>HYPERLINK("http://exon.niaid.nih.gov/transcriptome/C_felis/S1/links/cf/cf-5-36-136-qual.txt","62.9")</f>
        <v>62.9</v>
      </c>
      <c r="H804" t="s">
        <v>11</v>
      </c>
      <c r="I804">
        <v>67.2</v>
      </c>
      <c r="J804">
        <v>396</v>
      </c>
      <c r="K804" t="s">
        <v>12</v>
      </c>
      <c r="L804">
        <v>1</v>
      </c>
      <c r="M804" t="s">
        <v>149</v>
      </c>
      <c r="N804">
        <v>396</v>
      </c>
      <c r="O804">
        <v>415</v>
      </c>
      <c r="P804">
        <v>102</v>
      </c>
      <c r="Q804" t="s">
        <v>956</v>
      </c>
      <c r="R804">
        <v>1</v>
      </c>
      <c r="S804" s="7" t="s">
        <v>4585</v>
      </c>
      <c r="U804">
        <v>1</v>
      </c>
      <c r="V804" s="4">
        <f>HYPERLINK("http://exon.niaid.nih.gov/transcriptome/C_felis/S1/links/cluster/cf-5-36-asb30-50-Id-CLU11.txt", 11)</f>
        <v>11</v>
      </c>
      <c r="W804">
        <f>HYPERLINK("http://exon.niaid.nih.gov/transcriptome/C_felis/S1/links/cluster/cf-5-36-asb30-50-Id-CLTL11.txt", 4)</f>
        <v>4</v>
      </c>
      <c r="X804" s="4">
        <f>HYPERLINK("http://exon.niaid.nih.gov/transcriptome/C_felis/S1/links/cluster/cf-5-36-asb35-50-Id-CLU10.txt", 10)</f>
        <v>10</v>
      </c>
      <c r="Y804">
        <f>HYPERLINK("http://exon.niaid.nih.gov/transcriptome/C_felis/S1/links/cluster/cf-5-36-asb35-50-Id-CLTL10.txt", 4)</f>
        <v>4</v>
      </c>
      <c r="Z804" s="4">
        <f>HYPERLINK("http://exon.niaid.nih.gov/transcriptome/C_felis/S1/links/cluster/cf-5-36-asb40-50-Id-CLU8.txt", 8)</f>
        <v>8</v>
      </c>
      <c r="AA804">
        <f>HYPERLINK("http://exon.niaid.nih.gov/transcriptome/C_felis/S1/links/cluster/cf-5-36-asb40-50-Id-CLTL8.txt", 4)</f>
        <v>4</v>
      </c>
      <c r="AB804" s="4" t="str">
        <f>HYPERLINK("http://exon.niaid.nih.gov/transcriptome/C_felis/S1/links/XC-ASB/cf-contig_136-XC-ASB.txt","XC-contig_211")</f>
        <v>XC-contig_211</v>
      </c>
      <c r="AC804">
        <v>0.16</v>
      </c>
      <c r="AD804" s="10" t="s">
        <v>4600</v>
      </c>
      <c r="AE804" t="s">
        <v>4601</v>
      </c>
      <c r="AI804" s="4" t="str">
        <f>HYPERLINK("http://exon.niaid.nih.gov/transcriptome/C_felis/S1/links/NR/cf-contig_136-NR.txt","hypothetical protein Sca_2302")</f>
        <v>hypothetical protein Sca_2302</v>
      </c>
      <c r="AJ804" t="str">
        <f>HYPERLINK("http://www.ncbi.nlm.nih.gov/sutils/blink.cgi?pid=224477784","9.3")</f>
        <v>9.3</v>
      </c>
      <c r="AK804" t="str">
        <f>HYPERLINK("http://www.ncbi.nlm.nih.gov/protein/224477784","gi|224477784")</f>
        <v>gi|224477784</v>
      </c>
      <c r="AL804">
        <v>33.9</v>
      </c>
      <c r="AM804">
        <v>49</v>
      </c>
      <c r="AN804">
        <v>311</v>
      </c>
      <c r="AO804">
        <v>39</v>
      </c>
      <c r="AP804">
        <v>16</v>
      </c>
      <c r="AQ804">
        <v>31</v>
      </c>
      <c r="AR804">
        <v>3</v>
      </c>
      <c r="AS804">
        <v>121</v>
      </c>
      <c r="AT804">
        <v>31</v>
      </c>
      <c r="AU804">
        <v>1</v>
      </c>
      <c r="AV804">
        <v>-2</v>
      </c>
      <c r="AW804" t="s">
        <v>12</v>
      </c>
      <c r="AX804">
        <v>2.0409999999999999</v>
      </c>
      <c r="AY804" t="s">
        <v>1666</v>
      </c>
      <c r="AZ804" t="s">
        <v>2190</v>
      </c>
      <c r="BA804" s="4" t="str">
        <f>HYPERLINK("http://exon.niaid.nih.gov/transcriptome/C_felis/S1/links/SWISSP/cf-contig_136-SWISSP.txt","Protein licC")</f>
        <v>Protein licC</v>
      </c>
      <c r="BB804" t="str">
        <f>HYPERLINK("http://www.uniprot.org/uniprot/P14183","1.3")</f>
        <v>1.3</v>
      </c>
      <c r="BC804" t="s">
        <v>2191</v>
      </c>
      <c r="BD804">
        <v>32</v>
      </c>
      <c r="BE804">
        <v>41</v>
      </c>
      <c r="BF804">
        <v>233</v>
      </c>
      <c r="BG804">
        <v>37</v>
      </c>
      <c r="BH804">
        <v>18</v>
      </c>
      <c r="BI804">
        <v>27</v>
      </c>
      <c r="BJ804">
        <v>0</v>
      </c>
      <c r="BK804">
        <v>69</v>
      </c>
      <c r="BL804">
        <v>173</v>
      </c>
      <c r="BM804">
        <v>1</v>
      </c>
      <c r="BN804">
        <v>2</v>
      </c>
      <c r="BO804" t="s">
        <v>12</v>
      </c>
      <c r="BP804">
        <v>2.4390000000000001</v>
      </c>
      <c r="BQ804" t="s">
        <v>1676</v>
      </c>
      <c r="BR804" t="s">
        <v>2192</v>
      </c>
      <c r="BS804" s="4" t="str">
        <f>HYPERLINK("http://exon.niaid.nih.gov/transcriptome/C_felis/S1/links/CDD/cf-contig_136-CDD.txt","LicC")</f>
        <v>LicC</v>
      </c>
      <c r="BT804" t="str">
        <f>HYPERLINK("http://www.ncbi.nlm.nih.gov/Structure/cdd/cddsrv.cgi?uid=COG4750&amp;version=v4.0","0.009")</f>
        <v>0.009</v>
      </c>
      <c r="BU804" t="s">
        <v>2193</v>
      </c>
      <c r="BV804" s="4" t="s">
        <v>42</v>
      </c>
      <c r="BW804" t="s">
        <v>42</v>
      </c>
      <c r="BX804" t="s">
        <v>42</v>
      </c>
      <c r="BY804" t="s">
        <v>42</v>
      </c>
      <c r="BZ804" t="s">
        <v>42</v>
      </c>
      <c r="CA804" t="s">
        <v>42</v>
      </c>
      <c r="CB804" t="s">
        <v>42</v>
      </c>
      <c r="CC804" t="s">
        <v>42</v>
      </c>
      <c r="CD804" t="s">
        <v>42</v>
      </c>
      <c r="CE804" t="s">
        <v>42</v>
      </c>
      <c r="CF804" t="s">
        <v>42</v>
      </c>
      <c r="CG804" t="s">
        <v>42</v>
      </c>
      <c r="CH804" t="s">
        <v>42</v>
      </c>
      <c r="CI804" t="s">
        <v>42</v>
      </c>
      <c r="CJ804" t="s">
        <v>42</v>
      </c>
      <c r="CK804" t="s">
        <v>42</v>
      </c>
      <c r="CL804" t="s">
        <v>42</v>
      </c>
      <c r="CM804" t="s">
        <v>42</v>
      </c>
      <c r="CN804" t="s">
        <v>42</v>
      </c>
      <c r="CO804" t="s">
        <v>42</v>
      </c>
      <c r="CP804" t="s">
        <v>42</v>
      </c>
      <c r="CQ804" t="s">
        <v>42</v>
      </c>
      <c r="CR804" t="s">
        <v>42</v>
      </c>
      <c r="CS804" s="4" t="str">
        <f>HYPERLINK("http://exon.niaid.nih.gov/transcriptome/C_felis/S1/links/KOG/cf-contig_136-KOG.txt","Riboflavin kinase")</f>
        <v>Riboflavin kinase</v>
      </c>
      <c r="CT804" t="str">
        <f>HYPERLINK("http://www.ncbi.nlm.nih.gov/COG/grace/shokog.cgi?KOG3110","2.6")</f>
        <v>2.6</v>
      </c>
      <c r="CU804" t="s">
        <v>2194</v>
      </c>
      <c r="CV804" s="4" t="str">
        <f>HYPERLINK("http://exon.niaid.nih.gov/transcriptome/C_felis/S1/links/PFAM/cf-contig_136-PFAM.txt","EXS")</f>
        <v>EXS</v>
      </c>
      <c r="CW804" t="str">
        <f>HYPERLINK("http://pfam.sanger.ac.uk/family?acc=PF03124","0.55")</f>
        <v>0.55</v>
      </c>
      <c r="CX804" s="4" t="str">
        <f>HYPERLINK("http://exon.niaid.nih.gov/transcriptome/C_felis/S1/links/SMART/cf-contig_136-SMART.txt","DEFSN")</f>
        <v>DEFSN</v>
      </c>
      <c r="CY804" t="str">
        <f>HYPERLINK("http://smart.embl-heidelberg.de/smart/do_annotation.pl?DOMAIN=DEFSN&amp;BLAST=DUMMY","0.022")</f>
        <v>0.022</v>
      </c>
      <c r="CZ804" s="4" t="s">
        <v>42</v>
      </c>
      <c r="DA804" t="s">
        <v>42</v>
      </c>
      <c r="DB804" t="s">
        <v>42</v>
      </c>
      <c r="DC804" t="s">
        <v>42</v>
      </c>
      <c r="DD804" t="s">
        <v>42</v>
      </c>
      <c r="DE804" t="s">
        <v>42</v>
      </c>
      <c r="DF804" t="s">
        <v>42</v>
      </c>
      <c r="DG804" t="s">
        <v>42</v>
      </c>
      <c r="DH804" s="4" t="s">
        <v>42</v>
      </c>
      <c r="DI804" t="s">
        <v>42</v>
      </c>
      <c r="DJ804" s="4" t="s">
        <v>42</v>
      </c>
      <c r="DK804" t="s">
        <v>42</v>
      </c>
      <c r="DL804" s="4">
        <f>HYPERLINK("http://exon.niaid.nih.gov/transcriptome/C_felis/S1/links/cluster/cf-5-36-asb30-50-Id-CLU11.txt", 11)</f>
        <v>11</v>
      </c>
      <c r="DM804">
        <f>HYPERLINK("http://exon.niaid.nih.gov/transcriptome/C_felis/S1/links/cluster/cf-5-36-asb30-50-Id-CLTL11.txt", 4)</f>
        <v>4</v>
      </c>
      <c r="DN804" s="4">
        <f>HYPERLINK("http://exon.niaid.nih.gov/transcriptome/C_felis/S1/links/cluster/cf-5-36-asb35-50-Id-CLU10.txt", 10)</f>
        <v>10</v>
      </c>
      <c r="DO804">
        <f>HYPERLINK("http://exon.niaid.nih.gov/transcriptome/C_felis/S1/links/cluster/cf-5-36-asb35-50-Id-CLTL10.txt", 4)</f>
        <v>4</v>
      </c>
      <c r="DP804" s="4">
        <f>HYPERLINK("http://exon.niaid.nih.gov/transcriptome/C_felis/S1/links/cluster/cf-5-36-asb40-50-Id-CLU8.txt", 8)</f>
        <v>8</v>
      </c>
      <c r="DQ804">
        <f>HYPERLINK("http://exon.niaid.nih.gov/transcriptome/C_felis/S1/links/cluster/cf-5-36-asb40-50-Id-CLTL8.txt", 4)</f>
        <v>4</v>
      </c>
      <c r="DR804" s="4">
        <f>HYPERLINK("http://exon.niaid.nih.gov/transcriptome/C_felis/S1/links/cluster/cf-5-36-asb45-50-Id-CLU8.txt", 8)</f>
        <v>8</v>
      </c>
      <c r="DS804">
        <f>HYPERLINK("http://exon.niaid.nih.gov/transcriptome/C_felis/S1/links/cluster/cf-5-36-asb45-50-Id-CLTL8.txt", 4)</f>
        <v>4</v>
      </c>
      <c r="DT804" s="4">
        <v>122</v>
      </c>
      <c r="DU804">
        <v>1</v>
      </c>
      <c r="DV804" s="4">
        <v>131</v>
      </c>
      <c r="DW804">
        <v>1</v>
      </c>
      <c r="DX804" s="4">
        <v>133</v>
      </c>
      <c r="DY804">
        <v>1</v>
      </c>
      <c r="DZ804" s="4">
        <v>133</v>
      </c>
      <c r="EA804">
        <v>1</v>
      </c>
      <c r="EB804" s="4">
        <v>136</v>
      </c>
      <c r="EC804">
        <v>1</v>
      </c>
      <c r="ED804" s="4">
        <v>137</v>
      </c>
      <c r="EE804">
        <v>1</v>
      </c>
      <c r="EF804" s="4">
        <v>136</v>
      </c>
      <c r="EG804">
        <v>1</v>
      </c>
      <c r="EH804" s="4">
        <v>135</v>
      </c>
      <c r="EI804">
        <v>1</v>
      </c>
      <c r="EJ804" s="4">
        <v>136</v>
      </c>
      <c r="EK804">
        <v>1</v>
      </c>
    </row>
    <row r="805" spans="1:141" x14ac:dyDescent="0.2">
      <c r="A805" t="str">
        <f>HYPERLINK("http://exon.niaid.nih.gov/transcriptome/C_felis/S1/links/cf/cf-contig_640.txt","cf-contig_640")</f>
        <v>cf-contig_640</v>
      </c>
      <c r="B805">
        <v>1</v>
      </c>
      <c r="C805" s="10" t="s">
        <v>4600</v>
      </c>
      <c r="D805">
        <v>1</v>
      </c>
      <c r="E805" t="str">
        <f>HYPERLINK("http://exon.niaid.nih.gov/transcriptome/C_felis/S1/links/cf/cf-5-36-asb-640.txt","Contig-640")</f>
        <v>Contig-640</v>
      </c>
      <c r="F805" t="str">
        <f>HYPERLINK("http://exon.niaid.nih.gov/transcriptome/C_felis/S1/links/cf/cf-5-36-640-CLU.txt","Contig640")</f>
        <v>Contig640</v>
      </c>
      <c r="G805" t="str">
        <f>HYPERLINK("http://exon.niaid.nih.gov/transcriptome/C_felis/S1/links/cf/cf-5-36-640-qual.txt","60.")</f>
        <v>60.</v>
      </c>
      <c r="H805" t="s">
        <v>11</v>
      </c>
      <c r="I805">
        <v>80</v>
      </c>
      <c r="J805">
        <v>146</v>
      </c>
      <c r="K805" t="s">
        <v>12</v>
      </c>
      <c r="L805">
        <v>1</v>
      </c>
      <c r="M805" t="s">
        <v>653</v>
      </c>
      <c r="N805">
        <v>146</v>
      </c>
      <c r="O805">
        <v>165</v>
      </c>
      <c r="P805">
        <v>63</v>
      </c>
      <c r="Q805" t="s">
        <v>1459</v>
      </c>
      <c r="R805">
        <v>3</v>
      </c>
      <c r="S805" s="7" t="s">
        <v>4585</v>
      </c>
      <c r="U805">
        <v>1</v>
      </c>
      <c r="V805" s="4">
        <v>524</v>
      </c>
      <c r="W805">
        <v>1</v>
      </c>
      <c r="X805" s="4">
        <v>536</v>
      </c>
      <c r="Y805">
        <v>1</v>
      </c>
      <c r="Z805" s="4">
        <v>546</v>
      </c>
      <c r="AA805">
        <v>1</v>
      </c>
      <c r="AB805" s="4" t="str">
        <f>HYPERLINK("http://exon.niaid.nih.gov/transcriptome/C_felis/S1/links/XC-ASB/cf-contig_640-XC-ASB.txt","XC-contig_57")</f>
        <v>XC-contig_57</v>
      </c>
      <c r="AC805">
        <v>1</v>
      </c>
      <c r="AD805" s="10" t="s">
        <v>4600</v>
      </c>
      <c r="AE805" t="s">
        <v>4601</v>
      </c>
      <c r="AI805" s="4" t="str">
        <f>HYPERLINK("http://exon.niaid.nih.gov/transcriptome/C_felis/S1/links/NR/cf-contig_640-NR.txt","CAAX amino protease family protein")</f>
        <v>CAAX amino protease family protein</v>
      </c>
      <c r="AJ805" t="str">
        <f>HYPERLINK("http://www.ncbi.nlm.nih.gov/sutils/blink.cgi?pid=323463293","80")</f>
        <v>80</v>
      </c>
      <c r="AK805" t="str">
        <f>HYPERLINK("http://www.ncbi.nlm.nih.gov/protein/323463293","gi|323463293")</f>
        <v>gi|323463293</v>
      </c>
      <c r="AL805">
        <v>30.8</v>
      </c>
      <c r="AM805">
        <v>32</v>
      </c>
      <c r="AN805">
        <v>191</v>
      </c>
      <c r="AO805">
        <v>48</v>
      </c>
      <c r="AP805">
        <v>17</v>
      </c>
      <c r="AQ805">
        <v>17</v>
      </c>
      <c r="AR805">
        <v>1</v>
      </c>
      <c r="AS805">
        <v>33</v>
      </c>
      <c r="AT805">
        <v>9</v>
      </c>
      <c r="AU805">
        <v>1</v>
      </c>
      <c r="AV805">
        <v>3</v>
      </c>
      <c r="AW805" t="s">
        <v>12</v>
      </c>
      <c r="AX805">
        <v>3.125</v>
      </c>
      <c r="AY805" t="s">
        <v>1676</v>
      </c>
      <c r="AZ805" t="s">
        <v>4032</v>
      </c>
      <c r="BA805" s="4" t="str">
        <f>HYPERLINK("http://exon.niaid.nih.gov/transcriptome/C_felis/S1/links/SWISSP/cf-contig_640-SWISSP.txt","Zinc metalloproteinase nas-10")</f>
        <v>Zinc metalloproteinase nas-10</v>
      </c>
      <c r="BB805" t="str">
        <f>HYPERLINK("http://www.uniprot.org/uniprot/Q21388","53")</f>
        <v>53</v>
      </c>
      <c r="BC805" t="s">
        <v>4033</v>
      </c>
      <c r="BD805">
        <v>26.6</v>
      </c>
      <c r="BE805">
        <v>29</v>
      </c>
      <c r="BF805">
        <v>560</v>
      </c>
      <c r="BG805">
        <v>43</v>
      </c>
      <c r="BH805">
        <v>5</v>
      </c>
      <c r="BI805">
        <v>17</v>
      </c>
      <c r="BJ805">
        <v>0</v>
      </c>
      <c r="BK805">
        <v>184</v>
      </c>
      <c r="BL805">
        <v>32</v>
      </c>
      <c r="BM805">
        <v>1</v>
      </c>
      <c r="BN805">
        <v>-3</v>
      </c>
      <c r="BO805" t="s">
        <v>12</v>
      </c>
      <c r="BP805">
        <v>3.448</v>
      </c>
      <c r="BQ805" t="s">
        <v>1666</v>
      </c>
      <c r="BR805" t="s">
        <v>1735</v>
      </c>
      <c r="BS805" s="4" t="str">
        <f>HYPERLINK("http://exon.niaid.nih.gov/transcriptome/C_felis/S1/links/CDD/cf-contig_640-CDD.txt","ND5")</f>
        <v>ND5</v>
      </c>
      <c r="BT805" t="str">
        <f>HYPERLINK("http://www.ncbi.nlm.nih.gov/Structure/cdd/cddsrv.cgi?uid=MTH00208&amp;version=v4.0","0.52")</f>
        <v>0.52</v>
      </c>
      <c r="BU805" t="s">
        <v>4034</v>
      </c>
      <c r="BV805" s="4" t="s">
        <v>42</v>
      </c>
      <c r="BW805" t="s">
        <v>42</v>
      </c>
      <c r="BX805" t="s">
        <v>42</v>
      </c>
      <c r="BY805" t="s">
        <v>42</v>
      </c>
      <c r="BZ805" t="s">
        <v>42</v>
      </c>
      <c r="CA805" t="s">
        <v>42</v>
      </c>
      <c r="CB805" t="s">
        <v>42</v>
      </c>
      <c r="CC805" t="s">
        <v>42</v>
      </c>
      <c r="CD805" t="s">
        <v>42</v>
      </c>
      <c r="CE805" t="s">
        <v>42</v>
      </c>
      <c r="CF805" t="s">
        <v>42</v>
      </c>
      <c r="CG805" t="s">
        <v>42</v>
      </c>
      <c r="CH805" t="s">
        <v>42</v>
      </c>
      <c r="CI805" t="s">
        <v>42</v>
      </c>
      <c r="CJ805" t="s">
        <v>42</v>
      </c>
      <c r="CK805" t="s">
        <v>42</v>
      </c>
      <c r="CL805" t="s">
        <v>42</v>
      </c>
      <c r="CM805" t="s">
        <v>42</v>
      </c>
      <c r="CN805" t="s">
        <v>42</v>
      </c>
      <c r="CO805" t="s">
        <v>42</v>
      </c>
      <c r="CP805" t="s">
        <v>42</v>
      </c>
      <c r="CQ805" t="s">
        <v>42</v>
      </c>
      <c r="CR805" t="s">
        <v>42</v>
      </c>
      <c r="CS805" s="4" t="str">
        <f>HYPERLINK("http://exon.niaid.nih.gov/transcriptome/C_felis/S1/links/KOG/cf-contig_640-KOG.txt","Uncharacterized conserved protein")</f>
        <v>Uncharacterized conserved protein</v>
      </c>
      <c r="CT805" t="str">
        <f>HYPERLINK("http://www.ncbi.nlm.nih.gov/COG/grace/shokog.cgi?KOG3012","1.4")</f>
        <v>1.4</v>
      </c>
      <c r="CU805" t="s">
        <v>1711</v>
      </c>
      <c r="CV805" s="4" t="str">
        <f>HYPERLINK("http://exon.niaid.nih.gov/transcriptome/C_felis/S1/links/PFAM/cf-contig_640-PFAM.txt","GP41")</f>
        <v>GP41</v>
      </c>
      <c r="CW805" t="str">
        <f>HYPERLINK("http://pfam.sanger.ac.uk/family?acc=PF00517","0.12")</f>
        <v>0.12</v>
      </c>
      <c r="CX805" s="4" t="str">
        <f>HYPERLINK("http://exon.niaid.nih.gov/transcriptome/C_felis/S1/links/SMART/cf-contig_640-SMART.txt","AgrB")</f>
        <v>AgrB</v>
      </c>
      <c r="CY805" t="str">
        <f>HYPERLINK("http://smart.embl-heidelberg.de/smart/do_annotation.pl?DOMAIN=AgrB&amp;BLAST=DUMMY","0.011")</f>
        <v>0.011</v>
      </c>
      <c r="CZ805" s="4" t="s">
        <v>42</v>
      </c>
      <c r="DA805" t="s">
        <v>42</v>
      </c>
      <c r="DB805" t="s">
        <v>42</v>
      </c>
      <c r="DC805" t="s">
        <v>42</v>
      </c>
      <c r="DD805" t="s">
        <v>42</v>
      </c>
      <c r="DE805" t="s">
        <v>42</v>
      </c>
      <c r="DF805" t="s">
        <v>42</v>
      </c>
      <c r="DG805" t="s">
        <v>42</v>
      </c>
      <c r="DH805" s="4" t="s">
        <v>42</v>
      </c>
      <c r="DI805" t="s">
        <v>42</v>
      </c>
      <c r="DJ805" s="4" t="s">
        <v>42</v>
      </c>
      <c r="DK805" t="s">
        <v>42</v>
      </c>
      <c r="DL805" s="4">
        <v>524</v>
      </c>
      <c r="DM805">
        <v>1</v>
      </c>
      <c r="DN805" s="4">
        <v>536</v>
      </c>
      <c r="DO805">
        <v>1</v>
      </c>
      <c r="DP805" s="4">
        <v>546</v>
      </c>
      <c r="DQ805">
        <v>1</v>
      </c>
      <c r="DR805" s="4">
        <v>566</v>
      </c>
      <c r="DS805">
        <v>1</v>
      </c>
      <c r="DT805" s="4">
        <v>579</v>
      </c>
      <c r="DU805">
        <v>1</v>
      </c>
      <c r="DV805" s="4">
        <v>593</v>
      </c>
      <c r="DW805">
        <v>1</v>
      </c>
      <c r="DX805" s="4">
        <v>602</v>
      </c>
      <c r="DY805">
        <v>1</v>
      </c>
      <c r="DZ805" s="4">
        <v>610</v>
      </c>
      <c r="EA805">
        <v>1</v>
      </c>
      <c r="EB805" s="4">
        <v>615</v>
      </c>
      <c r="EC805">
        <v>1</v>
      </c>
      <c r="ED805" s="4">
        <v>619</v>
      </c>
      <c r="EE805">
        <v>1</v>
      </c>
      <c r="EF805" s="4">
        <v>625</v>
      </c>
      <c r="EG805">
        <v>1</v>
      </c>
      <c r="EH805" s="4">
        <v>633</v>
      </c>
      <c r="EI805">
        <v>1</v>
      </c>
      <c r="EJ805" s="4">
        <v>640</v>
      </c>
      <c r="EK805">
        <v>1</v>
      </c>
    </row>
    <row r="806" spans="1:141" x14ac:dyDescent="0.2">
      <c r="A806" t="str">
        <f>HYPERLINK("http://exon.niaid.nih.gov/transcriptome/C_felis/S1/links/cf/cf-contig_324.txt","cf-contig_324")</f>
        <v>cf-contig_324</v>
      </c>
      <c r="B806">
        <v>1</v>
      </c>
      <c r="C806" s="10" t="s">
        <v>4600</v>
      </c>
      <c r="D806">
        <v>1</v>
      </c>
      <c r="E806" t="str">
        <f>HYPERLINK("http://exon.niaid.nih.gov/transcriptome/C_felis/S1/links/cf/cf-5-36-asb-324.txt","Contig-324")</f>
        <v>Contig-324</v>
      </c>
      <c r="F806" t="str">
        <f>HYPERLINK("http://exon.niaid.nih.gov/transcriptome/C_felis/S1/links/cf/cf-5-36-324-CLU.txt","Contig324")</f>
        <v>Contig324</v>
      </c>
      <c r="G806" t="str">
        <f>HYPERLINK("http://exon.niaid.nih.gov/transcriptome/C_felis/S1/links/cf/cf-5-36-324-qual.txt","33.9")</f>
        <v>33.9</v>
      </c>
      <c r="H806">
        <v>0.5</v>
      </c>
      <c r="I806">
        <v>72.2</v>
      </c>
      <c r="J806" t="s">
        <v>42</v>
      </c>
      <c r="K806" t="s">
        <v>12</v>
      </c>
      <c r="L806">
        <v>1</v>
      </c>
      <c r="M806" t="s">
        <v>337</v>
      </c>
      <c r="N806" t="s">
        <v>42</v>
      </c>
      <c r="O806">
        <v>205</v>
      </c>
      <c r="P806">
        <v>156</v>
      </c>
      <c r="Q806" t="s">
        <v>1144</v>
      </c>
      <c r="R806">
        <v>2</v>
      </c>
      <c r="S806" s="7" t="s">
        <v>4585</v>
      </c>
      <c r="U806">
        <v>1</v>
      </c>
      <c r="V806" s="4">
        <v>261</v>
      </c>
      <c r="W806">
        <v>1</v>
      </c>
      <c r="X806" s="4">
        <v>267</v>
      </c>
      <c r="Y806">
        <v>1</v>
      </c>
      <c r="Z806" s="4">
        <v>266</v>
      </c>
      <c r="AA806">
        <v>1</v>
      </c>
      <c r="AB806" s="4" t="str">
        <f>HYPERLINK("http://exon.niaid.nih.gov/transcriptome/C_felis/S1/links/XC-ASB/cf-contig_324-XC-ASB.txt","XC-contig_59")</f>
        <v>XC-contig_59</v>
      </c>
      <c r="AC806">
        <v>3.0000000000000001E-3</v>
      </c>
      <c r="AD806" s="10" t="s">
        <v>4600</v>
      </c>
      <c r="AE806" t="s">
        <v>4601</v>
      </c>
      <c r="AI806" s="4" t="str">
        <f>HYPERLINK("http://exon.niaid.nih.gov/transcriptome/C_felis/S1/links/NR/cf-contig_324-NR.txt","hypothetical protein SSUR61_0248")</f>
        <v>hypothetical protein SSUR61_0248</v>
      </c>
      <c r="AJ806" t="str">
        <f>HYPERLINK("http://www.ncbi.nlm.nih.gov/sutils/blink.cgi?pid=353534157","4.2")</f>
        <v>4.2</v>
      </c>
      <c r="AK806" t="str">
        <f>HYPERLINK("http://www.ncbi.nlm.nih.gov/protein/353534157","gi|353534157")</f>
        <v>gi|353534157</v>
      </c>
      <c r="AL806">
        <v>35</v>
      </c>
      <c r="AM806">
        <v>42</v>
      </c>
      <c r="AN806">
        <v>458</v>
      </c>
      <c r="AO806">
        <v>41</v>
      </c>
      <c r="AP806">
        <v>9</v>
      </c>
      <c r="AQ806">
        <v>25</v>
      </c>
      <c r="AR806">
        <v>0</v>
      </c>
      <c r="AS806">
        <v>311</v>
      </c>
      <c r="AT806">
        <v>74</v>
      </c>
      <c r="AU806">
        <v>1</v>
      </c>
      <c r="AV806">
        <v>2</v>
      </c>
      <c r="AW806" t="s">
        <v>12</v>
      </c>
      <c r="AY806" t="s">
        <v>1676</v>
      </c>
      <c r="AZ806" t="s">
        <v>2842</v>
      </c>
      <c r="BA806" s="4" t="str">
        <f>HYPERLINK("http://exon.niaid.nih.gov/transcriptome/C_felis/S1/links/SWISSP/cf-contig_324-SWISSP.txt","Spike glycoprotein")</f>
        <v>Spike glycoprotein</v>
      </c>
      <c r="BB806" t="str">
        <f>HYPERLINK("http://www.uniprot.org/uniprot/P12647","18")</f>
        <v>18</v>
      </c>
      <c r="BC806" t="s">
        <v>2843</v>
      </c>
      <c r="BD806">
        <v>28.1</v>
      </c>
      <c r="BE806">
        <v>68</v>
      </c>
      <c r="BF806">
        <v>526</v>
      </c>
      <c r="BG806">
        <v>28</v>
      </c>
      <c r="BH806">
        <v>13</v>
      </c>
      <c r="BI806">
        <v>50</v>
      </c>
      <c r="BJ806">
        <v>2</v>
      </c>
      <c r="BK806">
        <v>457</v>
      </c>
      <c r="BL806">
        <v>2</v>
      </c>
      <c r="BM806">
        <v>1</v>
      </c>
      <c r="BN806">
        <v>2</v>
      </c>
      <c r="BO806" t="s">
        <v>12</v>
      </c>
      <c r="BP806">
        <v>1.4710000000000001</v>
      </c>
      <c r="BQ806" t="s">
        <v>1676</v>
      </c>
      <c r="BR806" t="s">
        <v>2844</v>
      </c>
      <c r="BS806" s="4" t="str">
        <f>HYPERLINK("http://exon.niaid.nih.gov/transcriptome/C_felis/S1/links/CDD/cf-contig_324-CDD.txt","ND6")</f>
        <v>ND6</v>
      </c>
      <c r="BT806" t="str">
        <f>HYPERLINK("http://www.ncbi.nlm.nih.gov/Structure/cdd/cddsrv.cgi?uid=MTH00064&amp;version=v4.0","0.039")</f>
        <v>0.039</v>
      </c>
      <c r="BU806" t="s">
        <v>2845</v>
      </c>
      <c r="BV806" s="4" t="s">
        <v>42</v>
      </c>
      <c r="BW806" t="s">
        <v>42</v>
      </c>
      <c r="BX806" t="s">
        <v>42</v>
      </c>
      <c r="BY806" t="s">
        <v>42</v>
      </c>
      <c r="BZ806" t="s">
        <v>42</v>
      </c>
      <c r="CA806" t="s">
        <v>42</v>
      </c>
      <c r="CB806" t="s">
        <v>42</v>
      </c>
      <c r="CC806" t="s">
        <v>42</v>
      </c>
      <c r="CD806" t="s">
        <v>42</v>
      </c>
      <c r="CE806" t="s">
        <v>42</v>
      </c>
      <c r="CF806" t="s">
        <v>42</v>
      </c>
      <c r="CG806" t="s">
        <v>42</v>
      </c>
      <c r="CH806" t="s">
        <v>42</v>
      </c>
      <c r="CI806" t="s">
        <v>42</v>
      </c>
      <c r="CJ806" t="s">
        <v>42</v>
      </c>
      <c r="CK806" t="s">
        <v>42</v>
      </c>
      <c r="CL806" t="s">
        <v>42</v>
      </c>
      <c r="CM806" t="s">
        <v>42</v>
      </c>
      <c r="CN806" t="s">
        <v>42</v>
      </c>
      <c r="CO806" t="s">
        <v>42</v>
      </c>
      <c r="CP806" t="s">
        <v>42</v>
      </c>
      <c r="CQ806" t="s">
        <v>42</v>
      </c>
      <c r="CR806" t="s">
        <v>42</v>
      </c>
      <c r="CS806" s="4" t="str">
        <f>HYPERLINK("http://exon.niaid.nih.gov/transcriptome/C_felis/S1/links/KOG/cf-contig_324-KOG.txt","Permease of the major facilitator superfamily")</f>
        <v>Permease of the major facilitator superfamily</v>
      </c>
      <c r="CT806" t="str">
        <f>HYPERLINK("http://www.ncbi.nlm.nih.gov/COG/grace/shokog.cgi?KOG2532","2.0")</f>
        <v>2.0</v>
      </c>
      <c r="CU806" t="s">
        <v>1823</v>
      </c>
      <c r="CV806" s="4" t="str">
        <f>HYPERLINK("http://exon.niaid.nih.gov/transcriptome/C_felis/S1/links/PFAM/cf-contig_324-PFAM.txt","7TMR-DISM_7TM")</f>
        <v>7TMR-DISM_7TM</v>
      </c>
      <c r="CW806" t="str">
        <f>HYPERLINK("http://pfam.sanger.ac.uk/family?acc=PF07695","0.040")</f>
        <v>0.040</v>
      </c>
      <c r="CX806" s="4" t="str">
        <f>HYPERLINK("http://exon.niaid.nih.gov/transcriptome/C_felis/S1/links/SMART/cf-contig_324-SMART.txt","AgrB")</f>
        <v>AgrB</v>
      </c>
      <c r="CY806" t="str">
        <f>HYPERLINK("http://smart.embl-heidelberg.de/smart/do_annotation.pl?DOMAIN=AgrB&amp;BLAST=DUMMY","0.18")</f>
        <v>0.18</v>
      </c>
      <c r="CZ806" s="4" t="s">
        <v>42</v>
      </c>
      <c r="DA806" t="s">
        <v>42</v>
      </c>
      <c r="DB806" t="s">
        <v>42</v>
      </c>
      <c r="DC806" t="s">
        <v>42</v>
      </c>
      <c r="DD806" t="s">
        <v>42</v>
      </c>
      <c r="DE806" t="s">
        <v>42</v>
      </c>
      <c r="DF806" t="s">
        <v>42</v>
      </c>
      <c r="DG806" t="s">
        <v>42</v>
      </c>
      <c r="DH806" s="4" t="s">
        <v>42</v>
      </c>
      <c r="DI806" t="s">
        <v>42</v>
      </c>
      <c r="DJ806" s="4" t="s">
        <v>42</v>
      </c>
      <c r="DK806" t="s">
        <v>42</v>
      </c>
      <c r="DL806" s="4">
        <v>261</v>
      </c>
      <c r="DM806">
        <v>1</v>
      </c>
      <c r="DN806" s="4">
        <v>267</v>
      </c>
      <c r="DO806">
        <v>1</v>
      </c>
      <c r="DP806" s="4">
        <v>266</v>
      </c>
      <c r="DQ806">
        <v>1</v>
      </c>
      <c r="DR806" s="4">
        <v>275</v>
      </c>
      <c r="DS806">
        <v>1</v>
      </c>
      <c r="DT806" s="4">
        <v>285</v>
      </c>
      <c r="DU806">
        <v>1</v>
      </c>
      <c r="DV806" s="4">
        <v>297</v>
      </c>
      <c r="DW806">
        <v>1</v>
      </c>
      <c r="DX806" s="4">
        <v>299</v>
      </c>
      <c r="DY806">
        <v>1</v>
      </c>
      <c r="DZ806" s="4">
        <v>304</v>
      </c>
      <c r="EA806">
        <v>1</v>
      </c>
      <c r="EB806" s="4">
        <v>309</v>
      </c>
      <c r="EC806">
        <v>1</v>
      </c>
      <c r="ED806" s="4">
        <v>313</v>
      </c>
      <c r="EE806">
        <v>1</v>
      </c>
      <c r="EF806" s="4">
        <v>317</v>
      </c>
      <c r="EG806">
        <v>1</v>
      </c>
      <c r="EH806" s="4">
        <v>319</v>
      </c>
      <c r="EI806">
        <v>1</v>
      </c>
      <c r="EJ806" s="4">
        <v>324</v>
      </c>
      <c r="EK806">
        <v>1</v>
      </c>
    </row>
    <row r="807" spans="1:141" x14ac:dyDescent="0.2">
      <c r="A807" t="str">
        <f>HYPERLINK("http://exon.niaid.nih.gov/transcriptome/C_felis/S1/links/cf/cf-contig_796.txt","cf-contig_796")</f>
        <v>cf-contig_796</v>
      </c>
      <c r="B807">
        <v>1</v>
      </c>
      <c r="C807" s="10" t="s">
        <v>4600</v>
      </c>
      <c r="D807">
        <v>1</v>
      </c>
      <c r="E807" t="str">
        <f>HYPERLINK("http://exon.niaid.nih.gov/transcriptome/C_felis/S1/links/cf/cf-5-36-asb-796.txt","Contig-796")</f>
        <v>Contig-796</v>
      </c>
      <c r="F807" t="str">
        <f>HYPERLINK("http://exon.niaid.nih.gov/transcriptome/C_felis/S1/links/cf/cf-5-36-796-CLU.txt","Contig796")</f>
        <v>Contig796</v>
      </c>
      <c r="G807" t="str">
        <f>HYPERLINK("http://exon.niaid.nih.gov/transcriptome/C_felis/S1/links/cf/cf-5-36-796-qual.txt","58.4")</f>
        <v>58.4</v>
      </c>
      <c r="H807" t="s">
        <v>11</v>
      </c>
      <c r="I807">
        <v>74.3</v>
      </c>
      <c r="J807">
        <v>152</v>
      </c>
      <c r="K807" t="s">
        <v>12</v>
      </c>
      <c r="L807">
        <v>1</v>
      </c>
      <c r="M807" t="s">
        <v>809</v>
      </c>
      <c r="N807">
        <v>152</v>
      </c>
      <c r="O807">
        <v>171</v>
      </c>
      <c r="P807">
        <v>135</v>
      </c>
      <c r="Q807" t="s">
        <v>1615</v>
      </c>
      <c r="R807">
        <v>3</v>
      </c>
      <c r="S807" s="7" t="s">
        <v>4585</v>
      </c>
      <c r="U807">
        <v>1</v>
      </c>
      <c r="V807" s="4">
        <f>HYPERLINK("http://exon.niaid.nih.gov/transcriptome/C_felis/S1/links/cluster/cf-5-36-asb30-50-Id-CLU4.txt", 4)</f>
        <v>4</v>
      </c>
      <c r="W807">
        <f>HYPERLINK("http://exon.niaid.nih.gov/transcriptome/C_felis/S1/links/cluster/cf-5-36-asb30-50-Id-CLTL4.txt", 6)</f>
        <v>6</v>
      </c>
      <c r="X807" s="4">
        <v>661</v>
      </c>
      <c r="Y807">
        <v>1</v>
      </c>
      <c r="Z807" s="4">
        <v>677</v>
      </c>
      <c r="AA807">
        <v>1</v>
      </c>
      <c r="AB807" s="4" t="str">
        <f>HYPERLINK("http://exon.niaid.nih.gov/transcriptome/C_felis/S1/links/XC-ASB/cf-contig_796-XC-ASB.txt","XC-contig_246")</f>
        <v>XC-contig_246</v>
      </c>
      <c r="AC807">
        <v>2E-8</v>
      </c>
      <c r="AD807" s="10" t="s">
        <v>4600</v>
      </c>
      <c r="AE807" t="s">
        <v>4601</v>
      </c>
      <c r="AI807" s="4" t="str">
        <f>HYPERLINK("http://exon.niaid.nih.gov/transcriptome/C_felis/S1/links/NR/cf-contig_796-NR.txt","hypothetical protein SSAG_05199")</f>
        <v>hypothetical protein SSAG_05199</v>
      </c>
      <c r="AJ807" t="str">
        <f>HYPERLINK("http://www.ncbi.nlm.nih.gov/sutils/blink.cgi?pid=254385692","6E-005")</f>
        <v>6E-005</v>
      </c>
      <c r="AK807" t="str">
        <f>HYPERLINK("http://www.ncbi.nlm.nih.gov/protein/254385692","gi|254385692")</f>
        <v>gi|254385692</v>
      </c>
      <c r="AL807">
        <v>51.2</v>
      </c>
      <c r="AM807">
        <v>43</v>
      </c>
      <c r="AN807">
        <v>97</v>
      </c>
      <c r="AO807">
        <v>55</v>
      </c>
      <c r="AP807">
        <v>45</v>
      </c>
      <c r="AQ807">
        <v>20</v>
      </c>
      <c r="AR807">
        <v>0</v>
      </c>
      <c r="AS807">
        <v>54</v>
      </c>
      <c r="AT807">
        <v>6</v>
      </c>
      <c r="AU807">
        <v>1</v>
      </c>
      <c r="AV807">
        <v>-2</v>
      </c>
      <c r="AW807" t="s">
        <v>12</v>
      </c>
      <c r="AX807">
        <v>4.6509999999999998</v>
      </c>
      <c r="AY807" t="s">
        <v>1666</v>
      </c>
      <c r="AZ807" t="s">
        <v>4543</v>
      </c>
      <c r="BA807" s="4" t="str">
        <f>HYPERLINK("http://exon.niaid.nih.gov/transcriptome/C_felis/S1/links/SWISSP/cf-contig_796-SWISSP.txt","Nucleolar protein 58")</f>
        <v>Nucleolar protein 58</v>
      </c>
      <c r="BB807" t="str">
        <f>HYPERLINK("http://www.uniprot.org/uniprot/Q55FI4","7E-004")</f>
        <v>7E-004</v>
      </c>
      <c r="BC807" t="s">
        <v>3394</v>
      </c>
      <c r="BD807">
        <v>42.7</v>
      </c>
      <c r="BE807">
        <v>163</v>
      </c>
      <c r="BF807">
        <v>638</v>
      </c>
      <c r="BG807">
        <v>50</v>
      </c>
      <c r="BH807">
        <v>26</v>
      </c>
      <c r="BI807">
        <v>21</v>
      </c>
      <c r="BJ807">
        <v>0</v>
      </c>
      <c r="BK807">
        <v>0</v>
      </c>
      <c r="BL807">
        <v>0</v>
      </c>
      <c r="BM807">
        <v>24</v>
      </c>
      <c r="BN807">
        <v>3</v>
      </c>
      <c r="BO807" t="s">
        <v>1689</v>
      </c>
      <c r="BQ807" t="s">
        <v>1676</v>
      </c>
      <c r="BR807" t="s">
        <v>1976</v>
      </c>
      <c r="BS807" s="4" t="str">
        <f>HYPERLINK("http://exon.niaid.nih.gov/transcriptome/C_felis/S1/links/CDD/cf-contig_796-CDD.txt","ND4")</f>
        <v>ND4</v>
      </c>
      <c r="BT807" t="str">
        <f>HYPERLINK("http://www.ncbi.nlm.nih.gov/Structure/cdd/cddsrv.cgi?uid=MTH00205&amp;version=v4.0","3E-005")</f>
        <v>3E-005</v>
      </c>
      <c r="BU807" t="s">
        <v>4544</v>
      </c>
      <c r="BV807" s="4" t="s">
        <v>4545</v>
      </c>
      <c r="BW807">
        <f>HYPERLINK("http://exon.niaid.nih.gov/transcriptome/C_felis/S1/links/GO/cf-contig_796-GO.txt",0.00004)</f>
        <v>4.0000000000000003E-5</v>
      </c>
      <c r="BX807" t="str">
        <f>HYPERLINK("http://amigo.geneontology.org/cgi-bin/amigo/term_details?term=GO:0005086","GO:0005086")</f>
        <v>GO:0005086</v>
      </c>
      <c r="BY807" t="s">
        <v>2950</v>
      </c>
      <c r="BZ807" t="s">
        <v>2951</v>
      </c>
      <c r="CA807" t="s">
        <v>42</v>
      </c>
      <c r="CB807" t="s">
        <v>42</v>
      </c>
      <c r="CD807">
        <v>6.0000000000000002E-5</v>
      </c>
      <c r="CE807" t="str">
        <f>HYPERLINK("http://amigo.geneontology.org/cgi-bin/amigo/term_details?term=GO:0005737","GO:0005737")</f>
        <v>GO:0005737</v>
      </c>
      <c r="CF807" t="s">
        <v>1966</v>
      </c>
      <c r="CG807" t="s">
        <v>1967</v>
      </c>
      <c r="CH807" t="s">
        <v>42</v>
      </c>
      <c r="CI807" t="s">
        <v>42</v>
      </c>
      <c r="CK807">
        <v>6.0000000000000002E-5</v>
      </c>
      <c r="CL807" t="str">
        <f>HYPERLINK("http://amigo.geneontology.org/cgi-bin/amigo/term_details?term=GO:0016192","GO:0016192")</f>
        <v>GO:0016192</v>
      </c>
      <c r="CM807" t="s">
        <v>3112</v>
      </c>
      <c r="CN807" t="s">
        <v>3113</v>
      </c>
      <c r="CO807" t="s">
        <v>3114</v>
      </c>
      <c r="CP807" t="s">
        <v>42</v>
      </c>
      <c r="CR807">
        <v>6.0000000000000002E-5</v>
      </c>
      <c r="CS807" s="4" t="str">
        <f>HYPERLINK("http://exon.niaid.nih.gov/transcriptome/C_felis/S1/links/KOG/cf-contig_796-KOG.txt","Ribosome biogenesis protein - Nop58p/Nop5p")</f>
        <v>Ribosome biogenesis protein - Nop58p/Nop5p</v>
      </c>
      <c r="CT807" t="str">
        <f>HYPERLINK("http://www.ncbi.nlm.nih.gov/COG/grace/shokog.cgi?KOG2572","0.001")</f>
        <v>0.001</v>
      </c>
      <c r="CU807" t="s">
        <v>2419</v>
      </c>
      <c r="CV807" s="4" t="str">
        <f>HYPERLINK("http://exon.niaid.nih.gov/transcriptome/C_felis/S1/links/PFAM/cf-contig_796-PFAM.txt","DUF2011")</f>
        <v>DUF2011</v>
      </c>
      <c r="CW807" t="str">
        <f>HYPERLINK("http://pfam.sanger.ac.uk/family?acc=PF09428","2E-005")</f>
        <v>2E-005</v>
      </c>
      <c r="CX807" s="4" t="str">
        <f>HYPERLINK("http://exon.niaid.nih.gov/transcriptome/C_felis/S1/links/SMART/cf-contig_796-SMART.txt","HTTM")</f>
        <v>HTTM</v>
      </c>
      <c r="CY807" t="str">
        <f>HYPERLINK("http://smart.embl-heidelberg.de/smart/do_annotation.pl?DOMAIN=HTTM&amp;BLAST=DUMMY","3E-004")</f>
        <v>3E-004</v>
      </c>
      <c r="CZ807" s="4" t="s">
        <v>42</v>
      </c>
      <c r="DA807" t="s">
        <v>42</v>
      </c>
      <c r="DB807" t="s">
        <v>42</v>
      </c>
      <c r="DC807" t="s">
        <v>42</v>
      </c>
      <c r="DD807" t="s">
        <v>42</v>
      </c>
      <c r="DE807" t="s">
        <v>42</v>
      </c>
      <c r="DF807" t="s">
        <v>42</v>
      </c>
      <c r="DG807" t="s">
        <v>42</v>
      </c>
      <c r="DH807" s="4" t="s">
        <v>42</v>
      </c>
      <c r="DI807" t="s">
        <v>42</v>
      </c>
      <c r="DJ807" s="4" t="s">
        <v>42</v>
      </c>
      <c r="DK807" t="s">
        <v>42</v>
      </c>
      <c r="DL807" s="4">
        <f>HYPERLINK("http://exon.niaid.nih.gov/transcriptome/C_felis/S1/links/cluster/cf-5-36-asb30-50-Id-CLU4.txt", 4)</f>
        <v>4</v>
      </c>
      <c r="DM807">
        <f>HYPERLINK("http://exon.niaid.nih.gov/transcriptome/C_felis/S1/links/cluster/cf-5-36-asb30-50-Id-CLTL4.txt", 6)</f>
        <v>6</v>
      </c>
      <c r="DN807" s="4">
        <v>661</v>
      </c>
      <c r="DO807">
        <v>1</v>
      </c>
      <c r="DP807" s="4">
        <v>677</v>
      </c>
      <c r="DQ807">
        <v>1</v>
      </c>
      <c r="DR807" s="4">
        <v>699</v>
      </c>
      <c r="DS807">
        <v>1</v>
      </c>
      <c r="DT807" s="4">
        <v>715</v>
      </c>
      <c r="DU807">
        <v>1</v>
      </c>
      <c r="DV807" s="4">
        <v>730</v>
      </c>
      <c r="DW807">
        <v>1</v>
      </c>
      <c r="DX807" s="4">
        <v>744</v>
      </c>
      <c r="DY807">
        <v>1</v>
      </c>
      <c r="DZ807" s="4">
        <v>756</v>
      </c>
      <c r="EA807">
        <v>1</v>
      </c>
      <c r="EB807" s="4">
        <v>763</v>
      </c>
      <c r="EC807">
        <v>1</v>
      </c>
      <c r="ED807" s="4">
        <v>768</v>
      </c>
      <c r="EE807">
        <v>1</v>
      </c>
      <c r="EF807" s="4">
        <v>775</v>
      </c>
      <c r="EG807">
        <v>1</v>
      </c>
      <c r="EH807" s="4">
        <v>787</v>
      </c>
      <c r="EI807">
        <v>1</v>
      </c>
      <c r="EJ807" s="4">
        <v>796</v>
      </c>
      <c r="EK807">
        <v>1</v>
      </c>
    </row>
    <row r="808" spans="1:141" x14ac:dyDescent="0.2">
      <c r="A808" t="str">
        <f>HYPERLINK("http://exon.niaid.nih.gov/transcriptome/C_felis/S1/links/cf/cf-contig_352.txt","cf-contig_352")</f>
        <v>cf-contig_352</v>
      </c>
      <c r="B808">
        <v>1</v>
      </c>
      <c r="C808" s="10" t="s">
        <v>4600</v>
      </c>
      <c r="D808">
        <v>1</v>
      </c>
      <c r="E808" t="str">
        <f>HYPERLINK("http://exon.niaid.nih.gov/transcriptome/C_felis/S1/links/cf/cf-5-36-asb-352.txt","Contig-352")</f>
        <v>Contig-352</v>
      </c>
      <c r="F808" t="str">
        <f>HYPERLINK("http://exon.niaid.nih.gov/transcriptome/C_felis/S1/links/cf/cf-5-36-352-CLU.txt","Contig352")</f>
        <v>Contig352</v>
      </c>
      <c r="G808" t="str">
        <f>HYPERLINK("http://exon.niaid.nih.gov/transcriptome/C_felis/S1/links/cf/cf-5-36-352-qual.txt","61.4")</f>
        <v>61.4</v>
      </c>
      <c r="H808" t="s">
        <v>11</v>
      </c>
      <c r="I808">
        <v>72</v>
      </c>
      <c r="J808">
        <v>156</v>
      </c>
      <c r="K808" t="s">
        <v>12</v>
      </c>
      <c r="L808">
        <v>1</v>
      </c>
      <c r="M808" t="s">
        <v>365</v>
      </c>
      <c r="N808">
        <v>156</v>
      </c>
      <c r="O808">
        <v>175</v>
      </c>
      <c r="P808">
        <v>168</v>
      </c>
      <c r="Q808" t="s">
        <v>1172</v>
      </c>
      <c r="R808">
        <v>3</v>
      </c>
      <c r="S808" s="7" t="s">
        <v>4585</v>
      </c>
      <c r="U808">
        <v>1</v>
      </c>
      <c r="V808" s="4">
        <v>283</v>
      </c>
      <c r="W808">
        <v>1</v>
      </c>
      <c r="X808" s="4">
        <v>290</v>
      </c>
      <c r="Y808">
        <v>1</v>
      </c>
      <c r="Z808" s="4">
        <v>290</v>
      </c>
      <c r="AA808">
        <v>1</v>
      </c>
      <c r="AB808" s="4" t="str">
        <f>HYPERLINK("http://exon.niaid.nih.gov/transcriptome/C_felis/S1/links/XC-ASB/cf-contig_352-XC-ASB.txt","XC-contig_129")</f>
        <v>XC-contig_129</v>
      </c>
      <c r="AC808">
        <v>0.12</v>
      </c>
      <c r="AD808" s="10" t="s">
        <v>4600</v>
      </c>
      <c r="AE808" t="s">
        <v>4601</v>
      </c>
      <c r="AI808" s="4" t="str">
        <f>HYPERLINK("http://exon.niaid.nih.gov/transcriptome/C_felis/S1/links/NR/cf-contig_352-NR.txt","similar to thyrotropin-releasing hormone receptor 1")</f>
        <v>similar to thyrotropin-releasing hormone receptor 1</v>
      </c>
      <c r="AJ808" t="str">
        <f>HYPERLINK("http://www.ncbi.nlm.nih.gov/sutils/blink.cgi?pid=72013600","47")</f>
        <v>47</v>
      </c>
      <c r="AK808" t="str">
        <f>HYPERLINK("http://www.ncbi.nlm.nih.gov/protein/72013600","gi|72013600")</f>
        <v>gi|72013600</v>
      </c>
      <c r="AL808">
        <v>31.6</v>
      </c>
      <c r="AM808">
        <v>39</v>
      </c>
      <c r="AN808">
        <v>427</v>
      </c>
      <c r="AO808">
        <v>32</v>
      </c>
      <c r="AP808">
        <v>9</v>
      </c>
      <c r="AQ808">
        <v>27</v>
      </c>
      <c r="AR808">
        <v>2</v>
      </c>
      <c r="AS808">
        <v>347</v>
      </c>
      <c r="AT808">
        <v>42</v>
      </c>
      <c r="AU808">
        <v>1</v>
      </c>
      <c r="AV808">
        <v>3</v>
      </c>
      <c r="AW808" t="s">
        <v>12</v>
      </c>
      <c r="AY808" t="s">
        <v>1676</v>
      </c>
      <c r="AZ808" t="s">
        <v>2914</v>
      </c>
      <c r="BA808" s="4" t="str">
        <f>HYPERLINK("http://exon.niaid.nih.gov/transcriptome/C_felis/S1/links/SWISSP/cf-contig_352-SWISSP.txt","Protein SCAI homolog")</f>
        <v>Protein SCAI homolog</v>
      </c>
      <c r="BB808" t="str">
        <f>HYPERLINK("http://www.uniprot.org/uniprot/Q54YY1","18")</f>
        <v>18</v>
      </c>
      <c r="BC808" t="s">
        <v>2915</v>
      </c>
      <c r="BD808">
        <v>28.1</v>
      </c>
      <c r="BE808">
        <v>31</v>
      </c>
      <c r="BF808">
        <v>773</v>
      </c>
      <c r="BG808">
        <v>34</v>
      </c>
      <c r="BH808">
        <v>4</v>
      </c>
      <c r="BI808">
        <v>21</v>
      </c>
      <c r="BJ808">
        <v>0</v>
      </c>
      <c r="BK808">
        <v>186</v>
      </c>
      <c r="BL808">
        <v>56</v>
      </c>
      <c r="BM808">
        <v>1</v>
      </c>
      <c r="BN808">
        <v>-1</v>
      </c>
      <c r="BO808" t="s">
        <v>12</v>
      </c>
      <c r="BQ808" t="s">
        <v>1666</v>
      </c>
      <c r="BR808" t="s">
        <v>1976</v>
      </c>
      <c r="BS808" s="4" t="str">
        <f>HYPERLINK("http://exon.niaid.nih.gov/transcriptome/C_felis/S1/links/CDD/cf-contig_352-CDD.txt","PHA02985")</f>
        <v>PHA02985</v>
      </c>
      <c r="BT808" t="str">
        <f>HYPERLINK("http://www.ncbi.nlm.nih.gov/Structure/cdd/cddsrv.cgi?uid=PHA02985&amp;version=v4.0","0.41")</f>
        <v>0.41</v>
      </c>
      <c r="BU808" t="s">
        <v>2916</v>
      </c>
      <c r="BV808" s="4" t="s">
        <v>42</v>
      </c>
      <c r="BW808" t="s">
        <v>42</v>
      </c>
      <c r="BX808" t="s">
        <v>42</v>
      </c>
      <c r="BY808" t="s">
        <v>42</v>
      </c>
      <c r="BZ808" t="s">
        <v>42</v>
      </c>
      <c r="CA808" t="s">
        <v>42</v>
      </c>
      <c r="CB808" t="s">
        <v>42</v>
      </c>
      <c r="CC808" t="s">
        <v>42</v>
      </c>
      <c r="CD808" t="s">
        <v>42</v>
      </c>
      <c r="CE808" t="s">
        <v>42</v>
      </c>
      <c r="CF808" t="s">
        <v>42</v>
      </c>
      <c r="CG808" t="s">
        <v>42</v>
      </c>
      <c r="CH808" t="s">
        <v>42</v>
      </c>
      <c r="CI808" t="s">
        <v>42</v>
      </c>
      <c r="CJ808" t="s">
        <v>42</v>
      </c>
      <c r="CK808" t="s">
        <v>42</v>
      </c>
      <c r="CL808" t="s">
        <v>42</v>
      </c>
      <c r="CM808" t="s">
        <v>42</v>
      </c>
      <c r="CN808" t="s">
        <v>42</v>
      </c>
      <c r="CO808" t="s">
        <v>42</v>
      </c>
      <c r="CP808" t="s">
        <v>42</v>
      </c>
      <c r="CQ808" t="s">
        <v>42</v>
      </c>
      <c r="CR808" t="s">
        <v>42</v>
      </c>
      <c r="CS808" s="4" t="str">
        <f>HYPERLINK("http://exon.niaid.nih.gov/transcriptome/C_felis/S1/links/KOG/cf-contig_352-KOG.txt","Integral membrane protein")</f>
        <v>Integral membrane protein</v>
      </c>
      <c r="CT808" t="str">
        <f>HYPERLINK("http://www.ncbi.nlm.nih.gov/COG/grace/shokog.cgi?KOG2296","0.005")</f>
        <v>0.005</v>
      </c>
      <c r="CU808" t="s">
        <v>1721</v>
      </c>
      <c r="CV808" s="4" t="str">
        <f>HYPERLINK("http://exon.niaid.nih.gov/transcriptome/C_felis/S1/links/PFAM/cf-contig_352-PFAM.txt","LMBR1")</f>
        <v>LMBR1</v>
      </c>
      <c r="CW808" t="str">
        <f>HYPERLINK("http://pfam.sanger.ac.uk/family?acc=PF04791","0.20")</f>
        <v>0.20</v>
      </c>
      <c r="CX808" s="4" t="str">
        <f>HYPERLINK("http://exon.niaid.nih.gov/transcriptome/C_felis/S1/links/SMART/cf-contig_352-SMART.txt","ZnF_TAZ")</f>
        <v>ZnF_TAZ</v>
      </c>
      <c r="CY808" t="str">
        <f>HYPERLINK("http://smart.embl-heidelberg.de/smart/do_annotation.pl?DOMAIN=ZnF_TAZ&amp;BLAST=DUMMY","0.38")</f>
        <v>0.38</v>
      </c>
      <c r="CZ808" s="4" t="s">
        <v>42</v>
      </c>
      <c r="DA808" t="s">
        <v>42</v>
      </c>
      <c r="DB808" t="s">
        <v>42</v>
      </c>
      <c r="DC808" t="s">
        <v>42</v>
      </c>
      <c r="DD808" t="s">
        <v>42</v>
      </c>
      <c r="DE808" t="s">
        <v>42</v>
      </c>
      <c r="DF808" t="s">
        <v>42</v>
      </c>
      <c r="DG808" t="s">
        <v>42</v>
      </c>
      <c r="DH808" s="4" t="s">
        <v>42</v>
      </c>
      <c r="DI808" t="s">
        <v>42</v>
      </c>
      <c r="DJ808" s="4" t="s">
        <v>42</v>
      </c>
      <c r="DK808" t="s">
        <v>42</v>
      </c>
      <c r="DL808" s="4">
        <v>283</v>
      </c>
      <c r="DM808">
        <v>1</v>
      </c>
      <c r="DN808" s="4">
        <v>290</v>
      </c>
      <c r="DO808">
        <v>1</v>
      </c>
      <c r="DP808" s="4">
        <v>290</v>
      </c>
      <c r="DQ808">
        <v>1</v>
      </c>
      <c r="DR808" s="4">
        <v>300</v>
      </c>
      <c r="DS808">
        <v>1</v>
      </c>
      <c r="DT808" s="4">
        <v>310</v>
      </c>
      <c r="DU808">
        <v>1</v>
      </c>
      <c r="DV808" s="4">
        <v>323</v>
      </c>
      <c r="DW808">
        <v>1</v>
      </c>
      <c r="DX808" s="4">
        <v>326</v>
      </c>
      <c r="DY808">
        <v>1</v>
      </c>
      <c r="DZ808" s="4">
        <v>331</v>
      </c>
      <c r="EA808">
        <v>1</v>
      </c>
      <c r="EB808" s="4">
        <v>336</v>
      </c>
      <c r="EC808">
        <v>1</v>
      </c>
      <c r="ED808" s="4">
        <v>340</v>
      </c>
      <c r="EE808">
        <v>1</v>
      </c>
      <c r="EF808" s="4">
        <v>345</v>
      </c>
      <c r="EG808">
        <v>1</v>
      </c>
      <c r="EH808" s="4">
        <v>347</v>
      </c>
      <c r="EI808">
        <v>1</v>
      </c>
      <c r="EJ808" s="4">
        <v>352</v>
      </c>
      <c r="EK808">
        <v>1</v>
      </c>
    </row>
    <row r="809" spans="1:141" x14ac:dyDescent="0.2">
      <c r="A809" t="str">
        <f>HYPERLINK("http://exon.niaid.nih.gov/transcriptome/C_felis/S1/links/cf/cf-contig_606.txt","cf-contig_606")</f>
        <v>cf-contig_606</v>
      </c>
      <c r="B809">
        <v>1</v>
      </c>
      <c r="C809" s="10" t="s">
        <v>4600</v>
      </c>
      <c r="D809">
        <v>1</v>
      </c>
      <c r="E809" t="str">
        <f>HYPERLINK("http://exon.niaid.nih.gov/transcriptome/C_felis/S1/links/cf/cf-5-36-asb-606.txt","Contig-606")</f>
        <v>Contig-606</v>
      </c>
      <c r="F809" t="str">
        <f>HYPERLINK("http://exon.niaid.nih.gov/transcriptome/C_felis/S1/links/cf/cf-5-36-606-CLU.txt","Contig606")</f>
        <v>Contig606</v>
      </c>
      <c r="G809" t="str">
        <f>HYPERLINK("http://exon.niaid.nih.gov/transcriptome/C_felis/S1/links/cf/cf-5-36-606-qual.txt","65.4")</f>
        <v>65.4</v>
      </c>
      <c r="H809" t="s">
        <v>11</v>
      </c>
      <c r="I809">
        <v>72.900000000000006</v>
      </c>
      <c r="J809">
        <v>324</v>
      </c>
      <c r="K809" t="s">
        <v>12</v>
      </c>
      <c r="L809">
        <v>1</v>
      </c>
      <c r="M809" t="s">
        <v>619</v>
      </c>
      <c r="N809">
        <v>324</v>
      </c>
      <c r="O809">
        <v>343</v>
      </c>
      <c r="P809">
        <v>108</v>
      </c>
      <c r="Q809" t="s">
        <v>1425</v>
      </c>
      <c r="R809">
        <v>3</v>
      </c>
      <c r="S809" s="7" t="s">
        <v>4585</v>
      </c>
      <c r="U809">
        <v>1</v>
      </c>
      <c r="V809" s="4">
        <v>493</v>
      </c>
      <c r="W809">
        <v>1</v>
      </c>
      <c r="X809" s="4">
        <v>505</v>
      </c>
      <c r="Y809">
        <v>1</v>
      </c>
      <c r="Z809" s="4">
        <v>515</v>
      </c>
      <c r="AA809">
        <v>1</v>
      </c>
      <c r="AB809" s="4" t="str">
        <f>HYPERLINK("http://exon.niaid.nih.gov/transcriptome/C_felis/S1/links/XC-ASB/cf-contig_606-XC-ASB.txt","XC-contig_201")</f>
        <v>XC-contig_201</v>
      </c>
      <c r="AC809">
        <v>2.9999999999999997E-4</v>
      </c>
      <c r="AD809" s="10" t="s">
        <v>4600</v>
      </c>
      <c r="AE809" t="s">
        <v>4601</v>
      </c>
      <c r="AI809" s="4" t="str">
        <f>HYPERLINK("http://exon.niaid.nih.gov/transcriptome/C_felis/S1/links/NR/cf-contig_606-NR.txt","hypothetical protein SSO2325")</f>
        <v>hypothetical protein SSO2325</v>
      </c>
      <c r="AJ809" t="str">
        <f>HYPERLINK("http://www.ncbi.nlm.nih.gov/sutils/blink.cgi?pid=15899083","5.6")</f>
        <v>5.6</v>
      </c>
      <c r="AK809" t="str">
        <f>HYPERLINK("http://www.ncbi.nlm.nih.gov/protein/15899083","gi|15899083")</f>
        <v>gi|15899083</v>
      </c>
      <c r="AL809">
        <v>34.700000000000003</v>
      </c>
      <c r="AM809">
        <v>88</v>
      </c>
      <c r="AN809">
        <v>489</v>
      </c>
      <c r="AO809">
        <v>30</v>
      </c>
      <c r="AP809">
        <v>18</v>
      </c>
      <c r="AQ809">
        <v>62</v>
      </c>
      <c r="AR809">
        <v>7</v>
      </c>
      <c r="AS809">
        <v>47</v>
      </c>
      <c r="AT809">
        <v>76</v>
      </c>
      <c r="AU809">
        <v>1</v>
      </c>
      <c r="AV809">
        <v>-2</v>
      </c>
      <c r="AW809" t="s">
        <v>12</v>
      </c>
      <c r="AX809">
        <v>1.1359999999999999</v>
      </c>
      <c r="AY809" t="s">
        <v>1666</v>
      </c>
      <c r="AZ809" t="s">
        <v>3906</v>
      </c>
      <c r="BA809" s="4" t="str">
        <f>HYPERLINK("http://exon.niaid.nih.gov/transcriptome/C_felis/S1/links/SWISSP/cf-contig_606-SWISSP.txt","DNA-directed RNA polymerase subunit beta''")</f>
        <v>DNA-directed RNA polymerase subunit beta''</v>
      </c>
      <c r="BB809" t="str">
        <f>HYPERLINK("http://www.uniprot.org/uniprot/Q25802","2.1")</f>
        <v>2.1</v>
      </c>
      <c r="BC809" t="s">
        <v>1918</v>
      </c>
      <c r="BD809">
        <v>31.2</v>
      </c>
      <c r="BE809">
        <v>354</v>
      </c>
      <c r="BF809">
        <v>960</v>
      </c>
      <c r="BG809">
        <v>27</v>
      </c>
      <c r="BH809">
        <v>37</v>
      </c>
      <c r="BI809">
        <v>55</v>
      </c>
      <c r="BJ809">
        <v>1</v>
      </c>
      <c r="BK809">
        <v>244</v>
      </c>
      <c r="BL809">
        <v>96</v>
      </c>
      <c r="BM809">
        <v>4</v>
      </c>
      <c r="BN809">
        <v>3</v>
      </c>
      <c r="BO809" t="s">
        <v>1689</v>
      </c>
      <c r="BP809">
        <v>0.84699999999999998</v>
      </c>
      <c r="BQ809" t="s">
        <v>1676</v>
      </c>
      <c r="BR809" t="s">
        <v>1791</v>
      </c>
      <c r="BS809" s="4" t="str">
        <f>HYPERLINK("http://exon.niaid.nih.gov/transcriptome/C_felis/S1/links/CDD/cf-contig_606-CDD.txt","PHA02834")</f>
        <v>PHA02834</v>
      </c>
      <c r="BT809" t="str">
        <f>HYPERLINK("http://www.ncbi.nlm.nih.gov/Structure/cdd/cddsrv.cgi?uid=PHA02834&amp;version=v4.0","0.33")</f>
        <v>0.33</v>
      </c>
      <c r="BU809" t="s">
        <v>3907</v>
      </c>
      <c r="BV809" s="4" t="s">
        <v>42</v>
      </c>
      <c r="BW809" t="s">
        <v>42</v>
      </c>
      <c r="BX809" t="s">
        <v>42</v>
      </c>
      <c r="BY809" t="s">
        <v>42</v>
      </c>
      <c r="BZ809" t="s">
        <v>42</v>
      </c>
      <c r="CA809" t="s">
        <v>42</v>
      </c>
      <c r="CB809" t="s">
        <v>42</v>
      </c>
      <c r="CC809" t="s">
        <v>42</v>
      </c>
      <c r="CD809" t="s">
        <v>42</v>
      </c>
      <c r="CE809" t="s">
        <v>42</v>
      </c>
      <c r="CF809" t="s">
        <v>42</v>
      </c>
      <c r="CG809" t="s">
        <v>42</v>
      </c>
      <c r="CH809" t="s">
        <v>42</v>
      </c>
      <c r="CI809" t="s">
        <v>42</v>
      </c>
      <c r="CJ809" t="s">
        <v>42</v>
      </c>
      <c r="CK809" t="s">
        <v>42</v>
      </c>
      <c r="CL809" t="s">
        <v>42</v>
      </c>
      <c r="CM809" t="s">
        <v>42</v>
      </c>
      <c r="CN809" t="s">
        <v>42</v>
      </c>
      <c r="CO809" t="s">
        <v>42</v>
      </c>
      <c r="CP809" t="s">
        <v>42</v>
      </c>
      <c r="CQ809" t="s">
        <v>42</v>
      </c>
      <c r="CR809" t="s">
        <v>42</v>
      </c>
      <c r="CS809" s="4" t="str">
        <f>HYPERLINK("http://exon.niaid.nih.gov/transcriptome/C_felis/S1/links/KOG/cf-contig_606-KOG.txt","Voltage-gated Ca2+ channels, alpha1 subunits")</f>
        <v>Voltage-gated Ca2+ channels, alpha1 subunits</v>
      </c>
      <c r="CT809" t="str">
        <f>HYPERLINK("http://www.ncbi.nlm.nih.gov/COG/grace/shokog.cgi?KOG2301","0.049")</f>
        <v>0.049</v>
      </c>
      <c r="CU809" t="s">
        <v>1702</v>
      </c>
      <c r="CV809" s="4" t="str">
        <f>HYPERLINK("http://exon.niaid.nih.gov/transcriptome/C_felis/S1/links/PFAM/cf-contig_606-PFAM.txt","PIGA")</f>
        <v>PIGA</v>
      </c>
      <c r="CW809" t="str">
        <f>HYPERLINK("http://pfam.sanger.ac.uk/family?acc=PF08288","0.17")</f>
        <v>0.17</v>
      </c>
      <c r="CX809" s="4" t="str">
        <f>HYPERLINK("http://exon.niaid.nih.gov/transcriptome/C_felis/S1/links/SMART/cf-contig_606-SMART.txt","IFabd")</f>
        <v>IFabd</v>
      </c>
      <c r="CY809" t="str">
        <f>HYPERLINK("http://smart.embl-heidelberg.de/smart/do_annotation.pl?DOMAIN=IFabd&amp;BLAST=DUMMY","0.11")</f>
        <v>0.11</v>
      </c>
      <c r="CZ809" s="4" t="s">
        <v>42</v>
      </c>
      <c r="DA809" t="s">
        <v>42</v>
      </c>
      <c r="DB809" t="s">
        <v>42</v>
      </c>
      <c r="DC809" t="s">
        <v>42</v>
      </c>
      <c r="DD809" t="s">
        <v>42</v>
      </c>
      <c r="DE809" t="s">
        <v>42</v>
      </c>
      <c r="DF809" t="s">
        <v>42</v>
      </c>
      <c r="DG809" t="s">
        <v>42</v>
      </c>
      <c r="DH809" s="4" t="s">
        <v>42</v>
      </c>
      <c r="DI809" t="s">
        <v>42</v>
      </c>
      <c r="DJ809" s="4" t="s">
        <v>42</v>
      </c>
      <c r="DK809" t="s">
        <v>42</v>
      </c>
      <c r="DL809" s="4">
        <v>493</v>
      </c>
      <c r="DM809">
        <v>1</v>
      </c>
      <c r="DN809" s="4">
        <v>505</v>
      </c>
      <c r="DO809">
        <v>1</v>
      </c>
      <c r="DP809" s="4">
        <v>515</v>
      </c>
      <c r="DQ809">
        <v>1</v>
      </c>
      <c r="DR809" s="4">
        <v>534</v>
      </c>
      <c r="DS809">
        <v>1</v>
      </c>
      <c r="DT809" s="4">
        <v>546</v>
      </c>
      <c r="DU809">
        <v>1</v>
      </c>
      <c r="DV809" s="4">
        <v>560</v>
      </c>
      <c r="DW809">
        <v>1</v>
      </c>
      <c r="DX809" s="4">
        <v>569</v>
      </c>
      <c r="DY809">
        <v>1</v>
      </c>
      <c r="DZ809" s="4">
        <v>577</v>
      </c>
      <c r="EA809">
        <v>1</v>
      </c>
      <c r="EB809" s="4">
        <v>582</v>
      </c>
      <c r="EC809">
        <v>1</v>
      </c>
      <c r="ED809" s="4">
        <v>586</v>
      </c>
      <c r="EE809">
        <v>1</v>
      </c>
      <c r="EF809" s="4">
        <v>592</v>
      </c>
      <c r="EG809">
        <v>1</v>
      </c>
      <c r="EH809" s="4">
        <v>599</v>
      </c>
      <c r="EI809">
        <v>1</v>
      </c>
      <c r="EJ809" s="4">
        <v>606</v>
      </c>
      <c r="EK809">
        <v>1</v>
      </c>
    </row>
    <row r="810" spans="1:141" x14ac:dyDescent="0.2">
      <c r="A810" t="str">
        <f>HYPERLINK("http://exon.niaid.nih.gov/transcriptome/C_felis/S1/links/cf/cf-contig_799.txt","cf-contig_799")</f>
        <v>cf-contig_799</v>
      </c>
      <c r="B810">
        <v>1</v>
      </c>
      <c r="C810" s="10" t="s">
        <v>4600</v>
      </c>
      <c r="D810">
        <v>1</v>
      </c>
      <c r="E810" t="str">
        <f>HYPERLINK("http://exon.niaid.nih.gov/transcriptome/C_felis/S1/links/cf/cf-5-36-asb-799.txt","Contig-799")</f>
        <v>Contig-799</v>
      </c>
      <c r="F810" t="str">
        <f>HYPERLINK("http://exon.niaid.nih.gov/transcriptome/C_felis/S1/links/cf/cf-5-36-799-CLU.txt","Contig799")</f>
        <v>Contig799</v>
      </c>
      <c r="G810" t="str">
        <f>HYPERLINK("http://exon.niaid.nih.gov/transcriptome/C_felis/S1/links/cf/cf-5-36-799-qual.txt","25.9")</f>
        <v>25.9</v>
      </c>
      <c r="H810" t="s">
        <v>11</v>
      </c>
      <c r="I810">
        <v>76.599999999999994</v>
      </c>
      <c r="J810">
        <v>544</v>
      </c>
      <c r="K810" t="s">
        <v>12</v>
      </c>
      <c r="L810">
        <v>1</v>
      </c>
      <c r="M810" t="s">
        <v>812</v>
      </c>
      <c r="N810">
        <v>544</v>
      </c>
      <c r="O810">
        <v>563</v>
      </c>
      <c r="P810">
        <v>111</v>
      </c>
      <c r="Q810" t="s">
        <v>1618</v>
      </c>
      <c r="R810">
        <v>1</v>
      </c>
      <c r="S810" s="7" t="s">
        <v>4585</v>
      </c>
      <c r="U810">
        <v>1</v>
      </c>
      <c r="V810" s="4">
        <v>642</v>
      </c>
      <c r="W810">
        <v>1</v>
      </c>
      <c r="X810" s="4">
        <v>664</v>
      </c>
      <c r="Y810">
        <v>1</v>
      </c>
      <c r="Z810" s="4">
        <v>680</v>
      </c>
      <c r="AA810">
        <v>1</v>
      </c>
      <c r="AB810" s="4" t="str">
        <f>HYPERLINK("http://exon.niaid.nih.gov/transcriptome/C_felis/S1/links/XC-ASB/cf-contig_799-XC-ASB.txt","XC-contig_209")</f>
        <v>XC-contig_209</v>
      </c>
      <c r="AC810">
        <v>0.12</v>
      </c>
      <c r="AD810" s="10" t="s">
        <v>4600</v>
      </c>
      <c r="AE810" t="s">
        <v>4601</v>
      </c>
      <c r="AI810" s="4" t="str">
        <f>HYPERLINK("http://exon.niaid.nih.gov/transcriptome/C_felis/S1/links/NR/cf-contig_799-NR.txt","NADH dehydrogenase subunit 4")</f>
        <v>NADH dehydrogenase subunit 4</v>
      </c>
      <c r="AJ810" t="str">
        <f>HYPERLINK("http://www.ncbi.nlm.nih.gov/sutils/blink.cgi?pid=288903296","0.41")</f>
        <v>0.41</v>
      </c>
      <c r="AK810" t="str">
        <f>HYPERLINK("http://www.ncbi.nlm.nih.gov/protein/288903296","gi|288903296")</f>
        <v>gi|288903296</v>
      </c>
      <c r="AL810">
        <v>38.9</v>
      </c>
      <c r="AM810">
        <v>92</v>
      </c>
      <c r="AN810">
        <v>409</v>
      </c>
      <c r="AO810">
        <v>26</v>
      </c>
      <c r="AP810">
        <v>23</v>
      </c>
      <c r="AQ810">
        <v>75</v>
      </c>
      <c r="AR810">
        <v>0</v>
      </c>
      <c r="AS810">
        <v>7</v>
      </c>
      <c r="AT810">
        <v>232</v>
      </c>
      <c r="AU810">
        <v>1</v>
      </c>
      <c r="AV810">
        <v>1</v>
      </c>
      <c r="AW810" t="s">
        <v>12</v>
      </c>
      <c r="AX810">
        <v>3.2610000000000001</v>
      </c>
      <c r="AY810" t="s">
        <v>1676</v>
      </c>
      <c r="AZ810" t="s">
        <v>4558</v>
      </c>
      <c r="BA810" s="4" t="str">
        <f>HYPERLINK("http://exon.niaid.nih.gov/transcriptome/C_felis/S1/links/SWISSP/cf-contig_799-SWISSP.txt","DNA-directed RNA polymerase subunit beta")</f>
        <v>DNA-directed RNA polymerase subunit beta</v>
      </c>
      <c r="BB810" t="str">
        <f>HYPERLINK("http://www.uniprot.org/uniprot/Q05FH8","7.6")</f>
        <v>7.6</v>
      </c>
      <c r="BC810" t="s">
        <v>4559</v>
      </c>
      <c r="BD810">
        <v>30.4</v>
      </c>
      <c r="BE810">
        <v>82</v>
      </c>
      <c r="BF810">
        <v>1267</v>
      </c>
      <c r="BG810">
        <v>36</v>
      </c>
      <c r="BH810">
        <v>7</v>
      </c>
      <c r="BI810">
        <v>56</v>
      </c>
      <c r="BJ810">
        <v>15</v>
      </c>
      <c r="BK810">
        <v>880</v>
      </c>
      <c r="BL810">
        <v>261</v>
      </c>
      <c r="BM810">
        <v>1</v>
      </c>
      <c r="BN810">
        <v>-1</v>
      </c>
      <c r="BO810" t="s">
        <v>12</v>
      </c>
      <c r="BP810">
        <v>4.8780000000000001</v>
      </c>
      <c r="BQ810" t="s">
        <v>1666</v>
      </c>
      <c r="BR810" t="s">
        <v>3374</v>
      </c>
      <c r="BS810" s="4" t="str">
        <f>HYPERLINK("http://exon.niaid.nih.gov/transcriptome/C_felis/S1/links/CDD/cf-contig_799-CDD.txt","ND4")</f>
        <v>ND4</v>
      </c>
      <c r="BT810" t="str">
        <f>HYPERLINK("http://www.ncbi.nlm.nih.gov/Structure/cdd/cddsrv.cgi?uid=MTH00094&amp;version=v4.0","2E-004")</f>
        <v>2E-004</v>
      </c>
      <c r="BU810" t="s">
        <v>4560</v>
      </c>
      <c r="BV810" s="4" t="s">
        <v>42</v>
      </c>
      <c r="BW810" t="s">
        <v>42</v>
      </c>
      <c r="BX810" t="s">
        <v>42</v>
      </c>
      <c r="BY810" t="s">
        <v>42</v>
      </c>
      <c r="BZ810" t="s">
        <v>42</v>
      </c>
      <c r="CA810" t="s">
        <v>42</v>
      </c>
      <c r="CB810" t="s">
        <v>42</v>
      </c>
      <c r="CC810" t="s">
        <v>42</v>
      </c>
      <c r="CD810" t="s">
        <v>42</v>
      </c>
      <c r="CE810" t="s">
        <v>42</v>
      </c>
      <c r="CF810" t="s">
        <v>42</v>
      </c>
      <c r="CG810" t="s">
        <v>42</v>
      </c>
      <c r="CH810" t="s">
        <v>42</v>
      </c>
      <c r="CI810" t="s">
        <v>42</v>
      </c>
      <c r="CJ810" t="s">
        <v>42</v>
      </c>
      <c r="CK810" t="s">
        <v>42</v>
      </c>
      <c r="CL810" t="s">
        <v>42</v>
      </c>
      <c r="CM810" t="s">
        <v>42</v>
      </c>
      <c r="CN810" t="s">
        <v>42</v>
      </c>
      <c r="CO810" t="s">
        <v>42</v>
      </c>
      <c r="CP810" t="s">
        <v>42</v>
      </c>
      <c r="CQ810" t="s">
        <v>42</v>
      </c>
      <c r="CR810" t="s">
        <v>42</v>
      </c>
      <c r="CS810" s="4" t="str">
        <f>HYPERLINK("http://exon.niaid.nih.gov/transcriptome/C_felis/S1/links/KOG/cf-contig_799-KOG.txt","Predicted membrane protein")</f>
        <v>Predicted membrane protein</v>
      </c>
      <c r="CT810" t="str">
        <f>HYPERLINK("http://www.ncbi.nlm.nih.gov/COG/grace/shokog.cgi?KOG0858","0.26")</f>
        <v>0.26</v>
      </c>
      <c r="CU810" t="s">
        <v>1711</v>
      </c>
      <c r="CV810" s="4" t="str">
        <f>HYPERLINK("http://exon.niaid.nih.gov/transcriptome/C_felis/S1/links/PFAM/cf-contig_799-PFAM.txt","7TM_GPCR_Srz")</f>
        <v>7TM_GPCR_Srz</v>
      </c>
      <c r="CW810" t="str">
        <f>HYPERLINK("http://pfam.sanger.ac.uk/family?acc=PF10325","2E-004")</f>
        <v>2E-004</v>
      </c>
      <c r="CX810" s="4" t="str">
        <f>HYPERLINK("http://exon.niaid.nih.gov/transcriptome/C_felis/S1/links/SMART/cf-contig_799-SMART.txt","COG6")</f>
        <v>COG6</v>
      </c>
      <c r="CY810" t="str">
        <f>HYPERLINK("http://smart.embl-heidelberg.de/smart/do_annotation.pl?DOMAIN=COG6&amp;BLAST=DUMMY","0.28")</f>
        <v>0.28</v>
      </c>
      <c r="CZ810" s="4" t="s">
        <v>42</v>
      </c>
      <c r="DA810" t="s">
        <v>42</v>
      </c>
      <c r="DB810" t="s">
        <v>42</v>
      </c>
      <c r="DC810" t="s">
        <v>42</v>
      </c>
      <c r="DD810" t="s">
        <v>42</v>
      </c>
      <c r="DE810" t="s">
        <v>42</v>
      </c>
      <c r="DF810" t="s">
        <v>42</v>
      </c>
      <c r="DG810" t="s">
        <v>42</v>
      </c>
      <c r="DH810" s="4" t="s">
        <v>42</v>
      </c>
      <c r="DI810" t="s">
        <v>42</v>
      </c>
      <c r="DJ810" s="4" t="s">
        <v>42</v>
      </c>
      <c r="DK810" t="s">
        <v>42</v>
      </c>
      <c r="DL810" s="4">
        <v>642</v>
      </c>
      <c r="DM810">
        <v>1</v>
      </c>
      <c r="DN810" s="4">
        <v>664</v>
      </c>
      <c r="DO810">
        <v>1</v>
      </c>
      <c r="DP810" s="4">
        <v>680</v>
      </c>
      <c r="DQ810">
        <v>1</v>
      </c>
      <c r="DR810" s="4">
        <v>702</v>
      </c>
      <c r="DS810">
        <v>1</v>
      </c>
      <c r="DT810" s="4">
        <v>718</v>
      </c>
      <c r="DU810">
        <v>1</v>
      </c>
      <c r="DV810" s="4">
        <v>733</v>
      </c>
      <c r="DW810">
        <v>1</v>
      </c>
      <c r="DX810" s="4">
        <v>747</v>
      </c>
      <c r="DY810">
        <v>1</v>
      </c>
      <c r="DZ810" s="4">
        <v>759</v>
      </c>
      <c r="EA810">
        <v>1</v>
      </c>
      <c r="EB810" s="4">
        <v>766</v>
      </c>
      <c r="EC810">
        <v>1</v>
      </c>
      <c r="ED810" s="4">
        <v>771</v>
      </c>
      <c r="EE810">
        <v>1</v>
      </c>
      <c r="EF810" s="4">
        <v>778</v>
      </c>
      <c r="EG810">
        <v>1</v>
      </c>
      <c r="EH810" s="4">
        <v>790</v>
      </c>
      <c r="EI810">
        <v>1</v>
      </c>
      <c r="EJ810" s="4">
        <v>799</v>
      </c>
      <c r="EK810">
        <v>1</v>
      </c>
    </row>
    <row r="811" spans="1:141" x14ac:dyDescent="0.2">
      <c r="A811" t="str">
        <f>HYPERLINK("http://exon.niaid.nih.gov/transcriptome/C_felis/S1/links/cf/cf-contig_710.txt","cf-contig_710")</f>
        <v>cf-contig_710</v>
      </c>
      <c r="B811">
        <v>1</v>
      </c>
      <c r="C811" s="10" t="s">
        <v>4600</v>
      </c>
      <c r="D811">
        <v>1</v>
      </c>
      <c r="E811" t="str">
        <f>HYPERLINK("http://exon.niaid.nih.gov/transcriptome/C_felis/S1/links/cf/cf-5-36-asb-710.txt","Contig-710")</f>
        <v>Contig-710</v>
      </c>
      <c r="F811" t="str">
        <f>HYPERLINK("http://exon.niaid.nih.gov/transcriptome/C_felis/S1/links/cf/cf-5-36-710-CLU.txt","Contig710")</f>
        <v>Contig710</v>
      </c>
      <c r="G811" t="str">
        <f>HYPERLINK("http://exon.niaid.nih.gov/transcriptome/C_felis/S1/links/cf/cf-5-36-710-qual.txt","63.7")</f>
        <v>63.7</v>
      </c>
      <c r="H811">
        <v>0.2</v>
      </c>
      <c r="I811">
        <v>66.7</v>
      </c>
      <c r="J811">
        <v>552</v>
      </c>
      <c r="K811" t="s">
        <v>12</v>
      </c>
      <c r="L811">
        <v>1</v>
      </c>
      <c r="M811" t="s">
        <v>723</v>
      </c>
      <c r="N811">
        <v>552</v>
      </c>
      <c r="O811">
        <v>571</v>
      </c>
      <c r="P811">
        <v>201</v>
      </c>
      <c r="Q811" t="s">
        <v>1529</v>
      </c>
      <c r="R811">
        <v>2</v>
      </c>
      <c r="S811" s="7" t="s">
        <v>4585</v>
      </c>
      <c r="U811">
        <v>1</v>
      </c>
      <c r="V811" s="4">
        <v>577</v>
      </c>
      <c r="W811">
        <v>1</v>
      </c>
      <c r="X811" s="4">
        <v>593</v>
      </c>
      <c r="Y811">
        <v>1</v>
      </c>
      <c r="Z811" s="4">
        <v>606</v>
      </c>
      <c r="AA811">
        <v>1</v>
      </c>
      <c r="AB811" s="4" t="str">
        <f>HYPERLINK("http://exon.niaid.nih.gov/transcriptome/C_felis/S1/links/XC-ASB/cf-contig_710-XC-ASB.txt","XC-contig_150")</f>
        <v>XC-contig_150</v>
      </c>
      <c r="AC811">
        <v>1.9E-2</v>
      </c>
      <c r="AD811" s="10" t="s">
        <v>4600</v>
      </c>
      <c r="AE811" t="s">
        <v>4601</v>
      </c>
      <c r="AI811" s="4" t="str">
        <f>HYPERLINK("http://exon.niaid.nih.gov/transcriptome/C_felis/S1/links/NR/cf-contig_710-NR.txt","CG11851")</f>
        <v>CG11851</v>
      </c>
      <c r="AJ811" t="str">
        <f>HYPERLINK("http://www.ncbi.nlm.nih.gov/sutils/blink.cgi?pid=21356275","0.72")</f>
        <v>0.72</v>
      </c>
      <c r="AK811" t="str">
        <f>HYPERLINK("http://www.ncbi.nlm.nih.gov/protein/21356275","gi|21356275")</f>
        <v>gi|21356275</v>
      </c>
      <c r="AL811">
        <v>38.1</v>
      </c>
      <c r="AM811">
        <v>50</v>
      </c>
      <c r="AN811">
        <v>623</v>
      </c>
      <c r="AO811">
        <v>40</v>
      </c>
      <c r="AP811">
        <v>8</v>
      </c>
      <c r="AQ811">
        <v>37</v>
      </c>
      <c r="AR811">
        <v>0</v>
      </c>
      <c r="AS811">
        <v>299</v>
      </c>
      <c r="AT811">
        <v>346</v>
      </c>
      <c r="AU811">
        <v>1</v>
      </c>
      <c r="AV811">
        <v>-2</v>
      </c>
      <c r="AW811" t="s">
        <v>12</v>
      </c>
      <c r="AX811">
        <v>4</v>
      </c>
      <c r="AY811" t="s">
        <v>1666</v>
      </c>
      <c r="AZ811" t="s">
        <v>4237</v>
      </c>
      <c r="BA811" s="4" t="str">
        <f>HYPERLINK("http://exon.niaid.nih.gov/transcriptome/C_felis/S1/links/SWISSP/cf-contig_710-SWISSP.txt","Uncharacterized protein MJ1147")</f>
        <v>Uncharacterized protein MJ1147</v>
      </c>
      <c r="BB811" t="str">
        <f>HYPERLINK("http://www.uniprot.org/uniprot/Q58547","3.6")</f>
        <v>3.6</v>
      </c>
      <c r="BC811" t="s">
        <v>4238</v>
      </c>
      <c r="BD811">
        <v>31.6</v>
      </c>
      <c r="BE811">
        <v>54</v>
      </c>
      <c r="BF811">
        <v>462</v>
      </c>
      <c r="BG811">
        <v>33</v>
      </c>
      <c r="BH811">
        <v>12</v>
      </c>
      <c r="BI811">
        <v>40</v>
      </c>
      <c r="BJ811">
        <v>0</v>
      </c>
      <c r="BK811">
        <v>155</v>
      </c>
      <c r="BL811">
        <v>347</v>
      </c>
      <c r="BM811">
        <v>1</v>
      </c>
      <c r="BN811">
        <v>-1</v>
      </c>
      <c r="BO811" t="s">
        <v>12</v>
      </c>
      <c r="BP811">
        <v>1.8520000000000001</v>
      </c>
      <c r="BQ811" t="s">
        <v>1666</v>
      </c>
      <c r="BR811" t="s">
        <v>2533</v>
      </c>
      <c r="BS811" s="4" t="str">
        <f>HYPERLINK("http://exon.niaid.nih.gov/transcriptome/C_felis/S1/links/CDD/cf-contig_710-CDD.txt","PHA02246")</f>
        <v>PHA02246</v>
      </c>
      <c r="BT811" t="str">
        <f>HYPERLINK("http://www.ncbi.nlm.nih.gov/Structure/cdd/cddsrv.cgi?uid=PHA02246&amp;version=v4.0","0.12")</f>
        <v>0.12</v>
      </c>
      <c r="BU811" t="s">
        <v>4239</v>
      </c>
      <c r="BV811" s="4" t="s">
        <v>42</v>
      </c>
      <c r="BW811" t="s">
        <v>42</v>
      </c>
      <c r="BX811" t="s">
        <v>42</v>
      </c>
      <c r="BY811" t="s">
        <v>42</v>
      </c>
      <c r="BZ811" t="s">
        <v>42</v>
      </c>
      <c r="CA811" t="s">
        <v>42</v>
      </c>
      <c r="CB811" t="s">
        <v>42</v>
      </c>
      <c r="CC811" t="s">
        <v>42</v>
      </c>
      <c r="CD811" t="s">
        <v>42</v>
      </c>
      <c r="CE811" t="s">
        <v>42</v>
      </c>
      <c r="CF811" t="s">
        <v>42</v>
      </c>
      <c r="CG811" t="s">
        <v>42</v>
      </c>
      <c r="CH811" t="s">
        <v>42</v>
      </c>
      <c r="CI811" t="s">
        <v>42</v>
      </c>
      <c r="CJ811" t="s">
        <v>42</v>
      </c>
      <c r="CK811" t="s">
        <v>42</v>
      </c>
      <c r="CL811" t="s">
        <v>42</v>
      </c>
      <c r="CM811" t="s">
        <v>42</v>
      </c>
      <c r="CN811" t="s">
        <v>42</v>
      </c>
      <c r="CO811" t="s">
        <v>42</v>
      </c>
      <c r="CP811" t="s">
        <v>42</v>
      </c>
      <c r="CQ811" t="s">
        <v>42</v>
      </c>
      <c r="CR811" t="s">
        <v>42</v>
      </c>
      <c r="CS811" s="4" t="str">
        <f>HYPERLINK("http://exon.niaid.nih.gov/transcriptome/C_felis/S1/links/KOG/cf-contig_710-KOG.txt","Mannosyltransferase")</f>
        <v>Mannosyltransferase</v>
      </c>
      <c r="CT811" t="str">
        <f>HYPERLINK("http://www.ncbi.nlm.nih.gov/COG/grace/shokog.cgi?KOG2515","0.004")</f>
        <v>0.004</v>
      </c>
      <c r="CU811" t="s">
        <v>2165</v>
      </c>
      <c r="CV811" s="4" t="str">
        <f>HYPERLINK("http://exon.niaid.nih.gov/transcriptome/C_felis/S1/links/PFAM/cf-contig_710-PFAM.txt","Glyco_transf_22")</f>
        <v>Glyco_transf_22</v>
      </c>
      <c r="CW811" t="str">
        <f>HYPERLINK("http://pfam.sanger.ac.uk/family?acc=PF03901","0.085")</f>
        <v>0.085</v>
      </c>
      <c r="CX811" s="4" t="str">
        <f>HYPERLINK("http://exon.niaid.nih.gov/transcriptome/C_felis/S1/links/SMART/cf-contig_710-SMART.txt","Cg6151-P")</f>
        <v>Cg6151-P</v>
      </c>
      <c r="CY811" t="str">
        <f>HYPERLINK("http://smart.embl-heidelberg.de/smart/do_annotation.pl?DOMAIN=Cg6151-P&amp;BLAST=DUMMY","0.037")</f>
        <v>0.037</v>
      </c>
      <c r="CZ811" s="4" t="s">
        <v>42</v>
      </c>
      <c r="DA811" t="s">
        <v>42</v>
      </c>
      <c r="DB811" t="s">
        <v>42</v>
      </c>
      <c r="DC811" t="s">
        <v>42</v>
      </c>
      <c r="DD811" t="s">
        <v>42</v>
      </c>
      <c r="DE811" t="s">
        <v>42</v>
      </c>
      <c r="DF811" t="s">
        <v>42</v>
      </c>
      <c r="DG811" t="s">
        <v>42</v>
      </c>
      <c r="DH811" s="4" t="s">
        <v>42</v>
      </c>
      <c r="DI811" t="s">
        <v>42</v>
      </c>
      <c r="DJ811" s="4" t="s">
        <v>42</v>
      </c>
      <c r="DK811" t="s">
        <v>42</v>
      </c>
      <c r="DL811" s="4">
        <v>577</v>
      </c>
      <c r="DM811">
        <v>1</v>
      </c>
      <c r="DN811" s="4">
        <v>593</v>
      </c>
      <c r="DO811">
        <v>1</v>
      </c>
      <c r="DP811" s="4">
        <v>606</v>
      </c>
      <c r="DQ811">
        <v>1</v>
      </c>
      <c r="DR811" s="4">
        <v>627</v>
      </c>
      <c r="DS811">
        <v>1</v>
      </c>
      <c r="DT811" s="4">
        <v>641</v>
      </c>
      <c r="DU811">
        <v>1</v>
      </c>
      <c r="DV811" s="4">
        <v>656</v>
      </c>
      <c r="DW811">
        <v>1</v>
      </c>
      <c r="DX811" s="4">
        <v>667</v>
      </c>
      <c r="DY811">
        <v>1</v>
      </c>
      <c r="DZ811" s="4">
        <v>677</v>
      </c>
      <c r="EA811">
        <v>1</v>
      </c>
      <c r="EB811" s="4">
        <v>682</v>
      </c>
      <c r="EC811">
        <v>1</v>
      </c>
      <c r="ED811" s="4">
        <v>686</v>
      </c>
      <c r="EE811">
        <v>1</v>
      </c>
      <c r="EF811" s="4">
        <v>692</v>
      </c>
      <c r="EG811">
        <v>1</v>
      </c>
      <c r="EH811" s="4">
        <v>701</v>
      </c>
      <c r="EI811">
        <v>1</v>
      </c>
      <c r="EJ811" s="4">
        <v>710</v>
      </c>
      <c r="EK811">
        <v>1</v>
      </c>
    </row>
    <row r="812" spans="1:141" x14ac:dyDescent="0.2">
      <c r="A812" t="str">
        <f>HYPERLINK("http://exon.niaid.nih.gov/transcriptome/C_felis/S1/links/cf/cf-contig_465.txt","cf-contig_465")</f>
        <v>cf-contig_465</v>
      </c>
      <c r="B812">
        <v>1</v>
      </c>
      <c r="C812" s="10" t="s">
        <v>4600</v>
      </c>
      <c r="D812">
        <v>1</v>
      </c>
      <c r="E812" t="str">
        <f>HYPERLINK("http://exon.niaid.nih.gov/transcriptome/C_felis/S1/links/cf/cf-5-36-asb-465.txt","Contig-465")</f>
        <v>Contig-465</v>
      </c>
      <c r="F812" t="str">
        <f>HYPERLINK("http://exon.niaid.nih.gov/transcriptome/C_felis/S1/links/cf/cf-5-36-465-CLU.txt","Contig465")</f>
        <v>Contig465</v>
      </c>
      <c r="G812" t="str">
        <f>HYPERLINK("http://exon.niaid.nih.gov/transcriptome/C_felis/S1/links/cf/cf-5-36-465-qual.txt","61.6")</f>
        <v>61.6</v>
      </c>
      <c r="H812" t="s">
        <v>11</v>
      </c>
      <c r="I812">
        <v>78.400000000000006</v>
      </c>
      <c r="J812">
        <v>222</v>
      </c>
      <c r="K812" t="s">
        <v>12</v>
      </c>
      <c r="L812">
        <v>1</v>
      </c>
      <c r="M812" t="s">
        <v>478</v>
      </c>
      <c r="N812">
        <v>222</v>
      </c>
      <c r="O812">
        <v>241</v>
      </c>
      <c r="P812">
        <v>99</v>
      </c>
      <c r="Q812" t="s">
        <v>1284</v>
      </c>
      <c r="R812">
        <v>1</v>
      </c>
      <c r="S812" s="7" t="s">
        <v>4585</v>
      </c>
      <c r="U812">
        <v>1</v>
      </c>
      <c r="V812" s="4">
        <f>HYPERLINK("http://exon.niaid.nih.gov/transcriptome/C_felis/S1/links/cluster/cf-5-36-asb30-50-Id-CLU67.txt", 67)</f>
        <v>67</v>
      </c>
      <c r="W812">
        <f>HYPERLINK("http://exon.niaid.nih.gov/transcriptome/C_felis/S1/links/cluster/cf-5-36-asb30-50-Id-CLTL67.txt", 2)</f>
        <v>2</v>
      </c>
      <c r="X812" s="4">
        <f>HYPERLINK("http://exon.niaid.nih.gov/transcriptome/C_felis/S1/links/cluster/cf-5-36-asb35-50-Id-CLU59.txt", 59)</f>
        <v>59</v>
      </c>
      <c r="Y812">
        <f>HYPERLINK("http://exon.niaid.nih.gov/transcriptome/C_felis/S1/links/cluster/cf-5-36-asb35-50-Id-CLTL59.txt", 2)</f>
        <v>2</v>
      </c>
      <c r="Z812" s="4">
        <f>HYPERLINK("http://exon.niaid.nih.gov/transcriptome/C_felis/S1/links/cluster/cf-5-36-asb40-50-Id-CLU56.txt", 56)</f>
        <v>56</v>
      </c>
      <c r="AA812">
        <f>HYPERLINK("http://exon.niaid.nih.gov/transcriptome/C_felis/S1/links/cluster/cf-5-36-asb40-50-Id-CLTL56.txt", 2)</f>
        <v>2</v>
      </c>
      <c r="AB812" s="4" t="str">
        <f>HYPERLINK("http://exon.niaid.nih.gov/transcriptome/C_felis/S1/links/XC-ASB/cf-contig_465-XC-ASB.txt","XC-contig_52")</f>
        <v>XC-contig_52</v>
      </c>
      <c r="AC812">
        <v>0.15</v>
      </c>
      <c r="AD812" s="10" t="s">
        <v>4600</v>
      </c>
      <c r="AE812" t="s">
        <v>4601</v>
      </c>
      <c r="AI812" s="4" t="str">
        <f>HYPERLINK("http://exon.niaid.nih.gov/transcriptome/C_felis/S1/links/NR/cf-contig_465-NR.txt","glutathione S-transferase")</f>
        <v>glutathione S-transferase</v>
      </c>
      <c r="AJ812" t="str">
        <f>HYPERLINK("http://www.ncbi.nlm.nih.gov/sutils/blink.cgi?pid=110592101","12")</f>
        <v>12</v>
      </c>
      <c r="AK812" t="str">
        <f>HYPERLINK("http://www.ncbi.nlm.nih.gov/protein/110592101","gi|110592101")</f>
        <v>gi|110592101</v>
      </c>
      <c r="AL812">
        <v>33.5</v>
      </c>
      <c r="AM812">
        <v>31</v>
      </c>
      <c r="AN812">
        <v>223</v>
      </c>
      <c r="AO812">
        <v>50</v>
      </c>
      <c r="AP812">
        <v>14</v>
      </c>
      <c r="AQ812">
        <v>16</v>
      </c>
      <c r="AR812">
        <v>1</v>
      </c>
      <c r="AS812">
        <v>153</v>
      </c>
      <c r="AT812">
        <v>6</v>
      </c>
      <c r="AU812">
        <v>1</v>
      </c>
      <c r="AV812">
        <v>-3</v>
      </c>
      <c r="AW812" t="s">
        <v>12</v>
      </c>
      <c r="AY812" t="s">
        <v>1666</v>
      </c>
      <c r="AZ812" t="s">
        <v>3364</v>
      </c>
      <c r="BA812" s="4" t="str">
        <f>HYPERLINK("http://exon.niaid.nih.gov/transcriptome/C_felis/S1/links/SWISSP/cf-contig_465-SWISSP.txt","Uncharacterized 6.4 kDa protein in atpA-psbA intergenic region")</f>
        <v>Uncharacterized 6.4 kDa protein in atpA-psbA intergenic region</v>
      </c>
      <c r="BB812" t="str">
        <f>HYPERLINK("http://www.uniprot.org/uniprot/Q32618","8.1")</f>
        <v>8.1</v>
      </c>
      <c r="BC812" t="s">
        <v>2860</v>
      </c>
      <c r="BD812">
        <v>29.3</v>
      </c>
      <c r="BE812">
        <v>37</v>
      </c>
      <c r="BF812">
        <v>50</v>
      </c>
      <c r="BG812">
        <v>37</v>
      </c>
      <c r="BH812">
        <v>76</v>
      </c>
      <c r="BI812">
        <v>25</v>
      </c>
      <c r="BJ812">
        <v>1</v>
      </c>
      <c r="BK812">
        <v>10</v>
      </c>
      <c r="BL812">
        <v>57</v>
      </c>
      <c r="BM812">
        <v>1</v>
      </c>
      <c r="BN812">
        <v>-3</v>
      </c>
      <c r="BO812" t="s">
        <v>12</v>
      </c>
      <c r="BP812">
        <v>2.7029999999999998</v>
      </c>
      <c r="BQ812" t="s">
        <v>1666</v>
      </c>
      <c r="BR812" t="s">
        <v>2732</v>
      </c>
      <c r="BS812" s="4" t="str">
        <f>HYPERLINK("http://exon.niaid.nih.gov/transcriptome/C_felis/S1/links/CDD/cf-contig_465-CDD.txt","PRK08255")</f>
        <v>PRK08255</v>
      </c>
      <c r="BT812" t="str">
        <f>HYPERLINK("http://www.ncbi.nlm.nih.gov/Structure/cdd/cddsrv.cgi?uid=PRK08255&amp;version=v4.0","0.16")</f>
        <v>0.16</v>
      </c>
      <c r="BU812" t="s">
        <v>3365</v>
      </c>
      <c r="BV812" s="4" t="s">
        <v>42</v>
      </c>
      <c r="BW812" t="s">
        <v>42</v>
      </c>
      <c r="BX812" t="s">
        <v>42</v>
      </c>
      <c r="BY812" t="s">
        <v>42</v>
      </c>
      <c r="BZ812" t="s">
        <v>42</v>
      </c>
      <c r="CA812" t="s">
        <v>42</v>
      </c>
      <c r="CB812" t="s">
        <v>42</v>
      </c>
      <c r="CC812" t="s">
        <v>42</v>
      </c>
      <c r="CD812" t="s">
        <v>42</v>
      </c>
      <c r="CE812" t="s">
        <v>42</v>
      </c>
      <c r="CF812" t="s">
        <v>42</v>
      </c>
      <c r="CG812" t="s">
        <v>42</v>
      </c>
      <c r="CH812" t="s">
        <v>42</v>
      </c>
      <c r="CI812" t="s">
        <v>42</v>
      </c>
      <c r="CJ812" t="s">
        <v>42</v>
      </c>
      <c r="CK812" t="s">
        <v>42</v>
      </c>
      <c r="CL812" t="s">
        <v>42</v>
      </c>
      <c r="CM812" t="s">
        <v>42</v>
      </c>
      <c r="CN812" t="s">
        <v>42</v>
      </c>
      <c r="CO812" t="s">
        <v>42</v>
      </c>
      <c r="CP812" t="s">
        <v>42</v>
      </c>
      <c r="CQ812" t="s">
        <v>42</v>
      </c>
      <c r="CR812" t="s">
        <v>42</v>
      </c>
      <c r="CS812" s="4" t="str">
        <f>HYPERLINK("http://exon.niaid.nih.gov/transcriptome/C_felis/S1/links/KOG/cf-contig_465-KOG.txt","Fibroblast growth factor")</f>
        <v>Fibroblast growth factor</v>
      </c>
      <c r="CT812" t="str">
        <f>HYPERLINK("http://www.ncbi.nlm.nih.gov/COG/grace/shokog.cgi?KOG3885","0.73")</f>
        <v>0.73</v>
      </c>
      <c r="CU812" t="s">
        <v>1780</v>
      </c>
      <c r="CV812" s="4" t="str">
        <f>HYPERLINK("http://exon.niaid.nih.gov/transcriptome/C_felis/S1/links/PFAM/cf-contig_465-PFAM.txt","MIG-14_Wnt-bd")</f>
        <v>MIG-14_Wnt-bd</v>
      </c>
      <c r="CW812" t="str">
        <f>HYPERLINK("http://pfam.sanger.ac.uk/family?acc=PF06664","0.043")</f>
        <v>0.043</v>
      </c>
      <c r="CX812" s="4" t="str">
        <f>HYPERLINK("http://exon.niaid.nih.gov/transcriptome/C_felis/S1/links/SMART/cf-contig_465-SMART.txt","POLBc")</f>
        <v>POLBc</v>
      </c>
      <c r="CY812" t="str">
        <f>HYPERLINK("http://smart.embl-heidelberg.de/smart/do_annotation.pl?DOMAIN=POLBc&amp;BLAST=DUMMY","0.020")</f>
        <v>0.020</v>
      </c>
      <c r="CZ812" s="4" t="s">
        <v>42</v>
      </c>
      <c r="DA812" t="s">
        <v>42</v>
      </c>
      <c r="DB812" t="s">
        <v>42</v>
      </c>
      <c r="DC812" t="s">
        <v>42</v>
      </c>
      <c r="DD812" t="s">
        <v>42</v>
      </c>
      <c r="DE812" t="s">
        <v>42</v>
      </c>
      <c r="DF812" t="s">
        <v>42</v>
      </c>
      <c r="DG812" t="s">
        <v>42</v>
      </c>
      <c r="DH812" s="4" t="s">
        <v>42</v>
      </c>
      <c r="DI812" t="s">
        <v>42</v>
      </c>
      <c r="DJ812" s="4" t="s">
        <v>42</v>
      </c>
      <c r="DK812" t="s">
        <v>42</v>
      </c>
      <c r="DL812" s="4">
        <f>HYPERLINK("http://exon.niaid.nih.gov/transcriptome/C_felis/S1/links/cluster/cf-5-36-asb30-50-Id-CLU67.txt", 67)</f>
        <v>67</v>
      </c>
      <c r="DM812">
        <f>HYPERLINK("http://exon.niaid.nih.gov/transcriptome/C_felis/S1/links/cluster/cf-5-36-asb30-50-Id-CLTL67.txt", 2)</f>
        <v>2</v>
      </c>
      <c r="DN812" s="4">
        <f>HYPERLINK("http://exon.niaid.nih.gov/transcriptome/C_felis/S1/links/cluster/cf-5-36-asb35-50-Id-CLU59.txt", 59)</f>
        <v>59</v>
      </c>
      <c r="DO812">
        <f>HYPERLINK("http://exon.niaid.nih.gov/transcriptome/C_felis/S1/links/cluster/cf-5-36-asb35-50-Id-CLTL59.txt", 2)</f>
        <v>2</v>
      </c>
      <c r="DP812" s="4">
        <f>HYPERLINK("http://exon.niaid.nih.gov/transcriptome/C_felis/S1/links/cluster/cf-5-36-asb40-50-Id-CLU56.txt", 56)</f>
        <v>56</v>
      </c>
      <c r="DQ812">
        <f>HYPERLINK("http://exon.niaid.nih.gov/transcriptome/C_felis/S1/links/cluster/cf-5-36-asb40-50-Id-CLTL56.txt", 2)</f>
        <v>2</v>
      </c>
      <c r="DR812" s="4">
        <f>HYPERLINK("http://exon.niaid.nih.gov/transcriptome/C_felis/S1/links/cluster/cf-5-36-asb45-50-Id-CLU47.txt", 47)</f>
        <v>47</v>
      </c>
      <c r="DS812">
        <f>HYPERLINK("http://exon.niaid.nih.gov/transcriptome/C_felis/S1/links/cluster/cf-5-36-asb45-50-Id-CLTL47.txt", 2)</f>
        <v>2</v>
      </c>
      <c r="DT812" s="4">
        <f>HYPERLINK("http://exon.niaid.nih.gov/transcriptome/C_felis/S1/links/cluster/cf-5-36-asb50-50-Id-CLU39.txt", 39)</f>
        <v>39</v>
      </c>
      <c r="DU812">
        <f>HYPERLINK("http://exon.niaid.nih.gov/transcriptome/C_felis/S1/links/cluster/cf-5-36-asb50-50-Id-CLTL39.txt", 2)</f>
        <v>2</v>
      </c>
      <c r="DV812" s="4">
        <f>HYPERLINK("http://exon.niaid.nih.gov/transcriptome/C_felis/S1/links/cluster/cf-5-36-asb55-50-Id-CLU36.txt", 36)</f>
        <v>36</v>
      </c>
      <c r="DW812">
        <f>HYPERLINK("http://exon.niaid.nih.gov/transcriptome/C_felis/S1/links/cluster/cf-5-36-asb55-50-Id-CLTL36.txt", 2)</f>
        <v>2</v>
      </c>
      <c r="DX812" s="4">
        <f>HYPERLINK("http://exon.niaid.nih.gov/transcriptome/C_felis/S1/links/cluster/cf-5-36-asb60-50-Id-CLU33.txt", 33)</f>
        <v>33</v>
      </c>
      <c r="DY812">
        <f>HYPERLINK("http://exon.niaid.nih.gov/transcriptome/C_felis/S1/links/cluster/cf-5-36-asb60-50-Id-CLTL33.txt", 2)</f>
        <v>2</v>
      </c>
      <c r="DZ812" s="4">
        <f>HYPERLINK("http://exon.niaid.nih.gov/transcriptome/C_felis/S1/links/cluster/cf-5-36-asb65-50-Id-CLU27.txt", 27)</f>
        <v>27</v>
      </c>
      <c r="EA812">
        <f>HYPERLINK("http://exon.niaid.nih.gov/transcriptome/C_felis/S1/links/cluster/cf-5-36-asb65-50-Id-CLTL27.txt", 2)</f>
        <v>2</v>
      </c>
      <c r="EB812" s="4">
        <f>HYPERLINK("http://exon.niaid.nih.gov/transcriptome/C_felis/S1/links/cluster/cf-5-36-asb70-50-Id-CLU22.txt", 22)</f>
        <v>22</v>
      </c>
      <c r="EC812">
        <f>HYPERLINK("http://exon.niaid.nih.gov/transcriptome/C_felis/S1/links/cluster/cf-5-36-asb70-50-Id-CLTL22.txt", 2)</f>
        <v>2</v>
      </c>
      <c r="ED812" s="4">
        <f>HYPERLINK("http://exon.niaid.nih.gov/transcriptome/C_felis/S1/links/cluster/cf-5-36-asb75-50-Id-CLU18.txt", 18)</f>
        <v>18</v>
      </c>
      <c r="EE812">
        <f>HYPERLINK("http://exon.niaid.nih.gov/transcriptome/C_felis/S1/links/cluster/cf-5-36-asb75-50-Id-CLTL18.txt", 2)</f>
        <v>2</v>
      </c>
      <c r="EF812" s="4">
        <f>HYPERLINK("http://exon.niaid.nih.gov/transcriptome/C_felis/S1/links/cluster/cf-5-36-asb80-50-Id-CLU16.txt", 16)</f>
        <v>16</v>
      </c>
      <c r="EG812">
        <f>HYPERLINK("http://exon.niaid.nih.gov/transcriptome/C_felis/S1/links/cluster/cf-5-36-asb80-50-Id-CLTL16.txt", 2)</f>
        <v>2</v>
      </c>
      <c r="EH812" s="4">
        <v>459</v>
      </c>
      <c r="EI812">
        <v>1</v>
      </c>
      <c r="EJ812" s="4">
        <v>465</v>
      </c>
      <c r="EK812">
        <v>1</v>
      </c>
    </row>
    <row r="813" spans="1:141" x14ac:dyDescent="0.2">
      <c r="A813" t="str">
        <f>HYPERLINK("http://exon.niaid.nih.gov/transcriptome/C_felis/S1/links/cf/cf-contig_639.txt","cf-contig_639")</f>
        <v>cf-contig_639</v>
      </c>
      <c r="B813">
        <v>1</v>
      </c>
      <c r="C813" s="10" t="s">
        <v>4600</v>
      </c>
      <c r="D813">
        <v>1</v>
      </c>
      <c r="E813" t="str">
        <f>HYPERLINK("http://exon.niaid.nih.gov/transcriptome/C_felis/S1/links/cf/cf-5-36-asb-639.txt","Contig-639")</f>
        <v>Contig-639</v>
      </c>
      <c r="F813" t="str">
        <f>HYPERLINK("http://exon.niaid.nih.gov/transcriptome/C_felis/S1/links/cf/cf-5-36-639-CLU.txt","Contig639")</f>
        <v>Contig639</v>
      </c>
      <c r="G813" t="str">
        <f>HYPERLINK("http://exon.niaid.nih.gov/transcriptome/C_felis/S1/links/cf/cf-5-36-639-qual.txt","62.9")</f>
        <v>62.9</v>
      </c>
      <c r="H813" t="s">
        <v>11</v>
      </c>
      <c r="I813">
        <v>66.5</v>
      </c>
      <c r="J813">
        <v>766</v>
      </c>
      <c r="K813" t="s">
        <v>12</v>
      </c>
      <c r="L813">
        <v>1</v>
      </c>
      <c r="M813" t="s">
        <v>652</v>
      </c>
      <c r="N813">
        <v>766</v>
      </c>
      <c r="O813">
        <v>785</v>
      </c>
      <c r="P813">
        <v>156</v>
      </c>
      <c r="Q813" t="s">
        <v>1458</v>
      </c>
      <c r="R813">
        <v>2</v>
      </c>
      <c r="S813" s="7" t="s">
        <v>4585</v>
      </c>
      <c r="U813">
        <v>1</v>
      </c>
      <c r="V813" s="4">
        <v>523</v>
      </c>
      <c r="W813">
        <v>1</v>
      </c>
      <c r="X813" s="4">
        <v>535</v>
      </c>
      <c r="Y813">
        <v>1</v>
      </c>
      <c r="Z813" s="4">
        <v>545</v>
      </c>
      <c r="AA813">
        <v>1</v>
      </c>
      <c r="AB813" s="4" t="str">
        <f>HYPERLINK("http://exon.niaid.nih.gov/transcriptome/C_felis/S1/links/XC-ASB/cf-contig_639-XC-ASB.txt","XC-contig_229")</f>
        <v>XC-contig_229</v>
      </c>
      <c r="AC813">
        <v>0.25</v>
      </c>
      <c r="AD813" s="10" t="s">
        <v>4600</v>
      </c>
      <c r="AE813" t="s">
        <v>4601</v>
      </c>
      <c r="AI813" s="4" t="str">
        <f>HYPERLINK("http://exon.niaid.nih.gov/transcriptome/C_felis/S1/links/NR/cf-contig_639-NR.txt","heme maturase")</f>
        <v>heme maturase</v>
      </c>
      <c r="AJ813" t="str">
        <f>HYPERLINK("http://www.ncbi.nlm.nih.gov/sutils/blink.cgi?pid=114329881","2.6")</f>
        <v>2.6</v>
      </c>
      <c r="AK813" t="str">
        <f>HYPERLINK("http://www.ncbi.nlm.nih.gov/protein/114329881","gi|114329881")</f>
        <v>gi|114329881</v>
      </c>
      <c r="AL813">
        <v>37.4</v>
      </c>
      <c r="AM813">
        <v>39</v>
      </c>
      <c r="AN813">
        <v>514</v>
      </c>
      <c r="AO813">
        <v>41</v>
      </c>
      <c r="AP813">
        <v>8</v>
      </c>
      <c r="AQ813">
        <v>24</v>
      </c>
      <c r="AR813">
        <v>0</v>
      </c>
      <c r="AS813">
        <v>331</v>
      </c>
      <c r="AT813">
        <v>518</v>
      </c>
      <c r="AU813">
        <v>1</v>
      </c>
      <c r="AV813">
        <v>2</v>
      </c>
      <c r="AW813" t="s">
        <v>12</v>
      </c>
      <c r="AX813">
        <v>10.256</v>
      </c>
      <c r="AY813" t="s">
        <v>1676</v>
      </c>
      <c r="AZ813" t="s">
        <v>3768</v>
      </c>
      <c r="BA813" s="4" t="str">
        <f>HYPERLINK("http://exon.niaid.nih.gov/transcriptome/C_felis/S1/links/SWISSP/cf-contig_639-SWISSP.txt","Probable intron-encoded DNA endonuclease aI1")</f>
        <v>Probable intron-encoded DNA endonuclease aI1</v>
      </c>
      <c r="BB813" t="str">
        <f>HYPERLINK("http://www.uniprot.org/uniprot/Q0H8X7","5.0")</f>
        <v>5.0</v>
      </c>
      <c r="BC813" t="s">
        <v>4030</v>
      </c>
      <c r="BD813">
        <v>32</v>
      </c>
      <c r="BE813">
        <v>65</v>
      </c>
      <c r="BF813">
        <v>121</v>
      </c>
      <c r="BG813">
        <v>30</v>
      </c>
      <c r="BH813">
        <v>55</v>
      </c>
      <c r="BI813">
        <v>46</v>
      </c>
      <c r="BJ813">
        <v>4</v>
      </c>
      <c r="BK813">
        <v>22</v>
      </c>
      <c r="BL813">
        <v>377</v>
      </c>
      <c r="BM813">
        <v>1</v>
      </c>
      <c r="BN813">
        <v>-2</v>
      </c>
      <c r="BO813" t="s">
        <v>12</v>
      </c>
      <c r="BP813">
        <v>1.538</v>
      </c>
      <c r="BQ813" t="s">
        <v>1666</v>
      </c>
      <c r="BR813" t="s">
        <v>2188</v>
      </c>
      <c r="BS813" s="4" t="str">
        <f>HYPERLINK("http://exon.niaid.nih.gov/transcriptome/C_felis/S1/links/CDD/cf-contig_639-CDD.txt","SQR_TypeB_1_TM")</f>
        <v>SQR_TypeB_1_TM</v>
      </c>
      <c r="BT813" t="str">
        <f>HYPERLINK("http://www.ncbi.nlm.nih.gov/Structure/cdd/cddsrv.cgi?uid=cd03497&amp;version=v4.0","0.058")</f>
        <v>0.058</v>
      </c>
      <c r="BU813" t="s">
        <v>4031</v>
      </c>
      <c r="BV813" s="4" t="s">
        <v>42</v>
      </c>
      <c r="BW813" t="s">
        <v>42</v>
      </c>
      <c r="BX813" t="s">
        <v>42</v>
      </c>
      <c r="BY813" t="s">
        <v>42</v>
      </c>
      <c r="BZ813" t="s">
        <v>42</v>
      </c>
      <c r="CA813" t="s">
        <v>42</v>
      </c>
      <c r="CB813" t="s">
        <v>42</v>
      </c>
      <c r="CC813" t="s">
        <v>42</v>
      </c>
      <c r="CD813" t="s">
        <v>42</v>
      </c>
      <c r="CE813" t="s">
        <v>42</v>
      </c>
      <c r="CF813" t="s">
        <v>42</v>
      </c>
      <c r="CG813" t="s">
        <v>42</v>
      </c>
      <c r="CH813" t="s">
        <v>42</v>
      </c>
      <c r="CI813" t="s">
        <v>42</v>
      </c>
      <c r="CJ813" t="s">
        <v>42</v>
      </c>
      <c r="CK813" t="s">
        <v>42</v>
      </c>
      <c r="CL813" t="s">
        <v>42</v>
      </c>
      <c r="CM813" t="s">
        <v>42</v>
      </c>
      <c r="CN813" t="s">
        <v>42</v>
      </c>
      <c r="CO813" t="s">
        <v>42</v>
      </c>
      <c r="CP813" t="s">
        <v>42</v>
      </c>
      <c r="CQ813" t="s">
        <v>42</v>
      </c>
      <c r="CR813" t="s">
        <v>42</v>
      </c>
      <c r="CS813" s="4" t="str">
        <f>HYPERLINK("http://exon.niaid.nih.gov/transcriptome/C_felis/S1/links/KOG/cf-contig_639-KOG.txt","Predicted Rho/Rac guanine nucleotide exchange factor/faciogenital dysplasia protein 3")</f>
        <v>Predicted Rho/Rac guanine nucleotide exchange factor/faciogenital dysplasia protein 3</v>
      </c>
      <c r="CT813" t="str">
        <f>HYPERLINK("http://www.ncbi.nlm.nih.gov/COG/grace/shokog.cgi?KOG4424","0.27")</f>
        <v>0.27</v>
      </c>
      <c r="CU813" t="s">
        <v>1780</v>
      </c>
      <c r="CV813" s="4" t="str">
        <f>HYPERLINK("http://exon.niaid.nih.gov/transcriptome/C_felis/S1/links/PFAM/cf-contig_639-PFAM.txt","SOG2")</f>
        <v>SOG2</v>
      </c>
      <c r="CW813" t="str">
        <f>HYPERLINK("http://pfam.sanger.ac.uk/family?acc=PF10428","0.016")</f>
        <v>0.016</v>
      </c>
      <c r="CX813" s="4" t="str">
        <f>HYPERLINK("http://exon.niaid.nih.gov/transcriptome/C_felis/S1/links/SMART/cf-contig_639-SMART.txt","Arrestin_C")</f>
        <v>Arrestin_C</v>
      </c>
      <c r="CY813" t="str">
        <f>HYPERLINK("http://smart.embl-heidelberg.de/smart/do_annotation.pl?DOMAIN=Arrestin_C&amp;BLAST=DUMMY","0.049")</f>
        <v>0.049</v>
      </c>
      <c r="CZ813" s="4" t="s">
        <v>42</v>
      </c>
      <c r="DA813" t="s">
        <v>42</v>
      </c>
      <c r="DB813" t="s">
        <v>42</v>
      </c>
      <c r="DC813" t="s">
        <v>42</v>
      </c>
      <c r="DD813" t="s">
        <v>42</v>
      </c>
      <c r="DE813" t="s">
        <v>42</v>
      </c>
      <c r="DF813" t="s">
        <v>42</v>
      </c>
      <c r="DG813" t="s">
        <v>42</v>
      </c>
      <c r="DH813" s="4" t="s">
        <v>42</v>
      </c>
      <c r="DI813" t="s">
        <v>42</v>
      </c>
      <c r="DJ813" s="4" t="s">
        <v>42</v>
      </c>
      <c r="DK813" t="s">
        <v>42</v>
      </c>
      <c r="DL813" s="4">
        <v>523</v>
      </c>
      <c r="DM813">
        <v>1</v>
      </c>
      <c r="DN813" s="4">
        <v>535</v>
      </c>
      <c r="DO813">
        <v>1</v>
      </c>
      <c r="DP813" s="4">
        <v>545</v>
      </c>
      <c r="DQ813">
        <v>1</v>
      </c>
      <c r="DR813" s="4">
        <v>565</v>
      </c>
      <c r="DS813">
        <v>1</v>
      </c>
      <c r="DT813" s="4">
        <v>578</v>
      </c>
      <c r="DU813">
        <v>1</v>
      </c>
      <c r="DV813" s="4">
        <v>592</v>
      </c>
      <c r="DW813">
        <v>1</v>
      </c>
      <c r="DX813" s="4">
        <v>601</v>
      </c>
      <c r="DY813">
        <v>1</v>
      </c>
      <c r="DZ813" s="4">
        <v>609</v>
      </c>
      <c r="EA813">
        <v>1</v>
      </c>
      <c r="EB813" s="4">
        <v>614</v>
      </c>
      <c r="EC813">
        <v>1</v>
      </c>
      <c r="ED813" s="4">
        <v>618</v>
      </c>
      <c r="EE813">
        <v>1</v>
      </c>
      <c r="EF813" s="4">
        <v>624</v>
      </c>
      <c r="EG813">
        <v>1</v>
      </c>
      <c r="EH813" s="4">
        <v>632</v>
      </c>
      <c r="EI813">
        <v>1</v>
      </c>
      <c r="EJ813" s="4">
        <v>639</v>
      </c>
      <c r="EK813">
        <v>1</v>
      </c>
    </row>
    <row r="814" spans="1:141" x14ac:dyDescent="0.2">
      <c r="A814" t="str">
        <f>HYPERLINK("http://exon.niaid.nih.gov/transcriptome/C_felis/S1/links/cf/cf-contig_577.txt","cf-contig_577")</f>
        <v>cf-contig_577</v>
      </c>
      <c r="B814">
        <v>1</v>
      </c>
      <c r="C814" s="10" t="s">
        <v>4600</v>
      </c>
      <c r="D814">
        <v>1</v>
      </c>
      <c r="E814" t="str">
        <f>HYPERLINK("http://exon.niaid.nih.gov/transcriptome/C_felis/S1/links/cf/cf-5-36-asb-577.txt","Contig-577")</f>
        <v>Contig-577</v>
      </c>
      <c r="F814" t="str">
        <f>HYPERLINK("http://exon.niaid.nih.gov/transcriptome/C_felis/S1/links/cf/cf-5-36-577-CLU.txt","Contig577")</f>
        <v>Contig577</v>
      </c>
      <c r="G814" t="str">
        <f>HYPERLINK("http://exon.niaid.nih.gov/transcriptome/C_felis/S1/links/cf/cf-5-36-577-qual.txt","64.9")</f>
        <v>64.9</v>
      </c>
      <c r="H814" t="s">
        <v>11</v>
      </c>
      <c r="I814">
        <v>78.8</v>
      </c>
      <c r="J814">
        <v>400</v>
      </c>
      <c r="K814" t="s">
        <v>12</v>
      </c>
      <c r="L814">
        <v>1</v>
      </c>
      <c r="M814" t="s">
        <v>590</v>
      </c>
      <c r="N814">
        <v>400</v>
      </c>
      <c r="O814">
        <v>419</v>
      </c>
      <c r="P814">
        <v>210</v>
      </c>
      <c r="Q814" t="s">
        <v>1396</v>
      </c>
      <c r="R814">
        <v>1</v>
      </c>
      <c r="S814" s="7" t="s">
        <v>4585</v>
      </c>
      <c r="U814">
        <v>1</v>
      </c>
      <c r="V814" s="4">
        <v>470</v>
      </c>
      <c r="W814">
        <v>1</v>
      </c>
      <c r="X814" s="4">
        <v>480</v>
      </c>
      <c r="Y814">
        <v>1</v>
      </c>
      <c r="Z814" s="4">
        <v>489</v>
      </c>
      <c r="AA814">
        <v>1</v>
      </c>
      <c r="AB814" s="4" t="str">
        <f>HYPERLINK("http://exon.niaid.nih.gov/transcriptome/C_felis/S1/links/XC-ASB/cf-contig_577-XC-ASB.txt","XC-contig_190")</f>
        <v>XC-contig_190</v>
      </c>
      <c r="AC814">
        <v>0.42</v>
      </c>
      <c r="AD814" s="10" t="s">
        <v>4600</v>
      </c>
      <c r="AE814" t="s">
        <v>4601</v>
      </c>
      <c r="AI814" s="4" t="str">
        <f>HYPERLINK("http://exon.niaid.nih.gov/transcriptome/C_felis/S1/links/NR/cf-contig_577-NR.txt","Ymf75")</f>
        <v>Ymf75</v>
      </c>
      <c r="AJ814" t="str">
        <f>HYPERLINK("http://www.ncbi.nlm.nih.gov/sutils/blink.cgi?pid=114329873","0.38")</f>
        <v>0.38</v>
      </c>
      <c r="AK814" t="str">
        <f>HYPERLINK("http://www.ncbi.nlm.nih.gov/protein/114329873","gi|114329873")</f>
        <v>gi|114329873</v>
      </c>
      <c r="AL814">
        <v>38.5</v>
      </c>
      <c r="AM814">
        <v>79</v>
      </c>
      <c r="AN814">
        <v>187</v>
      </c>
      <c r="AO814">
        <v>31</v>
      </c>
      <c r="AP814">
        <v>43</v>
      </c>
      <c r="AQ814">
        <v>62</v>
      </c>
      <c r="AR814">
        <v>0</v>
      </c>
      <c r="AS814">
        <v>69</v>
      </c>
      <c r="AT814">
        <v>55</v>
      </c>
      <c r="AU814">
        <v>1</v>
      </c>
      <c r="AV814">
        <v>1</v>
      </c>
      <c r="AW814" t="s">
        <v>12</v>
      </c>
      <c r="AX814">
        <v>2.532</v>
      </c>
      <c r="AY814" t="s">
        <v>1676</v>
      </c>
      <c r="AZ814" t="s">
        <v>3768</v>
      </c>
      <c r="BA814" s="4" t="str">
        <f>HYPERLINK("http://exon.niaid.nih.gov/transcriptome/C_felis/S1/links/SWISSP/cf-contig_577-SWISSP.txt","Protein PF14_0175")</f>
        <v>Protein PF14_0175</v>
      </c>
      <c r="BB814" t="str">
        <f>HYPERLINK("http://www.uniprot.org/uniprot/Q8ILR9","0.56")</f>
        <v>0.56</v>
      </c>
      <c r="BC814" t="s">
        <v>2300</v>
      </c>
      <c r="BD814">
        <v>33.1</v>
      </c>
      <c r="BE814">
        <v>57</v>
      </c>
      <c r="BF814">
        <v>4662</v>
      </c>
      <c r="BG814">
        <v>36</v>
      </c>
      <c r="BH814">
        <v>1</v>
      </c>
      <c r="BI814">
        <v>23</v>
      </c>
      <c r="BJ814">
        <v>0</v>
      </c>
      <c r="BK814">
        <v>3380</v>
      </c>
      <c r="BL814">
        <v>160</v>
      </c>
      <c r="BM814">
        <v>3</v>
      </c>
      <c r="BN814">
        <v>-3</v>
      </c>
      <c r="BO814" t="s">
        <v>1689</v>
      </c>
      <c r="BP814">
        <v>1.754</v>
      </c>
      <c r="BQ814" t="s">
        <v>1666</v>
      </c>
      <c r="BR814" t="s">
        <v>1724</v>
      </c>
      <c r="BS814" s="4" t="str">
        <f>HYPERLINK("http://exon.niaid.nih.gov/transcriptome/C_felis/S1/links/CDD/cf-contig_577-CDD.txt","PRANC")</f>
        <v>PRANC</v>
      </c>
      <c r="BT814" t="str">
        <f>HYPERLINK("http://www.ncbi.nlm.nih.gov/Structure/cdd/cddsrv.cgi?uid=pfam09372&amp;version=v4.0","0.19")</f>
        <v>0.19</v>
      </c>
      <c r="BU814" t="s">
        <v>3769</v>
      </c>
      <c r="BV814" s="4" t="s">
        <v>42</v>
      </c>
      <c r="BW814" t="s">
        <v>42</v>
      </c>
      <c r="BX814" t="s">
        <v>42</v>
      </c>
      <c r="BY814" t="s">
        <v>42</v>
      </c>
      <c r="BZ814" t="s">
        <v>42</v>
      </c>
      <c r="CA814" t="s">
        <v>42</v>
      </c>
      <c r="CB814" t="s">
        <v>42</v>
      </c>
      <c r="CC814" t="s">
        <v>42</v>
      </c>
      <c r="CD814" t="s">
        <v>42</v>
      </c>
      <c r="CE814" t="s">
        <v>42</v>
      </c>
      <c r="CF814" t="s">
        <v>42</v>
      </c>
      <c r="CG814" t="s">
        <v>42</v>
      </c>
      <c r="CH814" t="s">
        <v>42</v>
      </c>
      <c r="CI814" t="s">
        <v>42</v>
      </c>
      <c r="CJ814" t="s">
        <v>42</v>
      </c>
      <c r="CK814" t="s">
        <v>42</v>
      </c>
      <c r="CL814" t="s">
        <v>42</v>
      </c>
      <c r="CM814" t="s">
        <v>42</v>
      </c>
      <c r="CN814" t="s">
        <v>42</v>
      </c>
      <c r="CO814" t="s">
        <v>42</v>
      </c>
      <c r="CP814" t="s">
        <v>42</v>
      </c>
      <c r="CQ814" t="s">
        <v>42</v>
      </c>
      <c r="CR814" t="s">
        <v>42</v>
      </c>
      <c r="CS814" s="4" t="str">
        <f>HYPERLINK("http://exon.niaid.nih.gov/transcriptome/C_felis/S1/links/KOG/cf-contig_577-KOG.txt","Protein tyrosine phosphatase-like protein PTPLA (contains Pro instead of catalytic Arg)")</f>
        <v>Protein tyrosine phosphatase-like protein PTPLA (contains Pro instead of catalytic Arg)</v>
      </c>
      <c r="CT814" t="str">
        <f>HYPERLINK("http://www.ncbi.nlm.nih.gov/COG/grace/shokog.cgi?KOG3187","0.010")</f>
        <v>0.010</v>
      </c>
      <c r="CU814" t="s">
        <v>1721</v>
      </c>
      <c r="CV814" s="4" t="str">
        <f>HYPERLINK("http://exon.niaid.nih.gov/transcriptome/C_felis/S1/links/PFAM/cf-contig_577-PFAM.txt","PRANC")</f>
        <v>PRANC</v>
      </c>
      <c r="CW814" t="str">
        <f>HYPERLINK("http://pfam.sanger.ac.uk/family?acc=PF09372","0.042")</f>
        <v>0.042</v>
      </c>
      <c r="CX814" s="4" t="str">
        <f>HYPERLINK("http://exon.niaid.nih.gov/transcriptome/C_felis/S1/links/SMART/cf-contig_577-SMART.txt","AgrB")</f>
        <v>AgrB</v>
      </c>
      <c r="CY814" t="str">
        <f>HYPERLINK("http://smart.embl-heidelberg.de/smart/do_annotation.pl?DOMAIN=AgrB&amp;BLAST=DUMMY","0.023")</f>
        <v>0.023</v>
      </c>
      <c r="CZ814" s="4" t="s">
        <v>42</v>
      </c>
      <c r="DA814" t="s">
        <v>42</v>
      </c>
      <c r="DB814" t="s">
        <v>42</v>
      </c>
      <c r="DC814" t="s">
        <v>42</v>
      </c>
      <c r="DD814" t="s">
        <v>42</v>
      </c>
      <c r="DE814" t="s">
        <v>42</v>
      </c>
      <c r="DF814" t="s">
        <v>42</v>
      </c>
      <c r="DG814" t="s">
        <v>42</v>
      </c>
      <c r="DH814" s="4" t="s">
        <v>42</v>
      </c>
      <c r="DI814" t="s">
        <v>42</v>
      </c>
      <c r="DJ814" s="4" t="s">
        <v>42</v>
      </c>
      <c r="DK814" t="s">
        <v>42</v>
      </c>
      <c r="DL814" s="4">
        <v>470</v>
      </c>
      <c r="DM814">
        <v>1</v>
      </c>
      <c r="DN814" s="4">
        <v>480</v>
      </c>
      <c r="DO814">
        <v>1</v>
      </c>
      <c r="DP814" s="4">
        <v>489</v>
      </c>
      <c r="DQ814">
        <v>1</v>
      </c>
      <c r="DR814" s="4">
        <v>507</v>
      </c>
      <c r="DS814">
        <v>1</v>
      </c>
      <c r="DT814" s="4">
        <v>519</v>
      </c>
      <c r="DU814">
        <v>1</v>
      </c>
      <c r="DV814" s="4">
        <v>533</v>
      </c>
      <c r="DW814">
        <v>1</v>
      </c>
      <c r="DX814" s="4">
        <v>541</v>
      </c>
      <c r="DY814">
        <v>1</v>
      </c>
      <c r="DZ814" s="4">
        <v>549</v>
      </c>
      <c r="EA814">
        <v>1</v>
      </c>
      <c r="EB814" s="4">
        <v>554</v>
      </c>
      <c r="EC814">
        <v>1</v>
      </c>
      <c r="ED814" s="4">
        <v>558</v>
      </c>
      <c r="EE814">
        <v>1</v>
      </c>
      <c r="EF814" s="4">
        <v>563</v>
      </c>
      <c r="EG814">
        <v>1</v>
      </c>
      <c r="EH814" s="4">
        <v>570</v>
      </c>
      <c r="EI814">
        <v>1</v>
      </c>
      <c r="EJ814" s="4">
        <v>577</v>
      </c>
      <c r="EK814">
        <v>1</v>
      </c>
    </row>
    <row r="815" spans="1:141" x14ac:dyDescent="0.2">
      <c r="A815" t="str">
        <f>HYPERLINK("http://exon.niaid.nih.gov/transcriptome/C_felis/S1/links/cf/cf-contig_616.txt","cf-contig_616")</f>
        <v>cf-contig_616</v>
      </c>
      <c r="B815">
        <v>1</v>
      </c>
      <c r="C815" s="10" t="s">
        <v>4600</v>
      </c>
      <c r="D815">
        <v>1</v>
      </c>
      <c r="E815" t="str">
        <f>HYPERLINK("http://exon.niaid.nih.gov/transcriptome/C_felis/S1/links/cf/cf-5-36-asb-616.txt","Contig-616")</f>
        <v>Contig-616</v>
      </c>
      <c r="F815" t="str">
        <f>HYPERLINK("http://exon.niaid.nih.gov/transcriptome/C_felis/S1/links/cf/cf-5-36-616-CLU.txt","Contig616")</f>
        <v>Contig616</v>
      </c>
      <c r="G815" t="str">
        <f>HYPERLINK("http://exon.niaid.nih.gov/transcriptome/C_felis/S1/links/cf/cf-5-36-616-qual.txt","58.3")</f>
        <v>58.3</v>
      </c>
      <c r="H815" t="s">
        <v>11</v>
      </c>
      <c r="I815">
        <v>73.599999999999994</v>
      </c>
      <c r="J815">
        <v>618</v>
      </c>
      <c r="K815" t="s">
        <v>12</v>
      </c>
      <c r="L815">
        <v>1</v>
      </c>
      <c r="M815" t="s">
        <v>629</v>
      </c>
      <c r="N815">
        <v>618</v>
      </c>
      <c r="O815">
        <v>637</v>
      </c>
      <c r="P815">
        <v>171</v>
      </c>
      <c r="Q815" t="s">
        <v>1435</v>
      </c>
      <c r="R815">
        <v>2</v>
      </c>
      <c r="S815" s="7" t="s">
        <v>4585</v>
      </c>
      <c r="U815">
        <v>1</v>
      </c>
      <c r="V815" s="4">
        <v>502</v>
      </c>
      <c r="W815">
        <v>1</v>
      </c>
      <c r="X815" s="4">
        <v>514</v>
      </c>
      <c r="Y815">
        <v>1</v>
      </c>
      <c r="Z815" s="4">
        <v>524</v>
      </c>
      <c r="AA815">
        <v>1</v>
      </c>
      <c r="AB815" s="4" t="str">
        <f>HYPERLINK("http://exon.niaid.nih.gov/transcriptome/C_felis/S1/links/XC-ASB/cf-contig_616-XC-ASB.txt","XC-contig_158")</f>
        <v>XC-contig_158</v>
      </c>
      <c r="AC815">
        <v>6.9999999999999999E-4</v>
      </c>
      <c r="AD815" s="10" t="s">
        <v>4600</v>
      </c>
      <c r="AE815" t="s">
        <v>4601</v>
      </c>
      <c r="AI815" s="4" t="str">
        <f>HYPERLINK("http://exon.niaid.nih.gov/transcriptome/C_felis/S1/links/NR/cf-contig_616-NR.txt","Calpain family cysteine protease containing protein")</f>
        <v>Calpain family cysteine protease containing protein</v>
      </c>
      <c r="AJ815" t="str">
        <f>HYPERLINK("http://www.ncbi.nlm.nih.gov/sutils/blink.cgi?pid=118367407","6.2")</f>
        <v>6.2</v>
      </c>
      <c r="AK815" t="str">
        <f>HYPERLINK("http://www.ncbi.nlm.nih.gov/protein/118367407","gi|118367407")</f>
        <v>gi|118367407</v>
      </c>
      <c r="AL815">
        <v>35.4</v>
      </c>
      <c r="AM815">
        <v>83</v>
      </c>
      <c r="AN815">
        <v>2590</v>
      </c>
      <c r="AO815">
        <v>25</v>
      </c>
      <c r="AP815">
        <v>3</v>
      </c>
      <c r="AQ815">
        <v>77</v>
      </c>
      <c r="AR815">
        <v>0</v>
      </c>
      <c r="AS815">
        <v>1462</v>
      </c>
      <c r="AT815">
        <v>281</v>
      </c>
      <c r="AU815">
        <v>1</v>
      </c>
      <c r="AV815">
        <v>2</v>
      </c>
      <c r="AW815" t="s">
        <v>12</v>
      </c>
      <c r="AX815">
        <v>4.819</v>
      </c>
      <c r="AY815" t="s">
        <v>1676</v>
      </c>
      <c r="AZ815" t="s">
        <v>1794</v>
      </c>
      <c r="BA815" s="4" t="str">
        <f>HYPERLINK("http://exon.niaid.nih.gov/transcriptome/C_felis/S1/links/SWISSP/cf-contig_616-SWISSP.txt","Putative L-type lectin-domain containing receptor kinase II.2")</f>
        <v>Putative L-type lectin-domain containing receptor kinase II.2</v>
      </c>
      <c r="BB815" t="str">
        <f>HYPERLINK("http://www.uniprot.org/uniprot/Q9FIF0","29")</f>
        <v>29</v>
      </c>
      <c r="BC815" t="s">
        <v>3936</v>
      </c>
      <c r="BD815">
        <v>28.9</v>
      </c>
      <c r="BE815">
        <v>20</v>
      </c>
      <c r="BF815">
        <v>694</v>
      </c>
      <c r="BG815">
        <v>52</v>
      </c>
      <c r="BH815">
        <v>3</v>
      </c>
      <c r="BI815">
        <v>10</v>
      </c>
      <c r="BJ815">
        <v>0</v>
      </c>
      <c r="BK815">
        <v>49</v>
      </c>
      <c r="BL815">
        <v>213</v>
      </c>
      <c r="BM815">
        <v>1</v>
      </c>
      <c r="BN815">
        <v>3</v>
      </c>
      <c r="BO815" t="s">
        <v>12</v>
      </c>
      <c r="BQ815" t="s">
        <v>1676</v>
      </c>
      <c r="BR815" t="s">
        <v>1714</v>
      </c>
      <c r="BS815" s="4" t="str">
        <f>HYPERLINK("http://exon.niaid.nih.gov/transcriptome/C_felis/S1/links/CDD/cf-contig_616-CDD.txt","ND5")</f>
        <v>ND5</v>
      </c>
      <c r="BT815" t="str">
        <f>HYPERLINK("http://www.ncbi.nlm.nih.gov/Structure/cdd/cddsrv.cgi?uid=MTH00165&amp;version=v4.0","0.021")</f>
        <v>0.021</v>
      </c>
      <c r="BU815" t="s">
        <v>3937</v>
      </c>
      <c r="BV815" s="4" t="s">
        <v>42</v>
      </c>
      <c r="BW815" t="s">
        <v>42</v>
      </c>
      <c r="BX815" t="s">
        <v>42</v>
      </c>
      <c r="BY815" t="s">
        <v>42</v>
      </c>
      <c r="BZ815" t="s">
        <v>42</v>
      </c>
      <c r="CA815" t="s">
        <v>42</v>
      </c>
      <c r="CB815" t="s">
        <v>42</v>
      </c>
      <c r="CC815" t="s">
        <v>42</v>
      </c>
      <c r="CD815" t="s">
        <v>42</v>
      </c>
      <c r="CE815" t="s">
        <v>42</v>
      </c>
      <c r="CF815" t="s">
        <v>42</v>
      </c>
      <c r="CG815" t="s">
        <v>42</v>
      </c>
      <c r="CH815" t="s">
        <v>42</v>
      </c>
      <c r="CI815" t="s">
        <v>42</v>
      </c>
      <c r="CJ815" t="s">
        <v>42</v>
      </c>
      <c r="CK815" t="s">
        <v>42</v>
      </c>
      <c r="CL815" t="s">
        <v>42</v>
      </c>
      <c r="CM815" t="s">
        <v>42</v>
      </c>
      <c r="CN815" t="s">
        <v>42</v>
      </c>
      <c r="CO815" t="s">
        <v>42</v>
      </c>
      <c r="CP815" t="s">
        <v>42</v>
      </c>
      <c r="CQ815" t="s">
        <v>42</v>
      </c>
      <c r="CR815" t="s">
        <v>42</v>
      </c>
      <c r="CS815" s="4" t="str">
        <f>HYPERLINK("http://exon.niaid.nih.gov/transcriptome/C_felis/S1/links/KOG/cf-contig_616-KOG.txt","Cholesterol transport protein (Niemann-Pick C disease protein)")</f>
        <v>Cholesterol transport protein (Niemann-Pick C disease protein)</v>
      </c>
      <c r="CT815" t="str">
        <f>HYPERLINK("http://www.ncbi.nlm.nih.gov/COG/grace/shokog.cgi?KOG1933","0.79")</f>
        <v>0.79</v>
      </c>
      <c r="CU815" t="s">
        <v>1761</v>
      </c>
      <c r="CV815" s="4" t="str">
        <f>HYPERLINK("http://exon.niaid.nih.gov/transcriptome/C_felis/S1/links/PFAM/cf-contig_616-PFAM.txt","DUF70")</f>
        <v>DUF70</v>
      </c>
      <c r="CW815" t="str">
        <f>HYPERLINK("http://pfam.sanger.ac.uk/family?acc=PF01901","0.22")</f>
        <v>0.22</v>
      </c>
      <c r="CX815" s="4" t="str">
        <f>HYPERLINK("http://exon.niaid.nih.gov/transcriptome/C_felis/S1/links/SMART/cf-contig_616-SMART.txt","GIYc")</f>
        <v>GIYc</v>
      </c>
      <c r="CY815" t="str">
        <f>HYPERLINK("http://smart.embl-heidelberg.de/smart/do_annotation.pl?DOMAIN=GIYc&amp;BLAST=DUMMY","0.32")</f>
        <v>0.32</v>
      </c>
      <c r="CZ815" s="4" t="s">
        <v>42</v>
      </c>
      <c r="DA815" t="s">
        <v>42</v>
      </c>
      <c r="DB815" t="s">
        <v>42</v>
      </c>
      <c r="DC815" t="s">
        <v>42</v>
      </c>
      <c r="DD815" t="s">
        <v>42</v>
      </c>
      <c r="DE815" t="s">
        <v>42</v>
      </c>
      <c r="DF815" t="s">
        <v>42</v>
      </c>
      <c r="DG815" t="s">
        <v>42</v>
      </c>
      <c r="DH815" s="4" t="s">
        <v>42</v>
      </c>
      <c r="DI815" t="s">
        <v>42</v>
      </c>
      <c r="DJ815" s="4" t="s">
        <v>42</v>
      </c>
      <c r="DK815" t="s">
        <v>42</v>
      </c>
      <c r="DL815" s="4">
        <v>502</v>
      </c>
      <c r="DM815">
        <v>1</v>
      </c>
      <c r="DN815" s="4">
        <v>514</v>
      </c>
      <c r="DO815">
        <v>1</v>
      </c>
      <c r="DP815" s="4">
        <v>524</v>
      </c>
      <c r="DQ815">
        <v>1</v>
      </c>
      <c r="DR815" s="4">
        <v>543</v>
      </c>
      <c r="DS815">
        <v>1</v>
      </c>
      <c r="DT815" s="4">
        <v>555</v>
      </c>
      <c r="DU815">
        <v>1</v>
      </c>
      <c r="DV815" s="4">
        <v>569</v>
      </c>
      <c r="DW815">
        <v>1</v>
      </c>
      <c r="DX815" s="4">
        <v>578</v>
      </c>
      <c r="DY815">
        <v>1</v>
      </c>
      <c r="DZ815" s="4">
        <v>586</v>
      </c>
      <c r="EA815">
        <v>1</v>
      </c>
      <c r="EB815" s="4">
        <v>591</v>
      </c>
      <c r="EC815">
        <v>1</v>
      </c>
      <c r="ED815" s="4">
        <v>595</v>
      </c>
      <c r="EE815">
        <v>1</v>
      </c>
      <c r="EF815" s="4">
        <v>601</v>
      </c>
      <c r="EG815">
        <v>1</v>
      </c>
      <c r="EH815" s="4">
        <v>609</v>
      </c>
      <c r="EI815">
        <v>1</v>
      </c>
      <c r="EJ815" s="4">
        <v>616</v>
      </c>
      <c r="EK815">
        <v>1</v>
      </c>
    </row>
    <row r="816" spans="1:141" x14ac:dyDescent="0.2">
      <c r="A816" t="str">
        <f>HYPERLINK("http://exon.niaid.nih.gov/transcriptome/C_felis/S1/links/cf/cf-contig_417.txt","cf-contig_417")</f>
        <v>cf-contig_417</v>
      </c>
      <c r="B816">
        <v>1</v>
      </c>
      <c r="C816" s="10" t="s">
        <v>4600</v>
      </c>
      <c r="D816">
        <v>1</v>
      </c>
      <c r="E816" t="str">
        <f>HYPERLINK("http://exon.niaid.nih.gov/transcriptome/C_felis/S1/links/cf/cf-5-36-asb-417.txt","Contig-417")</f>
        <v>Contig-417</v>
      </c>
      <c r="F816" t="str">
        <f>HYPERLINK("http://exon.niaid.nih.gov/transcriptome/C_felis/S1/links/cf/cf-5-36-417-CLU.txt","Contig417")</f>
        <v>Contig417</v>
      </c>
      <c r="G816" t="str">
        <f>HYPERLINK("http://exon.niaid.nih.gov/transcriptome/C_felis/S1/links/cf/cf-5-36-417-qual.txt","60.5")</f>
        <v>60.5</v>
      </c>
      <c r="H816" t="s">
        <v>11</v>
      </c>
      <c r="I816">
        <v>70.3</v>
      </c>
      <c r="J816">
        <v>244</v>
      </c>
      <c r="K816" t="s">
        <v>12</v>
      </c>
      <c r="L816">
        <v>1</v>
      </c>
      <c r="M816" t="s">
        <v>430</v>
      </c>
      <c r="N816">
        <v>244</v>
      </c>
      <c r="O816">
        <v>263</v>
      </c>
      <c r="P816">
        <v>66</v>
      </c>
      <c r="Q816" t="s">
        <v>1237</v>
      </c>
      <c r="R816">
        <v>2</v>
      </c>
      <c r="S816" s="7" t="s">
        <v>4585</v>
      </c>
      <c r="U816">
        <v>1</v>
      </c>
      <c r="V816" s="4">
        <f>HYPERLINK("http://exon.niaid.nih.gov/transcriptome/C_felis/S1/links/cluster/cf-5-36-asb30-50-Id-CLU74.txt", 74)</f>
        <v>74</v>
      </c>
      <c r="W816">
        <f>HYPERLINK("http://exon.niaid.nih.gov/transcriptome/C_felis/S1/links/cluster/cf-5-36-asb30-50-Id-CLTL74.txt", 2)</f>
        <v>2</v>
      </c>
      <c r="X816" s="4">
        <f>HYPERLINK("http://exon.niaid.nih.gov/transcriptome/C_felis/S1/links/cluster/cf-5-36-asb35-50-Id-CLU66.txt", 66)</f>
        <v>66</v>
      </c>
      <c r="Y816">
        <f>HYPERLINK("http://exon.niaid.nih.gov/transcriptome/C_felis/S1/links/cluster/cf-5-36-asb35-50-Id-CLTL66.txt", 2)</f>
        <v>2</v>
      </c>
      <c r="Z816" s="4">
        <f>HYPERLINK("http://exon.niaid.nih.gov/transcriptome/C_felis/S1/links/cluster/cf-5-36-asb40-50-Id-CLU61.txt", 61)</f>
        <v>61</v>
      </c>
      <c r="AA816">
        <f>HYPERLINK("http://exon.niaid.nih.gov/transcriptome/C_felis/S1/links/cluster/cf-5-36-asb40-50-Id-CLTL61.txt", 2)</f>
        <v>2</v>
      </c>
      <c r="AB816" s="4" t="str">
        <f>HYPERLINK("http://exon.niaid.nih.gov/transcriptome/C_felis/S1/links/XC-ASB/cf-contig_417-XC-ASB.txt","XC-contig_5")</f>
        <v>XC-contig_5</v>
      </c>
      <c r="AC816">
        <v>0.32</v>
      </c>
      <c r="AD816" s="10" t="s">
        <v>4600</v>
      </c>
      <c r="AE816" t="s">
        <v>4601</v>
      </c>
      <c r="AI816" s="4" t="str">
        <f>HYPERLINK("http://exon.niaid.nih.gov/transcriptome/C_felis/S1/links/NR/cf-contig_417-NR.txt","DNA polymerase family B containing protein")</f>
        <v>DNA polymerase family B containing protein</v>
      </c>
      <c r="AJ816" t="str">
        <f>HYPERLINK("http://www.ncbi.nlm.nih.gov/sutils/blink.cgi?pid=118369112","36")</f>
        <v>36</v>
      </c>
      <c r="AK816" t="str">
        <f>HYPERLINK("http://www.ncbi.nlm.nih.gov/protein/118369112","gi|118369112")</f>
        <v>gi|118369112</v>
      </c>
      <c r="AL816">
        <v>32</v>
      </c>
      <c r="AM816">
        <v>44</v>
      </c>
      <c r="AN816">
        <v>1907</v>
      </c>
      <c r="AO816">
        <v>33</v>
      </c>
      <c r="AP816">
        <v>2</v>
      </c>
      <c r="AQ816">
        <v>30</v>
      </c>
      <c r="AR816">
        <v>3</v>
      </c>
      <c r="AS816">
        <v>1251</v>
      </c>
      <c r="AT816">
        <v>93</v>
      </c>
      <c r="AU816">
        <v>1</v>
      </c>
      <c r="AV816">
        <v>-1</v>
      </c>
      <c r="AW816" t="s">
        <v>12</v>
      </c>
      <c r="AX816">
        <v>2.2730000000000001</v>
      </c>
      <c r="AY816" t="s">
        <v>1666</v>
      </c>
      <c r="AZ816" t="s">
        <v>1794</v>
      </c>
      <c r="BA816" s="4" t="str">
        <f>HYPERLINK("http://exon.niaid.nih.gov/transcriptome/C_felis/S1/links/SWISSP/cf-contig_417-SWISSP.txt","tRNA(Ile)-lysidine synthase")</f>
        <v>tRNA(Ile)-lysidine synthase</v>
      </c>
      <c r="BB816" t="str">
        <f>HYPERLINK("http://www.uniprot.org/uniprot/Q8D2F5","18")</f>
        <v>18</v>
      </c>
      <c r="BC816" t="s">
        <v>3161</v>
      </c>
      <c r="BD816">
        <v>28.1</v>
      </c>
      <c r="BE816">
        <v>52</v>
      </c>
      <c r="BF816">
        <v>400</v>
      </c>
      <c r="BG816">
        <v>37</v>
      </c>
      <c r="BH816">
        <v>13</v>
      </c>
      <c r="BI816">
        <v>33</v>
      </c>
      <c r="BJ816">
        <v>4</v>
      </c>
      <c r="BK816">
        <v>62</v>
      </c>
      <c r="BL816">
        <v>49</v>
      </c>
      <c r="BM816">
        <v>1</v>
      </c>
      <c r="BN816">
        <v>1</v>
      </c>
      <c r="BO816" t="s">
        <v>12</v>
      </c>
      <c r="BP816">
        <v>9.6150000000000002</v>
      </c>
      <c r="BQ816" t="s">
        <v>1676</v>
      </c>
      <c r="BR816" t="s">
        <v>1988</v>
      </c>
      <c r="BS816" s="4" t="str">
        <f>HYPERLINK("http://exon.niaid.nih.gov/transcriptome/C_felis/S1/links/CDD/cf-contig_417-CDD.txt","fliG")</f>
        <v>fliG</v>
      </c>
      <c r="BT816" t="str">
        <f>HYPERLINK("http://www.ncbi.nlm.nih.gov/Structure/cdd/cddsrv.cgi?uid=PRK05686&amp;version=v4.0","0.23")</f>
        <v>0.23</v>
      </c>
      <c r="BU816" t="s">
        <v>3162</v>
      </c>
      <c r="BV816" s="4" t="s">
        <v>42</v>
      </c>
      <c r="BW816" t="s">
        <v>42</v>
      </c>
      <c r="BX816" t="s">
        <v>42</v>
      </c>
      <c r="BY816" t="s">
        <v>42</v>
      </c>
      <c r="BZ816" t="s">
        <v>42</v>
      </c>
      <c r="CA816" t="s">
        <v>42</v>
      </c>
      <c r="CB816" t="s">
        <v>42</v>
      </c>
      <c r="CC816" t="s">
        <v>42</v>
      </c>
      <c r="CD816" t="s">
        <v>42</v>
      </c>
      <c r="CE816" t="s">
        <v>42</v>
      </c>
      <c r="CF816" t="s">
        <v>42</v>
      </c>
      <c r="CG816" t="s">
        <v>42</v>
      </c>
      <c r="CH816" t="s">
        <v>42</v>
      </c>
      <c r="CI816" t="s">
        <v>42</v>
      </c>
      <c r="CJ816" t="s">
        <v>42</v>
      </c>
      <c r="CK816" t="s">
        <v>42</v>
      </c>
      <c r="CL816" t="s">
        <v>42</v>
      </c>
      <c r="CM816" t="s">
        <v>42</v>
      </c>
      <c r="CN816" t="s">
        <v>42</v>
      </c>
      <c r="CO816" t="s">
        <v>42</v>
      </c>
      <c r="CP816" t="s">
        <v>42</v>
      </c>
      <c r="CQ816" t="s">
        <v>42</v>
      </c>
      <c r="CR816" t="s">
        <v>42</v>
      </c>
      <c r="CS816" s="4" t="str">
        <f>HYPERLINK("http://exon.niaid.nih.gov/transcriptome/C_felis/S1/links/KOG/cf-contig_417-KOG.txt","20S proteasome, regulatory subunit beta type PSMB2/PRE1")</f>
        <v>20S proteasome, regulatory subunit beta type PSMB2/PRE1</v>
      </c>
      <c r="CT816" t="str">
        <f>HYPERLINK("http://www.ncbi.nlm.nih.gov/COG/grace/shokog.cgi?KOG0177","1.4")</f>
        <v>1.4</v>
      </c>
      <c r="CU816" t="s">
        <v>2198</v>
      </c>
      <c r="CV816" s="4" t="str">
        <f>HYPERLINK("http://exon.niaid.nih.gov/transcriptome/C_felis/S1/links/PFAM/cf-contig_417-PFAM.txt","Tmpp129")</f>
        <v>Tmpp129</v>
      </c>
      <c r="CW816" t="str">
        <f>HYPERLINK("http://pfam.sanger.ac.uk/family?acc=PF10272","0.74")</f>
        <v>0.74</v>
      </c>
      <c r="CX816" s="4" t="str">
        <f>HYPERLINK("http://exon.niaid.nih.gov/transcriptome/C_felis/S1/links/SMART/cf-contig_417-SMART.txt","PSN")</f>
        <v>PSN</v>
      </c>
      <c r="CY816" t="str">
        <f>HYPERLINK("http://smart.embl-heidelberg.de/smart/do_annotation.pl?DOMAIN=PSN&amp;BLAST=DUMMY","0.33")</f>
        <v>0.33</v>
      </c>
      <c r="CZ816" s="4" t="s">
        <v>42</v>
      </c>
      <c r="DA816" t="s">
        <v>42</v>
      </c>
      <c r="DB816" t="s">
        <v>42</v>
      </c>
      <c r="DC816" t="s">
        <v>42</v>
      </c>
      <c r="DD816" t="s">
        <v>42</v>
      </c>
      <c r="DE816" t="s">
        <v>42</v>
      </c>
      <c r="DF816" t="s">
        <v>42</v>
      </c>
      <c r="DG816" t="s">
        <v>42</v>
      </c>
      <c r="DH816" s="4" t="s">
        <v>42</v>
      </c>
      <c r="DI816" t="s">
        <v>42</v>
      </c>
      <c r="DJ816" s="4" t="s">
        <v>42</v>
      </c>
      <c r="DK816" t="s">
        <v>42</v>
      </c>
      <c r="DL816" s="4">
        <f>HYPERLINK("http://exon.niaid.nih.gov/transcriptome/C_felis/S1/links/cluster/cf-5-36-asb30-50-Id-CLU74.txt", 74)</f>
        <v>74</v>
      </c>
      <c r="DM816">
        <f>HYPERLINK("http://exon.niaid.nih.gov/transcriptome/C_felis/S1/links/cluster/cf-5-36-asb30-50-Id-CLTL74.txt", 2)</f>
        <v>2</v>
      </c>
      <c r="DN816" s="4">
        <f>HYPERLINK("http://exon.niaid.nih.gov/transcriptome/C_felis/S1/links/cluster/cf-5-36-asb35-50-Id-CLU66.txt", 66)</f>
        <v>66</v>
      </c>
      <c r="DO816">
        <f>HYPERLINK("http://exon.niaid.nih.gov/transcriptome/C_felis/S1/links/cluster/cf-5-36-asb35-50-Id-CLTL66.txt", 2)</f>
        <v>2</v>
      </c>
      <c r="DP816" s="4">
        <f>HYPERLINK("http://exon.niaid.nih.gov/transcriptome/C_felis/S1/links/cluster/cf-5-36-asb40-50-Id-CLU61.txt", 61)</f>
        <v>61</v>
      </c>
      <c r="DQ816">
        <f>HYPERLINK("http://exon.niaid.nih.gov/transcriptome/C_felis/S1/links/cluster/cf-5-36-asb40-50-Id-CLTL61.txt", 2)</f>
        <v>2</v>
      </c>
      <c r="DR816" s="4">
        <v>363</v>
      </c>
      <c r="DS816">
        <v>1</v>
      </c>
      <c r="DT816" s="4">
        <v>373</v>
      </c>
      <c r="DU816">
        <v>1</v>
      </c>
      <c r="DV816" s="4">
        <v>386</v>
      </c>
      <c r="DW816">
        <v>1</v>
      </c>
      <c r="DX816" s="4">
        <v>389</v>
      </c>
      <c r="DY816">
        <v>1</v>
      </c>
      <c r="DZ816" s="4">
        <v>394</v>
      </c>
      <c r="EA816">
        <v>1</v>
      </c>
      <c r="EB816" s="4">
        <v>399</v>
      </c>
      <c r="EC816">
        <v>1</v>
      </c>
      <c r="ED816" s="4">
        <v>403</v>
      </c>
      <c r="EE816">
        <v>1</v>
      </c>
      <c r="EF816" s="4">
        <v>408</v>
      </c>
      <c r="EG816">
        <v>1</v>
      </c>
      <c r="EH816" s="4">
        <v>411</v>
      </c>
      <c r="EI816">
        <v>1</v>
      </c>
      <c r="EJ816" s="4">
        <v>417</v>
      </c>
      <c r="EK816">
        <v>1</v>
      </c>
    </row>
    <row r="817" spans="1:141" x14ac:dyDescent="0.2">
      <c r="A817" t="str">
        <f>HYPERLINK("http://exon.niaid.nih.gov/transcriptome/C_felis/S1/links/cf/cf-contig_650.txt","cf-contig_650")</f>
        <v>cf-contig_650</v>
      </c>
      <c r="B817">
        <v>1</v>
      </c>
      <c r="C817" s="10" t="s">
        <v>4600</v>
      </c>
      <c r="D817">
        <v>1</v>
      </c>
      <c r="E817" t="str">
        <f>HYPERLINK("http://exon.niaid.nih.gov/transcriptome/C_felis/S1/links/cf/cf-5-36-asb-650.txt","Contig-650")</f>
        <v>Contig-650</v>
      </c>
      <c r="F817" t="str">
        <f>HYPERLINK("http://exon.niaid.nih.gov/transcriptome/C_felis/S1/links/cf/cf-5-36-650-CLU.txt","Contig650")</f>
        <v>Contig650</v>
      </c>
      <c r="G817" t="str">
        <f>HYPERLINK("http://exon.niaid.nih.gov/transcriptome/C_felis/S1/links/cf/cf-5-36-650-qual.txt","56.")</f>
        <v>56.</v>
      </c>
      <c r="H817">
        <v>0.4</v>
      </c>
      <c r="I817">
        <v>75.8</v>
      </c>
      <c r="J817">
        <v>208</v>
      </c>
      <c r="K817" t="s">
        <v>12</v>
      </c>
      <c r="L817">
        <v>1</v>
      </c>
      <c r="M817" t="s">
        <v>663</v>
      </c>
      <c r="N817">
        <v>208</v>
      </c>
      <c r="O817">
        <v>227</v>
      </c>
      <c r="P817">
        <v>81</v>
      </c>
      <c r="Q817" t="s">
        <v>1469</v>
      </c>
      <c r="R817">
        <v>2</v>
      </c>
      <c r="S817" s="7" t="s">
        <v>4585</v>
      </c>
      <c r="U817">
        <v>1</v>
      </c>
      <c r="V817" s="4">
        <v>532</v>
      </c>
      <c r="W817">
        <v>1</v>
      </c>
      <c r="X817" s="4">
        <v>544</v>
      </c>
      <c r="Y817">
        <v>1</v>
      </c>
      <c r="Z817" s="4">
        <v>555</v>
      </c>
      <c r="AA817">
        <v>1</v>
      </c>
      <c r="AB817" s="4" t="str">
        <f>HYPERLINK("http://exon.niaid.nih.gov/transcriptome/C_felis/S1/links/XC-ASB/cf-contig_650-XC-ASB.txt","XC-contig_229")</f>
        <v>XC-contig_229</v>
      </c>
      <c r="AC817">
        <v>0.48</v>
      </c>
      <c r="AD817" s="10" t="s">
        <v>4600</v>
      </c>
      <c r="AE817" t="s">
        <v>4601</v>
      </c>
      <c r="AI817" s="4" t="str">
        <f>HYPERLINK("http://exon.niaid.nih.gov/transcriptome/C_felis/S1/links/NR/cf-contig_650-NR.txt","hypothetical protein TTHERM_00834950")</f>
        <v>hypothetical protein TTHERM_00834950</v>
      </c>
      <c r="AJ817" t="str">
        <f>HYPERLINK("http://www.ncbi.nlm.nih.gov/sutils/blink.cgi?pid=118397855","12")</f>
        <v>12</v>
      </c>
      <c r="AK817" t="str">
        <f>HYPERLINK("http://www.ncbi.nlm.nih.gov/protein/118397855","gi|118397855")</f>
        <v>gi|118397855</v>
      </c>
      <c r="AL817">
        <v>33.5</v>
      </c>
      <c r="AM817">
        <v>35</v>
      </c>
      <c r="AN817">
        <v>150</v>
      </c>
      <c r="AO817">
        <v>38</v>
      </c>
      <c r="AP817">
        <v>24</v>
      </c>
      <c r="AQ817">
        <v>22</v>
      </c>
      <c r="AR817">
        <v>0</v>
      </c>
      <c r="AS817">
        <v>20</v>
      </c>
      <c r="AT817">
        <v>65</v>
      </c>
      <c r="AU817">
        <v>1</v>
      </c>
      <c r="AV817">
        <v>2</v>
      </c>
      <c r="AW817" t="s">
        <v>12</v>
      </c>
      <c r="AX817">
        <v>2.8570000000000002</v>
      </c>
      <c r="AY817" t="s">
        <v>1676</v>
      </c>
      <c r="AZ817" t="s">
        <v>1794</v>
      </c>
      <c r="BA817" s="4" t="str">
        <f>HYPERLINK("http://exon.niaid.nih.gov/transcriptome/C_felis/S1/links/SWISSP/cf-contig_650-SWISSP.txt","Protein ycf2")</f>
        <v>Protein ycf2</v>
      </c>
      <c r="BB817" t="str">
        <f>HYPERLINK("http://www.uniprot.org/uniprot/P61243","2.2")</f>
        <v>2.2</v>
      </c>
      <c r="BC817" t="s">
        <v>1943</v>
      </c>
      <c r="BD817">
        <v>31.2</v>
      </c>
      <c r="BE817">
        <v>54</v>
      </c>
      <c r="BF817">
        <v>2259</v>
      </c>
      <c r="BG817">
        <v>31</v>
      </c>
      <c r="BH817">
        <v>2</v>
      </c>
      <c r="BI817">
        <v>40</v>
      </c>
      <c r="BJ817">
        <v>7</v>
      </c>
      <c r="BK817">
        <v>614</v>
      </c>
      <c r="BL817">
        <v>53</v>
      </c>
      <c r="BM817">
        <v>1</v>
      </c>
      <c r="BN817">
        <v>-2</v>
      </c>
      <c r="BO817" t="s">
        <v>12</v>
      </c>
      <c r="BP817">
        <v>3.7040000000000002</v>
      </c>
      <c r="BQ817" t="s">
        <v>1666</v>
      </c>
      <c r="BR817" t="s">
        <v>1944</v>
      </c>
      <c r="BS817" s="4" t="str">
        <f>HYPERLINK("http://exon.niaid.nih.gov/transcriptome/C_felis/S1/links/CDD/cf-contig_650-CDD.txt","PTZ00200")</f>
        <v>PTZ00200</v>
      </c>
      <c r="BT817" t="str">
        <f>HYPERLINK("http://www.ncbi.nlm.nih.gov/Structure/cdd/cddsrv.cgi?uid=PTZ00200&amp;version=v4.0","0.28")</f>
        <v>0.28</v>
      </c>
      <c r="BU817" t="s">
        <v>4058</v>
      </c>
      <c r="BV817" s="4" t="s">
        <v>42</v>
      </c>
      <c r="BW817" t="s">
        <v>42</v>
      </c>
      <c r="BX817" t="s">
        <v>42</v>
      </c>
      <c r="BY817" t="s">
        <v>42</v>
      </c>
      <c r="BZ817" t="s">
        <v>42</v>
      </c>
      <c r="CA817" t="s">
        <v>42</v>
      </c>
      <c r="CB817" t="s">
        <v>42</v>
      </c>
      <c r="CC817" t="s">
        <v>42</v>
      </c>
      <c r="CD817" t="s">
        <v>42</v>
      </c>
      <c r="CE817" t="s">
        <v>42</v>
      </c>
      <c r="CF817" t="s">
        <v>42</v>
      </c>
      <c r="CG817" t="s">
        <v>42</v>
      </c>
      <c r="CH817" t="s">
        <v>42</v>
      </c>
      <c r="CI817" t="s">
        <v>42</v>
      </c>
      <c r="CJ817" t="s">
        <v>42</v>
      </c>
      <c r="CK817" t="s">
        <v>42</v>
      </c>
      <c r="CL817" t="s">
        <v>42</v>
      </c>
      <c r="CM817" t="s">
        <v>42</v>
      </c>
      <c r="CN817" t="s">
        <v>42</v>
      </c>
      <c r="CO817" t="s">
        <v>42</v>
      </c>
      <c r="CP817" t="s">
        <v>42</v>
      </c>
      <c r="CQ817" t="s">
        <v>42</v>
      </c>
      <c r="CR817" t="s">
        <v>42</v>
      </c>
      <c r="CS817" s="4" t="str">
        <f>HYPERLINK("http://exon.niaid.nih.gov/transcriptome/C_felis/S1/links/KOG/cf-contig_650-KOG.txt","Homeobox transcription factor SIP1")</f>
        <v>Homeobox transcription factor SIP1</v>
      </c>
      <c r="CT817" t="str">
        <f>HYPERLINK("http://www.ncbi.nlm.nih.gov/COG/grace/shokog.cgi?KOG3623","0.96")</f>
        <v>0.96</v>
      </c>
      <c r="CU817" t="s">
        <v>1692</v>
      </c>
      <c r="CV817" s="4" t="str">
        <f>HYPERLINK("http://exon.niaid.nih.gov/transcriptome/C_felis/S1/links/PFAM/cf-contig_650-PFAM.txt","Peptidase_S46")</f>
        <v>Peptidase_S46</v>
      </c>
      <c r="CW817" t="str">
        <f>HYPERLINK("http://pfam.sanger.ac.uk/family?acc=PF10459","0.27")</f>
        <v>0.27</v>
      </c>
      <c r="CX817" s="4" t="str">
        <f>HYPERLINK("http://exon.niaid.nih.gov/transcriptome/C_felis/S1/links/SMART/cf-contig_650-SMART.txt","CAMSAP_CKK")</f>
        <v>CAMSAP_CKK</v>
      </c>
      <c r="CY817" t="str">
        <f>HYPERLINK("http://smart.embl-heidelberg.de/smart/do_annotation.pl?DOMAIN=CAMSAP_CKK&amp;BLAST=DUMMY","0.57")</f>
        <v>0.57</v>
      </c>
      <c r="CZ817" s="4" t="s">
        <v>42</v>
      </c>
      <c r="DA817" t="s">
        <v>42</v>
      </c>
      <c r="DB817" t="s">
        <v>42</v>
      </c>
      <c r="DC817" t="s">
        <v>42</v>
      </c>
      <c r="DD817" t="s">
        <v>42</v>
      </c>
      <c r="DE817" t="s">
        <v>42</v>
      </c>
      <c r="DF817" t="s">
        <v>42</v>
      </c>
      <c r="DG817" t="s">
        <v>42</v>
      </c>
      <c r="DH817" s="4" t="s">
        <v>42</v>
      </c>
      <c r="DI817" t="s">
        <v>42</v>
      </c>
      <c r="DJ817" s="4" t="s">
        <v>42</v>
      </c>
      <c r="DK817" t="s">
        <v>42</v>
      </c>
      <c r="DL817" s="4">
        <v>532</v>
      </c>
      <c r="DM817">
        <v>1</v>
      </c>
      <c r="DN817" s="4">
        <v>544</v>
      </c>
      <c r="DO817">
        <v>1</v>
      </c>
      <c r="DP817" s="4">
        <v>555</v>
      </c>
      <c r="DQ817">
        <v>1</v>
      </c>
      <c r="DR817" s="4">
        <v>575</v>
      </c>
      <c r="DS817">
        <v>1</v>
      </c>
      <c r="DT817" s="4">
        <v>588</v>
      </c>
      <c r="DU817">
        <v>1</v>
      </c>
      <c r="DV817" s="4">
        <v>602</v>
      </c>
      <c r="DW817">
        <v>1</v>
      </c>
      <c r="DX817" s="4">
        <v>611</v>
      </c>
      <c r="DY817">
        <v>1</v>
      </c>
      <c r="DZ817" s="4">
        <v>620</v>
      </c>
      <c r="EA817">
        <v>1</v>
      </c>
      <c r="EB817" s="4">
        <v>625</v>
      </c>
      <c r="EC817">
        <v>1</v>
      </c>
      <c r="ED817" s="4">
        <v>629</v>
      </c>
      <c r="EE817">
        <v>1</v>
      </c>
      <c r="EF817" s="4">
        <v>635</v>
      </c>
      <c r="EG817">
        <v>1</v>
      </c>
      <c r="EH817" s="4">
        <v>643</v>
      </c>
      <c r="EI817">
        <v>1</v>
      </c>
      <c r="EJ817" s="4">
        <v>650</v>
      </c>
      <c r="EK817">
        <v>1</v>
      </c>
    </row>
    <row r="818" spans="1:141" x14ac:dyDescent="0.2">
      <c r="A818" t="str">
        <f>HYPERLINK("http://exon.niaid.nih.gov/transcriptome/C_felis/S1/links/cf/cf-contig_34.txt","cf-contig_34")</f>
        <v>cf-contig_34</v>
      </c>
      <c r="B818">
        <v>1</v>
      </c>
      <c r="C818" s="10" t="s">
        <v>4600</v>
      </c>
      <c r="D818">
        <v>1</v>
      </c>
      <c r="E818" t="str">
        <f>HYPERLINK("http://exon.niaid.nih.gov/transcriptome/C_felis/S1/links/cf/cf-5-36-asb-34.txt","Contig-34")</f>
        <v>Contig-34</v>
      </c>
      <c r="F818" t="str">
        <f>HYPERLINK("http://exon.niaid.nih.gov/transcriptome/C_felis/S1/links/cf/cf-5-36-34-CLU.txt","Contig34")</f>
        <v>Contig34</v>
      </c>
      <c r="G818" t="str">
        <f>HYPERLINK("http://exon.niaid.nih.gov/transcriptome/C_felis/S1/links/cf/cf-5-36-34-qual.txt","59.")</f>
        <v>59.</v>
      </c>
      <c r="H818" t="s">
        <v>11</v>
      </c>
      <c r="I818">
        <v>71.400000000000006</v>
      </c>
      <c r="J818">
        <v>875</v>
      </c>
      <c r="K818" t="s">
        <v>12</v>
      </c>
      <c r="L818">
        <v>1</v>
      </c>
      <c r="M818" t="s">
        <v>47</v>
      </c>
      <c r="N818">
        <v>875</v>
      </c>
      <c r="O818">
        <v>894</v>
      </c>
      <c r="P818">
        <v>165</v>
      </c>
      <c r="Q818" t="s">
        <v>856</v>
      </c>
      <c r="R818">
        <v>3</v>
      </c>
      <c r="S818" s="7" t="str">
        <f>HYPERLINK("http://exon.niaid.nih.gov/transcriptome/C_felis/S1/links/Sigp/CF-CONTIG_34-SigP.txt","Cyt")</f>
        <v>Cyt</v>
      </c>
      <c r="U818">
        <v>1</v>
      </c>
      <c r="V818" s="4">
        <v>103</v>
      </c>
      <c r="W818">
        <v>1</v>
      </c>
      <c r="X818" s="4">
        <v>95</v>
      </c>
      <c r="Y818">
        <v>1</v>
      </c>
      <c r="Z818" s="4">
        <v>88</v>
      </c>
      <c r="AA818">
        <v>1</v>
      </c>
      <c r="AB818" s="4" t="str">
        <f>HYPERLINK("http://exon.niaid.nih.gov/transcriptome/C_felis/S1/links/XC-ASB/cf-contig_34-XC-ASB.txt","XC-contig_169")</f>
        <v>XC-contig_169</v>
      </c>
      <c r="AC818">
        <v>0.39</v>
      </c>
      <c r="AD818" s="10" t="s">
        <v>4600</v>
      </c>
      <c r="AE818" t="s">
        <v>4601</v>
      </c>
      <c r="AI818" s="4" t="str">
        <f>HYPERLINK("http://exon.niaid.nih.gov/transcriptome/C_felis/S1/links/NR/cf-contig_34-NR.txt","hypothetical protein TTHERM_01424460")</f>
        <v>hypothetical protein TTHERM_01424460</v>
      </c>
      <c r="AJ818" t="str">
        <f>HYPERLINK("http://www.ncbi.nlm.nih.gov/sutils/blink.cgi?pid=229595439","0.13")</f>
        <v>0.13</v>
      </c>
      <c r="AK818" t="str">
        <f>HYPERLINK("http://www.ncbi.nlm.nih.gov/protein/229595439","gi|229595439")</f>
        <v>gi|229595439</v>
      </c>
      <c r="AL818">
        <v>42</v>
      </c>
      <c r="AM818">
        <v>77</v>
      </c>
      <c r="AN818">
        <v>433</v>
      </c>
      <c r="AO818">
        <v>28</v>
      </c>
      <c r="AP818">
        <v>18</v>
      </c>
      <c r="AQ818">
        <v>43</v>
      </c>
      <c r="AR818">
        <v>0</v>
      </c>
      <c r="AS818">
        <v>226</v>
      </c>
      <c r="AT818">
        <v>75</v>
      </c>
      <c r="AU818">
        <v>2</v>
      </c>
      <c r="AV818">
        <v>-2</v>
      </c>
      <c r="AW818" t="s">
        <v>12</v>
      </c>
      <c r="AX818">
        <v>3.8959999999999999</v>
      </c>
      <c r="AY818" t="s">
        <v>1666</v>
      </c>
      <c r="AZ818" t="s">
        <v>1794</v>
      </c>
      <c r="BA818" s="4" t="str">
        <f>HYPERLINK("http://exon.niaid.nih.gov/transcriptome/C_felis/S1/links/SWISSP/cf-contig_34-SWISSP.txt","Putative uncharacterized protein Q0144, mitochondrial")</f>
        <v>Putative uncharacterized protein Q0144, mitochondrial</v>
      </c>
      <c r="BB818" t="str">
        <f>HYPERLINK("http://www.uniprot.org/uniprot/Q9ZZW2","3.6")</f>
        <v>3.6</v>
      </c>
      <c r="BC818" t="s">
        <v>1795</v>
      </c>
      <c r="BD818">
        <v>32.700000000000003</v>
      </c>
      <c r="BE818">
        <v>76</v>
      </c>
      <c r="BF818">
        <v>109</v>
      </c>
      <c r="BG818">
        <v>24</v>
      </c>
      <c r="BH818">
        <v>71</v>
      </c>
      <c r="BI818">
        <v>67</v>
      </c>
      <c r="BJ818">
        <v>0</v>
      </c>
      <c r="BK818">
        <v>26</v>
      </c>
      <c r="BL818">
        <v>27</v>
      </c>
      <c r="BM818">
        <v>1</v>
      </c>
      <c r="BN818">
        <v>-2</v>
      </c>
      <c r="BO818" t="s">
        <v>12</v>
      </c>
      <c r="BP818">
        <v>5.2629999999999999</v>
      </c>
      <c r="BQ818" t="s">
        <v>1666</v>
      </c>
      <c r="BR818" t="s">
        <v>1796</v>
      </c>
      <c r="BS818" s="4" t="str">
        <f>HYPERLINK("http://exon.niaid.nih.gov/transcriptome/C_felis/S1/links/CDD/cf-contig_34-CDD.txt","PHA03100")</f>
        <v>PHA03100</v>
      </c>
      <c r="BT818" t="str">
        <f>HYPERLINK("http://www.ncbi.nlm.nih.gov/Structure/cdd/cddsrv.cgi?uid=PHA03100&amp;version=v4.0","0.29")</f>
        <v>0.29</v>
      </c>
      <c r="BU818" t="s">
        <v>1797</v>
      </c>
      <c r="BV818" s="4" t="s">
        <v>42</v>
      </c>
      <c r="BW818" t="s">
        <v>42</v>
      </c>
      <c r="BX818" t="s">
        <v>42</v>
      </c>
      <c r="BY818" t="s">
        <v>42</v>
      </c>
      <c r="BZ818" t="s">
        <v>42</v>
      </c>
      <c r="CA818" t="s">
        <v>42</v>
      </c>
      <c r="CB818" t="s">
        <v>42</v>
      </c>
      <c r="CC818" t="s">
        <v>42</v>
      </c>
      <c r="CD818" t="s">
        <v>42</v>
      </c>
      <c r="CE818" t="s">
        <v>42</v>
      </c>
      <c r="CF818" t="s">
        <v>42</v>
      </c>
      <c r="CG818" t="s">
        <v>42</v>
      </c>
      <c r="CH818" t="s">
        <v>42</v>
      </c>
      <c r="CI818" t="s">
        <v>42</v>
      </c>
      <c r="CJ818" t="s">
        <v>42</v>
      </c>
      <c r="CK818" t="s">
        <v>42</v>
      </c>
      <c r="CL818" t="s">
        <v>42</v>
      </c>
      <c r="CM818" t="s">
        <v>42</v>
      </c>
      <c r="CN818" t="s">
        <v>42</v>
      </c>
      <c r="CO818" t="s">
        <v>42</v>
      </c>
      <c r="CP818" t="s">
        <v>42</v>
      </c>
      <c r="CQ818" t="s">
        <v>42</v>
      </c>
      <c r="CR818" t="s">
        <v>42</v>
      </c>
      <c r="CS818" s="4" t="str">
        <f>HYPERLINK("http://exon.niaid.nih.gov/transcriptome/C_felis/S1/links/KOG/cf-contig_34-KOG.txt","Protein required for meiotic chromosome segregation")</f>
        <v>Protein required for meiotic chromosome segregation</v>
      </c>
      <c r="CT818" t="str">
        <f>HYPERLINK("http://www.ncbi.nlm.nih.gov/COG/grace/shokog.cgi?KOG2513","0.73")</f>
        <v>0.73</v>
      </c>
      <c r="CU818" t="s">
        <v>1750</v>
      </c>
      <c r="CV818" s="4" t="str">
        <f>HYPERLINK("http://exon.niaid.nih.gov/transcriptome/C_felis/S1/links/PFAM/cf-contig_34-PFAM.txt","Acyl_transf_3")</f>
        <v>Acyl_transf_3</v>
      </c>
      <c r="CW818" t="str">
        <f>HYPERLINK("http://pfam.sanger.ac.uk/family?acc=PF01757","0.080")</f>
        <v>0.080</v>
      </c>
      <c r="CX818" s="4" t="str">
        <f>HYPERLINK("http://exon.niaid.nih.gov/transcriptome/C_felis/S1/links/SMART/cf-contig_34-SMART.txt","PP2Ac")</f>
        <v>PP2Ac</v>
      </c>
      <c r="CY818" t="str">
        <f>HYPERLINK("http://smart.embl-heidelberg.de/smart/do_annotation.pl?DOMAIN=PP2Ac&amp;BLAST=DUMMY","0.47")</f>
        <v>0.47</v>
      </c>
      <c r="CZ818" s="4" t="s">
        <v>42</v>
      </c>
      <c r="DA818" t="s">
        <v>42</v>
      </c>
      <c r="DB818" t="s">
        <v>42</v>
      </c>
      <c r="DC818" t="s">
        <v>42</v>
      </c>
      <c r="DD818" t="s">
        <v>42</v>
      </c>
      <c r="DE818" t="s">
        <v>42</v>
      </c>
      <c r="DF818" t="s">
        <v>42</v>
      </c>
      <c r="DG818" t="s">
        <v>42</v>
      </c>
      <c r="DH818" s="4" t="s">
        <v>42</v>
      </c>
      <c r="DI818" t="s">
        <v>42</v>
      </c>
      <c r="DJ818" s="4" t="s">
        <v>42</v>
      </c>
      <c r="DK818" t="s">
        <v>42</v>
      </c>
      <c r="DL818" s="4">
        <v>103</v>
      </c>
      <c r="DM818">
        <v>1</v>
      </c>
      <c r="DN818" s="4">
        <v>95</v>
      </c>
      <c r="DO818">
        <v>1</v>
      </c>
      <c r="DP818" s="4">
        <v>88</v>
      </c>
      <c r="DQ818">
        <v>1</v>
      </c>
      <c r="DR818" s="4">
        <v>79</v>
      </c>
      <c r="DS818">
        <v>1</v>
      </c>
      <c r="DT818" s="4">
        <v>71</v>
      </c>
      <c r="DU818">
        <v>1</v>
      </c>
      <c r="DV818" s="4">
        <v>66</v>
      </c>
      <c r="DW818">
        <v>1</v>
      </c>
      <c r="DX818" s="4">
        <v>61</v>
      </c>
      <c r="DY818">
        <v>1</v>
      </c>
      <c r="DZ818" s="4">
        <v>57</v>
      </c>
      <c r="EA818">
        <v>1</v>
      </c>
      <c r="EB818" s="4">
        <v>56</v>
      </c>
      <c r="EC818">
        <v>1</v>
      </c>
      <c r="ED818" s="4">
        <v>56</v>
      </c>
      <c r="EE818">
        <v>1</v>
      </c>
      <c r="EF818" s="4">
        <v>50</v>
      </c>
      <c r="EG818">
        <v>1</v>
      </c>
      <c r="EH818" s="4">
        <v>38</v>
      </c>
      <c r="EI818">
        <v>1</v>
      </c>
      <c r="EJ818" s="4">
        <v>34</v>
      </c>
      <c r="EK818">
        <v>1</v>
      </c>
    </row>
    <row r="819" spans="1:141" x14ac:dyDescent="0.2">
      <c r="A819" t="str">
        <f>HYPERLINK("http://exon.niaid.nih.gov/transcriptome/C_felis/S1/links/cf/cf-contig_690.txt","cf-contig_690")</f>
        <v>cf-contig_690</v>
      </c>
      <c r="B819">
        <v>1</v>
      </c>
      <c r="C819" s="10" t="s">
        <v>4600</v>
      </c>
      <c r="D819">
        <v>1</v>
      </c>
      <c r="E819" t="str">
        <f>HYPERLINK("http://exon.niaid.nih.gov/transcriptome/C_felis/S1/links/cf/cf-5-36-asb-690.txt","Contig-690")</f>
        <v>Contig-690</v>
      </c>
      <c r="F819" t="str">
        <f>HYPERLINK("http://exon.niaid.nih.gov/transcriptome/C_felis/S1/links/cf/cf-5-36-690-CLU.txt","Contig690")</f>
        <v>Contig690</v>
      </c>
      <c r="G819" t="str">
        <f>HYPERLINK("http://exon.niaid.nih.gov/transcriptome/C_felis/S1/links/cf/cf-5-36-690-qual.txt","66.3")</f>
        <v>66.3</v>
      </c>
      <c r="H819" t="s">
        <v>11</v>
      </c>
      <c r="I819">
        <v>69.3</v>
      </c>
      <c r="J819">
        <v>627</v>
      </c>
      <c r="K819" t="s">
        <v>12</v>
      </c>
      <c r="L819">
        <v>1</v>
      </c>
      <c r="M819" t="s">
        <v>703</v>
      </c>
      <c r="N819">
        <v>627</v>
      </c>
      <c r="O819">
        <v>646</v>
      </c>
      <c r="P819">
        <v>642</v>
      </c>
      <c r="Q819" t="s">
        <v>1509</v>
      </c>
      <c r="R819">
        <v>2</v>
      </c>
      <c r="S819" s="7" t="str">
        <f>HYPERLINK("http://exon.niaid.nih.gov/transcriptome/C_felis/S1/links/Sigp/CF-CONTIG_690-SigP.txt","Cyt")</f>
        <v>Cyt</v>
      </c>
      <c r="U819">
        <v>1</v>
      </c>
      <c r="V819" s="4">
        <v>562</v>
      </c>
      <c r="W819">
        <v>1</v>
      </c>
      <c r="X819" s="4">
        <v>577</v>
      </c>
      <c r="Y819">
        <v>1</v>
      </c>
      <c r="Z819" s="4">
        <v>589</v>
      </c>
      <c r="AA819">
        <v>1</v>
      </c>
      <c r="AB819" s="4" t="str">
        <f>HYPERLINK("http://exon.niaid.nih.gov/transcriptome/C_felis/S1/links/XC-ASB/cf-contig_690-XC-ASB.txt","XC-contig_52")</f>
        <v>XC-contig_52</v>
      </c>
      <c r="AC819">
        <v>0.52</v>
      </c>
      <c r="AD819" s="10" t="s">
        <v>4600</v>
      </c>
      <c r="AE819" t="s">
        <v>4601</v>
      </c>
      <c r="AI819" s="4" t="str">
        <f>HYPERLINK("http://exon.niaid.nih.gov/transcriptome/C_felis/S1/links/NR/cf-contig_690-NR.txt","IBR domain containing protein")</f>
        <v>IBR domain containing protein</v>
      </c>
      <c r="AJ819" t="str">
        <f>HYPERLINK("http://www.ncbi.nlm.nih.gov/sutils/blink.cgi?pid=118388248","7E-005")</f>
        <v>7E-005</v>
      </c>
      <c r="AK819" t="str">
        <f>HYPERLINK("http://www.ncbi.nlm.nih.gov/protein/118388248","gi|118388248")</f>
        <v>gi|118388248</v>
      </c>
      <c r="AL819">
        <v>52</v>
      </c>
      <c r="AM819">
        <v>108</v>
      </c>
      <c r="AN819">
        <v>920</v>
      </c>
      <c r="AO819">
        <v>36</v>
      </c>
      <c r="AP819">
        <v>12</v>
      </c>
      <c r="AQ819">
        <v>71</v>
      </c>
      <c r="AR819">
        <v>1</v>
      </c>
      <c r="AS819">
        <v>788</v>
      </c>
      <c r="AT819">
        <v>110</v>
      </c>
      <c r="AU819">
        <v>1</v>
      </c>
      <c r="AV819">
        <v>2</v>
      </c>
      <c r="AW819" t="s">
        <v>12</v>
      </c>
      <c r="AY819" t="s">
        <v>1676</v>
      </c>
      <c r="AZ819" t="s">
        <v>1794</v>
      </c>
      <c r="BA819" s="4" t="str">
        <f>HYPERLINK("http://exon.niaid.nih.gov/transcriptome/C_felis/S1/links/SWISSP/cf-contig_690-SWISSP.txt","G-box-binding factor")</f>
        <v>G-box-binding factor</v>
      </c>
      <c r="BB819" t="str">
        <f>HYPERLINK("http://www.uniprot.org/uniprot/P36417","0.002")</f>
        <v>0.002</v>
      </c>
      <c r="BC819" t="s">
        <v>4175</v>
      </c>
      <c r="BD819">
        <v>43.1</v>
      </c>
      <c r="BE819">
        <v>116</v>
      </c>
      <c r="BF819">
        <v>708</v>
      </c>
      <c r="BG819">
        <v>23</v>
      </c>
      <c r="BH819">
        <v>17</v>
      </c>
      <c r="BI819">
        <v>90</v>
      </c>
      <c r="BJ819">
        <v>0</v>
      </c>
      <c r="BK819">
        <v>75</v>
      </c>
      <c r="BL819">
        <v>14</v>
      </c>
      <c r="BM819">
        <v>1</v>
      </c>
      <c r="BN819">
        <v>2</v>
      </c>
      <c r="BO819" t="s">
        <v>12</v>
      </c>
      <c r="BQ819" t="s">
        <v>1676</v>
      </c>
      <c r="BR819" t="s">
        <v>1976</v>
      </c>
      <c r="BS819" s="4" t="str">
        <f>HYPERLINK("http://exon.niaid.nih.gov/transcriptome/C_felis/S1/links/CDD/cf-contig_690-CDD.txt","PS_II_psb27")</f>
        <v>PS_II_psb27</v>
      </c>
      <c r="BT819" t="str">
        <f>HYPERLINK("http://www.ncbi.nlm.nih.gov/Structure/cdd/cddsrv.cgi?uid=TIGR03044&amp;version=v4.0","0.031")</f>
        <v>0.031</v>
      </c>
      <c r="BU819" t="s">
        <v>4176</v>
      </c>
      <c r="BV819" s="4" t="s">
        <v>42</v>
      </c>
      <c r="BW819" t="s">
        <v>42</v>
      </c>
      <c r="BX819" t="s">
        <v>42</v>
      </c>
      <c r="BY819" t="s">
        <v>42</v>
      </c>
      <c r="BZ819" t="s">
        <v>42</v>
      </c>
      <c r="CA819" t="s">
        <v>42</v>
      </c>
      <c r="CB819" t="s">
        <v>42</v>
      </c>
      <c r="CC819" t="s">
        <v>42</v>
      </c>
      <c r="CD819" t="s">
        <v>42</v>
      </c>
      <c r="CE819" t="s">
        <v>42</v>
      </c>
      <c r="CF819" t="s">
        <v>42</v>
      </c>
      <c r="CG819" t="s">
        <v>42</v>
      </c>
      <c r="CH819" t="s">
        <v>42</v>
      </c>
      <c r="CI819" t="s">
        <v>42</v>
      </c>
      <c r="CJ819" t="s">
        <v>42</v>
      </c>
      <c r="CK819" t="s">
        <v>42</v>
      </c>
      <c r="CL819" t="s">
        <v>42</v>
      </c>
      <c r="CM819" t="s">
        <v>42</v>
      </c>
      <c r="CN819" t="s">
        <v>42</v>
      </c>
      <c r="CO819" t="s">
        <v>42</v>
      </c>
      <c r="CP819" t="s">
        <v>42</v>
      </c>
      <c r="CQ819" t="s">
        <v>42</v>
      </c>
      <c r="CR819" t="s">
        <v>42</v>
      </c>
      <c r="CS819" s="4" t="str">
        <f>HYPERLINK("http://exon.niaid.nih.gov/transcriptome/C_felis/S1/links/KOG/cf-contig_690-KOG.txt","K-homology type RNA binding proteins")</f>
        <v>K-homology type RNA binding proteins</v>
      </c>
      <c r="CT819" t="str">
        <f>HYPERLINK("http://www.ncbi.nlm.nih.gov/COG/grace/shokog.cgi?KOG1676","0.001")</f>
        <v>0.001</v>
      </c>
      <c r="CU819" t="s">
        <v>1817</v>
      </c>
      <c r="CV819" s="4" t="str">
        <f>HYPERLINK("http://exon.niaid.nih.gov/transcriptome/C_felis/S1/links/PFAM/cf-contig_690-PFAM.txt","DHC_N2")</f>
        <v>DHC_N2</v>
      </c>
      <c r="CW819" t="str">
        <f>HYPERLINK("http://pfam.sanger.ac.uk/family?acc=PF08393","0.027")</f>
        <v>0.027</v>
      </c>
      <c r="CX819" s="4" t="str">
        <f>HYPERLINK("http://exon.niaid.nih.gov/transcriptome/C_felis/S1/links/SMART/cf-contig_690-SMART.txt","HECTc")</f>
        <v>HECTc</v>
      </c>
      <c r="CY819" t="str">
        <f>HYPERLINK("http://smart.embl-heidelberg.de/smart/do_annotation.pl?DOMAIN=HECTc&amp;BLAST=DUMMY","0.027")</f>
        <v>0.027</v>
      </c>
      <c r="CZ819" s="4" t="s">
        <v>42</v>
      </c>
      <c r="DA819" t="s">
        <v>42</v>
      </c>
      <c r="DB819" t="s">
        <v>42</v>
      </c>
      <c r="DC819" t="s">
        <v>42</v>
      </c>
      <c r="DD819" t="s">
        <v>42</v>
      </c>
      <c r="DE819" t="s">
        <v>42</v>
      </c>
      <c r="DF819" t="s">
        <v>42</v>
      </c>
      <c r="DG819" t="s">
        <v>42</v>
      </c>
      <c r="DH819" s="4" t="s">
        <v>42</v>
      </c>
      <c r="DI819" t="s">
        <v>42</v>
      </c>
      <c r="DJ819" s="4" t="s">
        <v>42</v>
      </c>
      <c r="DK819" t="s">
        <v>42</v>
      </c>
      <c r="DL819" s="4">
        <v>562</v>
      </c>
      <c r="DM819">
        <v>1</v>
      </c>
      <c r="DN819" s="4">
        <v>577</v>
      </c>
      <c r="DO819">
        <v>1</v>
      </c>
      <c r="DP819" s="4">
        <v>589</v>
      </c>
      <c r="DQ819">
        <v>1</v>
      </c>
      <c r="DR819" s="4">
        <v>610</v>
      </c>
      <c r="DS819">
        <v>1</v>
      </c>
      <c r="DT819" s="4">
        <v>624</v>
      </c>
      <c r="DU819">
        <v>1</v>
      </c>
      <c r="DV819" s="4">
        <v>639</v>
      </c>
      <c r="DW819">
        <v>1</v>
      </c>
      <c r="DX819" s="4">
        <v>648</v>
      </c>
      <c r="DY819">
        <v>1</v>
      </c>
      <c r="DZ819" s="4">
        <v>658</v>
      </c>
      <c r="EA819">
        <v>1</v>
      </c>
      <c r="EB819" s="4">
        <v>663</v>
      </c>
      <c r="EC819">
        <v>1</v>
      </c>
      <c r="ED819" s="4">
        <v>667</v>
      </c>
      <c r="EE819">
        <v>1</v>
      </c>
      <c r="EF819" s="4">
        <v>673</v>
      </c>
      <c r="EG819">
        <v>1</v>
      </c>
      <c r="EH819" s="4">
        <v>681</v>
      </c>
      <c r="EI819">
        <v>1</v>
      </c>
      <c r="EJ819" s="4">
        <v>690</v>
      </c>
      <c r="EK819">
        <v>1</v>
      </c>
    </row>
    <row r="820" spans="1:141" x14ac:dyDescent="0.2">
      <c r="A820" t="str">
        <f>HYPERLINK("http://exon.niaid.nih.gov/transcriptome/C_felis/S1/links/cf/cf-contig_794.txt","cf-contig_794")</f>
        <v>cf-contig_794</v>
      </c>
      <c r="B820">
        <v>1</v>
      </c>
      <c r="C820" s="10" t="s">
        <v>4600</v>
      </c>
      <c r="D820">
        <v>1</v>
      </c>
      <c r="E820" t="str">
        <f>HYPERLINK("http://exon.niaid.nih.gov/transcriptome/C_felis/S1/links/cf/cf-5-36-asb-794.txt","Contig-794")</f>
        <v>Contig-794</v>
      </c>
      <c r="F820" t="str">
        <f>HYPERLINK("http://exon.niaid.nih.gov/transcriptome/C_felis/S1/links/cf/cf-5-36-794-CLU.txt","Contig794")</f>
        <v>Contig794</v>
      </c>
      <c r="G820" t="str">
        <f>HYPERLINK("http://exon.niaid.nih.gov/transcriptome/C_felis/S1/links/cf/cf-5-36-794-qual.txt","30.8")</f>
        <v>30.8</v>
      </c>
      <c r="H820" t="s">
        <v>11</v>
      </c>
      <c r="I820">
        <v>70.099999999999994</v>
      </c>
      <c r="J820">
        <v>128</v>
      </c>
      <c r="K820" t="s">
        <v>12</v>
      </c>
      <c r="L820">
        <v>1</v>
      </c>
      <c r="M820" t="s">
        <v>807</v>
      </c>
      <c r="N820">
        <v>128</v>
      </c>
      <c r="O820">
        <v>147</v>
      </c>
      <c r="P820">
        <v>72</v>
      </c>
      <c r="Q820" t="s">
        <v>1613</v>
      </c>
      <c r="R820">
        <v>2</v>
      </c>
      <c r="S820" s="7" t="s">
        <v>4585</v>
      </c>
      <c r="U820">
        <v>1</v>
      </c>
      <c r="V820" s="4">
        <v>638</v>
      </c>
      <c r="W820">
        <v>1</v>
      </c>
      <c r="X820" s="4">
        <v>659</v>
      </c>
      <c r="Y820">
        <v>1</v>
      </c>
      <c r="Z820" s="4">
        <v>675</v>
      </c>
      <c r="AA820">
        <v>1</v>
      </c>
      <c r="AB820" s="4" t="str">
        <f>HYPERLINK("http://exon.niaid.nih.gov/transcriptome/C_felis/S1/links/XC-ASB/cf-contig_794-XC-ASB.txt","XC-contig_27")</f>
        <v>XC-contig_27</v>
      </c>
      <c r="AC820">
        <v>8.7999999999999995E-2</v>
      </c>
      <c r="AD820" s="10" t="s">
        <v>4600</v>
      </c>
      <c r="AE820" t="s">
        <v>4601</v>
      </c>
      <c r="AI820" s="4" t="str">
        <f>HYPERLINK("http://exon.niaid.nih.gov/transcriptome/C_felis/S1/links/NR/cf-contig_794-NR.txt","unnamed protein product")</f>
        <v>unnamed protein product</v>
      </c>
      <c r="AJ820" t="str">
        <f>HYPERLINK("http://www.ncbi.nlm.nih.gov/sutils/blink.cgi?pid=47184165","63")</f>
        <v>63</v>
      </c>
      <c r="AK820" t="str">
        <f>HYPERLINK("http://www.ncbi.nlm.nih.gov/protein/47184165","gi|47184165")</f>
        <v>gi|47184165</v>
      </c>
      <c r="AL820">
        <v>31.2</v>
      </c>
      <c r="AM820">
        <v>38</v>
      </c>
      <c r="AN820">
        <v>90</v>
      </c>
      <c r="AO820">
        <v>39</v>
      </c>
      <c r="AP820">
        <v>43</v>
      </c>
      <c r="AQ820">
        <v>25</v>
      </c>
      <c r="AR820">
        <v>5</v>
      </c>
      <c r="AS820">
        <v>24</v>
      </c>
      <c r="AT820">
        <v>12</v>
      </c>
      <c r="AU820">
        <v>1</v>
      </c>
      <c r="AV820">
        <v>-2</v>
      </c>
      <c r="AW820" t="s">
        <v>12</v>
      </c>
      <c r="AY820" t="s">
        <v>1666</v>
      </c>
      <c r="AZ820" t="s">
        <v>4338</v>
      </c>
      <c r="BA820" s="4" t="str">
        <f>HYPERLINK("http://exon.niaid.nih.gov/transcriptome/C_felis/S1/links/SWISSP/cf-contig_794-SWISSP.txt","Anterior pharynx in excess protein 1")</f>
        <v>Anterior pharynx in excess protein 1</v>
      </c>
      <c r="BB820" t="str">
        <f>HYPERLINK("http://www.uniprot.org/uniprot/P41990","18")</f>
        <v>18</v>
      </c>
      <c r="BC820" t="s">
        <v>4539</v>
      </c>
      <c r="BD820">
        <v>28.1</v>
      </c>
      <c r="BE820">
        <v>25</v>
      </c>
      <c r="BF820">
        <v>515</v>
      </c>
      <c r="BG820">
        <v>46</v>
      </c>
      <c r="BH820">
        <v>5</v>
      </c>
      <c r="BI820">
        <v>14</v>
      </c>
      <c r="BJ820">
        <v>0</v>
      </c>
      <c r="BK820">
        <v>25</v>
      </c>
      <c r="BL820">
        <v>11</v>
      </c>
      <c r="BM820">
        <v>1</v>
      </c>
      <c r="BN820">
        <v>-3</v>
      </c>
      <c r="BO820" t="s">
        <v>12</v>
      </c>
      <c r="BQ820" t="s">
        <v>1666</v>
      </c>
      <c r="BR820" t="s">
        <v>1735</v>
      </c>
      <c r="BS820" s="4" t="str">
        <f>HYPERLINK("http://exon.niaid.nih.gov/transcriptome/C_felis/S1/links/CDD/cf-contig_794-CDD.txt","PRK08208")</f>
        <v>PRK08208</v>
      </c>
      <c r="BT820" t="str">
        <f>HYPERLINK("http://www.ncbi.nlm.nih.gov/Structure/cdd/cddsrv.cgi?uid=PRK08208&amp;version=v4.0","0.024")</f>
        <v>0.024</v>
      </c>
      <c r="BU820" t="s">
        <v>4540</v>
      </c>
      <c r="BV820" s="4" t="s">
        <v>42</v>
      </c>
      <c r="BW820" t="s">
        <v>42</v>
      </c>
      <c r="BX820" t="s">
        <v>42</v>
      </c>
      <c r="BY820" t="s">
        <v>42</v>
      </c>
      <c r="BZ820" t="s">
        <v>42</v>
      </c>
      <c r="CA820" t="s">
        <v>42</v>
      </c>
      <c r="CB820" t="s">
        <v>42</v>
      </c>
      <c r="CC820" t="s">
        <v>42</v>
      </c>
      <c r="CD820" t="s">
        <v>42</v>
      </c>
      <c r="CE820" t="s">
        <v>42</v>
      </c>
      <c r="CF820" t="s">
        <v>42</v>
      </c>
      <c r="CG820" t="s">
        <v>42</v>
      </c>
      <c r="CH820" t="s">
        <v>42</v>
      </c>
      <c r="CI820" t="s">
        <v>42</v>
      </c>
      <c r="CJ820" t="s">
        <v>42</v>
      </c>
      <c r="CK820" t="s">
        <v>42</v>
      </c>
      <c r="CL820" t="s">
        <v>42</v>
      </c>
      <c r="CM820" t="s">
        <v>42</v>
      </c>
      <c r="CN820" t="s">
        <v>42</v>
      </c>
      <c r="CO820" t="s">
        <v>42</v>
      </c>
      <c r="CP820" t="s">
        <v>42</v>
      </c>
      <c r="CQ820" t="s">
        <v>42</v>
      </c>
      <c r="CR820" t="s">
        <v>42</v>
      </c>
      <c r="CS820" s="4" t="str">
        <f>HYPERLINK("http://exon.niaid.nih.gov/transcriptome/C_felis/S1/links/KOG/cf-contig_794-KOG.txt","Anaphase-promoting complex (APC), Cdc23 subunit")</f>
        <v>Anaphase-promoting complex (APC), Cdc23 subunit</v>
      </c>
      <c r="CT820" t="str">
        <f>HYPERLINK("http://www.ncbi.nlm.nih.gov/COG/grace/shokog.cgi?KOG1155","0.13")</f>
        <v>0.13</v>
      </c>
      <c r="CU820" t="s">
        <v>2787</v>
      </c>
      <c r="CV820" s="4" t="str">
        <f>HYPERLINK("http://exon.niaid.nih.gov/transcriptome/C_felis/S1/links/PFAM/cf-contig_794-PFAM.txt","Head-tail_con")</f>
        <v>Head-tail_con</v>
      </c>
      <c r="CW820" t="str">
        <f>HYPERLINK("http://pfam.sanger.ac.uk/family?acc=PF12236","0.95")</f>
        <v>0.95</v>
      </c>
      <c r="CX820" s="4" t="str">
        <f>HYPERLINK("http://exon.niaid.nih.gov/transcriptome/C_felis/S1/links/SMART/cf-contig_794-SMART.txt","CRM1_C")</f>
        <v>CRM1_C</v>
      </c>
      <c r="CY820" t="str">
        <f>HYPERLINK("http://smart.embl-heidelberg.de/smart/do_annotation.pl?DOMAIN=CRM1_C&amp;BLAST=DUMMY","0.043")</f>
        <v>0.043</v>
      </c>
      <c r="CZ820" s="4" t="s">
        <v>42</v>
      </c>
      <c r="DA820" t="s">
        <v>42</v>
      </c>
      <c r="DB820" t="s">
        <v>42</v>
      </c>
      <c r="DC820" t="s">
        <v>42</v>
      </c>
      <c r="DD820" t="s">
        <v>42</v>
      </c>
      <c r="DE820" t="s">
        <v>42</v>
      </c>
      <c r="DF820" t="s">
        <v>42</v>
      </c>
      <c r="DG820" t="s">
        <v>42</v>
      </c>
      <c r="DH820" s="4" t="s">
        <v>42</v>
      </c>
      <c r="DI820" t="s">
        <v>42</v>
      </c>
      <c r="DJ820" s="4" t="s">
        <v>42</v>
      </c>
      <c r="DK820" t="s">
        <v>42</v>
      </c>
      <c r="DL820" s="4">
        <v>638</v>
      </c>
      <c r="DM820">
        <v>1</v>
      </c>
      <c r="DN820" s="4">
        <v>659</v>
      </c>
      <c r="DO820">
        <v>1</v>
      </c>
      <c r="DP820" s="4">
        <v>675</v>
      </c>
      <c r="DQ820">
        <v>1</v>
      </c>
      <c r="DR820" s="4">
        <v>697</v>
      </c>
      <c r="DS820">
        <v>1</v>
      </c>
      <c r="DT820" s="4">
        <v>713</v>
      </c>
      <c r="DU820">
        <v>1</v>
      </c>
      <c r="DV820" s="4">
        <v>728</v>
      </c>
      <c r="DW820">
        <v>1</v>
      </c>
      <c r="DX820" s="4">
        <v>742</v>
      </c>
      <c r="DY820">
        <v>1</v>
      </c>
      <c r="DZ820" s="4">
        <v>754</v>
      </c>
      <c r="EA820">
        <v>1</v>
      </c>
      <c r="EB820" s="4">
        <v>761</v>
      </c>
      <c r="EC820">
        <v>1</v>
      </c>
      <c r="ED820" s="4">
        <v>766</v>
      </c>
      <c r="EE820">
        <v>1</v>
      </c>
      <c r="EF820" s="4">
        <v>773</v>
      </c>
      <c r="EG820">
        <v>1</v>
      </c>
      <c r="EH820" s="4">
        <v>785</v>
      </c>
      <c r="EI820">
        <v>1</v>
      </c>
      <c r="EJ820" s="4">
        <v>794</v>
      </c>
      <c r="EK820">
        <v>1</v>
      </c>
    </row>
    <row r="821" spans="1:141" x14ac:dyDescent="0.2">
      <c r="A821" t="str">
        <f>HYPERLINK("http://exon.niaid.nih.gov/transcriptome/C_felis/S1/links/cf/cf-contig_769.txt","cf-contig_769")</f>
        <v>cf-contig_769</v>
      </c>
      <c r="B821">
        <v>1</v>
      </c>
      <c r="C821" s="10" t="s">
        <v>4600</v>
      </c>
      <c r="D821">
        <v>1</v>
      </c>
      <c r="E821" t="str">
        <f>HYPERLINK("http://exon.niaid.nih.gov/transcriptome/C_felis/S1/links/cf/cf-5-36-asb-769.txt","Contig-769")</f>
        <v>Contig-769</v>
      </c>
      <c r="F821" t="str">
        <f>HYPERLINK("http://exon.niaid.nih.gov/transcriptome/C_felis/S1/links/cf/cf-5-36-769-CLU.txt","Contig769")</f>
        <v>Contig769</v>
      </c>
      <c r="G821" t="str">
        <f>HYPERLINK("http://exon.niaid.nih.gov/transcriptome/C_felis/S1/links/cf/cf-5-36-769-qual.txt","60.7")</f>
        <v>60.7</v>
      </c>
      <c r="H821" t="s">
        <v>11</v>
      </c>
      <c r="I821">
        <v>68.900000000000006</v>
      </c>
      <c r="J821">
        <v>341</v>
      </c>
      <c r="K821" t="s">
        <v>12</v>
      </c>
      <c r="L821">
        <v>1</v>
      </c>
      <c r="M821" t="s">
        <v>782</v>
      </c>
      <c r="N821">
        <v>341</v>
      </c>
      <c r="O821">
        <v>360</v>
      </c>
      <c r="P821">
        <v>162</v>
      </c>
      <c r="Q821" t="s">
        <v>1588</v>
      </c>
      <c r="R821">
        <v>1</v>
      </c>
      <c r="S821" s="7" t="s">
        <v>4585</v>
      </c>
      <c r="U821">
        <v>1</v>
      </c>
      <c r="V821" s="4">
        <v>616</v>
      </c>
      <c r="W821">
        <v>1</v>
      </c>
      <c r="X821" s="4">
        <v>637</v>
      </c>
      <c r="Y821">
        <v>1</v>
      </c>
      <c r="Z821" s="4">
        <v>653</v>
      </c>
      <c r="AA821">
        <v>1</v>
      </c>
      <c r="AB821" s="4" t="str">
        <f>HYPERLINK("http://exon.niaid.nih.gov/transcriptome/C_felis/S1/links/XC-ASB/cf-contig_769-XC-ASB.txt","XC-contig_55")</f>
        <v>XC-contig_55</v>
      </c>
      <c r="AC821">
        <v>0.19</v>
      </c>
      <c r="AD821" s="10" t="s">
        <v>4600</v>
      </c>
      <c r="AE821" t="s">
        <v>4601</v>
      </c>
      <c r="AI821" s="4" t="str">
        <f>HYPERLINK("http://exon.niaid.nih.gov/transcriptome/C_felis/S1/links/NR/cf-contig_769-NR.txt","clathrin heavy chain")</f>
        <v>clathrin heavy chain</v>
      </c>
      <c r="AJ821" t="str">
        <f>HYPERLINK("http://www.ncbi.nlm.nih.gov/sutils/blink.cgi?pid=85000911","0.38")</f>
        <v>0.38</v>
      </c>
      <c r="AK821" t="str">
        <f>HYPERLINK("http://www.ncbi.nlm.nih.gov/protein/85000911","gi|85000911")</f>
        <v>gi|85000911</v>
      </c>
      <c r="AL821">
        <v>38.5</v>
      </c>
      <c r="AM821">
        <v>81</v>
      </c>
      <c r="AN821">
        <v>2068</v>
      </c>
      <c r="AO821">
        <v>25</v>
      </c>
      <c r="AP821">
        <v>4</v>
      </c>
      <c r="AQ821">
        <v>63</v>
      </c>
      <c r="AR821">
        <v>0</v>
      </c>
      <c r="AS821">
        <v>1860</v>
      </c>
      <c r="AT821">
        <v>87</v>
      </c>
      <c r="AU821">
        <v>1</v>
      </c>
      <c r="AV821">
        <v>-2</v>
      </c>
      <c r="AW821" t="s">
        <v>12</v>
      </c>
      <c r="AX821">
        <v>2.4689999999999999</v>
      </c>
      <c r="AY821" t="s">
        <v>1666</v>
      </c>
      <c r="AZ821" t="s">
        <v>4466</v>
      </c>
      <c r="BA821" s="4" t="str">
        <f>HYPERLINK("http://exon.niaid.nih.gov/transcriptome/C_felis/S1/links/SWISSP/cf-contig_769-SWISSP.txt","NADH-ubiquinone oxidoreductase chain 1")</f>
        <v>NADH-ubiquinone oxidoreductase chain 1</v>
      </c>
      <c r="BB821" t="str">
        <f>HYPERLINK("http://www.uniprot.org/uniprot/O21408","11")</f>
        <v>11</v>
      </c>
      <c r="BC821" t="s">
        <v>4467</v>
      </c>
      <c r="BD821">
        <v>28.9</v>
      </c>
      <c r="BE821">
        <v>46</v>
      </c>
      <c r="BF821">
        <v>324</v>
      </c>
      <c r="BG821">
        <v>34</v>
      </c>
      <c r="BH821">
        <v>15</v>
      </c>
      <c r="BI821">
        <v>32</v>
      </c>
      <c r="BJ821">
        <v>0</v>
      </c>
      <c r="BK821">
        <v>70</v>
      </c>
      <c r="BL821">
        <v>44</v>
      </c>
      <c r="BM821">
        <v>1</v>
      </c>
      <c r="BN821">
        <v>2</v>
      </c>
      <c r="BO821" t="s">
        <v>12</v>
      </c>
      <c r="BP821">
        <v>2.1739999999999999</v>
      </c>
      <c r="BQ821" t="s">
        <v>1676</v>
      </c>
      <c r="BR821" t="s">
        <v>4468</v>
      </c>
      <c r="BS821" s="4" t="str">
        <f>HYPERLINK("http://exon.niaid.nih.gov/transcriptome/C_felis/S1/links/CDD/cf-contig_769-CDD.txt","DUF1577")</f>
        <v>DUF1577</v>
      </c>
      <c r="BT821" t="str">
        <f>HYPERLINK("http://www.ncbi.nlm.nih.gov/Structure/cdd/cddsrv.cgi?uid=pfam07614&amp;version=v4.0","0.022")</f>
        <v>0.022</v>
      </c>
      <c r="BU821" t="s">
        <v>4469</v>
      </c>
      <c r="BV821" s="4" t="s">
        <v>42</v>
      </c>
      <c r="BW821" t="s">
        <v>42</v>
      </c>
      <c r="BX821" t="s">
        <v>42</v>
      </c>
      <c r="BY821" t="s">
        <v>42</v>
      </c>
      <c r="BZ821" t="s">
        <v>42</v>
      </c>
      <c r="CA821" t="s">
        <v>42</v>
      </c>
      <c r="CB821" t="s">
        <v>42</v>
      </c>
      <c r="CC821" t="s">
        <v>42</v>
      </c>
      <c r="CD821" t="s">
        <v>42</v>
      </c>
      <c r="CE821" t="s">
        <v>42</v>
      </c>
      <c r="CF821" t="s">
        <v>42</v>
      </c>
      <c r="CG821" t="s">
        <v>42</v>
      </c>
      <c r="CH821" t="s">
        <v>42</v>
      </c>
      <c r="CI821" t="s">
        <v>42</v>
      </c>
      <c r="CJ821" t="s">
        <v>42</v>
      </c>
      <c r="CK821" t="s">
        <v>42</v>
      </c>
      <c r="CL821" t="s">
        <v>42</v>
      </c>
      <c r="CM821" t="s">
        <v>42</v>
      </c>
      <c r="CN821" t="s">
        <v>42</v>
      </c>
      <c r="CO821" t="s">
        <v>42</v>
      </c>
      <c r="CP821" t="s">
        <v>42</v>
      </c>
      <c r="CQ821" t="s">
        <v>42</v>
      </c>
      <c r="CR821" t="s">
        <v>42</v>
      </c>
      <c r="CS821" s="4" t="str">
        <f>HYPERLINK("http://exon.niaid.nih.gov/transcriptome/C_felis/S1/links/KOG/cf-contig_769-KOG.txt","Predicted transporter/transmembrane protein")</f>
        <v>Predicted transporter/transmembrane protein</v>
      </c>
      <c r="CT821" t="str">
        <f>HYPERLINK("http://www.ncbi.nlm.nih.gov/COG/grace/shokog.cgi?KOG2325","0.043")</f>
        <v>0.043</v>
      </c>
      <c r="CU821" t="s">
        <v>1721</v>
      </c>
      <c r="CV821" s="4" t="str">
        <f>HYPERLINK("http://exon.niaid.nih.gov/transcriptome/C_felis/S1/links/PFAM/cf-contig_769-PFAM.txt","DUF1577")</f>
        <v>DUF1577</v>
      </c>
      <c r="CW821" t="str">
        <f>HYPERLINK("http://pfam.sanger.ac.uk/family?acc=PF07614","0.005")</f>
        <v>0.005</v>
      </c>
      <c r="CX821" s="4" t="str">
        <f>HYPERLINK("http://exon.niaid.nih.gov/transcriptome/C_felis/S1/links/SMART/cf-contig_769-SMART.txt","Alpha-L-AF_C")</f>
        <v>Alpha-L-AF_C</v>
      </c>
      <c r="CY821" t="str">
        <f>HYPERLINK("http://smart.embl-heidelberg.de/smart/do_annotation.pl?DOMAIN=Alpha-L-AF_C&amp;BLAST=DUMMY","0.075")</f>
        <v>0.075</v>
      </c>
      <c r="CZ821" s="4" t="s">
        <v>42</v>
      </c>
      <c r="DA821" t="s">
        <v>42</v>
      </c>
      <c r="DB821" t="s">
        <v>42</v>
      </c>
      <c r="DC821" t="s">
        <v>42</v>
      </c>
      <c r="DD821" t="s">
        <v>42</v>
      </c>
      <c r="DE821" t="s">
        <v>42</v>
      </c>
      <c r="DF821" t="s">
        <v>42</v>
      </c>
      <c r="DG821" t="s">
        <v>42</v>
      </c>
      <c r="DH821" s="4" t="s">
        <v>42</v>
      </c>
      <c r="DI821" t="s">
        <v>42</v>
      </c>
      <c r="DJ821" s="4" t="s">
        <v>42</v>
      </c>
      <c r="DK821" t="s">
        <v>42</v>
      </c>
      <c r="DL821" s="4">
        <v>616</v>
      </c>
      <c r="DM821">
        <v>1</v>
      </c>
      <c r="DN821" s="4">
        <v>637</v>
      </c>
      <c r="DO821">
        <v>1</v>
      </c>
      <c r="DP821" s="4">
        <v>653</v>
      </c>
      <c r="DQ821">
        <v>1</v>
      </c>
      <c r="DR821" s="4">
        <v>675</v>
      </c>
      <c r="DS821">
        <v>1</v>
      </c>
      <c r="DT821" s="4">
        <v>691</v>
      </c>
      <c r="DU821">
        <v>1</v>
      </c>
      <c r="DV821" s="4">
        <v>706</v>
      </c>
      <c r="DW821">
        <v>1</v>
      </c>
      <c r="DX821" s="4">
        <v>720</v>
      </c>
      <c r="DY821">
        <v>1</v>
      </c>
      <c r="DZ821" s="4">
        <v>731</v>
      </c>
      <c r="EA821">
        <v>1</v>
      </c>
      <c r="EB821" s="4">
        <v>737</v>
      </c>
      <c r="EC821">
        <v>1</v>
      </c>
      <c r="ED821" s="4">
        <v>742</v>
      </c>
      <c r="EE821">
        <v>1</v>
      </c>
      <c r="EF821" s="4">
        <v>748</v>
      </c>
      <c r="EG821">
        <v>1</v>
      </c>
      <c r="EH821" s="4">
        <v>760</v>
      </c>
      <c r="EI821">
        <v>1</v>
      </c>
      <c r="EJ821" s="4">
        <v>769</v>
      </c>
      <c r="EK821">
        <v>1</v>
      </c>
    </row>
    <row r="822" spans="1:141" x14ac:dyDescent="0.2">
      <c r="A822" t="str">
        <f>HYPERLINK("http://exon.niaid.nih.gov/transcriptome/C_felis/S1/links/cf/cf-contig_176.txt","cf-contig_176")</f>
        <v>cf-contig_176</v>
      </c>
      <c r="B822">
        <v>4</v>
      </c>
      <c r="C822" s="10" t="s">
        <v>4600</v>
      </c>
      <c r="D822">
        <v>4</v>
      </c>
      <c r="E822" t="str">
        <f>HYPERLINK("http://exon.niaid.nih.gov/transcriptome/C_felis/S1/links/cf/cf-5-36-asb-176.txt","Contig-176")</f>
        <v>Contig-176</v>
      </c>
      <c r="F822" t="str">
        <f>HYPERLINK("http://exon.niaid.nih.gov/transcriptome/C_felis/S1/links/cf/cf-5-36-176-CLU.txt","Contig176")</f>
        <v>Contig176</v>
      </c>
      <c r="G822" t="str">
        <f>HYPERLINK("http://exon.niaid.nih.gov/transcriptome/C_felis/S1/links/cf/cf-5-36-176-qual.txt","76.5")</f>
        <v>76.5</v>
      </c>
      <c r="H822" t="s">
        <v>11</v>
      </c>
      <c r="I822">
        <v>73.8</v>
      </c>
      <c r="J822">
        <v>480</v>
      </c>
      <c r="K822" t="s">
        <v>12</v>
      </c>
      <c r="L822">
        <v>4</v>
      </c>
      <c r="M822" t="s">
        <v>189</v>
      </c>
      <c r="N822">
        <v>483</v>
      </c>
      <c r="O822">
        <v>500</v>
      </c>
      <c r="P822">
        <v>126</v>
      </c>
      <c r="Q822" t="s">
        <v>996</v>
      </c>
      <c r="R822">
        <v>3</v>
      </c>
      <c r="S822" s="7" t="s">
        <v>4585</v>
      </c>
      <c r="U822">
        <v>4</v>
      </c>
      <c r="V822" s="4">
        <v>155</v>
      </c>
      <c r="W822">
        <v>1</v>
      </c>
      <c r="X822" s="4">
        <v>157</v>
      </c>
      <c r="Y822">
        <v>1</v>
      </c>
      <c r="Z822" s="4">
        <v>155</v>
      </c>
      <c r="AA822">
        <v>1</v>
      </c>
      <c r="AB822" s="4" t="str">
        <f>HYPERLINK("http://exon.niaid.nih.gov/transcriptome/C_felis/S1/links/XC-ASB/cf-contig_176-XC-ASB.txt","XC-contig_74")</f>
        <v>XC-contig_74</v>
      </c>
      <c r="AC822">
        <v>0.11</v>
      </c>
      <c r="AD822" s="10" t="s">
        <v>4600</v>
      </c>
      <c r="AE822" t="s">
        <v>4601</v>
      </c>
      <c r="AI822" s="4" t="str">
        <f>HYPERLINK("http://exon.niaid.nih.gov/transcriptome/C_felis/S1/links/NR/cf-contig_176-NR.txt","hypothetical protein")</f>
        <v>hypothetical protein</v>
      </c>
      <c r="AJ822" t="str">
        <f>HYPERLINK("http://www.ncbi.nlm.nih.gov/sutils/blink.cgi?pid=71034159","1.9")</f>
        <v>1.9</v>
      </c>
      <c r="AK822" t="str">
        <f>HYPERLINK("http://www.ncbi.nlm.nih.gov/protein/71034159","gi|71034159")</f>
        <v>gi|71034159</v>
      </c>
      <c r="AL822">
        <v>36.200000000000003</v>
      </c>
      <c r="AM822">
        <v>82</v>
      </c>
      <c r="AN822">
        <v>840</v>
      </c>
      <c r="AO822">
        <v>29</v>
      </c>
      <c r="AP822">
        <v>10</v>
      </c>
      <c r="AQ822">
        <v>62</v>
      </c>
      <c r="AR822">
        <v>0</v>
      </c>
      <c r="AS822">
        <v>325</v>
      </c>
      <c r="AT822">
        <v>3</v>
      </c>
      <c r="AU822">
        <v>1</v>
      </c>
      <c r="AV822">
        <v>3</v>
      </c>
      <c r="AW822" t="s">
        <v>12</v>
      </c>
      <c r="AX822">
        <v>6.0979999999999999</v>
      </c>
      <c r="AY822" t="s">
        <v>1676</v>
      </c>
      <c r="AZ822" t="s">
        <v>2329</v>
      </c>
      <c r="BA822" s="4" t="str">
        <f>HYPERLINK("http://exon.niaid.nih.gov/transcriptome/C_felis/S1/links/SWISSP/cf-contig_176-SWISSP.txt","Uncharacterized 50.9 kDa protein in ND4 intron 1")</f>
        <v>Uncharacterized 50.9 kDa protein in ND4 intron 1</v>
      </c>
      <c r="BB822" t="str">
        <f>HYPERLINK("http://www.uniprot.org/uniprot/P15564","7.6")</f>
        <v>7.6</v>
      </c>
      <c r="BC822" t="s">
        <v>2330</v>
      </c>
      <c r="BD822">
        <v>30</v>
      </c>
      <c r="BE822">
        <v>48</v>
      </c>
      <c r="BF822">
        <v>449</v>
      </c>
      <c r="BG822">
        <v>37</v>
      </c>
      <c r="BH822">
        <v>11</v>
      </c>
      <c r="BI822">
        <v>36</v>
      </c>
      <c r="BJ822">
        <v>0</v>
      </c>
      <c r="BK822">
        <v>165</v>
      </c>
      <c r="BL822">
        <v>142</v>
      </c>
      <c r="BM822">
        <v>1</v>
      </c>
      <c r="BN822">
        <v>1</v>
      </c>
      <c r="BO822" t="s">
        <v>12</v>
      </c>
      <c r="BP822">
        <v>4.1669999999999998</v>
      </c>
      <c r="BQ822" t="s">
        <v>1676</v>
      </c>
      <c r="BR822" t="s">
        <v>2324</v>
      </c>
      <c r="BS822" s="4" t="str">
        <f>HYPERLINK("http://exon.niaid.nih.gov/transcriptome/C_felis/S1/links/CDD/cf-contig_176-CDD.txt","CLAG")</f>
        <v>CLAG</v>
      </c>
      <c r="BT822" t="str">
        <f>HYPERLINK("http://www.ncbi.nlm.nih.gov/Structure/cdd/cddsrv.cgi?uid=pfam03805&amp;version=v4.0","0.079")</f>
        <v>0.079</v>
      </c>
      <c r="BU822" t="s">
        <v>2331</v>
      </c>
      <c r="BV822" s="4" t="s">
        <v>42</v>
      </c>
      <c r="BW822" t="s">
        <v>42</v>
      </c>
      <c r="BX822" t="s">
        <v>42</v>
      </c>
      <c r="BY822" t="s">
        <v>42</v>
      </c>
      <c r="BZ822" t="s">
        <v>42</v>
      </c>
      <c r="CA822" t="s">
        <v>42</v>
      </c>
      <c r="CB822" t="s">
        <v>42</v>
      </c>
      <c r="CC822" t="s">
        <v>42</v>
      </c>
      <c r="CD822" t="s">
        <v>42</v>
      </c>
      <c r="CE822" t="s">
        <v>42</v>
      </c>
      <c r="CF822" t="s">
        <v>42</v>
      </c>
      <c r="CG822" t="s">
        <v>42</v>
      </c>
      <c r="CH822" t="s">
        <v>42</v>
      </c>
      <c r="CI822" t="s">
        <v>42</v>
      </c>
      <c r="CJ822" t="s">
        <v>42</v>
      </c>
      <c r="CK822" t="s">
        <v>42</v>
      </c>
      <c r="CL822" t="s">
        <v>42</v>
      </c>
      <c r="CM822" t="s">
        <v>42</v>
      </c>
      <c r="CN822" t="s">
        <v>42</v>
      </c>
      <c r="CO822" t="s">
        <v>42</v>
      </c>
      <c r="CP822" t="s">
        <v>42</v>
      </c>
      <c r="CQ822" t="s">
        <v>42</v>
      </c>
      <c r="CR822" t="s">
        <v>42</v>
      </c>
      <c r="CS822" s="4" t="str">
        <f>HYPERLINK("http://exon.niaid.nih.gov/transcriptome/C_felis/S1/links/KOG/cf-contig_176-KOG.txt","Predicted seven transmembrane receptor - rhodopsin family")</f>
        <v>Predicted seven transmembrane receptor - rhodopsin family</v>
      </c>
      <c r="CT822" t="str">
        <f>HYPERLINK("http://www.ncbi.nlm.nih.gov/COG/grace/shokog.cgi?KOG2641","1.2")</f>
        <v>1.2</v>
      </c>
      <c r="CU822" t="s">
        <v>1780</v>
      </c>
      <c r="CV822" s="4" t="str">
        <f>HYPERLINK("http://exon.niaid.nih.gov/transcriptome/C_felis/S1/links/PFAM/cf-contig_176-PFAM.txt","CLAG")</f>
        <v>CLAG</v>
      </c>
      <c r="CW822" t="str">
        <f>HYPERLINK("http://pfam.sanger.ac.uk/family?acc=PF03805","0.017")</f>
        <v>0.017</v>
      </c>
      <c r="CX822" s="4" t="str">
        <f>HYPERLINK("http://exon.niaid.nih.gov/transcriptome/C_felis/S1/links/SMART/cf-contig_176-SMART.txt","MUTSd")</f>
        <v>MUTSd</v>
      </c>
      <c r="CY822" t="str">
        <f>HYPERLINK("http://smart.embl-heidelberg.de/smart/do_annotation.pl?DOMAIN=MUTSd&amp;BLAST=DUMMY","0.11")</f>
        <v>0.11</v>
      </c>
      <c r="CZ822" s="4" t="s">
        <v>42</v>
      </c>
      <c r="DA822" t="s">
        <v>42</v>
      </c>
      <c r="DB822" t="s">
        <v>42</v>
      </c>
      <c r="DC822" t="s">
        <v>42</v>
      </c>
      <c r="DD822" t="s">
        <v>42</v>
      </c>
      <c r="DE822" t="s">
        <v>42</v>
      </c>
      <c r="DF822" t="s">
        <v>42</v>
      </c>
      <c r="DG822" t="s">
        <v>42</v>
      </c>
      <c r="DH822" s="4" t="s">
        <v>42</v>
      </c>
      <c r="DI822" t="s">
        <v>42</v>
      </c>
      <c r="DJ822" s="4" t="s">
        <v>42</v>
      </c>
      <c r="DK822" t="s">
        <v>42</v>
      </c>
      <c r="DL822" s="4">
        <v>155</v>
      </c>
      <c r="DM822">
        <v>1</v>
      </c>
      <c r="DN822" s="4">
        <v>157</v>
      </c>
      <c r="DO822">
        <v>1</v>
      </c>
      <c r="DP822" s="4">
        <v>155</v>
      </c>
      <c r="DQ822">
        <v>1</v>
      </c>
      <c r="DR822" s="4">
        <v>152</v>
      </c>
      <c r="DS822">
        <v>1</v>
      </c>
      <c r="DT822" s="4">
        <v>152</v>
      </c>
      <c r="DU822">
        <v>1</v>
      </c>
      <c r="DV822" s="4">
        <v>162</v>
      </c>
      <c r="DW822">
        <v>1</v>
      </c>
      <c r="DX822" s="4">
        <v>164</v>
      </c>
      <c r="DY822">
        <v>1</v>
      </c>
      <c r="DZ822" s="4">
        <v>164</v>
      </c>
      <c r="EA822">
        <v>1</v>
      </c>
      <c r="EB822" s="4">
        <v>169</v>
      </c>
      <c r="EC822">
        <v>1</v>
      </c>
      <c r="ED822" s="4">
        <v>170</v>
      </c>
      <c r="EE822">
        <v>1</v>
      </c>
      <c r="EF822" s="4">
        <v>171</v>
      </c>
      <c r="EG822">
        <v>1</v>
      </c>
      <c r="EH822" s="4">
        <v>171</v>
      </c>
      <c r="EI822">
        <v>1</v>
      </c>
      <c r="EJ822" s="4">
        <v>176</v>
      </c>
      <c r="EK822">
        <v>1</v>
      </c>
    </row>
    <row r="823" spans="1:141" x14ac:dyDescent="0.2">
      <c r="A823" t="str">
        <f>HYPERLINK("http://exon.niaid.nih.gov/transcriptome/C_felis/S1/links/cf/cf-contig_534.txt","cf-contig_534")</f>
        <v>cf-contig_534</v>
      </c>
      <c r="B823">
        <v>1</v>
      </c>
      <c r="C823" s="10" t="s">
        <v>4600</v>
      </c>
      <c r="D823">
        <v>1</v>
      </c>
      <c r="E823" t="str">
        <f>HYPERLINK("http://exon.niaid.nih.gov/transcriptome/C_felis/S1/links/cf/cf-5-36-asb-534.txt","Contig-534")</f>
        <v>Contig-534</v>
      </c>
      <c r="F823" t="str">
        <f>HYPERLINK("http://exon.niaid.nih.gov/transcriptome/C_felis/S1/links/cf/cf-5-36-534-CLU.txt","Contig534")</f>
        <v>Contig534</v>
      </c>
      <c r="G823" t="str">
        <f>HYPERLINK("http://exon.niaid.nih.gov/transcriptome/C_felis/S1/links/cf/cf-5-36-534-qual.txt","62.9")</f>
        <v>62.9</v>
      </c>
      <c r="H823" t="s">
        <v>11</v>
      </c>
      <c r="I823">
        <v>79.3</v>
      </c>
      <c r="J823">
        <v>396</v>
      </c>
      <c r="K823" t="s">
        <v>12</v>
      </c>
      <c r="L823">
        <v>1</v>
      </c>
      <c r="M823" t="s">
        <v>547</v>
      </c>
      <c r="N823">
        <v>396</v>
      </c>
      <c r="O823">
        <v>415</v>
      </c>
      <c r="P823">
        <v>123</v>
      </c>
      <c r="Q823" t="s">
        <v>1353</v>
      </c>
      <c r="R823">
        <v>1</v>
      </c>
      <c r="S823" s="7" t="s">
        <v>4585</v>
      </c>
      <c r="U823">
        <v>1</v>
      </c>
      <c r="V823" s="4">
        <v>437</v>
      </c>
      <c r="W823">
        <v>1</v>
      </c>
      <c r="X823" s="4">
        <v>447</v>
      </c>
      <c r="Y823">
        <v>1</v>
      </c>
      <c r="Z823" s="4">
        <v>452</v>
      </c>
      <c r="AA823">
        <v>1</v>
      </c>
      <c r="AB823" s="4" t="str">
        <f>HYPERLINK("http://exon.niaid.nih.gov/transcriptome/C_felis/S1/links/XC-ASB/cf-contig_534-XC-ASB.txt","XC-contig_241")</f>
        <v>XC-contig_241</v>
      </c>
      <c r="AC823">
        <v>0.22</v>
      </c>
      <c r="AD823" s="10" t="s">
        <v>4600</v>
      </c>
      <c r="AE823" t="s">
        <v>4601</v>
      </c>
      <c r="AI823" s="4" t="str">
        <f>HYPERLINK("http://exon.niaid.nih.gov/transcriptome/C_felis/S1/links/NR/cf-contig_534-NR.txt","hypothetical protein")</f>
        <v>hypothetical protein</v>
      </c>
      <c r="AJ823" t="str">
        <f>HYPERLINK("http://www.ncbi.nlm.nih.gov/sutils/blink.cgi?pid=71032547","9.4")</f>
        <v>9.4</v>
      </c>
      <c r="AK823" t="str">
        <f>HYPERLINK("http://www.ncbi.nlm.nih.gov/protein/71032547","gi|71032547")</f>
        <v>gi|71032547</v>
      </c>
      <c r="AL823">
        <v>33.9</v>
      </c>
      <c r="AM823">
        <v>65</v>
      </c>
      <c r="AN823">
        <v>509</v>
      </c>
      <c r="AO823">
        <v>30</v>
      </c>
      <c r="AP823">
        <v>13</v>
      </c>
      <c r="AQ823">
        <v>46</v>
      </c>
      <c r="AR823">
        <v>0</v>
      </c>
      <c r="AS823">
        <v>329</v>
      </c>
      <c r="AT823">
        <v>195</v>
      </c>
      <c r="AU823">
        <v>1</v>
      </c>
      <c r="AV823">
        <v>-3</v>
      </c>
      <c r="AW823" t="s">
        <v>12</v>
      </c>
      <c r="AX823">
        <v>4.6150000000000002</v>
      </c>
      <c r="AY823" t="s">
        <v>1666</v>
      </c>
      <c r="AZ823" t="s">
        <v>2329</v>
      </c>
      <c r="BA823" s="4" t="str">
        <f>HYPERLINK("http://exon.niaid.nih.gov/transcriptome/C_felis/S1/links/SWISSP/cf-contig_534-SWISSP.txt","Metabotropic glutamate receptor-like protein H")</f>
        <v>Metabotropic glutamate receptor-like protein H</v>
      </c>
      <c r="BB823" t="str">
        <f>HYPERLINK("http://www.uniprot.org/uniprot/Q54SH8","4.8")</f>
        <v>4.8</v>
      </c>
      <c r="BC823" t="s">
        <v>3620</v>
      </c>
      <c r="BD823">
        <v>30</v>
      </c>
      <c r="BE823">
        <v>58</v>
      </c>
      <c r="BF823">
        <v>764</v>
      </c>
      <c r="BG823">
        <v>31</v>
      </c>
      <c r="BH823">
        <v>8</v>
      </c>
      <c r="BI823">
        <v>42</v>
      </c>
      <c r="BJ823">
        <v>0</v>
      </c>
      <c r="BK823">
        <v>290</v>
      </c>
      <c r="BL823">
        <v>2</v>
      </c>
      <c r="BM823">
        <v>1</v>
      </c>
      <c r="BN823">
        <v>-1</v>
      </c>
      <c r="BO823" t="s">
        <v>12</v>
      </c>
      <c r="BP823">
        <v>5.1719999999999997</v>
      </c>
      <c r="BQ823" t="s">
        <v>1666</v>
      </c>
      <c r="BR823" t="s">
        <v>1976</v>
      </c>
      <c r="BS823" s="4" t="str">
        <f>HYPERLINK("http://exon.niaid.nih.gov/transcriptome/C_felis/S1/links/CDD/cf-contig_534-CDD.txt","ND6")</f>
        <v>ND6</v>
      </c>
      <c r="BT823" t="str">
        <f>HYPERLINK("http://www.ncbi.nlm.nih.gov/Structure/cdd/cddsrv.cgi?uid=MTH00166&amp;version=v4.0","0.012")</f>
        <v>0.012</v>
      </c>
      <c r="BU823" t="s">
        <v>3621</v>
      </c>
      <c r="BV823" s="4" t="s">
        <v>42</v>
      </c>
      <c r="BW823" t="s">
        <v>42</v>
      </c>
      <c r="BX823" t="s">
        <v>42</v>
      </c>
      <c r="BY823" t="s">
        <v>42</v>
      </c>
      <c r="BZ823" t="s">
        <v>42</v>
      </c>
      <c r="CA823" t="s">
        <v>42</v>
      </c>
      <c r="CB823" t="s">
        <v>42</v>
      </c>
      <c r="CC823" t="s">
        <v>42</v>
      </c>
      <c r="CD823" t="s">
        <v>42</v>
      </c>
      <c r="CE823" t="s">
        <v>42</v>
      </c>
      <c r="CF823" t="s">
        <v>42</v>
      </c>
      <c r="CG823" t="s">
        <v>42</v>
      </c>
      <c r="CH823" t="s">
        <v>42</v>
      </c>
      <c r="CI823" t="s">
        <v>42</v>
      </c>
      <c r="CJ823" t="s">
        <v>42</v>
      </c>
      <c r="CK823" t="s">
        <v>42</v>
      </c>
      <c r="CL823" t="s">
        <v>42</v>
      </c>
      <c r="CM823" t="s">
        <v>42</v>
      </c>
      <c r="CN823" t="s">
        <v>42</v>
      </c>
      <c r="CO823" t="s">
        <v>42</v>
      </c>
      <c r="CP823" t="s">
        <v>42</v>
      </c>
      <c r="CQ823" t="s">
        <v>42</v>
      </c>
      <c r="CR823" t="s">
        <v>42</v>
      </c>
      <c r="CS823" s="4" t="str">
        <f>HYPERLINK("http://exon.niaid.nih.gov/transcriptome/C_felis/S1/links/KOG/cf-contig_534-KOG.txt","Uncharacterized conserved protein")</f>
        <v>Uncharacterized conserved protein</v>
      </c>
      <c r="CT823" t="str">
        <f>HYPERLINK("http://www.ncbi.nlm.nih.gov/COG/grace/shokog.cgi?KOG3666","2.6")</f>
        <v>2.6</v>
      </c>
      <c r="CU823" t="s">
        <v>1711</v>
      </c>
      <c r="CV823" s="4" t="str">
        <f>HYPERLINK("http://exon.niaid.nih.gov/transcriptome/C_felis/S1/links/PFAM/cf-contig_534-PFAM.txt","FadR_C")</f>
        <v>FadR_C</v>
      </c>
      <c r="CW823" t="str">
        <f>HYPERLINK("http://pfam.sanger.ac.uk/family?acc=PF07840","0.12")</f>
        <v>0.12</v>
      </c>
      <c r="CX823" s="4" t="str">
        <f>HYPERLINK("http://exon.niaid.nih.gov/transcriptome/C_felis/S1/links/SMART/cf-contig_534-SMART.txt","s48_45")</f>
        <v>s48_45</v>
      </c>
      <c r="CY823" t="str">
        <f>HYPERLINK("http://smart.embl-heidelberg.de/smart/do_annotation.pl?DOMAIN=s48_45&amp;BLAST=DUMMY","0.095")</f>
        <v>0.095</v>
      </c>
      <c r="CZ823" s="4" t="s">
        <v>42</v>
      </c>
      <c r="DA823" t="s">
        <v>42</v>
      </c>
      <c r="DB823" t="s">
        <v>42</v>
      </c>
      <c r="DC823" t="s">
        <v>42</v>
      </c>
      <c r="DD823" t="s">
        <v>42</v>
      </c>
      <c r="DE823" t="s">
        <v>42</v>
      </c>
      <c r="DF823" t="s">
        <v>42</v>
      </c>
      <c r="DG823" t="s">
        <v>42</v>
      </c>
      <c r="DH823" s="4" t="s">
        <v>42</v>
      </c>
      <c r="DI823" t="s">
        <v>42</v>
      </c>
      <c r="DJ823" s="4" t="s">
        <v>42</v>
      </c>
      <c r="DK823" t="s">
        <v>42</v>
      </c>
      <c r="DL823" s="4">
        <v>437</v>
      </c>
      <c r="DM823">
        <v>1</v>
      </c>
      <c r="DN823" s="4">
        <v>447</v>
      </c>
      <c r="DO823">
        <v>1</v>
      </c>
      <c r="DP823" s="4">
        <v>452</v>
      </c>
      <c r="DQ823">
        <v>1</v>
      </c>
      <c r="DR823" s="4">
        <v>467</v>
      </c>
      <c r="DS823">
        <v>1</v>
      </c>
      <c r="DT823" s="4">
        <v>479</v>
      </c>
      <c r="DU823">
        <v>1</v>
      </c>
      <c r="DV823" s="4">
        <v>493</v>
      </c>
      <c r="DW823">
        <v>1</v>
      </c>
      <c r="DX823" s="4">
        <v>499</v>
      </c>
      <c r="DY823">
        <v>1</v>
      </c>
      <c r="DZ823" s="4">
        <v>507</v>
      </c>
      <c r="EA823">
        <v>1</v>
      </c>
      <c r="EB823" s="4">
        <v>512</v>
      </c>
      <c r="EC823">
        <v>1</v>
      </c>
      <c r="ED823" s="4">
        <v>516</v>
      </c>
      <c r="EE823">
        <v>1</v>
      </c>
      <c r="EF823" s="4">
        <v>521</v>
      </c>
      <c r="EG823">
        <v>1</v>
      </c>
      <c r="EH823" s="4">
        <v>527</v>
      </c>
      <c r="EI823">
        <v>1</v>
      </c>
      <c r="EJ823" s="4">
        <v>534</v>
      </c>
      <c r="EK823">
        <v>1</v>
      </c>
    </row>
    <row r="824" spans="1:141" x14ac:dyDescent="0.2">
      <c r="A824" t="str">
        <f>HYPERLINK("http://exon.niaid.nih.gov/transcriptome/C_felis/S1/links/cf/cf-contig_692.txt","cf-contig_692")</f>
        <v>cf-contig_692</v>
      </c>
      <c r="B824">
        <v>1</v>
      </c>
      <c r="C824" s="10" t="s">
        <v>4600</v>
      </c>
      <c r="D824">
        <v>1</v>
      </c>
      <c r="E824" t="str">
        <f>HYPERLINK("http://exon.niaid.nih.gov/transcriptome/C_felis/S1/links/cf/cf-5-36-asb-692.txt","Contig-692")</f>
        <v>Contig-692</v>
      </c>
      <c r="F824" t="str">
        <f>HYPERLINK("http://exon.niaid.nih.gov/transcriptome/C_felis/S1/links/cf/cf-5-36-692-CLU.txt","Contig692")</f>
        <v>Contig692</v>
      </c>
      <c r="G824" t="str">
        <f>HYPERLINK("http://exon.niaid.nih.gov/transcriptome/C_felis/S1/links/cf/cf-5-36-692-qual.txt","63.7")</f>
        <v>63.7</v>
      </c>
      <c r="H824" t="s">
        <v>11</v>
      </c>
      <c r="I824">
        <v>71.900000000000006</v>
      </c>
      <c r="J824">
        <v>262</v>
      </c>
      <c r="K824" t="s">
        <v>12</v>
      </c>
      <c r="L824">
        <v>1</v>
      </c>
      <c r="M824" t="s">
        <v>705</v>
      </c>
      <c r="N824">
        <v>262</v>
      </c>
      <c r="O824">
        <v>281</v>
      </c>
      <c r="P824">
        <v>96</v>
      </c>
      <c r="Q824" t="s">
        <v>1511</v>
      </c>
      <c r="R824">
        <v>1</v>
      </c>
      <c r="S824" s="7" t="s">
        <v>4585</v>
      </c>
      <c r="U824">
        <v>1</v>
      </c>
      <c r="V824" s="4">
        <v>564</v>
      </c>
      <c r="W824">
        <v>1</v>
      </c>
      <c r="X824" s="4">
        <v>579</v>
      </c>
      <c r="Y824">
        <v>1</v>
      </c>
      <c r="Z824" s="4">
        <v>591</v>
      </c>
      <c r="AA824">
        <v>1</v>
      </c>
      <c r="AB824" s="4" t="str">
        <f>HYPERLINK("http://exon.niaid.nih.gov/transcriptome/C_felis/S1/links/XC-ASB/cf-contig_692-XC-ASB.txt","XC-contig_64")</f>
        <v>XC-contig_64</v>
      </c>
      <c r="AC824">
        <v>0.14000000000000001</v>
      </c>
      <c r="AD824" s="10" t="s">
        <v>4600</v>
      </c>
      <c r="AE824" t="s">
        <v>4601</v>
      </c>
      <c r="AI824" s="4" t="str">
        <f>HYPERLINK("http://exon.niaid.nih.gov/transcriptome/C_felis/S1/links/NR/cf-contig_692-NR.txt","hypothetical protein")</f>
        <v>hypothetical protein</v>
      </c>
      <c r="AJ824" t="str">
        <f>HYPERLINK("http://www.ncbi.nlm.nih.gov/sutils/blink.cgi?pid=71033625","60")</f>
        <v>60</v>
      </c>
      <c r="AK824" t="str">
        <f>HYPERLINK("http://www.ncbi.nlm.nih.gov/protein/71033625","gi|71033625")</f>
        <v>gi|71033625</v>
      </c>
      <c r="AL824">
        <v>31.2</v>
      </c>
      <c r="AM824">
        <v>29</v>
      </c>
      <c r="AN824">
        <v>1342</v>
      </c>
      <c r="AO824">
        <v>46</v>
      </c>
      <c r="AP824">
        <v>2</v>
      </c>
      <c r="AQ824">
        <v>16</v>
      </c>
      <c r="AR824">
        <v>0</v>
      </c>
      <c r="AS824">
        <v>77</v>
      </c>
      <c r="AT824">
        <v>95</v>
      </c>
      <c r="AU824">
        <v>1</v>
      </c>
      <c r="AV824">
        <v>-2</v>
      </c>
      <c r="AW824" t="s">
        <v>12</v>
      </c>
      <c r="AX824">
        <v>3.448</v>
      </c>
      <c r="AY824" t="s">
        <v>1666</v>
      </c>
      <c r="AZ824" t="s">
        <v>2329</v>
      </c>
      <c r="BA824" s="4" t="str">
        <f>HYPERLINK("http://exon.niaid.nih.gov/transcriptome/C_felis/S1/links/SWISSP/cf-contig_692-SWISSP.txt","NADH-ubiquinone oxidoreductase chain 5")</f>
        <v>NADH-ubiquinone oxidoreductase chain 5</v>
      </c>
      <c r="BB824" t="str">
        <f>HYPERLINK("http://www.uniprot.org/uniprot/Q37024","31")</f>
        <v>31</v>
      </c>
      <c r="BC824" t="s">
        <v>4180</v>
      </c>
      <c r="BD824">
        <v>27.3</v>
      </c>
      <c r="BE824">
        <v>24</v>
      </c>
      <c r="BF824">
        <v>644</v>
      </c>
      <c r="BG824">
        <v>40</v>
      </c>
      <c r="BH824">
        <v>4</v>
      </c>
      <c r="BI824">
        <v>15</v>
      </c>
      <c r="BJ824">
        <v>0</v>
      </c>
      <c r="BK824">
        <v>178</v>
      </c>
      <c r="BL824">
        <v>91</v>
      </c>
      <c r="BM824">
        <v>1</v>
      </c>
      <c r="BN824">
        <v>1</v>
      </c>
      <c r="BO824" t="s">
        <v>12</v>
      </c>
      <c r="BQ824" t="s">
        <v>1676</v>
      </c>
      <c r="BR824" t="s">
        <v>4181</v>
      </c>
      <c r="BS824" s="4" t="str">
        <f>HYPERLINK("http://exon.niaid.nih.gov/transcriptome/C_felis/S1/links/CDD/cf-contig_692-CDD.txt","CAD3")</f>
        <v>CAD3</v>
      </c>
      <c r="BT824" t="str">
        <f>HYPERLINK("http://www.ncbi.nlm.nih.gov/Structure/cdd/cddsrv.cgi?uid=cd08297&amp;version=v4.0","1.9")</f>
        <v>1.9</v>
      </c>
      <c r="BU824" t="s">
        <v>4182</v>
      </c>
      <c r="BV824" s="4" t="s">
        <v>42</v>
      </c>
      <c r="BW824" t="s">
        <v>42</v>
      </c>
      <c r="BX824" t="s">
        <v>42</v>
      </c>
      <c r="BY824" t="s">
        <v>42</v>
      </c>
      <c r="BZ824" t="s">
        <v>42</v>
      </c>
      <c r="CA824" t="s">
        <v>42</v>
      </c>
      <c r="CB824" t="s">
        <v>42</v>
      </c>
      <c r="CC824" t="s">
        <v>42</v>
      </c>
      <c r="CD824" t="s">
        <v>42</v>
      </c>
      <c r="CE824" t="s">
        <v>42</v>
      </c>
      <c r="CF824" t="s">
        <v>42</v>
      </c>
      <c r="CG824" t="s">
        <v>42</v>
      </c>
      <c r="CH824" t="s">
        <v>42</v>
      </c>
      <c r="CI824" t="s">
        <v>42</v>
      </c>
      <c r="CJ824" t="s">
        <v>42</v>
      </c>
      <c r="CK824" t="s">
        <v>42</v>
      </c>
      <c r="CL824" t="s">
        <v>42</v>
      </c>
      <c r="CM824" t="s">
        <v>42</v>
      </c>
      <c r="CN824" t="s">
        <v>42</v>
      </c>
      <c r="CO824" t="s">
        <v>42</v>
      </c>
      <c r="CP824" t="s">
        <v>42</v>
      </c>
      <c r="CQ824" t="s">
        <v>42</v>
      </c>
      <c r="CR824" t="s">
        <v>42</v>
      </c>
      <c r="CS824" s="4" t="str">
        <f>HYPERLINK("http://exon.niaid.nih.gov/transcriptome/C_felis/S1/links/KOG/cf-contig_692-KOG.txt","Catalytic subunit of the meiotic double strand break transesterase")</f>
        <v>Catalytic subunit of the meiotic double strand break transesterase</v>
      </c>
      <c r="CT824" t="str">
        <f>HYPERLINK("http://www.ncbi.nlm.nih.gov/COG/grace/shokog.cgi?KOG2795","0.15")</f>
        <v>0.15</v>
      </c>
      <c r="CU824" t="s">
        <v>2520</v>
      </c>
      <c r="CV824" s="4" t="str">
        <f>HYPERLINK("http://exon.niaid.nih.gov/transcriptome/C_felis/S1/links/PFAM/cf-contig_692-PFAM.txt","Glyco_hydro_47")</f>
        <v>Glyco_hydro_47</v>
      </c>
      <c r="CW824" t="str">
        <f>HYPERLINK("http://pfam.sanger.ac.uk/family?acc=PF01532","2.2")</f>
        <v>2.2</v>
      </c>
      <c r="CX824" s="4" t="str">
        <f>HYPERLINK("http://exon.niaid.nih.gov/transcriptome/C_felis/S1/links/SMART/cf-contig_692-SMART.txt","rADc")</f>
        <v>rADc</v>
      </c>
      <c r="CY824" t="str">
        <f>HYPERLINK("http://smart.embl-heidelberg.de/smart/do_annotation.pl?DOMAIN=rADc&amp;BLAST=DUMMY","0.070")</f>
        <v>0.070</v>
      </c>
      <c r="CZ824" s="4" t="s">
        <v>42</v>
      </c>
      <c r="DA824" t="s">
        <v>42</v>
      </c>
      <c r="DB824" t="s">
        <v>42</v>
      </c>
      <c r="DC824" t="s">
        <v>42</v>
      </c>
      <c r="DD824" t="s">
        <v>42</v>
      </c>
      <c r="DE824" t="s">
        <v>42</v>
      </c>
      <c r="DF824" t="s">
        <v>42</v>
      </c>
      <c r="DG824" t="s">
        <v>42</v>
      </c>
      <c r="DH824" s="4" t="s">
        <v>42</v>
      </c>
      <c r="DI824" t="s">
        <v>42</v>
      </c>
      <c r="DJ824" s="4" t="s">
        <v>42</v>
      </c>
      <c r="DK824" t="s">
        <v>42</v>
      </c>
      <c r="DL824" s="4">
        <v>564</v>
      </c>
      <c r="DM824">
        <v>1</v>
      </c>
      <c r="DN824" s="4">
        <v>579</v>
      </c>
      <c r="DO824">
        <v>1</v>
      </c>
      <c r="DP824" s="4">
        <v>591</v>
      </c>
      <c r="DQ824">
        <v>1</v>
      </c>
      <c r="DR824" s="4">
        <v>612</v>
      </c>
      <c r="DS824">
        <v>1</v>
      </c>
      <c r="DT824" s="4">
        <v>626</v>
      </c>
      <c r="DU824">
        <v>1</v>
      </c>
      <c r="DV824" s="4">
        <v>641</v>
      </c>
      <c r="DW824">
        <v>1</v>
      </c>
      <c r="DX824" s="4">
        <v>650</v>
      </c>
      <c r="DY824">
        <v>1</v>
      </c>
      <c r="DZ824" s="4">
        <v>660</v>
      </c>
      <c r="EA824">
        <v>1</v>
      </c>
      <c r="EB824" s="4">
        <v>665</v>
      </c>
      <c r="EC824">
        <v>1</v>
      </c>
      <c r="ED824" s="4">
        <v>669</v>
      </c>
      <c r="EE824">
        <v>1</v>
      </c>
      <c r="EF824" s="4">
        <v>675</v>
      </c>
      <c r="EG824">
        <v>1</v>
      </c>
      <c r="EH824" s="4">
        <v>683</v>
      </c>
      <c r="EI824">
        <v>1</v>
      </c>
      <c r="EJ824" s="4">
        <v>692</v>
      </c>
      <c r="EK824">
        <v>1</v>
      </c>
    </row>
    <row r="825" spans="1:141" x14ac:dyDescent="0.2">
      <c r="A825" t="str">
        <f>HYPERLINK("http://exon.niaid.nih.gov/transcriptome/C_felis/S1/links/cf/cf-contig_772.txt","cf-contig_772")</f>
        <v>cf-contig_772</v>
      </c>
      <c r="B825">
        <v>1</v>
      </c>
      <c r="C825" s="10" t="s">
        <v>4600</v>
      </c>
      <c r="D825">
        <v>1</v>
      </c>
      <c r="E825" t="str">
        <f>HYPERLINK("http://exon.niaid.nih.gov/transcriptome/C_felis/S1/links/cf/cf-5-36-asb-772.txt","Contig-772")</f>
        <v>Contig-772</v>
      </c>
      <c r="F825" t="str">
        <f>HYPERLINK("http://exon.niaid.nih.gov/transcriptome/C_felis/S1/links/cf/cf-5-36-772-CLU.txt","Contig772")</f>
        <v>Contig772</v>
      </c>
      <c r="G825" t="str">
        <f>HYPERLINK("http://exon.niaid.nih.gov/transcriptome/C_felis/S1/links/cf/cf-5-36-772-qual.txt","64.3")</f>
        <v>64.3</v>
      </c>
      <c r="H825" t="s">
        <v>11</v>
      </c>
      <c r="I825">
        <v>62.8</v>
      </c>
      <c r="J825">
        <v>449</v>
      </c>
      <c r="K825" t="s">
        <v>12</v>
      </c>
      <c r="L825">
        <v>1</v>
      </c>
      <c r="M825" t="s">
        <v>785</v>
      </c>
      <c r="N825">
        <v>449</v>
      </c>
      <c r="O825">
        <v>468</v>
      </c>
      <c r="P825">
        <v>165</v>
      </c>
      <c r="Q825" t="s">
        <v>1591</v>
      </c>
      <c r="R825">
        <v>2</v>
      </c>
      <c r="S825" s="7" t="str">
        <f>HYPERLINK("http://exon.niaid.nih.gov/transcriptome/C_felis/S1/links/Sigp/CF-CONTIG_772-SigP.txt","Cyt")</f>
        <v>Cyt</v>
      </c>
      <c r="U825">
        <v>1</v>
      </c>
      <c r="V825" s="4">
        <v>619</v>
      </c>
      <c r="W825">
        <v>1</v>
      </c>
      <c r="X825" s="4">
        <v>640</v>
      </c>
      <c r="Y825">
        <v>1</v>
      </c>
      <c r="Z825" s="4">
        <v>656</v>
      </c>
      <c r="AA825">
        <v>1</v>
      </c>
      <c r="AB825" s="4" t="str">
        <f>HYPERLINK("http://exon.niaid.nih.gov/transcriptome/C_felis/S1/links/XC-ASB/cf-contig_772-XC-ASB.txt","XC-contig_246")</f>
        <v>XC-contig_246</v>
      </c>
      <c r="AC825">
        <v>6.0000000000000001E-3</v>
      </c>
      <c r="AD825" s="10" t="s">
        <v>4600</v>
      </c>
      <c r="AE825" t="s">
        <v>4601</v>
      </c>
      <c r="AI825" s="4" t="str">
        <f>HYPERLINK("http://exon.niaid.nih.gov/transcriptome/C_felis/S1/links/NR/cf-contig_772-NR.txt","adenylosuccinate synthetase")</f>
        <v>adenylosuccinate synthetase</v>
      </c>
      <c r="AJ825" t="str">
        <f>HYPERLINK("http://www.ncbi.nlm.nih.gov/sutils/blink.cgi?pid=150020216","1.1")</f>
        <v>1.1</v>
      </c>
      <c r="AK825" t="str">
        <f>HYPERLINK("http://www.ncbi.nlm.nih.gov/protein/150020216","gi|150020216")</f>
        <v>gi|150020216</v>
      </c>
      <c r="AL825">
        <v>37</v>
      </c>
      <c r="AM825">
        <v>64</v>
      </c>
      <c r="AN825">
        <v>399</v>
      </c>
      <c r="AO825">
        <v>28</v>
      </c>
      <c r="AP825">
        <v>16</v>
      </c>
      <c r="AQ825">
        <v>47</v>
      </c>
      <c r="AR825">
        <v>0</v>
      </c>
      <c r="AS825">
        <v>125</v>
      </c>
      <c r="AT825">
        <v>63</v>
      </c>
      <c r="AU825">
        <v>1</v>
      </c>
      <c r="AV825">
        <v>3</v>
      </c>
      <c r="AW825" t="s">
        <v>12</v>
      </c>
      <c r="AX825">
        <v>3.125</v>
      </c>
      <c r="AY825" t="s">
        <v>1676</v>
      </c>
      <c r="AZ825" t="s">
        <v>4475</v>
      </c>
      <c r="BA825" s="4" t="str">
        <f>HYPERLINK("http://exon.niaid.nih.gov/transcriptome/C_felis/S1/links/SWISSP/cf-contig_772-SWISSP.txt","Adenylosuccinate synthetase")</f>
        <v>Adenylosuccinate synthetase</v>
      </c>
      <c r="BB825" t="str">
        <f>HYPERLINK("http://www.uniprot.org/uniprot/A6LJT4","0.052")</f>
        <v>0.052</v>
      </c>
      <c r="BC825" t="s">
        <v>4476</v>
      </c>
      <c r="BD825">
        <v>37</v>
      </c>
      <c r="BE825">
        <v>64</v>
      </c>
      <c r="BF825">
        <v>399</v>
      </c>
      <c r="BG825">
        <v>28</v>
      </c>
      <c r="BH825">
        <v>16</v>
      </c>
      <c r="BI825">
        <v>47</v>
      </c>
      <c r="BJ825">
        <v>0</v>
      </c>
      <c r="BK825">
        <v>125</v>
      </c>
      <c r="BL825">
        <v>63</v>
      </c>
      <c r="BM825">
        <v>1</v>
      </c>
      <c r="BN825">
        <v>3</v>
      </c>
      <c r="BO825" t="s">
        <v>12</v>
      </c>
      <c r="BP825">
        <v>3.125</v>
      </c>
      <c r="BQ825" t="s">
        <v>1676</v>
      </c>
      <c r="BR825" t="s">
        <v>4477</v>
      </c>
      <c r="BS825" s="4" t="str">
        <f>HYPERLINK("http://exon.niaid.nih.gov/transcriptome/C_felis/S1/links/CDD/cf-contig_772-CDD.txt","COX3")</f>
        <v>COX3</v>
      </c>
      <c r="BT825" t="str">
        <f>HYPERLINK("http://www.ncbi.nlm.nih.gov/Structure/cdd/cddsrv.cgi?uid=MTH00083&amp;version=v4.0","0.057")</f>
        <v>0.057</v>
      </c>
      <c r="BU825" t="s">
        <v>4478</v>
      </c>
      <c r="BV825" s="4" t="s">
        <v>42</v>
      </c>
      <c r="BW825" t="s">
        <v>42</v>
      </c>
      <c r="BX825" t="s">
        <v>42</v>
      </c>
      <c r="BY825" t="s">
        <v>42</v>
      </c>
      <c r="BZ825" t="s">
        <v>42</v>
      </c>
      <c r="CA825" t="s">
        <v>42</v>
      </c>
      <c r="CB825" t="s">
        <v>42</v>
      </c>
      <c r="CC825" t="s">
        <v>42</v>
      </c>
      <c r="CD825" t="s">
        <v>42</v>
      </c>
      <c r="CE825" t="s">
        <v>42</v>
      </c>
      <c r="CF825" t="s">
        <v>42</v>
      </c>
      <c r="CG825" t="s">
        <v>42</v>
      </c>
      <c r="CH825" t="s">
        <v>42</v>
      </c>
      <c r="CI825" t="s">
        <v>42</v>
      </c>
      <c r="CJ825" t="s">
        <v>42</v>
      </c>
      <c r="CK825" t="s">
        <v>42</v>
      </c>
      <c r="CL825" t="s">
        <v>42</v>
      </c>
      <c r="CM825" t="s">
        <v>42</v>
      </c>
      <c r="CN825" t="s">
        <v>42</v>
      </c>
      <c r="CO825" t="s">
        <v>42</v>
      </c>
      <c r="CP825" t="s">
        <v>42</v>
      </c>
      <c r="CQ825" t="s">
        <v>42</v>
      </c>
      <c r="CR825" t="s">
        <v>42</v>
      </c>
      <c r="CS825" s="4" t="str">
        <f>HYPERLINK("http://exon.niaid.nih.gov/transcriptome/C_felis/S1/links/KOG/cf-contig_772-KOG.txt","Ferric reductase, NADH/NADPH oxidase and related proteins")</f>
        <v>Ferric reductase, NADH/NADPH oxidase and related proteins</v>
      </c>
      <c r="CT825" t="str">
        <f>HYPERLINK("http://www.ncbi.nlm.nih.gov/COG/grace/shokog.cgi?KOG0039","0.031")</f>
        <v>0.031</v>
      </c>
      <c r="CU825" t="s">
        <v>4479</v>
      </c>
      <c r="CV825" s="4" t="str">
        <f>HYPERLINK("http://exon.niaid.nih.gov/transcriptome/C_felis/S1/links/PFAM/cf-contig_772-PFAM.txt","GpcrRhopsn4")</f>
        <v>GpcrRhopsn4</v>
      </c>
      <c r="CW825" t="str">
        <f>HYPERLINK("http://pfam.sanger.ac.uk/family?acc=PF10192","0.23")</f>
        <v>0.23</v>
      </c>
      <c r="CX825" s="4" t="str">
        <f>HYPERLINK("http://exon.niaid.nih.gov/transcriptome/C_felis/S1/links/SMART/cf-contig_772-SMART.txt","B561")</f>
        <v>B561</v>
      </c>
      <c r="CY825" t="str">
        <f>HYPERLINK("http://smart.embl-heidelberg.de/smart/do_annotation.pl?DOMAIN=B561&amp;BLAST=DUMMY","0.022")</f>
        <v>0.022</v>
      </c>
      <c r="CZ825" s="4" t="s">
        <v>42</v>
      </c>
      <c r="DA825" t="s">
        <v>42</v>
      </c>
      <c r="DB825" t="s">
        <v>42</v>
      </c>
      <c r="DC825" t="s">
        <v>42</v>
      </c>
      <c r="DD825" t="s">
        <v>42</v>
      </c>
      <c r="DE825" t="s">
        <v>42</v>
      </c>
      <c r="DF825" t="s">
        <v>42</v>
      </c>
      <c r="DG825" t="s">
        <v>42</v>
      </c>
      <c r="DH825" s="4" t="s">
        <v>42</v>
      </c>
      <c r="DI825" t="s">
        <v>42</v>
      </c>
      <c r="DJ825" s="4" t="s">
        <v>42</v>
      </c>
      <c r="DK825" t="s">
        <v>42</v>
      </c>
      <c r="DL825" s="4">
        <v>619</v>
      </c>
      <c r="DM825">
        <v>1</v>
      </c>
      <c r="DN825" s="4">
        <v>640</v>
      </c>
      <c r="DO825">
        <v>1</v>
      </c>
      <c r="DP825" s="4">
        <v>656</v>
      </c>
      <c r="DQ825">
        <v>1</v>
      </c>
      <c r="DR825" s="4">
        <v>678</v>
      </c>
      <c r="DS825">
        <v>1</v>
      </c>
      <c r="DT825" s="4">
        <v>694</v>
      </c>
      <c r="DU825">
        <v>1</v>
      </c>
      <c r="DV825" s="4">
        <v>709</v>
      </c>
      <c r="DW825">
        <v>1</v>
      </c>
      <c r="DX825" s="4">
        <v>723</v>
      </c>
      <c r="DY825">
        <v>1</v>
      </c>
      <c r="DZ825" s="4">
        <v>734</v>
      </c>
      <c r="EA825">
        <v>1</v>
      </c>
      <c r="EB825" s="4">
        <v>740</v>
      </c>
      <c r="EC825">
        <v>1</v>
      </c>
      <c r="ED825" s="4">
        <v>745</v>
      </c>
      <c r="EE825">
        <v>1</v>
      </c>
      <c r="EF825" s="4">
        <v>751</v>
      </c>
      <c r="EG825">
        <v>1</v>
      </c>
      <c r="EH825" s="4">
        <v>763</v>
      </c>
      <c r="EI825">
        <v>1</v>
      </c>
      <c r="EJ825" s="4">
        <v>772</v>
      </c>
      <c r="EK825">
        <v>1</v>
      </c>
    </row>
    <row r="826" spans="1:141" x14ac:dyDescent="0.2">
      <c r="A826" t="str">
        <f>HYPERLINK("http://exon.niaid.nih.gov/transcriptome/C_felis/S1/links/cf/cf-contig_133.txt","cf-contig_133")</f>
        <v>cf-contig_133</v>
      </c>
      <c r="B826">
        <v>1</v>
      </c>
      <c r="C826" s="10" t="s">
        <v>4600</v>
      </c>
      <c r="D826">
        <v>1</v>
      </c>
      <c r="E826" t="str">
        <f>HYPERLINK("http://exon.niaid.nih.gov/transcriptome/C_felis/S1/links/cf/cf-5-36-asb-133.txt","Contig-133")</f>
        <v>Contig-133</v>
      </c>
      <c r="F826" t="str">
        <f>HYPERLINK("http://exon.niaid.nih.gov/transcriptome/C_felis/S1/links/cf/cf-5-36-133-CLU.txt","Contig133")</f>
        <v>Contig133</v>
      </c>
      <c r="G826" t="str">
        <f>HYPERLINK("http://exon.niaid.nih.gov/transcriptome/C_felis/S1/links/cf/cf-5-36-133-qual.txt","64.8")</f>
        <v>64.8</v>
      </c>
      <c r="H826" t="s">
        <v>11</v>
      </c>
      <c r="I826">
        <v>65.900000000000006</v>
      </c>
      <c r="J826">
        <v>398</v>
      </c>
      <c r="K826" t="s">
        <v>12</v>
      </c>
      <c r="L826">
        <v>1</v>
      </c>
      <c r="M826" t="s">
        <v>146</v>
      </c>
      <c r="N826">
        <v>398</v>
      </c>
      <c r="O826">
        <v>417</v>
      </c>
      <c r="P826">
        <v>198</v>
      </c>
      <c r="Q826" t="s">
        <v>953</v>
      </c>
      <c r="R826">
        <v>3</v>
      </c>
      <c r="S826" s="7" t="s">
        <v>4585</v>
      </c>
      <c r="U826">
        <v>1</v>
      </c>
      <c r="V826" s="4">
        <f>HYPERLINK("http://exon.niaid.nih.gov/transcriptome/C_felis/S1/links/cluster/cf-5-36-asb30-50-Id-CLU19.txt", 19)</f>
        <v>19</v>
      </c>
      <c r="W826">
        <f>HYPERLINK("http://exon.niaid.nih.gov/transcriptome/C_felis/S1/links/cluster/cf-5-36-asb30-50-Id-CLTL19.txt", 3)</f>
        <v>3</v>
      </c>
      <c r="X826" s="4">
        <f>HYPERLINK("http://exon.niaid.nih.gov/transcriptome/C_felis/S1/links/cluster/cf-5-36-asb35-50-Id-CLU35.txt", 35)</f>
        <v>35</v>
      </c>
      <c r="Y826">
        <f>HYPERLINK("http://exon.niaid.nih.gov/transcriptome/C_felis/S1/links/cluster/cf-5-36-asb35-50-Id-CLTL35.txt", 2)</f>
        <v>2</v>
      </c>
      <c r="Z826" s="4">
        <f>HYPERLINK("http://exon.niaid.nih.gov/transcriptome/C_felis/S1/links/cluster/cf-5-36-asb40-50-Id-CLU33.txt", 33)</f>
        <v>33</v>
      </c>
      <c r="AA826">
        <f>HYPERLINK("http://exon.niaid.nih.gov/transcriptome/C_felis/S1/links/cluster/cf-5-36-asb40-50-Id-CLTL33.txt", 2)</f>
        <v>2</v>
      </c>
      <c r="AB826" s="4" t="str">
        <f>HYPERLINK("http://exon.niaid.nih.gov/transcriptome/C_felis/S1/links/XC-ASB/cf-contig_133-XC-ASB.txt","XC-contig_119")</f>
        <v>XC-contig_119</v>
      </c>
      <c r="AC826">
        <v>0.31</v>
      </c>
      <c r="AD826" s="10" t="s">
        <v>4600</v>
      </c>
      <c r="AE826" t="s">
        <v>4601</v>
      </c>
      <c r="AI826" s="4" t="str">
        <f>HYPERLINK("http://exon.niaid.nih.gov/transcriptome/C_felis/S1/links/NR/cf-contig_133-NR.txt","hypothetical protein THITE_2129271")</f>
        <v>hypothetical protein THITE_2129271</v>
      </c>
      <c r="AJ826" t="str">
        <f>HYPERLINK("http://www.ncbi.nlm.nih.gov/sutils/blink.cgi?pid=347000952","0.65")</f>
        <v>0.65</v>
      </c>
      <c r="AK826" t="str">
        <f>HYPERLINK("http://www.ncbi.nlm.nih.gov/protein/347000952","gi|347000952")</f>
        <v>gi|347000952</v>
      </c>
      <c r="AL826">
        <v>37.700000000000003</v>
      </c>
      <c r="AM826">
        <v>31</v>
      </c>
      <c r="AN826">
        <v>145</v>
      </c>
      <c r="AO826">
        <v>43</v>
      </c>
      <c r="AP826">
        <v>22</v>
      </c>
      <c r="AQ826">
        <v>18</v>
      </c>
      <c r="AR826">
        <v>0</v>
      </c>
      <c r="AS826">
        <v>114</v>
      </c>
      <c r="AT826">
        <v>207</v>
      </c>
      <c r="AU826">
        <v>1</v>
      </c>
      <c r="AV826">
        <v>3</v>
      </c>
      <c r="AW826" t="s">
        <v>12</v>
      </c>
      <c r="AY826" t="s">
        <v>1676</v>
      </c>
      <c r="AZ826" t="s">
        <v>2170</v>
      </c>
      <c r="BA826" s="4" t="str">
        <f>HYPERLINK("http://exon.niaid.nih.gov/transcriptome/C_felis/S1/links/SWISSP/cf-contig_133-SWISSP.txt","Multiple epidermal growth factor-like domains protein 6")</f>
        <v>Multiple epidermal growth factor-like domains protein 6</v>
      </c>
      <c r="BB826" t="str">
        <f>HYPERLINK("http://www.uniprot.org/uniprot/O75095","2.1")</f>
        <v>2.1</v>
      </c>
      <c r="BC826" t="s">
        <v>2171</v>
      </c>
      <c r="BD826">
        <v>31.2</v>
      </c>
      <c r="BE826">
        <v>207</v>
      </c>
      <c r="BF826">
        <v>1541</v>
      </c>
      <c r="BG826">
        <v>40</v>
      </c>
      <c r="BH826">
        <v>13</v>
      </c>
      <c r="BI826">
        <v>22</v>
      </c>
      <c r="BJ826">
        <v>0</v>
      </c>
      <c r="BK826">
        <v>1029</v>
      </c>
      <c r="BL826">
        <v>153</v>
      </c>
      <c r="BM826">
        <v>2</v>
      </c>
      <c r="BN826">
        <v>3</v>
      </c>
      <c r="BO826" t="s">
        <v>12</v>
      </c>
      <c r="BQ826" t="s">
        <v>1676</v>
      </c>
      <c r="BR826" t="s">
        <v>1690</v>
      </c>
      <c r="BS826" s="4" t="str">
        <f>HYPERLINK("http://exon.niaid.nih.gov/transcriptome/C_felis/S1/links/CDD/cf-contig_133-CDD.txt","Gamma-thionin")</f>
        <v>Gamma-thionin</v>
      </c>
      <c r="BT826" t="str">
        <f>HYPERLINK("http://www.ncbi.nlm.nih.gov/Structure/cdd/cddsrv.cgi?uid=pfam00304&amp;version=v4.0","0.044")</f>
        <v>0.044</v>
      </c>
      <c r="BU826" t="s">
        <v>2172</v>
      </c>
      <c r="BV826" s="4" t="s">
        <v>42</v>
      </c>
      <c r="BW826" t="s">
        <v>42</v>
      </c>
      <c r="BX826" t="s">
        <v>42</v>
      </c>
      <c r="BY826" t="s">
        <v>42</v>
      </c>
      <c r="BZ826" t="s">
        <v>42</v>
      </c>
      <c r="CA826" t="s">
        <v>42</v>
      </c>
      <c r="CB826" t="s">
        <v>42</v>
      </c>
      <c r="CC826" t="s">
        <v>42</v>
      </c>
      <c r="CD826" t="s">
        <v>42</v>
      </c>
      <c r="CE826" t="s">
        <v>42</v>
      </c>
      <c r="CF826" t="s">
        <v>42</v>
      </c>
      <c r="CG826" t="s">
        <v>42</v>
      </c>
      <c r="CH826" t="s">
        <v>42</v>
      </c>
      <c r="CI826" t="s">
        <v>42</v>
      </c>
      <c r="CJ826" t="s">
        <v>42</v>
      </c>
      <c r="CK826" t="s">
        <v>42</v>
      </c>
      <c r="CL826" t="s">
        <v>42</v>
      </c>
      <c r="CM826" t="s">
        <v>42</v>
      </c>
      <c r="CN826" t="s">
        <v>42</v>
      </c>
      <c r="CO826" t="s">
        <v>42</v>
      </c>
      <c r="CP826" t="s">
        <v>42</v>
      </c>
      <c r="CQ826" t="s">
        <v>42</v>
      </c>
      <c r="CR826" t="s">
        <v>42</v>
      </c>
      <c r="CS826" s="4" t="str">
        <f>HYPERLINK("http://exon.niaid.nih.gov/transcriptome/C_felis/S1/links/KOG/cf-contig_133-KOG.txt","Mannosyltransferase")</f>
        <v>Mannosyltransferase</v>
      </c>
      <c r="CT826" t="str">
        <f>HYPERLINK("http://www.ncbi.nlm.nih.gov/COG/grace/shokog.cgi?KOG2515","0.023")</f>
        <v>0.023</v>
      </c>
      <c r="CU826" t="s">
        <v>2165</v>
      </c>
      <c r="CV826" s="4" t="str">
        <f>HYPERLINK("http://exon.niaid.nih.gov/transcriptome/C_felis/S1/links/PFAM/cf-contig_133-PFAM.txt","Gamma-thionin")</f>
        <v>Gamma-thionin</v>
      </c>
      <c r="CW826" t="str">
        <f>HYPERLINK("http://pfam.sanger.ac.uk/family?acc=PF00304","0.010")</f>
        <v>0.010</v>
      </c>
      <c r="CX826" s="4" t="str">
        <f>HYPERLINK("http://exon.niaid.nih.gov/transcriptome/C_felis/S1/links/SMART/cf-contig_133-SMART.txt","Knot1")</f>
        <v>Knot1</v>
      </c>
      <c r="CY826" t="str">
        <f>HYPERLINK("http://smart.embl-heidelberg.de/smart/do_annotation.pl?DOMAIN=Knot1&amp;BLAST=DUMMY","0.001")</f>
        <v>0.001</v>
      </c>
      <c r="CZ826" s="4" t="s">
        <v>42</v>
      </c>
      <c r="DA826" t="s">
        <v>42</v>
      </c>
      <c r="DB826" t="s">
        <v>42</v>
      </c>
      <c r="DC826" t="s">
        <v>42</v>
      </c>
      <c r="DD826" t="s">
        <v>42</v>
      </c>
      <c r="DE826" t="s">
        <v>42</v>
      </c>
      <c r="DF826" t="s">
        <v>42</v>
      </c>
      <c r="DG826" t="s">
        <v>42</v>
      </c>
      <c r="DH826" s="4" t="s">
        <v>42</v>
      </c>
      <c r="DI826" t="s">
        <v>42</v>
      </c>
      <c r="DJ826" s="4" t="s">
        <v>42</v>
      </c>
      <c r="DK826" t="s">
        <v>42</v>
      </c>
      <c r="DL826" s="4">
        <f>HYPERLINK("http://exon.niaid.nih.gov/transcriptome/C_felis/S1/links/cluster/cf-5-36-asb30-50-Id-CLU19.txt", 19)</f>
        <v>19</v>
      </c>
      <c r="DM826">
        <f>HYPERLINK("http://exon.niaid.nih.gov/transcriptome/C_felis/S1/links/cluster/cf-5-36-asb30-50-Id-CLTL19.txt", 3)</f>
        <v>3</v>
      </c>
      <c r="DN826" s="4">
        <f>HYPERLINK("http://exon.niaid.nih.gov/transcriptome/C_felis/S1/links/cluster/cf-5-36-asb35-50-Id-CLU35.txt", 35)</f>
        <v>35</v>
      </c>
      <c r="DO826">
        <f>HYPERLINK("http://exon.niaid.nih.gov/transcriptome/C_felis/S1/links/cluster/cf-5-36-asb35-50-Id-CLTL35.txt", 2)</f>
        <v>2</v>
      </c>
      <c r="DP826" s="4">
        <f>HYPERLINK("http://exon.niaid.nih.gov/transcriptome/C_felis/S1/links/cluster/cf-5-36-asb40-50-Id-CLU33.txt", 33)</f>
        <v>33</v>
      </c>
      <c r="DQ826">
        <f>HYPERLINK("http://exon.niaid.nih.gov/transcriptome/C_felis/S1/links/cluster/cf-5-36-asb40-50-Id-CLTL33.txt", 2)</f>
        <v>2</v>
      </c>
      <c r="DR826" s="4">
        <f>HYPERLINK("http://exon.niaid.nih.gov/transcriptome/C_felis/S1/links/cluster/cf-5-36-asb45-50-Id-CLU30.txt", 30)</f>
        <v>30</v>
      </c>
      <c r="DS826">
        <f>HYPERLINK("http://exon.niaid.nih.gov/transcriptome/C_felis/S1/links/cluster/cf-5-36-asb45-50-Id-CLTL30.txt", 2)</f>
        <v>2</v>
      </c>
      <c r="DT826" s="4">
        <f>HYPERLINK("http://exon.niaid.nih.gov/transcriptome/C_felis/S1/links/cluster/cf-5-36-asb50-50-Id-CLU26.txt", 26)</f>
        <v>26</v>
      </c>
      <c r="DU826">
        <f>HYPERLINK("http://exon.niaid.nih.gov/transcriptome/C_felis/S1/links/cluster/cf-5-36-asb50-50-Id-CLTL26.txt", 2)</f>
        <v>2</v>
      </c>
      <c r="DV826" s="4">
        <f>HYPERLINK("http://exon.niaid.nih.gov/transcriptome/C_felis/S1/links/cluster/cf-5-36-asb55-50-Id-CLU23.txt", 23)</f>
        <v>23</v>
      </c>
      <c r="DW826">
        <f>HYPERLINK("http://exon.niaid.nih.gov/transcriptome/C_felis/S1/links/cluster/cf-5-36-asb55-50-Id-CLTL23.txt", 2)</f>
        <v>2</v>
      </c>
      <c r="DX826" s="4">
        <f>HYPERLINK("http://exon.niaid.nih.gov/transcriptome/C_felis/S1/links/cluster/cf-5-36-asb60-50-Id-CLU20.txt", 20)</f>
        <v>20</v>
      </c>
      <c r="DY826">
        <f>HYPERLINK("http://exon.niaid.nih.gov/transcriptome/C_felis/S1/links/cluster/cf-5-36-asb60-50-Id-CLTL20.txt", 2)</f>
        <v>2</v>
      </c>
      <c r="DZ826" s="4">
        <f>HYPERLINK("http://exon.niaid.nih.gov/transcriptome/C_felis/S1/links/cluster/cf-5-36-asb65-50-Id-CLU17.txt", 17)</f>
        <v>17</v>
      </c>
      <c r="EA826">
        <f>HYPERLINK("http://exon.niaid.nih.gov/transcriptome/C_felis/S1/links/cluster/cf-5-36-asb65-50-Id-CLTL17.txt", 2)</f>
        <v>2</v>
      </c>
      <c r="EB826" s="4">
        <f>HYPERLINK("http://exon.niaid.nih.gov/transcriptome/C_felis/S1/links/cluster/cf-5-36-asb70-50-Id-CLU13.txt", 13)</f>
        <v>13</v>
      </c>
      <c r="EC826">
        <f>HYPERLINK("http://exon.niaid.nih.gov/transcriptome/C_felis/S1/links/cluster/cf-5-36-asb70-50-Id-CLTL13.txt", 2)</f>
        <v>2</v>
      </c>
      <c r="ED826" s="4">
        <f>HYPERLINK("http://exon.niaid.nih.gov/transcriptome/C_felis/S1/links/cluster/cf-5-36-asb75-50-Id-CLU11.txt", 11)</f>
        <v>11</v>
      </c>
      <c r="EE826">
        <f>HYPERLINK("http://exon.niaid.nih.gov/transcriptome/C_felis/S1/links/cluster/cf-5-36-asb75-50-Id-CLTL11.txt", 2)</f>
        <v>2</v>
      </c>
      <c r="EF826" s="4">
        <v>135</v>
      </c>
      <c r="EG826">
        <v>1</v>
      </c>
      <c r="EH826" s="4">
        <v>132</v>
      </c>
      <c r="EI826">
        <v>1</v>
      </c>
      <c r="EJ826" s="4">
        <v>133</v>
      </c>
      <c r="EK826">
        <v>1</v>
      </c>
    </row>
    <row r="827" spans="1:141" x14ac:dyDescent="0.2">
      <c r="A827" t="str">
        <f>HYPERLINK("http://exon.niaid.nih.gov/transcriptome/C_felis/S1/links/cf/cf-contig_800.txt","cf-contig_800")</f>
        <v>cf-contig_800</v>
      </c>
      <c r="B827">
        <v>1</v>
      </c>
      <c r="C827" s="10" t="s">
        <v>4600</v>
      </c>
      <c r="D827">
        <v>1</v>
      </c>
      <c r="E827" t="str">
        <f>HYPERLINK("http://exon.niaid.nih.gov/transcriptome/C_felis/S1/links/cf/cf-5-36-asb-800.txt","Contig-800")</f>
        <v>Contig-800</v>
      </c>
      <c r="F827" t="str">
        <f>HYPERLINK("http://exon.niaid.nih.gov/transcriptome/C_felis/S1/links/cf/cf-5-36-800-CLU.txt","Contig800")</f>
        <v>Contig800</v>
      </c>
      <c r="G827" t="str">
        <f>HYPERLINK("http://exon.niaid.nih.gov/transcriptome/C_felis/S1/links/cf/cf-5-36-800-qual.txt","57.7")</f>
        <v>57.7</v>
      </c>
      <c r="H827" t="s">
        <v>11</v>
      </c>
      <c r="I827">
        <v>69.099999999999994</v>
      </c>
      <c r="J827">
        <v>272</v>
      </c>
      <c r="K827" t="s">
        <v>12</v>
      </c>
      <c r="L827">
        <v>1</v>
      </c>
      <c r="M827" t="s">
        <v>813</v>
      </c>
      <c r="N827">
        <v>272</v>
      </c>
      <c r="O827">
        <v>291</v>
      </c>
      <c r="P827">
        <v>189</v>
      </c>
      <c r="Q827" t="s">
        <v>1619</v>
      </c>
      <c r="R827">
        <v>1</v>
      </c>
      <c r="S827" s="7" t="s">
        <v>4585</v>
      </c>
      <c r="U827">
        <v>1</v>
      </c>
      <c r="V827" s="4">
        <v>643</v>
      </c>
      <c r="W827">
        <v>1</v>
      </c>
      <c r="X827" s="4">
        <v>665</v>
      </c>
      <c r="Y827">
        <v>1</v>
      </c>
      <c r="Z827" s="4">
        <v>681</v>
      </c>
      <c r="AA827">
        <v>1</v>
      </c>
      <c r="AB827" s="4" t="str">
        <f>HYPERLINK("http://exon.niaid.nih.gov/transcriptome/C_felis/S1/links/XC-ASB/cf-contig_800-XC-ASB.txt","XC-contig_151")</f>
        <v>XC-contig_151</v>
      </c>
      <c r="AC827">
        <v>7.4999999999999997E-2</v>
      </c>
      <c r="AD827" s="10" t="s">
        <v>4600</v>
      </c>
      <c r="AE827" t="s">
        <v>4601</v>
      </c>
      <c r="AI827" s="4" t="str">
        <f>HYPERLINK("http://exon.niaid.nih.gov/transcriptome/C_felis/S1/links/NR/cf-contig_800-NR.txt","hypothetical protein Thi970DRAFT_1500")</f>
        <v>hypothetical protein Thi970DRAFT_1500</v>
      </c>
      <c r="AJ827" t="str">
        <f>HYPERLINK("http://www.ncbi.nlm.nih.gov/sutils/blink.cgi?pid=350574085","16")</f>
        <v>16</v>
      </c>
      <c r="AK827" t="str">
        <f>HYPERLINK("http://www.ncbi.nlm.nih.gov/protein/350574085","gi|350574085")</f>
        <v>gi|350574085</v>
      </c>
      <c r="AL827">
        <v>33.1</v>
      </c>
      <c r="AM827">
        <v>39</v>
      </c>
      <c r="AN827">
        <v>88</v>
      </c>
      <c r="AO827">
        <v>41</v>
      </c>
      <c r="AP827">
        <v>45</v>
      </c>
      <c r="AQ827">
        <v>25</v>
      </c>
      <c r="AR827">
        <v>0</v>
      </c>
      <c r="AS827">
        <v>43</v>
      </c>
      <c r="AT827">
        <v>37</v>
      </c>
      <c r="AU827">
        <v>1</v>
      </c>
      <c r="AV827">
        <v>1</v>
      </c>
      <c r="AW827" t="s">
        <v>12</v>
      </c>
      <c r="AY827" t="s">
        <v>1676</v>
      </c>
      <c r="AZ827" t="s">
        <v>4561</v>
      </c>
      <c r="BA827" s="4" t="str">
        <f>HYPERLINK("http://exon.niaid.nih.gov/transcriptome/C_felis/S1/links/SWISSP/cf-contig_800-SWISSP.txt","Pyridoxine 5'-phosphate synthase")</f>
        <v>Pyridoxine 5'-phosphate synthase</v>
      </c>
      <c r="BB827" t="str">
        <f>HYPERLINK("http://www.uniprot.org/uniprot/Q9PH84","8.2")</f>
        <v>8.2</v>
      </c>
      <c r="BC827" t="s">
        <v>4562</v>
      </c>
      <c r="BD827">
        <v>29.3</v>
      </c>
      <c r="BE827">
        <v>56</v>
      </c>
      <c r="BF827">
        <v>260</v>
      </c>
      <c r="BG827">
        <v>30</v>
      </c>
      <c r="BH827">
        <v>22</v>
      </c>
      <c r="BI827">
        <v>42</v>
      </c>
      <c r="BJ827">
        <v>1</v>
      </c>
      <c r="BK827">
        <v>197</v>
      </c>
      <c r="BL827">
        <v>10</v>
      </c>
      <c r="BM827">
        <v>1</v>
      </c>
      <c r="BN827">
        <v>1</v>
      </c>
      <c r="BO827" t="s">
        <v>12</v>
      </c>
      <c r="BQ827" t="s">
        <v>1676</v>
      </c>
      <c r="BR827" t="s">
        <v>4563</v>
      </c>
      <c r="BS827" s="4" t="str">
        <f>HYPERLINK("http://exon.niaid.nih.gov/transcriptome/C_felis/S1/links/CDD/cf-contig_800-CDD.txt","murD")</f>
        <v>murD</v>
      </c>
      <c r="BT827" t="str">
        <f>HYPERLINK("http://www.ncbi.nlm.nih.gov/Structure/cdd/cddsrv.cgi?uid=PRK03806&amp;version=v4.0","0.14")</f>
        <v>0.14</v>
      </c>
      <c r="BU827" t="s">
        <v>4564</v>
      </c>
      <c r="BV827" s="4" t="s">
        <v>42</v>
      </c>
      <c r="BW827" t="s">
        <v>42</v>
      </c>
      <c r="BX827" t="s">
        <v>42</v>
      </c>
      <c r="BY827" t="s">
        <v>42</v>
      </c>
      <c r="BZ827" t="s">
        <v>42</v>
      </c>
      <c r="CA827" t="s">
        <v>42</v>
      </c>
      <c r="CB827" t="s">
        <v>42</v>
      </c>
      <c r="CC827" t="s">
        <v>42</v>
      </c>
      <c r="CD827" t="s">
        <v>42</v>
      </c>
      <c r="CE827" t="s">
        <v>42</v>
      </c>
      <c r="CF827" t="s">
        <v>42</v>
      </c>
      <c r="CG827" t="s">
        <v>42</v>
      </c>
      <c r="CH827" t="s">
        <v>42</v>
      </c>
      <c r="CI827" t="s">
        <v>42</v>
      </c>
      <c r="CJ827" t="s">
        <v>42</v>
      </c>
      <c r="CK827" t="s">
        <v>42</v>
      </c>
      <c r="CL827" t="s">
        <v>42</v>
      </c>
      <c r="CM827" t="s">
        <v>42</v>
      </c>
      <c r="CN827" t="s">
        <v>42</v>
      </c>
      <c r="CO827" t="s">
        <v>42</v>
      </c>
      <c r="CP827" t="s">
        <v>42</v>
      </c>
      <c r="CQ827" t="s">
        <v>42</v>
      </c>
      <c r="CR827" t="s">
        <v>42</v>
      </c>
      <c r="CS827" s="4" t="str">
        <f>HYPERLINK("http://exon.niaid.nih.gov/transcriptome/C_felis/S1/links/KOG/cf-contig_800-KOG.txt","K+-channel KCNQ")</f>
        <v>K+-channel KCNQ</v>
      </c>
      <c r="CT827" t="str">
        <f>HYPERLINK("http://www.ncbi.nlm.nih.gov/COG/grace/shokog.cgi?KOG0501","0.67")</f>
        <v>0.67</v>
      </c>
      <c r="CU827" t="s">
        <v>1681</v>
      </c>
      <c r="CV827" s="4" t="str">
        <f>HYPERLINK("http://exon.niaid.nih.gov/transcriptome/C_felis/S1/links/PFAM/cf-contig_800-PFAM.txt","FERM_C")</f>
        <v>FERM_C</v>
      </c>
      <c r="CW827" t="str">
        <f>HYPERLINK("http://pfam.sanger.ac.uk/family?acc=PF09380","0.43")</f>
        <v>0.43</v>
      </c>
      <c r="CX827" s="4" t="str">
        <f>HYPERLINK("http://exon.niaid.nih.gov/transcriptome/C_felis/S1/links/SMART/cf-contig_800-SMART.txt","Citrate_ly_lig")</f>
        <v>Citrate_ly_lig</v>
      </c>
      <c r="CY827" t="str">
        <f>HYPERLINK("http://smart.embl-heidelberg.de/smart/do_annotation.pl?DOMAIN=Citrate_ly_lig&amp;BLAST=DUMMY","0.046")</f>
        <v>0.046</v>
      </c>
      <c r="CZ827" s="4" t="s">
        <v>42</v>
      </c>
      <c r="DA827" t="s">
        <v>42</v>
      </c>
      <c r="DB827" t="s">
        <v>42</v>
      </c>
      <c r="DC827" t="s">
        <v>42</v>
      </c>
      <c r="DD827" t="s">
        <v>42</v>
      </c>
      <c r="DE827" t="s">
        <v>42</v>
      </c>
      <c r="DF827" t="s">
        <v>42</v>
      </c>
      <c r="DG827" t="s">
        <v>42</v>
      </c>
      <c r="DH827" s="4" t="s">
        <v>42</v>
      </c>
      <c r="DI827" t="s">
        <v>42</v>
      </c>
      <c r="DJ827" s="4" t="s">
        <v>42</v>
      </c>
      <c r="DK827" t="s">
        <v>42</v>
      </c>
      <c r="DL827" s="4">
        <v>643</v>
      </c>
      <c r="DM827">
        <v>1</v>
      </c>
      <c r="DN827" s="4">
        <v>665</v>
      </c>
      <c r="DO827">
        <v>1</v>
      </c>
      <c r="DP827" s="4">
        <v>681</v>
      </c>
      <c r="DQ827">
        <v>1</v>
      </c>
      <c r="DR827" s="4">
        <v>703</v>
      </c>
      <c r="DS827">
        <v>1</v>
      </c>
      <c r="DT827" s="4">
        <v>719</v>
      </c>
      <c r="DU827">
        <v>1</v>
      </c>
      <c r="DV827" s="4">
        <v>734</v>
      </c>
      <c r="DW827">
        <v>1</v>
      </c>
      <c r="DX827" s="4">
        <v>748</v>
      </c>
      <c r="DY827">
        <v>1</v>
      </c>
      <c r="DZ827" s="4">
        <v>760</v>
      </c>
      <c r="EA827">
        <v>1</v>
      </c>
      <c r="EB827" s="4">
        <v>767</v>
      </c>
      <c r="EC827">
        <v>1</v>
      </c>
      <c r="ED827" s="4">
        <v>772</v>
      </c>
      <c r="EE827">
        <v>1</v>
      </c>
      <c r="EF827" s="4">
        <v>779</v>
      </c>
      <c r="EG827">
        <v>1</v>
      </c>
      <c r="EH827" s="4">
        <v>791</v>
      </c>
      <c r="EI827">
        <v>1</v>
      </c>
      <c r="EJ827" s="4">
        <v>800</v>
      </c>
      <c r="EK827">
        <v>1</v>
      </c>
    </row>
    <row r="828" spans="1:141" x14ac:dyDescent="0.2">
      <c r="A828" t="str">
        <f>HYPERLINK("http://exon.niaid.nih.gov/transcriptome/C_felis/S1/links/cf/cf-contig_229.txt","cf-contig_229")</f>
        <v>cf-contig_229</v>
      </c>
      <c r="B828">
        <v>2</v>
      </c>
      <c r="C828" s="10" t="s">
        <v>4600</v>
      </c>
      <c r="D828">
        <v>2</v>
      </c>
      <c r="E828" t="str">
        <f>HYPERLINK("http://exon.niaid.nih.gov/transcriptome/C_felis/S1/links/cf/cf-5-36-asb-229.txt","Contig-229")</f>
        <v>Contig-229</v>
      </c>
      <c r="F828" t="str">
        <f>HYPERLINK("http://exon.niaid.nih.gov/transcriptome/C_felis/S1/links/cf/cf-5-36-229-CLU.txt","Contig229")</f>
        <v>Contig229</v>
      </c>
      <c r="G828" t="str">
        <f>HYPERLINK("http://exon.niaid.nih.gov/transcriptome/C_felis/S1/links/cf/cf-5-36-229-qual.txt","76.7")</f>
        <v>76.7</v>
      </c>
      <c r="H828" t="s">
        <v>11</v>
      </c>
      <c r="I828">
        <v>82.2</v>
      </c>
      <c r="J828">
        <v>281</v>
      </c>
      <c r="K828" t="s">
        <v>12</v>
      </c>
      <c r="L828">
        <v>2</v>
      </c>
      <c r="M828" t="s">
        <v>242</v>
      </c>
      <c r="N828">
        <v>283</v>
      </c>
      <c r="O828">
        <v>303</v>
      </c>
      <c r="P828">
        <v>159</v>
      </c>
      <c r="Q828" t="s">
        <v>1049</v>
      </c>
      <c r="R828">
        <v>1</v>
      </c>
      <c r="S828" s="7" t="s">
        <v>4585</v>
      </c>
      <c r="U828">
        <v>2</v>
      </c>
      <c r="V828" s="4">
        <f>HYPERLINK("http://exon.niaid.nih.gov/transcriptome/C_felis/S1/links/cluster/cf-5-36-asb30-50-Id-CLU56.txt", 56)</f>
        <v>56</v>
      </c>
      <c r="W828">
        <f>HYPERLINK("http://exon.niaid.nih.gov/transcriptome/C_felis/S1/links/cluster/cf-5-36-asb30-50-Id-CLTL56.txt", 2)</f>
        <v>2</v>
      </c>
      <c r="X828" s="4">
        <f>HYPERLINK("http://exon.niaid.nih.gov/transcriptome/C_felis/S1/links/cluster/cf-5-36-asb35-50-Id-CLU49.txt", 49)</f>
        <v>49</v>
      </c>
      <c r="Y828">
        <f>HYPERLINK("http://exon.niaid.nih.gov/transcriptome/C_felis/S1/links/cluster/cf-5-36-asb35-50-Id-CLTL49.txt", 2)</f>
        <v>2</v>
      </c>
      <c r="Z828" s="4">
        <f>HYPERLINK("http://exon.niaid.nih.gov/transcriptome/C_felis/S1/links/cluster/cf-5-36-asb40-50-Id-CLU46.txt", 46)</f>
        <v>46</v>
      </c>
      <c r="AA828">
        <f>HYPERLINK("http://exon.niaid.nih.gov/transcriptome/C_felis/S1/links/cluster/cf-5-36-asb40-50-Id-CLTL46.txt", 2)</f>
        <v>2</v>
      </c>
      <c r="AB828" s="4" t="str">
        <f>HYPERLINK("http://exon.niaid.nih.gov/transcriptome/C_felis/S1/links/XC-ASB/cf-contig_229-XC-ASB.txt","XC-contig_60")</f>
        <v>XC-contig_60</v>
      </c>
      <c r="AC828">
        <v>0.03</v>
      </c>
      <c r="AD828" s="10" t="s">
        <v>4600</v>
      </c>
      <c r="AE828" t="s">
        <v>4601</v>
      </c>
      <c r="AI828" s="4" t="str">
        <f>HYPERLINK("http://exon.niaid.nih.gov/transcriptome/C_felis/S1/links/NR/cf-contig_229-NR.txt","ribosomal protein S2")</f>
        <v>ribosomal protein S2</v>
      </c>
      <c r="AJ828" t="str">
        <f>HYPERLINK("http://www.ncbi.nlm.nih.gov/sutils/blink.cgi?pid=11496554","9.4")</f>
        <v>9.4</v>
      </c>
      <c r="AK828" t="str">
        <f>HYPERLINK("http://www.ncbi.nlm.nih.gov/protein/11496554","gi|11496554")</f>
        <v>gi|11496554</v>
      </c>
      <c r="AL828">
        <v>33.9</v>
      </c>
      <c r="AM828">
        <v>71</v>
      </c>
      <c r="AN828">
        <v>233</v>
      </c>
      <c r="AO828">
        <v>29</v>
      </c>
      <c r="AP828">
        <v>31</v>
      </c>
      <c r="AQ828">
        <v>51</v>
      </c>
      <c r="AR828">
        <v>5</v>
      </c>
      <c r="AS828">
        <v>143</v>
      </c>
      <c r="AT828">
        <v>48</v>
      </c>
      <c r="AU828">
        <v>1</v>
      </c>
      <c r="AV828">
        <v>-2</v>
      </c>
      <c r="AW828" t="s">
        <v>12</v>
      </c>
      <c r="AX828">
        <v>7.0419999999999998</v>
      </c>
      <c r="AY828" t="s">
        <v>1666</v>
      </c>
      <c r="AZ828" t="s">
        <v>2528</v>
      </c>
      <c r="BA828" s="4" t="str">
        <f>HYPERLINK("http://exon.niaid.nih.gov/transcriptome/C_felis/S1/links/SWISSP/cf-contig_229-SWISSP.txt","30S ribosomal protein S2, apicoplast")</f>
        <v>30S ribosomal protein S2, apicoplast</v>
      </c>
      <c r="BB828" t="str">
        <f>HYPERLINK("http://www.uniprot.org/uniprot/Q9MTD5","0.33")</f>
        <v>0.33</v>
      </c>
      <c r="BC828" t="s">
        <v>2529</v>
      </c>
      <c r="BD828">
        <v>33.9</v>
      </c>
      <c r="BE828">
        <v>71</v>
      </c>
      <c r="BF828">
        <v>233</v>
      </c>
      <c r="BG828">
        <v>29</v>
      </c>
      <c r="BH828">
        <v>31</v>
      </c>
      <c r="BI828">
        <v>51</v>
      </c>
      <c r="BJ828">
        <v>5</v>
      </c>
      <c r="BK828">
        <v>143</v>
      </c>
      <c r="BL828">
        <v>48</v>
      </c>
      <c r="BM828">
        <v>1</v>
      </c>
      <c r="BN828">
        <v>-2</v>
      </c>
      <c r="BO828" t="s">
        <v>12</v>
      </c>
      <c r="BP828">
        <v>7.0419999999999998</v>
      </c>
      <c r="BQ828" t="s">
        <v>1666</v>
      </c>
      <c r="BR828" t="s">
        <v>2528</v>
      </c>
      <c r="BS828" s="4" t="str">
        <f>HYPERLINK("http://exon.niaid.nih.gov/transcriptome/C_felis/S1/links/CDD/cf-contig_229-CDD.txt","ND2")</f>
        <v>ND2</v>
      </c>
      <c r="BT828" t="str">
        <f>HYPERLINK("http://www.ncbi.nlm.nih.gov/Structure/cdd/cddsrv.cgi?uid=MTH00160&amp;version=v4.0","0.002")</f>
        <v>0.002</v>
      </c>
      <c r="BU828" t="s">
        <v>2530</v>
      </c>
      <c r="BV828" s="4" t="s">
        <v>42</v>
      </c>
      <c r="BW828" t="s">
        <v>42</v>
      </c>
      <c r="BX828" t="s">
        <v>42</v>
      </c>
      <c r="BY828" t="s">
        <v>42</v>
      </c>
      <c r="BZ828" t="s">
        <v>42</v>
      </c>
      <c r="CA828" t="s">
        <v>42</v>
      </c>
      <c r="CB828" t="s">
        <v>42</v>
      </c>
      <c r="CC828" t="s">
        <v>42</v>
      </c>
      <c r="CD828" t="s">
        <v>42</v>
      </c>
      <c r="CE828" t="s">
        <v>42</v>
      </c>
      <c r="CF828" t="s">
        <v>42</v>
      </c>
      <c r="CG828" t="s">
        <v>42</v>
      </c>
      <c r="CH828" t="s">
        <v>42</v>
      </c>
      <c r="CI828" t="s">
        <v>42</v>
      </c>
      <c r="CJ828" t="s">
        <v>42</v>
      </c>
      <c r="CK828" t="s">
        <v>42</v>
      </c>
      <c r="CL828" t="s">
        <v>42</v>
      </c>
      <c r="CM828" t="s">
        <v>42</v>
      </c>
      <c r="CN828" t="s">
        <v>42</v>
      </c>
      <c r="CO828" t="s">
        <v>42</v>
      </c>
      <c r="CP828" t="s">
        <v>42</v>
      </c>
      <c r="CQ828" t="s">
        <v>42</v>
      </c>
      <c r="CR828" t="s">
        <v>42</v>
      </c>
      <c r="CS828" s="4" t="str">
        <f>HYPERLINK("http://exon.niaid.nih.gov/transcriptome/C_felis/S1/links/KOG/cf-contig_229-KOG.txt","NADH dehydrogenase, subunit 4")</f>
        <v>NADH dehydrogenase, subunit 4</v>
      </c>
      <c r="CT828" t="str">
        <f>HYPERLINK("http://www.ncbi.nlm.nih.gov/COG/grace/shokog.cgi?KOG4845","0.061")</f>
        <v>0.061</v>
      </c>
      <c r="CU828" t="s">
        <v>1793</v>
      </c>
      <c r="CV828" s="4" t="str">
        <f>HYPERLINK("http://exon.niaid.nih.gov/transcriptome/C_felis/S1/links/PFAM/cf-contig_229-PFAM.txt","ATP-synt_8")</f>
        <v>ATP-synt_8</v>
      </c>
      <c r="CW828" t="str">
        <f>HYPERLINK("http://pfam.sanger.ac.uk/family?acc=PF00895","0.014")</f>
        <v>0.014</v>
      </c>
      <c r="CX828" s="4" t="str">
        <f>HYPERLINK("http://exon.niaid.nih.gov/transcriptome/C_felis/S1/links/SMART/cf-contig_229-SMART.txt","Brr6_like_C_C")</f>
        <v>Brr6_like_C_C</v>
      </c>
      <c r="CY828" t="str">
        <f>HYPERLINK("http://smart.embl-heidelberg.de/smart/do_annotation.pl?DOMAIN=Brr6_like_C_C&amp;BLAST=DUMMY","0.054")</f>
        <v>0.054</v>
      </c>
      <c r="CZ828" s="4" t="s">
        <v>42</v>
      </c>
      <c r="DA828" t="s">
        <v>42</v>
      </c>
      <c r="DB828" t="s">
        <v>42</v>
      </c>
      <c r="DC828" t="s">
        <v>42</v>
      </c>
      <c r="DD828" t="s">
        <v>42</v>
      </c>
      <c r="DE828" t="s">
        <v>42</v>
      </c>
      <c r="DF828" t="s">
        <v>42</v>
      </c>
      <c r="DG828" t="s">
        <v>42</v>
      </c>
      <c r="DH828" s="4" t="s">
        <v>42</v>
      </c>
      <c r="DI828" t="s">
        <v>42</v>
      </c>
      <c r="DJ828" s="4" t="s">
        <v>42</v>
      </c>
      <c r="DK828" t="s">
        <v>42</v>
      </c>
      <c r="DL828" s="4">
        <f>HYPERLINK("http://exon.niaid.nih.gov/transcriptome/C_felis/S1/links/cluster/cf-5-36-asb30-50-Id-CLU56.txt", 56)</f>
        <v>56</v>
      </c>
      <c r="DM828">
        <f>HYPERLINK("http://exon.niaid.nih.gov/transcriptome/C_felis/S1/links/cluster/cf-5-36-asb30-50-Id-CLTL56.txt", 2)</f>
        <v>2</v>
      </c>
      <c r="DN828" s="4">
        <f>HYPERLINK("http://exon.niaid.nih.gov/transcriptome/C_felis/S1/links/cluster/cf-5-36-asb35-50-Id-CLU49.txt", 49)</f>
        <v>49</v>
      </c>
      <c r="DO828">
        <f>HYPERLINK("http://exon.niaid.nih.gov/transcriptome/C_felis/S1/links/cluster/cf-5-36-asb35-50-Id-CLTL49.txt", 2)</f>
        <v>2</v>
      </c>
      <c r="DP828" s="4">
        <f>HYPERLINK("http://exon.niaid.nih.gov/transcriptome/C_felis/S1/links/cluster/cf-5-36-asb40-50-Id-CLU46.txt", 46)</f>
        <v>46</v>
      </c>
      <c r="DQ828">
        <f>HYPERLINK("http://exon.niaid.nih.gov/transcriptome/C_felis/S1/links/cluster/cf-5-36-asb40-50-Id-CLTL46.txt", 2)</f>
        <v>2</v>
      </c>
      <c r="DR828" s="4">
        <v>187</v>
      </c>
      <c r="DS828">
        <v>1</v>
      </c>
      <c r="DT828" s="4">
        <v>193</v>
      </c>
      <c r="DU828">
        <v>1</v>
      </c>
      <c r="DV828" s="4">
        <v>205</v>
      </c>
      <c r="DW828">
        <v>1</v>
      </c>
      <c r="DX828" s="4">
        <v>207</v>
      </c>
      <c r="DY828">
        <v>1</v>
      </c>
      <c r="DZ828" s="4">
        <v>211</v>
      </c>
      <c r="EA828">
        <v>1</v>
      </c>
      <c r="EB828" s="4">
        <v>216</v>
      </c>
      <c r="EC828">
        <v>1</v>
      </c>
      <c r="ED828" s="4">
        <v>219</v>
      </c>
      <c r="EE828">
        <v>1</v>
      </c>
      <c r="EF828" s="4">
        <v>222</v>
      </c>
      <c r="EG828">
        <v>1</v>
      </c>
      <c r="EH828" s="4">
        <v>224</v>
      </c>
      <c r="EI828">
        <v>1</v>
      </c>
      <c r="EJ828" s="4">
        <v>229</v>
      </c>
      <c r="EK828">
        <v>1</v>
      </c>
    </row>
    <row r="829" spans="1:141" x14ac:dyDescent="0.2">
      <c r="A829" t="str">
        <f>HYPERLINK("http://exon.niaid.nih.gov/transcriptome/C_felis/S1/links/cf/cf-contig_725.txt","cf-contig_725")</f>
        <v>cf-contig_725</v>
      </c>
      <c r="B829">
        <v>1</v>
      </c>
      <c r="C829" s="10" t="s">
        <v>4600</v>
      </c>
      <c r="D829">
        <v>1</v>
      </c>
      <c r="E829" t="str">
        <f>HYPERLINK("http://exon.niaid.nih.gov/transcriptome/C_felis/S1/links/cf/cf-5-36-asb-725.txt","Contig-725")</f>
        <v>Contig-725</v>
      </c>
      <c r="F829" t="str">
        <f>HYPERLINK("http://exon.niaid.nih.gov/transcriptome/C_felis/S1/links/cf/cf-5-36-725-CLU.txt","Contig725")</f>
        <v>Contig725</v>
      </c>
      <c r="G829" t="str">
        <f>HYPERLINK("http://exon.niaid.nih.gov/transcriptome/C_felis/S1/links/cf/cf-5-36-725-qual.txt","64.3")</f>
        <v>64.3</v>
      </c>
      <c r="H829" t="s">
        <v>11</v>
      </c>
      <c r="I829">
        <v>77.099999999999994</v>
      </c>
      <c r="J829">
        <v>208</v>
      </c>
      <c r="K829" t="s">
        <v>12</v>
      </c>
      <c r="L829">
        <v>1</v>
      </c>
      <c r="M829" t="s">
        <v>738</v>
      </c>
      <c r="N829">
        <v>208</v>
      </c>
      <c r="O829">
        <v>227</v>
      </c>
      <c r="P829">
        <v>72</v>
      </c>
      <c r="Q829" t="s">
        <v>1544</v>
      </c>
      <c r="R829">
        <v>2</v>
      </c>
      <c r="S829" s="7" t="s">
        <v>4585</v>
      </c>
      <c r="U829">
        <v>1</v>
      </c>
      <c r="V829" s="4">
        <v>588</v>
      </c>
      <c r="W829">
        <v>1</v>
      </c>
      <c r="X829" s="4">
        <v>604</v>
      </c>
      <c r="Y829">
        <v>1</v>
      </c>
      <c r="Z829" s="4">
        <v>617</v>
      </c>
      <c r="AA829">
        <v>1</v>
      </c>
      <c r="AB829" s="4" t="str">
        <f>HYPERLINK("http://exon.niaid.nih.gov/transcriptome/C_felis/S1/links/XC-ASB/cf-contig_725-XC-ASB.txt","XC-contig_127")</f>
        <v>XC-contig_127</v>
      </c>
      <c r="AC829">
        <v>7.0999999999999994E-2</v>
      </c>
      <c r="AD829" s="10" t="s">
        <v>4600</v>
      </c>
      <c r="AE829" t="s">
        <v>4601</v>
      </c>
      <c r="AI829" s="4" t="str">
        <f>HYPERLINK("http://exon.niaid.nih.gov/transcriptome/C_felis/S1/links/NR/cf-contig_725-NR.txt","hypothetical protein TDE1873")</f>
        <v>hypothetical protein TDE1873</v>
      </c>
      <c r="AJ829" t="str">
        <f>HYPERLINK("http://www.ncbi.nlm.nih.gov/sutils/blink.cgi?pid=42527379","4.3")</f>
        <v>4.3</v>
      </c>
      <c r="AK829" t="str">
        <f>HYPERLINK("http://www.ncbi.nlm.nih.gov/protein/42527379","gi|42527379")</f>
        <v>gi|42527379</v>
      </c>
      <c r="AL829">
        <v>35</v>
      </c>
      <c r="AM829">
        <v>36</v>
      </c>
      <c r="AN829">
        <v>288</v>
      </c>
      <c r="AO829">
        <v>47</v>
      </c>
      <c r="AP829">
        <v>13</v>
      </c>
      <c r="AQ829">
        <v>20</v>
      </c>
      <c r="AR829">
        <v>0</v>
      </c>
      <c r="AS829">
        <v>41</v>
      </c>
      <c r="AT829">
        <v>43</v>
      </c>
      <c r="AU829">
        <v>1</v>
      </c>
      <c r="AV829">
        <v>-3</v>
      </c>
      <c r="AW829" t="s">
        <v>12</v>
      </c>
      <c r="AY829" t="s">
        <v>1666</v>
      </c>
      <c r="AZ829" t="s">
        <v>4291</v>
      </c>
      <c r="BA829" s="4" t="str">
        <f>HYPERLINK("http://exon.niaid.nih.gov/transcriptome/C_felis/S1/links/SWISSP/cf-contig_725-SWISSP.txt","Probable lysosomal cobalamin transporter")</f>
        <v>Probable lysosomal cobalamin transporter</v>
      </c>
      <c r="BB829" t="str">
        <f>HYPERLINK("http://www.uniprot.org/uniprot/Q7SYR6","8.2")</f>
        <v>8.2</v>
      </c>
      <c r="BC829" t="s">
        <v>4292</v>
      </c>
      <c r="BD829">
        <v>29.3</v>
      </c>
      <c r="BE829">
        <v>40</v>
      </c>
      <c r="BF829">
        <v>537</v>
      </c>
      <c r="BG829">
        <v>39</v>
      </c>
      <c r="BH829">
        <v>8</v>
      </c>
      <c r="BI829">
        <v>25</v>
      </c>
      <c r="BJ829">
        <v>6</v>
      </c>
      <c r="BK829">
        <v>84</v>
      </c>
      <c r="BL829">
        <v>94</v>
      </c>
      <c r="BM829">
        <v>1</v>
      </c>
      <c r="BN829">
        <v>1</v>
      </c>
      <c r="BO829" t="s">
        <v>12</v>
      </c>
      <c r="BP829">
        <v>7.5</v>
      </c>
      <c r="BQ829" t="s">
        <v>1676</v>
      </c>
      <c r="BR829" t="s">
        <v>1832</v>
      </c>
      <c r="BS829" s="4" t="str">
        <f>HYPERLINK("http://exon.niaid.nih.gov/transcriptome/C_felis/S1/links/CDD/cf-contig_725-CDD.txt","ND2")</f>
        <v>ND2</v>
      </c>
      <c r="BT829" t="str">
        <f>HYPERLINK("http://www.ncbi.nlm.nih.gov/Structure/cdd/cddsrv.cgi?uid=MTH00160&amp;version=v4.0","0.17")</f>
        <v>0.17</v>
      </c>
      <c r="BU829" t="s">
        <v>4293</v>
      </c>
      <c r="BV829" s="4" t="s">
        <v>42</v>
      </c>
      <c r="BW829" t="s">
        <v>42</v>
      </c>
      <c r="BX829" t="s">
        <v>42</v>
      </c>
      <c r="BY829" t="s">
        <v>42</v>
      </c>
      <c r="BZ829" t="s">
        <v>42</v>
      </c>
      <c r="CA829" t="s">
        <v>42</v>
      </c>
      <c r="CB829" t="s">
        <v>42</v>
      </c>
      <c r="CC829" t="s">
        <v>42</v>
      </c>
      <c r="CD829" t="s">
        <v>42</v>
      </c>
      <c r="CE829" t="s">
        <v>42</v>
      </c>
      <c r="CF829" t="s">
        <v>42</v>
      </c>
      <c r="CG829" t="s">
        <v>42</v>
      </c>
      <c r="CH829" t="s">
        <v>42</v>
      </c>
      <c r="CI829" t="s">
        <v>42</v>
      </c>
      <c r="CJ829" t="s">
        <v>42</v>
      </c>
      <c r="CK829" t="s">
        <v>42</v>
      </c>
      <c r="CL829" t="s">
        <v>42</v>
      </c>
      <c r="CM829" t="s">
        <v>42</v>
      </c>
      <c r="CN829" t="s">
        <v>42</v>
      </c>
      <c r="CO829" t="s">
        <v>42</v>
      </c>
      <c r="CP829" t="s">
        <v>42</v>
      </c>
      <c r="CQ829" t="s">
        <v>42</v>
      </c>
      <c r="CR829" t="s">
        <v>42</v>
      </c>
      <c r="CS829" s="4" t="str">
        <f>HYPERLINK("http://exon.niaid.nih.gov/transcriptome/C_felis/S1/links/KOG/cf-contig_725-KOG.txt","Dolichyl-phosphate-mannose:protein O-mannosyl transferase")</f>
        <v>Dolichyl-phosphate-mannose:protein O-mannosyl transferase</v>
      </c>
      <c r="CT829" t="str">
        <f>HYPERLINK("http://www.ncbi.nlm.nih.gov/COG/grace/shokog.cgi?KOG3359","0.38")</f>
        <v>0.38</v>
      </c>
      <c r="CU829" t="s">
        <v>2198</v>
      </c>
      <c r="CV829" s="4" t="str">
        <f>HYPERLINK("http://exon.niaid.nih.gov/transcriptome/C_felis/S1/links/PFAM/cf-contig_725-PFAM.txt","XK-related")</f>
        <v>XK-related</v>
      </c>
      <c r="CW829" t="str">
        <f>HYPERLINK("http://pfam.sanger.ac.uk/family?acc=PF09815","0.28")</f>
        <v>0.28</v>
      </c>
      <c r="CX829" s="4" t="str">
        <f>HYPERLINK("http://exon.niaid.nih.gov/transcriptome/C_felis/S1/links/SMART/cf-contig_725-SMART.txt","AgrB")</f>
        <v>AgrB</v>
      </c>
      <c r="CY829" t="str">
        <f>HYPERLINK("http://smart.embl-heidelberg.de/smart/do_annotation.pl?DOMAIN=AgrB&amp;BLAST=DUMMY","0.009")</f>
        <v>0.009</v>
      </c>
      <c r="CZ829" s="4" t="s">
        <v>42</v>
      </c>
      <c r="DA829" t="s">
        <v>42</v>
      </c>
      <c r="DB829" t="s">
        <v>42</v>
      </c>
      <c r="DC829" t="s">
        <v>42</v>
      </c>
      <c r="DD829" t="s">
        <v>42</v>
      </c>
      <c r="DE829" t="s">
        <v>42</v>
      </c>
      <c r="DF829" t="s">
        <v>42</v>
      </c>
      <c r="DG829" t="s">
        <v>42</v>
      </c>
      <c r="DH829" s="4" t="s">
        <v>42</v>
      </c>
      <c r="DI829" t="s">
        <v>42</v>
      </c>
      <c r="DJ829" s="4" t="s">
        <v>42</v>
      </c>
      <c r="DK829" t="s">
        <v>42</v>
      </c>
      <c r="DL829" s="4">
        <v>588</v>
      </c>
      <c r="DM829">
        <v>1</v>
      </c>
      <c r="DN829" s="4">
        <v>604</v>
      </c>
      <c r="DO829">
        <v>1</v>
      </c>
      <c r="DP829" s="4">
        <v>617</v>
      </c>
      <c r="DQ829">
        <v>1</v>
      </c>
      <c r="DR829" s="4">
        <v>638</v>
      </c>
      <c r="DS829">
        <v>1</v>
      </c>
      <c r="DT829" s="4">
        <v>653</v>
      </c>
      <c r="DU829">
        <v>1</v>
      </c>
      <c r="DV829" s="4">
        <v>668</v>
      </c>
      <c r="DW829">
        <v>1</v>
      </c>
      <c r="DX829" s="4">
        <v>679</v>
      </c>
      <c r="DY829">
        <v>1</v>
      </c>
      <c r="DZ829" s="4">
        <v>689</v>
      </c>
      <c r="EA829">
        <v>1</v>
      </c>
      <c r="EB829" s="4">
        <v>695</v>
      </c>
      <c r="EC829">
        <v>1</v>
      </c>
      <c r="ED829" s="4">
        <v>700</v>
      </c>
      <c r="EE829">
        <v>1</v>
      </c>
      <c r="EF829" s="4">
        <v>706</v>
      </c>
      <c r="EG829">
        <v>1</v>
      </c>
      <c r="EH829" s="4">
        <v>716</v>
      </c>
      <c r="EI829">
        <v>1</v>
      </c>
      <c r="EJ829" s="4">
        <v>725</v>
      </c>
      <c r="EK829">
        <v>1</v>
      </c>
    </row>
    <row r="830" spans="1:141" x14ac:dyDescent="0.2">
      <c r="A830" t="str">
        <f>HYPERLINK("http://exon.niaid.nih.gov/transcriptome/C_felis/S1/links/cf/cf-contig_86.txt","cf-contig_86")</f>
        <v>cf-contig_86</v>
      </c>
      <c r="B830">
        <v>2</v>
      </c>
      <c r="C830" s="10" t="s">
        <v>4600</v>
      </c>
      <c r="D830">
        <v>2</v>
      </c>
      <c r="E830" t="str">
        <f>HYPERLINK("http://exon.niaid.nih.gov/transcriptome/C_felis/S1/links/cf/cf-5-36-asb-86.txt","Contig-86")</f>
        <v>Contig-86</v>
      </c>
      <c r="F830" t="str">
        <f>HYPERLINK("http://exon.niaid.nih.gov/transcriptome/C_felis/S1/links/cf/cf-5-36-86-CLU.txt","Contig86")</f>
        <v>Contig86</v>
      </c>
      <c r="G830" t="str">
        <f>HYPERLINK("http://exon.niaid.nih.gov/transcriptome/C_felis/S1/links/cf/cf-5-36-86-qual.txt","68.1")</f>
        <v>68.1</v>
      </c>
      <c r="H830" t="s">
        <v>11</v>
      </c>
      <c r="I830">
        <v>72.8</v>
      </c>
      <c r="J830">
        <v>220</v>
      </c>
      <c r="K830" t="s">
        <v>12</v>
      </c>
      <c r="L830">
        <v>2</v>
      </c>
      <c r="M830" t="s">
        <v>99</v>
      </c>
      <c r="N830">
        <v>220</v>
      </c>
      <c r="O830">
        <v>239</v>
      </c>
      <c r="P830">
        <v>111</v>
      </c>
      <c r="Q830" t="s">
        <v>906</v>
      </c>
      <c r="R830">
        <v>3</v>
      </c>
      <c r="S830" s="7" t="s">
        <v>4585</v>
      </c>
      <c r="U830">
        <v>2</v>
      </c>
      <c r="V830" s="4">
        <f>HYPERLINK("http://exon.niaid.nih.gov/transcriptome/C_felis/S1/links/cluster/cf-5-36-asb30-50-Id-CLU9.txt", 9)</f>
        <v>9</v>
      </c>
      <c r="W830">
        <f>HYPERLINK("http://exon.niaid.nih.gov/transcriptome/C_felis/S1/links/cluster/cf-5-36-asb30-50-Id-CLTL9.txt", 4)</f>
        <v>4</v>
      </c>
      <c r="X830" s="4">
        <f>HYPERLINK("http://exon.niaid.nih.gov/transcriptome/C_felis/S1/links/cluster/cf-5-36-asb35-50-Id-CLU15.txt", 15)</f>
        <v>15</v>
      </c>
      <c r="Y830">
        <f>HYPERLINK("http://exon.niaid.nih.gov/transcriptome/C_felis/S1/links/cluster/cf-5-36-asb35-50-Id-CLTL15.txt", 3)</f>
        <v>3</v>
      </c>
      <c r="Z830" s="4">
        <v>104</v>
      </c>
      <c r="AA830">
        <v>1</v>
      </c>
      <c r="AB830" s="4" t="str">
        <f>HYPERLINK("http://exon.niaid.nih.gov/transcriptome/C_felis/S1/links/XC-ASB/cf-contig_86-XC-ASB.txt","XC-contig_41")</f>
        <v>XC-contig_41</v>
      </c>
      <c r="AC830">
        <v>4.0000000000000003E-5</v>
      </c>
      <c r="AD830" s="10" t="s">
        <v>4600</v>
      </c>
      <c r="AE830" t="s">
        <v>4601</v>
      </c>
      <c r="AI830" s="4" t="str">
        <f>HYPERLINK("http://exon.niaid.nih.gov/transcriptome/C_felis/S1/links/NR/cf-contig_86-NR.txt","gustatory receptor 182")</f>
        <v>gustatory receptor 182</v>
      </c>
      <c r="AJ830" t="str">
        <f>HYPERLINK("http://www.ncbi.nlm.nih.gov/sutils/blink.cgi?pid=270009340","5.5")</f>
        <v>5.5</v>
      </c>
      <c r="AK830" t="str">
        <f>HYPERLINK("http://www.ncbi.nlm.nih.gov/protein/270009340","gi|270009340")</f>
        <v>gi|270009340</v>
      </c>
      <c r="AL830">
        <v>34.700000000000003</v>
      </c>
      <c r="AM830">
        <v>41</v>
      </c>
      <c r="AN830">
        <v>377</v>
      </c>
      <c r="AO830">
        <v>37</v>
      </c>
      <c r="AP830">
        <v>11</v>
      </c>
      <c r="AQ830">
        <v>28</v>
      </c>
      <c r="AR830">
        <v>0</v>
      </c>
      <c r="AS830">
        <v>235</v>
      </c>
      <c r="AT830">
        <v>28</v>
      </c>
      <c r="AU830">
        <v>1</v>
      </c>
      <c r="AV830">
        <v>-3</v>
      </c>
      <c r="AW830" t="s">
        <v>12</v>
      </c>
      <c r="AY830" t="s">
        <v>1666</v>
      </c>
      <c r="AZ830" t="s">
        <v>1878</v>
      </c>
      <c r="BA830" s="4" t="str">
        <f>HYPERLINK("http://exon.niaid.nih.gov/transcriptome/C_felis/S1/links/SWISSP/cf-contig_86-SWISSP.txt","Inositol 1,4,5-triphosphate receptor-interacting protein")</f>
        <v>Inositol 1,4,5-triphosphate receptor-interacting protein</v>
      </c>
      <c r="BB830" t="str">
        <f>HYPERLINK("http://www.uniprot.org/uniprot/Q90XY5","6.2")</f>
        <v>6.2</v>
      </c>
      <c r="BC830" t="s">
        <v>1982</v>
      </c>
      <c r="BD830">
        <v>29.6</v>
      </c>
      <c r="BE830">
        <v>20</v>
      </c>
      <c r="BF830">
        <v>534</v>
      </c>
      <c r="BG830">
        <v>57</v>
      </c>
      <c r="BH830">
        <v>4</v>
      </c>
      <c r="BI830">
        <v>9</v>
      </c>
      <c r="BJ830">
        <v>0</v>
      </c>
      <c r="BK830">
        <v>204</v>
      </c>
      <c r="BL830">
        <v>26</v>
      </c>
      <c r="BM830">
        <v>1</v>
      </c>
      <c r="BN830">
        <v>-2</v>
      </c>
      <c r="BO830" t="s">
        <v>12</v>
      </c>
      <c r="BQ830" t="s">
        <v>1666</v>
      </c>
      <c r="BR830" t="s">
        <v>1983</v>
      </c>
      <c r="BS830" s="4" t="str">
        <f>HYPERLINK("http://exon.niaid.nih.gov/transcriptome/C_felis/S1/links/CDD/cf-contig_86-CDD.txt","VKG_Carbox")</f>
        <v>VKG_Carbox</v>
      </c>
      <c r="BT830" t="str">
        <f>HYPERLINK("http://www.ncbi.nlm.nih.gov/Structure/cdd/cddsrv.cgi?uid=pfam05090&amp;version=v4.0","0.11")</f>
        <v>0.11</v>
      </c>
      <c r="BU830" t="s">
        <v>1984</v>
      </c>
      <c r="BV830" s="4" t="s">
        <v>42</v>
      </c>
      <c r="BW830" t="s">
        <v>42</v>
      </c>
      <c r="BX830" t="s">
        <v>42</v>
      </c>
      <c r="BY830" t="s">
        <v>42</v>
      </c>
      <c r="BZ830" t="s">
        <v>42</v>
      </c>
      <c r="CA830" t="s">
        <v>42</v>
      </c>
      <c r="CB830" t="s">
        <v>42</v>
      </c>
      <c r="CC830" t="s">
        <v>42</v>
      </c>
      <c r="CD830" t="s">
        <v>42</v>
      </c>
      <c r="CE830" t="s">
        <v>42</v>
      </c>
      <c r="CF830" t="s">
        <v>42</v>
      </c>
      <c r="CG830" t="s">
        <v>42</v>
      </c>
      <c r="CH830" t="s">
        <v>42</v>
      </c>
      <c r="CI830" t="s">
        <v>42</v>
      </c>
      <c r="CJ830" t="s">
        <v>42</v>
      </c>
      <c r="CK830" t="s">
        <v>42</v>
      </c>
      <c r="CL830" t="s">
        <v>42</v>
      </c>
      <c r="CM830" t="s">
        <v>42</v>
      </c>
      <c r="CN830" t="s">
        <v>42</v>
      </c>
      <c r="CO830" t="s">
        <v>42</v>
      </c>
      <c r="CP830" t="s">
        <v>42</v>
      </c>
      <c r="CQ830" t="s">
        <v>42</v>
      </c>
      <c r="CR830" t="s">
        <v>42</v>
      </c>
      <c r="CS830" s="4" t="str">
        <f>HYPERLINK("http://exon.niaid.nih.gov/transcriptome/C_felis/S1/links/KOG/cf-contig_86-KOG.txt","Protein involved in plasmid maintenance/nuclear protein involved in lipid metabolism")</f>
        <v>Protein involved in plasmid maintenance/nuclear protein involved in lipid metabolism</v>
      </c>
      <c r="CT830" t="str">
        <f>HYPERLINK("http://www.ncbi.nlm.nih.gov/COG/grace/shokog.cgi?KOG2116","0.057")</f>
        <v>0.057</v>
      </c>
      <c r="CU830" t="s">
        <v>1985</v>
      </c>
      <c r="CV830" s="4" t="str">
        <f>HYPERLINK("http://exon.niaid.nih.gov/transcriptome/C_felis/S1/links/PFAM/cf-contig_86-PFAM.txt","VKG_Carbox")</f>
        <v>VKG_Carbox</v>
      </c>
      <c r="CW830" t="str">
        <f>HYPERLINK("http://pfam.sanger.ac.uk/family?acc=PF05090","0.023")</f>
        <v>0.023</v>
      </c>
      <c r="CX830" s="4" t="str">
        <f>HYPERLINK("http://exon.niaid.nih.gov/transcriptome/C_felis/S1/links/SMART/cf-contig_86-SMART.txt","Telomerase_RBD")</f>
        <v>Telomerase_RBD</v>
      </c>
      <c r="CY830" t="str">
        <f>HYPERLINK("http://smart.embl-heidelberg.de/smart/do_annotation.pl?DOMAIN=Telomerase_RBD&amp;BLAST=DUMMY","0.002")</f>
        <v>0.002</v>
      </c>
      <c r="CZ830" s="4" t="s">
        <v>42</v>
      </c>
      <c r="DA830" t="s">
        <v>42</v>
      </c>
      <c r="DB830" t="s">
        <v>42</v>
      </c>
      <c r="DC830" t="s">
        <v>42</v>
      </c>
      <c r="DD830" t="s">
        <v>42</v>
      </c>
      <c r="DE830" t="s">
        <v>42</v>
      </c>
      <c r="DF830" t="s">
        <v>42</v>
      </c>
      <c r="DG830" t="s">
        <v>42</v>
      </c>
      <c r="DH830" s="4" t="s">
        <v>42</v>
      </c>
      <c r="DI830" t="s">
        <v>42</v>
      </c>
      <c r="DJ830" s="4" t="s">
        <v>42</v>
      </c>
      <c r="DK830" t="s">
        <v>42</v>
      </c>
      <c r="DL830" s="4">
        <f>HYPERLINK("http://exon.niaid.nih.gov/transcriptome/C_felis/S1/links/cluster/cf-5-36-asb30-50-Id-CLU9.txt", 9)</f>
        <v>9</v>
      </c>
      <c r="DM830">
        <f>HYPERLINK("http://exon.niaid.nih.gov/transcriptome/C_felis/S1/links/cluster/cf-5-36-asb30-50-Id-CLTL9.txt", 4)</f>
        <v>4</v>
      </c>
      <c r="DN830" s="4">
        <f>HYPERLINK("http://exon.niaid.nih.gov/transcriptome/C_felis/S1/links/cluster/cf-5-36-asb35-50-Id-CLU15.txt", 15)</f>
        <v>15</v>
      </c>
      <c r="DO830">
        <f>HYPERLINK("http://exon.niaid.nih.gov/transcriptome/C_felis/S1/links/cluster/cf-5-36-asb35-50-Id-CLTL15.txt", 3)</f>
        <v>3</v>
      </c>
      <c r="DP830" s="4">
        <v>104</v>
      </c>
      <c r="DQ830">
        <v>1</v>
      </c>
      <c r="DR830" s="4">
        <v>95</v>
      </c>
      <c r="DS830">
        <v>1</v>
      </c>
      <c r="DT830" s="4">
        <v>93</v>
      </c>
      <c r="DU830">
        <v>1</v>
      </c>
      <c r="DV830" s="4">
        <v>98</v>
      </c>
      <c r="DW830">
        <v>1</v>
      </c>
      <c r="DX830" s="4">
        <v>97</v>
      </c>
      <c r="DY830">
        <v>1</v>
      </c>
      <c r="DZ830" s="4">
        <v>95</v>
      </c>
      <c r="EA830">
        <v>1</v>
      </c>
      <c r="EB830" s="4">
        <v>95</v>
      </c>
      <c r="EC830">
        <v>1</v>
      </c>
      <c r="ED830" s="4">
        <v>96</v>
      </c>
      <c r="EE830">
        <v>1</v>
      </c>
      <c r="EF830" s="4">
        <v>93</v>
      </c>
      <c r="EG830">
        <v>1</v>
      </c>
      <c r="EH830" s="4">
        <v>88</v>
      </c>
      <c r="EI830">
        <v>1</v>
      </c>
      <c r="EJ830" s="4">
        <v>86</v>
      </c>
      <c r="EK830">
        <v>1</v>
      </c>
    </row>
    <row r="831" spans="1:141" x14ac:dyDescent="0.2">
      <c r="A831" t="str">
        <f>HYPERLINK("http://exon.niaid.nih.gov/transcriptome/C_felis/S1/links/cf/cf-contig_160.txt","cf-contig_160")</f>
        <v>cf-contig_160</v>
      </c>
      <c r="B831">
        <v>4</v>
      </c>
      <c r="C831" s="10" t="s">
        <v>4600</v>
      </c>
      <c r="D831">
        <v>4</v>
      </c>
      <c r="E831" t="str">
        <f>HYPERLINK("http://exon.niaid.nih.gov/transcriptome/C_felis/S1/links/cf/cf-5-36-asb-160.txt","Contig-160")</f>
        <v>Contig-160</v>
      </c>
      <c r="F831" t="str">
        <f>HYPERLINK("http://exon.niaid.nih.gov/transcriptome/C_felis/S1/links/cf/cf-5-36-160-CLU.txt","Contig160")</f>
        <v>Contig160</v>
      </c>
      <c r="G831" t="str">
        <f>HYPERLINK("http://exon.niaid.nih.gov/transcriptome/C_felis/S1/links/cf/cf-5-36-160-qual.txt","90.1")</f>
        <v>90.1</v>
      </c>
      <c r="H831">
        <v>0.3</v>
      </c>
      <c r="I831">
        <v>73.7</v>
      </c>
      <c r="J831">
        <v>315</v>
      </c>
      <c r="K831" t="s">
        <v>12</v>
      </c>
      <c r="L831">
        <v>4</v>
      </c>
      <c r="M831" t="s">
        <v>173</v>
      </c>
      <c r="N831">
        <v>324</v>
      </c>
      <c r="O831">
        <v>334</v>
      </c>
      <c r="P831">
        <v>240</v>
      </c>
      <c r="Q831" t="s">
        <v>980</v>
      </c>
      <c r="R831">
        <v>3</v>
      </c>
      <c r="S831" s="7" t="str">
        <f>HYPERLINK("http://exon.niaid.nih.gov/transcriptome/C_felis/S1/links/Sigp/CF-CONTIG_160-SigP.txt","Cyt")</f>
        <v>Cyt</v>
      </c>
      <c r="U831">
        <v>4</v>
      </c>
      <c r="V831" s="4">
        <f>HYPERLINK("http://exon.niaid.nih.gov/transcriptome/C_felis/S1/links/cluster/cf-5-36-asb30-50-Id-CLU22.txt", 22)</f>
        <v>22</v>
      </c>
      <c r="W831">
        <f>HYPERLINK("http://exon.niaid.nih.gov/transcriptome/C_felis/S1/links/cluster/cf-5-36-asb30-50-Id-CLTL22.txt", 3)</f>
        <v>3</v>
      </c>
      <c r="X831" s="4">
        <f>HYPERLINK("http://exon.niaid.nih.gov/transcriptome/C_felis/S1/links/cluster/cf-5-36-asb35-50-Id-CLU19.txt", 19)</f>
        <v>19</v>
      </c>
      <c r="Y831">
        <f>HYPERLINK("http://exon.niaid.nih.gov/transcriptome/C_felis/S1/links/cluster/cf-5-36-asb35-50-Id-CLTL19.txt", 3)</f>
        <v>3</v>
      </c>
      <c r="Z831" s="4">
        <f>HYPERLINK("http://exon.niaid.nih.gov/transcriptome/C_felis/S1/links/cluster/cf-5-36-asb40-50-Id-CLU18.txt", 18)</f>
        <v>18</v>
      </c>
      <c r="AA831">
        <f>HYPERLINK("http://exon.niaid.nih.gov/transcriptome/C_felis/S1/links/cluster/cf-5-36-asb40-50-Id-CLTL18.txt", 3)</f>
        <v>3</v>
      </c>
      <c r="AB831" s="4" t="str">
        <f>HYPERLINK("http://exon.niaid.nih.gov/transcriptome/C_felis/S1/links/XC-ASB/cf-contig_160-XC-ASB.txt","XC-contig_245")</f>
        <v>XC-contig_245</v>
      </c>
      <c r="AC831">
        <v>8.8999999999999996E-2</v>
      </c>
      <c r="AD831" s="10" t="s">
        <v>4600</v>
      </c>
      <c r="AE831" t="s">
        <v>4601</v>
      </c>
      <c r="AI831" s="4" t="str">
        <f>HYPERLINK("http://exon.niaid.nih.gov/transcriptome/C_felis/S1/links/NR/cf-contig_160-NR.txt","hypothetical protein")</f>
        <v>hypothetical protein</v>
      </c>
      <c r="AJ831" t="str">
        <f>HYPERLINK("http://www.ncbi.nlm.nih.gov/sutils/blink.cgi?pid=189239953","0.002")</f>
        <v>0.002</v>
      </c>
      <c r="AK831" t="str">
        <f>HYPERLINK("http://www.ncbi.nlm.nih.gov/protein/189239953","gi|189239953")</f>
        <v>gi|189239953</v>
      </c>
      <c r="AL831">
        <v>45.8</v>
      </c>
      <c r="AM831">
        <v>81</v>
      </c>
      <c r="AN831">
        <v>388</v>
      </c>
      <c r="AO831">
        <v>30</v>
      </c>
      <c r="AP831">
        <v>21</v>
      </c>
      <c r="AQ831">
        <v>57</v>
      </c>
      <c r="AR831">
        <v>0</v>
      </c>
      <c r="AS831">
        <v>158</v>
      </c>
      <c r="AT831">
        <v>3</v>
      </c>
      <c r="AU831">
        <v>1</v>
      </c>
      <c r="AV831">
        <v>3</v>
      </c>
      <c r="AW831" t="s">
        <v>12</v>
      </c>
      <c r="AX831">
        <v>1.2350000000000001</v>
      </c>
      <c r="AY831" t="s">
        <v>1676</v>
      </c>
      <c r="AZ831" t="s">
        <v>1878</v>
      </c>
      <c r="BA831" s="4" t="str">
        <f>HYPERLINK("http://exon.niaid.nih.gov/transcriptome/C_felis/S1/links/SWISSP/cf-contig_160-SWISSP.txt","Myosin-10")</f>
        <v>Myosin-10</v>
      </c>
      <c r="BB831" t="str">
        <f>HYPERLINK("http://www.uniprot.org/uniprot/Q9JLT0","0.067")</f>
        <v>0.067</v>
      </c>
      <c r="BC831" t="s">
        <v>2288</v>
      </c>
      <c r="BD831">
        <v>36.200000000000003</v>
      </c>
      <c r="BE831">
        <v>80</v>
      </c>
      <c r="BF831">
        <v>1976</v>
      </c>
      <c r="BG831">
        <v>23</v>
      </c>
      <c r="BH831">
        <v>4</v>
      </c>
      <c r="BI831">
        <v>62</v>
      </c>
      <c r="BJ831">
        <v>10</v>
      </c>
      <c r="BK831">
        <v>1787</v>
      </c>
      <c r="BL831">
        <v>21</v>
      </c>
      <c r="BM831">
        <v>1</v>
      </c>
      <c r="BN831">
        <v>3</v>
      </c>
      <c r="BO831" t="s">
        <v>12</v>
      </c>
      <c r="BQ831" t="s">
        <v>1676</v>
      </c>
      <c r="BR831" t="s">
        <v>1684</v>
      </c>
      <c r="BS831" s="4" t="str">
        <f>HYPERLINK("http://exon.niaid.nih.gov/transcriptome/C_felis/S1/links/CDD/cf-contig_160-CDD.txt","Ded_cyto")</f>
        <v>Ded_cyto</v>
      </c>
      <c r="BT831" t="str">
        <f>HYPERLINK("http://www.ncbi.nlm.nih.gov/Structure/cdd/cddsrv.cgi?uid=pfam06920&amp;version=v4.0","0.011")</f>
        <v>0.011</v>
      </c>
      <c r="BU831" t="s">
        <v>2289</v>
      </c>
      <c r="BV831" s="4" t="s">
        <v>42</v>
      </c>
      <c r="BW831" t="s">
        <v>42</v>
      </c>
      <c r="BX831" t="s">
        <v>42</v>
      </c>
      <c r="BY831" t="s">
        <v>42</v>
      </c>
      <c r="BZ831" t="s">
        <v>42</v>
      </c>
      <c r="CA831" t="s">
        <v>42</v>
      </c>
      <c r="CB831" t="s">
        <v>42</v>
      </c>
      <c r="CC831" t="s">
        <v>42</v>
      </c>
      <c r="CD831" t="s">
        <v>42</v>
      </c>
      <c r="CE831" t="s">
        <v>42</v>
      </c>
      <c r="CF831" t="s">
        <v>42</v>
      </c>
      <c r="CG831" t="s">
        <v>42</v>
      </c>
      <c r="CH831" t="s">
        <v>42</v>
      </c>
      <c r="CI831" t="s">
        <v>42</v>
      </c>
      <c r="CJ831" t="s">
        <v>42</v>
      </c>
      <c r="CK831" t="s">
        <v>42</v>
      </c>
      <c r="CL831" t="s">
        <v>42</v>
      </c>
      <c r="CM831" t="s">
        <v>42</v>
      </c>
      <c r="CN831" t="s">
        <v>42</v>
      </c>
      <c r="CO831" t="s">
        <v>42</v>
      </c>
      <c r="CP831" t="s">
        <v>42</v>
      </c>
      <c r="CQ831" t="s">
        <v>42</v>
      </c>
      <c r="CR831" t="s">
        <v>42</v>
      </c>
      <c r="CS831" s="4" t="str">
        <f>HYPERLINK("http://exon.niaid.nih.gov/transcriptome/C_felis/S1/links/KOG/cf-contig_160-KOG.txt","Ca2+-modulated nonselective cation channel polycystin")</f>
        <v>Ca2+-modulated nonselective cation channel polycystin</v>
      </c>
      <c r="CT831" t="str">
        <f>HYPERLINK("http://www.ncbi.nlm.nih.gov/COG/grace/shokog.cgi?KOG3599","0.098")</f>
        <v>0.098</v>
      </c>
      <c r="CU831" t="s">
        <v>1702</v>
      </c>
      <c r="CV831" s="4" t="str">
        <f>HYPERLINK("http://exon.niaid.nih.gov/transcriptome/C_felis/S1/links/PFAM/cf-contig_160-PFAM.txt","Ded_cyto")</f>
        <v>Ded_cyto</v>
      </c>
      <c r="CW831" t="str">
        <f>HYPERLINK("http://pfam.sanger.ac.uk/family?acc=PF06920","0.002")</f>
        <v>0.002</v>
      </c>
      <c r="CX831" s="4" t="str">
        <f>HYPERLINK("http://exon.niaid.nih.gov/transcriptome/C_felis/S1/links/SMART/cf-contig_160-SMART.txt","G_alpha")</f>
        <v>G_alpha</v>
      </c>
      <c r="CY831" t="str">
        <f>HYPERLINK("http://smart.embl-heidelberg.de/smart/do_annotation.pl?DOMAIN=G_alpha&amp;BLAST=DUMMY","0.001")</f>
        <v>0.001</v>
      </c>
      <c r="CZ831" s="4" t="s">
        <v>42</v>
      </c>
      <c r="DA831" t="s">
        <v>42</v>
      </c>
      <c r="DB831" t="s">
        <v>42</v>
      </c>
      <c r="DC831" t="s">
        <v>42</v>
      </c>
      <c r="DD831" t="s">
        <v>42</v>
      </c>
      <c r="DE831" t="s">
        <v>42</v>
      </c>
      <c r="DF831" t="s">
        <v>42</v>
      </c>
      <c r="DG831" t="s">
        <v>42</v>
      </c>
      <c r="DH831" s="4" t="s">
        <v>42</v>
      </c>
      <c r="DI831" t="s">
        <v>42</v>
      </c>
      <c r="DJ831" s="4" t="s">
        <v>42</v>
      </c>
      <c r="DK831" t="s">
        <v>42</v>
      </c>
      <c r="DL831" s="4">
        <f>HYPERLINK("http://exon.niaid.nih.gov/transcriptome/C_felis/S1/links/cluster/cf-5-36-asb30-50-Id-CLU22.txt", 22)</f>
        <v>22</v>
      </c>
      <c r="DM831">
        <f>HYPERLINK("http://exon.niaid.nih.gov/transcriptome/C_felis/S1/links/cluster/cf-5-36-asb30-50-Id-CLTL22.txt", 3)</f>
        <v>3</v>
      </c>
      <c r="DN831" s="4">
        <f>HYPERLINK("http://exon.niaid.nih.gov/transcriptome/C_felis/S1/links/cluster/cf-5-36-asb35-50-Id-CLU19.txt", 19)</f>
        <v>19</v>
      </c>
      <c r="DO831">
        <f>HYPERLINK("http://exon.niaid.nih.gov/transcriptome/C_felis/S1/links/cluster/cf-5-36-asb35-50-Id-CLTL19.txt", 3)</f>
        <v>3</v>
      </c>
      <c r="DP831" s="4">
        <f>HYPERLINK("http://exon.niaid.nih.gov/transcriptome/C_felis/S1/links/cluster/cf-5-36-asb40-50-Id-CLU18.txt", 18)</f>
        <v>18</v>
      </c>
      <c r="DQ831">
        <f>HYPERLINK("http://exon.niaid.nih.gov/transcriptome/C_felis/S1/links/cluster/cf-5-36-asb40-50-Id-CLTL18.txt", 3)</f>
        <v>3</v>
      </c>
      <c r="DR831" s="4">
        <f>HYPERLINK("http://exon.niaid.nih.gov/transcriptome/C_felis/S1/links/cluster/cf-5-36-asb45-50-Id-CLU14.txt", 14)</f>
        <v>14</v>
      </c>
      <c r="DS831">
        <f>HYPERLINK("http://exon.niaid.nih.gov/transcriptome/C_felis/S1/links/cluster/cf-5-36-asb45-50-Id-CLTL14.txt", 3)</f>
        <v>3</v>
      </c>
      <c r="DT831" s="4">
        <v>139</v>
      </c>
      <c r="DU831">
        <v>1</v>
      </c>
      <c r="DV831" s="4">
        <v>149</v>
      </c>
      <c r="DW831">
        <v>1</v>
      </c>
      <c r="DX831" s="4">
        <v>151</v>
      </c>
      <c r="DY831">
        <v>1</v>
      </c>
      <c r="DZ831" s="4">
        <v>151</v>
      </c>
      <c r="EA831">
        <v>1</v>
      </c>
      <c r="EB831" s="4">
        <v>156</v>
      </c>
      <c r="EC831">
        <v>1</v>
      </c>
      <c r="ED831" s="4">
        <v>157</v>
      </c>
      <c r="EE831">
        <v>1</v>
      </c>
      <c r="EF831" s="4">
        <v>158</v>
      </c>
      <c r="EG831">
        <v>1</v>
      </c>
      <c r="EH831" s="4">
        <v>157</v>
      </c>
      <c r="EI831">
        <v>1</v>
      </c>
      <c r="EJ831" s="4">
        <v>160</v>
      </c>
      <c r="EK831">
        <v>1</v>
      </c>
    </row>
    <row r="832" spans="1:141" x14ac:dyDescent="0.2">
      <c r="A832" t="str">
        <f>HYPERLINK("http://exon.niaid.nih.gov/transcriptome/C_felis/S1/links/cf/cf-contig_57.txt","cf-contig_57")</f>
        <v>cf-contig_57</v>
      </c>
      <c r="B832">
        <v>9</v>
      </c>
      <c r="C832" s="10" t="s">
        <v>4600</v>
      </c>
      <c r="D832">
        <v>9</v>
      </c>
      <c r="E832" t="str">
        <f>HYPERLINK("http://exon.niaid.nih.gov/transcriptome/C_felis/S1/links/cf/cf-5-36-asb-57.txt","Contig-57")</f>
        <v>Contig-57</v>
      </c>
      <c r="F832" t="str">
        <f>HYPERLINK("http://exon.niaid.nih.gov/transcriptome/C_felis/S1/links/cf/cf-5-36-57-CLU.txt","Contig57")</f>
        <v>Contig57</v>
      </c>
      <c r="G832" t="str">
        <f>HYPERLINK("http://exon.niaid.nih.gov/transcriptome/C_felis/S1/links/cf/cf-5-36-57-qual.txt","92.1")</f>
        <v>92.1</v>
      </c>
      <c r="H832" t="s">
        <v>11</v>
      </c>
      <c r="I832">
        <v>70.099999999999994</v>
      </c>
      <c r="J832">
        <v>349</v>
      </c>
      <c r="K832" t="s">
        <v>12</v>
      </c>
      <c r="L832">
        <v>9</v>
      </c>
      <c r="M832" t="s">
        <v>70</v>
      </c>
      <c r="N832">
        <v>359</v>
      </c>
      <c r="O832">
        <v>378</v>
      </c>
      <c r="P832">
        <v>261</v>
      </c>
      <c r="Q832" t="s">
        <v>879</v>
      </c>
      <c r="R832">
        <v>1</v>
      </c>
      <c r="S832" s="7" t="str">
        <f>HYPERLINK("http://exon.niaid.nih.gov/transcriptome/C_felis/S1/links/Sigp/CF-CONTIG_57-SigP.txt","Cyt")</f>
        <v>Cyt</v>
      </c>
      <c r="U832">
        <v>9</v>
      </c>
      <c r="V832" s="4">
        <f>HYPERLINK("http://exon.niaid.nih.gov/transcriptome/C_felis/S1/links/cluster/cf-5-36-asb30-50-Id-CLU31.txt", 31)</f>
        <v>31</v>
      </c>
      <c r="W832">
        <f>HYPERLINK("http://exon.niaid.nih.gov/transcriptome/C_felis/S1/links/cluster/cf-5-36-asb30-50-Id-CLTL31.txt", 2)</f>
        <v>2</v>
      </c>
      <c r="X832" s="4">
        <f>HYPERLINK("http://exon.niaid.nih.gov/transcriptome/C_felis/S1/links/cluster/cf-5-36-asb35-50-Id-CLU25.txt", 25)</f>
        <v>25</v>
      </c>
      <c r="Y832">
        <f>HYPERLINK("http://exon.niaid.nih.gov/transcriptome/C_felis/S1/links/cluster/cf-5-36-asb35-50-Id-CLTL25.txt", 2)</f>
        <v>2</v>
      </c>
      <c r="Z832" s="4">
        <f>HYPERLINK("http://exon.niaid.nih.gov/transcriptome/C_felis/S1/links/cluster/cf-5-36-asb40-50-Id-CLU23.txt", 23)</f>
        <v>23</v>
      </c>
      <c r="AA832">
        <f>HYPERLINK("http://exon.niaid.nih.gov/transcriptome/C_felis/S1/links/cluster/cf-5-36-asb40-50-Id-CLTL23.txt", 2)</f>
        <v>2</v>
      </c>
      <c r="AB832" s="4" t="str">
        <f>HYPERLINK("http://exon.niaid.nih.gov/transcriptome/C_felis/S1/links/XC-ASB/cf-contig_57-XC-ASB.txt","XC-contig_136")</f>
        <v>XC-contig_136</v>
      </c>
      <c r="AC832">
        <v>1E-3</v>
      </c>
      <c r="AD832" s="10" t="s">
        <v>4600</v>
      </c>
      <c r="AE832" t="s">
        <v>4601</v>
      </c>
      <c r="AI832" s="4" t="str">
        <f>HYPERLINK("http://exon.niaid.nih.gov/transcriptome/C_felis/S1/links/NR/cf-contig_57-NR.txt","hypothetical protein TcasGA2_TC014687")</f>
        <v>hypothetical protein TcasGA2_TC014687</v>
      </c>
      <c r="AJ832" t="str">
        <f>HYPERLINK("http://www.ncbi.nlm.nih.gov/sutils/blink.cgi?pid=270007941","0.50")</f>
        <v>0.50</v>
      </c>
      <c r="AK832" t="str">
        <f>HYPERLINK("http://www.ncbi.nlm.nih.gov/protein/270007941","gi|270007941")</f>
        <v>gi|270007941</v>
      </c>
      <c r="AL832">
        <v>38.1</v>
      </c>
      <c r="AM832">
        <v>53</v>
      </c>
      <c r="AN832">
        <v>552</v>
      </c>
      <c r="AO832">
        <v>39</v>
      </c>
      <c r="AP832">
        <v>10</v>
      </c>
      <c r="AQ832">
        <v>40</v>
      </c>
      <c r="AR832">
        <v>1</v>
      </c>
      <c r="AS832">
        <v>491</v>
      </c>
      <c r="AT832">
        <v>4</v>
      </c>
      <c r="AU832">
        <v>1</v>
      </c>
      <c r="AV832">
        <v>1</v>
      </c>
      <c r="AW832" t="s">
        <v>12</v>
      </c>
      <c r="AY832" t="s">
        <v>1676</v>
      </c>
      <c r="AZ832" t="s">
        <v>1878</v>
      </c>
      <c r="BA832" s="4" t="str">
        <f>HYPERLINK("http://exon.niaid.nih.gov/transcriptome/C_felis/S1/links/SWISSP/cf-contig_57-SWISSP.txt","Neuroligin-2")</f>
        <v>Neuroligin-2</v>
      </c>
      <c r="BB832" t="str">
        <f>HYPERLINK("http://www.uniprot.org/uniprot/Q62888","0.20")</f>
        <v>0.20</v>
      </c>
      <c r="BC832" t="s">
        <v>1873</v>
      </c>
      <c r="BD832">
        <v>34.700000000000003</v>
      </c>
      <c r="BE832">
        <v>75</v>
      </c>
      <c r="BF832">
        <v>836</v>
      </c>
      <c r="BG832">
        <v>28</v>
      </c>
      <c r="BH832">
        <v>9</v>
      </c>
      <c r="BI832">
        <v>55</v>
      </c>
      <c r="BJ832">
        <v>0</v>
      </c>
      <c r="BK832">
        <v>540</v>
      </c>
      <c r="BL832">
        <v>1</v>
      </c>
      <c r="BM832">
        <v>1</v>
      </c>
      <c r="BN832">
        <v>1</v>
      </c>
      <c r="BO832" t="s">
        <v>12</v>
      </c>
      <c r="BQ832" t="s">
        <v>1676</v>
      </c>
      <c r="BR832" t="s">
        <v>1684</v>
      </c>
      <c r="BS832" s="4" t="str">
        <f>HYPERLINK("http://exon.niaid.nih.gov/transcriptome/C_felis/S1/links/CDD/cf-contig_57-CDD.txt","UPF0564")</f>
        <v>UPF0564</v>
      </c>
      <c r="BT832" t="str">
        <f>HYPERLINK("http://www.ncbi.nlm.nih.gov/Structure/cdd/cddsrv.cgi?uid=pfam10595&amp;version=v4.0","0.001")</f>
        <v>0.001</v>
      </c>
      <c r="BU832" t="s">
        <v>1879</v>
      </c>
      <c r="BV832" s="4" t="s">
        <v>42</v>
      </c>
      <c r="BW832" t="s">
        <v>42</v>
      </c>
      <c r="BX832" t="s">
        <v>42</v>
      </c>
      <c r="BY832" t="s">
        <v>42</v>
      </c>
      <c r="BZ832" t="s">
        <v>42</v>
      </c>
      <c r="CA832" t="s">
        <v>42</v>
      </c>
      <c r="CB832" t="s">
        <v>42</v>
      </c>
      <c r="CC832" t="s">
        <v>42</v>
      </c>
      <c r="CD832" t="s">
        <v>42</v>
      </c>
      <c r="CE832" t="s">
        <v>42</v>
      </c>
      <c r="CF832" t="s">
        <v>42</v>
      </c>
      <c r="CG832" t="s">
        <v>42</v>
      </c>
      <c r="CH832" t="s">
        <v>42</v>
      </c>
      <c r="CI832" t="s">
        <v>42</v>
      </c>
      <c r="CJ832" t="s">
        <v>42</v>
      </c>
      <c r="CK832" t="s">
        <v>42</v>
      </c>
      <c r="CL832" t="s">
        <v>42</v>
      </c>
      <c r="CM832" t="s">
        <v>42</v>
      </c>
      <c r="CN832" t="s">
        <v>42</v>
      </c>
      <c r="CO832" t="s">
        <v>42</v>
      </c>
      <c r="CP832" t="s">
        <v>42</v>
      </c>
      <c r="CQ832" t="s">
        <v>42</v>
      </c>
      <c r="CR832" t="s">
        <v>42</v>
      </c>
      <c r="CS832" s="4" t="str">
        <f>HYPERLINK("http://exon.niaid.nih.gov/transcriptome/C_felis/S1/links/KOG/cf-contig_57-KOG.txt","Membrane-associated proteoglycan Leprecan")</f>
        <v>Membrane-associated proteoglycan Leprecan</v>
      </c>
      <c r="CT832" t="str">
        <f>HYPERLINK("http://www.ncbi.nlm.nih.gov/COG/grace/shokog.cgi?KOG4459","0.062")</f>
        <v>0.062</v>
      </c>
      <c r="CU832" t="s">
        <v>1711</v>
      </c>
      <c r="CV832" s="4" t="str">
        <f>HYPERLINK("http://exon.niaid.nih.gov/transcriptome/C_felis/S1/links/PFAM/cf-contig_57-PFAM.txt","UPF0564")</f>
        <v>UPF0564</v>
      </c>
      <c r="CW832" t="str">
        <f>HYPERLINK("http://pfam.sanger.ac.uk/family?acc=PF10595","2E-004")</f>
        <v>2E-004</v>
      </c>
      <c r="CX832" s="4" t="str">
        <f>HYPERLINK("http://exon.niaid.nih.gov/transcriptome/C_felis/S1/links/SMART/cf-contig_57-SMART.txt","BAR")</f>
        <v>BAR</v>
      </c>
      <c r="CY832" t="str">
        <f>HYPERLINK("http://smart.embl-heidelberg.de/smart/do_annotation.pl?DOMAIN=BAR&amp;BLAST=DUMMY","0.63")</f>
        <v>0.63</v>
      </c>
      <c r="CZ832" s="4" t="s">
        <v>42</v>
      </c>
      <c r="DA832" t="s">
        <v>42</v>
      </c>
      <c r="DB832" t="s">
        <v>42</v>
      </c>
      <c r="DC832" t="s">
        <v>42</v>
      </c>
      <c r="DD832" t="s">
        <v>42</v>
      </c>
      <c r="DE832" t="s">
        <v>42</v>
      </c>
      <c r="DF832" t="s">
        <v>42</v>
      </c>
      <c r="DG832" t="s">
        <v>42</v>
      </c>
      <c r="DH832" s="4" t="s">
        <v>42</v>
      </c>
      <c r="DI832" t="s">
        <v>42</v>
      </c>
      <c r="DJ832" s="4" t="s">
        <v>42</v>
      </c>
      <c r="DK832" t="s">
        <v>42</v>
      </c>
      <c r="DL832" s="4">
        <f>HYPERLINK("http://exon.niaid.nih.gov/transcriptome/C_felis/S1/links/cluster/cf-5-36-asb30-50-Id-CLU31.txt", 31)</f>
        <v>31</v>
      </c>
      <c r="DM832">
        <f>HYPERLINK("http://exon.niaid.nih.gov/transcriptome/C_felis/S1/links/cluster/cf-5-36-asb30-50-Id-CLTL31.txt", 2)</f>
        <v>2</v>
      </c>
      <c r="DN832" s="4">
        <f>HYPERLINK("http://exon.niaid.nih.gov/transcriptome/C_felis/S1/links/cluster/cf-5-36-asb35-50-Id-CLU25.txt", 25)</f>
        <v>25</v>
      </c>
      <c r="DO832">
        <f>HYPERLINK("http://exon.niaid.nih.gov/transcriptome/C_felis/S1/links/cluster/cf-5-36-asb35-50-Id-CLTL25.txt", 2)</f>
        <v>2</v>
      </c>
      <c r="DP832" s="4">
        <f>HYPERLINK("http://exon.niaid.nih.gov/transcriptome/C_felis/S1/links/cluster/cf-5-36-asb40-50-Id-CLU23.txt", 23)</f>
        <v>23</v>
      </c>
      <c r="DQ832">
        <f>HYPERLINK("http://exon.niaid.nih.gov/transcriptome/C_felis/S1/links/cluster/cf-5-36-asb40-50-Id-CLTL23.txt", 2)</f>
        <v>2</v>
      </c>
      <c r="DR832" s="4">
        <f>HYPERLINK("http://exon.niaid.nih.gov/transcriptome/C_felis/S1/links/cluster/cf-5-36-asb45-50-Id-CLU21.txt", 21)</f>
        <v>21</v>
      </c>
      <c r="DS832">
        <f>HYPERLINK("http://exon.niaid.nih.gov/transcriptome/C_felis/S1/links/cluster/cf-5-36-asb45-50-Id-CLTL21.txt", 2)</f>
        <v>2</v>
      </c>
      <c r="DT832" s="4">
        <f>HYPERLINK("http://exon.niaid.nih.gov/transcriptome/C_felis/S1/links/cluster/cf-5-36-asb50-50-Id-CLU18.txt", 18)</f>
        <v>18</v>
      </c>
      <c r="DU832">
        <f>HYPERLINK("http://exon.niaid.nih.gov/transcriptome/C_felis/S1/links/cluster/cf-5-36-asb50-50-Id-CLTL18.txt", 2)</f>
        <v>2</v>
      </c>
      <c r="DV832" s="4">
        <v>80</v>
      </c>
      <c r="DW832">
        <v>1</v>
      </c>
      <c r="DX832" s="4">
        <v>75</v>
      </c>
      <c r="DY832">
        <v>1</v>
      </c>
      <c r="DZ832" s="4">
        <v>73</v>
      </c>
      <c r="EA832">
        <v>1</v>
      </c>
      <c r="EB832" s="4">
        <v>73</v>
      </c>
      <c r="EC832">
        <v>1</v>
      </c>
      <c r="ED832" s="4">
        <v>74</v>
      </c>
      <c r="EE832">
        <v>1</v>
      </c>
      <c r="EF832" s="4">
        <v>69</v>
      </c>
      <c r="EG832">
        <v>1</v>
      </c>
      <c r="EH832" s="4">
        <v>59</v>
      </c>
      <c r="EI832">
        <v>1</v>
      </c>
      <c r="EJ832" s="4">
        <v>57</v>
      </c>
      <c r="EK832">
        <v>1</v>
      </c>
    </row>
    <row r="833" spans="1:141" x14ac:dyDescent="0.2">
      <c r="A833" t="str">
        <f>HYPERLINK("http://exon.niaid.nih.gov/transcriptome/C_felis/S1/links/cf/cf-contig_407.txt","cf-contig_407")</f>
        <v>cf-contig_407</v>
      </c>
      <c r="B833">
        <v>1</v>
      </c>
      <c r="C833" s="10" t="s">
        <v>4600</v>
      </c>
      <c r="D833">
        <v>1</v>
      </c>
      <c r="E833" t="str">
        <f>HYPERLINK("http://exon.niaid.nih.gov/transcriptome/C_felis/S1/links/cf/cf-5-36-asb-407.txt","Contig-407")</f>
        <v>Contig-407</v>
      </c>
      <c r="F833" t="str">
        <f>HYPERLINK("http://exon.niaid.nih.gov/transcriptome/C_felis/S1/links/cf/cf-5-36-407-CLU.txt","Contig407")</f>
        <v>Contig407</v>
      </c>
      <c r="G833" t="str">
        <f>HYPERLINK("http://exon.niaid.nih.gov/transcriptome/C_felis/S1/links/cf/cf-5-36-407-qual.txt","34.8")</f>
        <v>34.8</v>
      </c>
      <c r="H833">
        <v>1.1000000000000001</v>
      </c>
      <c r="I833">
        <v>65.400000000000006</v>
      </c>
      <c r="J833">
        <v>163</v>
      </c>
      <c r="K833" t="s">
        <v>12</v>
      </c>
      <c r="L833">
        <v>1</v>
      </c>
      <c r="M833" t="s">
        <v>420</v>
      </c>
      <c r="N833">
        <v>163</v>
      </c>
      <c r="O833">
        <v>182</v>
      </c>
      <c r="P833">
        <v>177</v>
      </c>
      <c r="Q833" t="s">
        <v>1227</v>
      </c>
      <c r="R833">
        <v>3</v>
      </c>
      <c r="S833" s="7" t="s">
        <v>4585</v>
      </c>
      <c r="U833">
        <v>1</v>
      </c>
      <c r="V833" s="4">
        <f>HYPERLINK("http://exon.niaid.nih.gov/transcriptome/C_felis/S1/links/cluster/cf-5-36-asb30-50-Id-CLU333.txt", 333)</f>
        <v>333</v>
      </c>
      <c r="W833">
        <f>HYPERLINK("http://exon.niaid.nih.gov/transcriptome/C_felis/S1/links/cluster/cf-5-36-asb30-50-Id-CLTL333.txt", 1)</f>
        <v>1</v>
      </c>
      <c r="X833" s="4">
        <v>341</v>
      </c>
      <c r="Y833">
        <v>1</v>
      </c>
      <c r="Z833" s="4">
        <v>342</v>
      </c>
      <c r="AA833">
        <v>1</v>
      </c>
      <c r="AB833" s="4" t="str">
        <f>HYPERLINK("http://exon.niaid.nih.gov/transcriptome/C_felis/S1/links/XC-ASB/cf-contig_407-XC-ASB.txt","XC-contig_246")</f>
        <v>XC-contig_246</v>
      </c>
      <c r="AC833">
        <v>1.0000000000000001E-5</v>
      </c>
      <c r="AD833" s="10" t="s">
        <v>4600</v>
      </c>
      <c r="AE833" t="s">
        <v>4601</v>
      </c>
      <c r="AI833" s="4" t="str">
        <f>HYPERLINK("http://exon.niaid.nih.gov/transcriptome/C_felis/S1/links/NR/cf-contig_407-NR.txt","predicted protein")</f>
        <v>predicted protein</v>
      </c>
      <c r="AJ833" t="str">
        <f>HYPERLINK("http://www.ncbi.nlm.nih.gov/sutils/blink.cgi?pid=340517072","3E-005")</f>
        <v>3E-005</v>
      </c>
      <c r="AK833" t="str">
        <f>HYPERLINK("http://www.ncbi.nlm.nih.gov/protein/340517072","gi|340517072")</f>
        <v>gi|340517072</v>
      </c>
      <c r="AL833">
        <v>52.4</v>
      </c>
      <c r="AM833">
        <v>80</v>
      </c>
      <c r="AN833">
        <v>95</v>
      </c>
      <c r="AO833">
        <v>44</v>
      </c>
      <c r="AP833">
        <v>85</v>
      </c>
      <c r="AQ833">
        <v>28</v>
      </c>
      <c r="AR833">
        <v>0</v>
      </c>
      <c r="AS833">
        <v>0</v>
      </c>
      <c r="AT833">
        <v>0</v>
      </c>
      <c r="AU833">
        <v>51</v>
      </c>
      <c r="AV833">
        <v>1</v>
      </c>
      <c r="AW833" t="s">
        <v>1689</v>
      </c>
      <c r="AY833" t="s">
        <v>1676</v>
      </c>
      <c r="AZ833" t="s">
        <v>3107</v>
      </c>
      <c r="BA833" s="4" t="str">
        <f>HYPERLINK("http://exon.niaid.nih.gov/transcriptome/C_felis/S1/links/SWISSP/cf-contig_407-SWISSP.txt","UPF0329 protein ECU05_1680/ECU11_0050")</f>
        <v>UPF0329 protein ECU05_1680/ECU11_0050</v>
      </c>
      <c r="BB833" t="str">
        <f>HYPERLINK("http://www.uniprot.org/uniprot/Q8STA9","1E-004")</f>
        <v>1E-004</v>
      </c>
      <c r="BC833" t="s">
        <v>3108</v>
      </c>
      <c r="BD833">
        <v>45.4</v>
      </c>
      <c r="BE833">
        <v>99</v>
      </c>
      <c r="BF833">
        <v>612</v>
      </c>
      <c r="BG833">
        <v>46</v>
      </c>
      <c r="BH833">
        <v>16</v>
      </c>
      <c r="BI833">
        <v>23</v>
      </c>
      <c r="BJ833">
        <v>0</v>
      </c>
      <c r="BK833">
        <v>0</v>
      </c>
      <c r="BL833">
        <v>0</v>
      </c>
      <c r="BM833">
        <v>27</v>
      </c>
      <c r="BN833">
        <v>1</v>
      </c>
      <c r="BO833" t="s">
        <v>1689</v>
      </c>
      <c r="BQ833" t="s">
        <v>1676</v>
      </c>
      <c r="BR833" t="s">
        <v>3109</v>
      </c>
      <c r="BS833" s="4" t="str">
        <f>HYPERLINK("http://exon.niaid.nih.gov/transcriptome/C_felis/S1/links/CDD/cf-contig_407-CDD.txt","DUF2011")</f>
        <v>DUF2011</v>
      </c>
      <c r="BT833" t="str">
        <f>HYPERLINK("http://www.ncbi.nlm.nih.gov/Structure/cdd/cddsrv.cgi?uid=pfam09428&amp;version=v4.0","2E-005")</f>
        <v>2E-005</v>
      </c>
      <c r="BU833" t="s">
        <v>3110</v>
      </c>
      <c r="BV833" s="4" t="s">
        <v>3111</v>
      </c>
      <c r="BW833">
        <f>HYPERLINK("http://exon.niaid.nih.gov/transcriptome/C_felis/S1/links/GO/cf-contig_407-GO.txt",0.000009)</f>
        <v>9.0000000000000002E-6</v>
      </c>
      <c r="BX833" t="str">
        <f>HYPERLINK("http://amigo.geneontology.org/cgi-bin/amigo/term_details?term=GO:0005086","GO:0005086")</f>
        <v>GO:0005086</v>
      </c>
      <c r="BY833" t="s">
        <v>2950</v>
      </c>
      <c r="BZ833" t="s">
        <v>2951</v>
      </c>
      <c r="CA833" t="s">
        <v>42</v>
      </c>
      <c r="CB833" t="s">
        <v>42</v>
      </c>
      <c r="CD833">
        <v>4.0000000000000003E-5</v>
      </c>
      <c r="CE833" t="str">
        <f>HYPERLINK("http://amigo.geneontology.org/cgi-bin/amigo/term_details?term=GO:0005737","GO:0005737")</f>
        <v>GO:0005737</v>
      </c>
      <c r="CF833" t="s">
        <v>1966</v>
      </c>
      <c r="CG833" t="s">
        <v>1967</v>
      </c>
      <c r="CH833" t="s">
        <v>42</v>
      </c>
      <c r="CI833" t="s">
        <v>42</v>
      </c>
      <c r="CK833">
        <v>4.0000000000000003E-5</v>
      </c>
      <c r="CL833" t="str">
        <f>HYPERLINK("http://amigo.geneontology.org/cgi-bin/amigo/term_details?term=GO:0016192","GO:0016192")</f>
        <v>GO:0016192</v>
      </c>
      <c r="CM833" t="s">
        <v>3112</v>
      </c>
      <c r="CN833" t="s">
        <v>3113</v>
      </c>
      <c r="CO833" t="s">
        <v>3114</v>
      </c>
      <c r="CP833" t="s">
        <v>42</v>
      </c>
      <c r="CR833">
        <v>4.0000000000000003E-5</v>
      </c>
      <c r="CS833" s="4" t="str">
        <f>HYPERLINK("http://exon.niaid.nih.gov/transcriptome/C_felis/S1/links/KOG/cf-contig_407-KOG.txt","Chromatin assembly factor-I")</f>
        <v>Chromatin assembly factor-I</v>
      </c>
      <c r="CT833" t="str">
        <f>HYPERLINK("http://www.ncbi.nlm.nih.gov/COG/grace/shokog.cgi?KOG4364","1E-005")</f>
        <v>1E-005</v>
      </c>
      <c r="CU833" t="s">
        <v>2096</v>
      </c>
      <c r="CV833" s="4" t="str">
        <f>HYPERLINK("http://exon.niaid.nih.gov/transcriptome/C_felis/S1/links/PFAM/cf-contig_407-PFAM.txt","DUF2011")</f>
        <v>DUF2011</v>
      </c>
      <c r="CW833" t="str">
        <f>HYPERLINK("http://pfam.sanger.ac.uk/family?acc=PF09428","4E-006")</f>
        <v>4E-006</v>
      </c>
      <c r="CX833" s="4" t="str">
        <f>HYPERLINK("http://exon.niaid.nih.gov/transcriptome/C_felis/S1/links/SMART/cf-contig_407-SMART.txt","TOPEUc")</f>
        <v>TOPEUc</v>
      </c>
      <c r="CY833" t="str">
        <f>HYPERLINK("http://smart.embl-heidelberg.de/smart/do_annotation.pl?DOMAIN=TOPEUc&amp;BLAST=DUMMY","0.001")</f>
        <v>0.001</v>
      </c>
      <c r="CZ833" s="4" t="s">
        <v>42</v>
      </c>
      <c r="DA833" t="s">
        <v>42</v>
      </c>
      <c r="DB833" t="s">
        <v>42</v>
      </c>
      <c r="DC833" t="s">
        <v>42</v>
      </c>
      <c r="DD833" t="s">
        <v>42</v>
      </c>
      <c r="DE833" t="s">
        <v>42</v>
      </c>
      <c r="DF833" t="s">
        <v>42</v>
      </c>
      <c r="DG833" t="s">
        <v>42</v>
      </c>
      <c r="DH833" s="4" t="s">
        <v>42</v>
      </c>
      <c r="DI833" t="s">
        <v>42</v>
      </c>
      <c r="DJ833" s="4" t="s">
        <v>42</v>
      </c>
      <c r="DK833" t="s">
        <v>42</v>
      </c>
      <c r="DL833" s="4">
        <f>HYPERLINK("http://exon.niaid.nih.gov/transcriptome/C_felis/S1/links/cluster/cf-5-36-asb30-50-Id-CLU333.txt", 333)</f>
        <v>333</v>
      </c>
      <c r="DM833">
        <f>HYPERLINK("http://exon.niaid.nih.gov/transcriptome/C_felis/S1/links/cluster/cf-5-36-asb30-50-Id-CLTL333.txt", 1)</f>
        <v>1</v>
      </c>
      <c r="DN833" s="4">
        <v>341</v>
      </c>
      <c r="DO833">
        <v>1</v>
      </c>
      <c r="DP833" s="4">
        <v>342</v>
      </c>
      <c r="DQ833">
        <v>1</v>
      </c>
      <c r="DR833" s="4">
        <v>353</v>
      </c>
      <c r="DS833">
        <v>1</v>
      </c>
      <c r="DT833" s="4">
        <v>363</v>
      </c>
      <c r="DU833">
        <v>1</v>
      </c>
      <c r="DV833" s="4">
        <v>376</v>
      </c>
      <c r="DW833">
        <v>1</v>
      </c>
      <c r="DX833" s="4">
        <v>379</v>
      </c>
      <c r="DY833">
        <v>1</v>
      </c>
      <c r="DZ833" s="4">
        <v>384</v>
      </c>
      <c r="EA833">
        <v>1</v>
      </c>
      <c r="EB833" s="4">
        <v>389</v>
      </c>
      <c r="EC833">
        <v>1</v>
      </c>
      <c r="ED833" s="4">
        <v>393</v>
      </c>
      <c r="EE833">
        <v>1</v>
      </c>
      <c r="EF833" s="4">
        <v>398</v>
      </c>
      <c r="EG833">
        <v>1</v>
      </c>
      <c r="EH833" s="4">
        <v>401</v>
      </c>
      <c r="EI833">
        <v>1</v>
      </c>
      <c r="EJ833" s="4">
        <v>407</v>
      </c>
      <c r="EK833">
        <v>1</v>
      </c>
    </row>
    <row r="834" spans="1:141" x14ac:dyDescent="0.2">
      <c r="A834" t="str">
        <f>HYPERLINK("http://exon.niaid.nih.gov/transcriptome/C_felis/S1/links/cf/cf-contig_448.txt","cf-contig_448")</f>
        <v>cf-contig_448</v>
      </c>
      <c r="B834">
        <v>1</v>
      </c>
      <c r="C834" s="10" t="s">
        <v>4600</v>
      </c>
      <c r="D834">
        <v>1</v>
      </c>
      <c r="E834" t="str">
        <f>HYPERLINK("http://exon.niaid.nih.gov/transcriptome/C_felis/S1/links/cf/cf-5-36-asb-448.txt","Contig-448")</f>
        <v>Contig-448</v>
      </c>
      <c r="F834" t="str">
        <f>HYPERLINK("http://exon.niaid.nih.gov/transcriptome/C_felis/S1/links/cf/cf-5-36-448-CLU.txt","Contig448")</f>
        <v>Contig448</v>
      </c>
      <c r="G834" t="str">
        <f>HYPERLINK("http://exon.niaid.nih.gov/transcriptome/C_felis/S1/links/cf/cf-5-36-448-qual.txt","62.9")</f>
        <v>62.9</v>
      </c>
      <c r="H834" t="s">
        <v>11</v>
      </c>
      <c r="I834">
        <v>77.900000000000006</v>
      </c>
      <c r="J834">
        <v>230</v>
      </c>
      <c r="K834" t="s">
        <v>12</v>
      </c>
      <c r="L834">
        <v>1</v>
      </c>
      <c r="M834" t="s">
        <v>461</v>
      </c>
      <c r="N834">
        <v>230</v>
      </c>
      <c r="O834">
        <v>249</v>
      </c>
      <c r="P834">
        <v>138</v>
      </c>
      <c r="Q834" t="s">
        <v>1267</v>
      </c>
      <c r="R834">
        <v>2</v>
      </c>
      <c r="S834" s="7" t="str">
        <f>HYPERLINK("http://exon.niaid.nih.gov/transcriptome/C_felis/S1/links/Sigp/CF-CONTIG_448-SigP.txt","Cyt")</f>
        <v>Cyt</v>
      </c>
      <c r="U834">
        <v>1</v>
      </c>
      <c r="V834" s="4">
        <v>363</v>
      </c>
      <c r="W834">
        <v>1</v>
      </c>
      <c r="X834" s="4">
        <v>372</v>
      </c>
      <c r="Y834">
        <v>1</v>
      </c>
      <c r="Z834" s="4">
        <v>377</v>
      </c>
      <c r="AA834">
        <v>1</v>
      </c>
      <c r="AB834" s="4" t="str">
        <f>HYPERLINK("http://exon.niaid.nih.gov/transcriptome/C_felis/S1/links/XC-ASB/cf-contig_448-XC-ASB.txt","XC-contig_62")</f>
        <v>XC-contig_62</v>
      </c>
      <c r="AC834">
        <v>1E-3</v>
      </c>
      <c r="AD834" s="10" t="s">
        <v>4600</v>
      </c>
      <c r="AE834" t="s">
        <v>4601</v>
      </c>
      <c r="AI834" s="4" t="str">
        <f>HYPERLINK("http://exon.niaid.nih.gov/transcriptome/C_felis/S1/links/NR/cf-contig_448-NR.txt","hypothetical protein")</f>
        <v>hypothetical protein</v>
      </c>
      <c r="AJ834" t="str">
        <f>HYPERLINK("http://www.ncbi.nlm.nih.gov/sutils/blink.cgi?pid=123413828","0.64")</f>
        <v>0.64</v>
      </c>
      <c r="AK834" t="str">
        <f>HYPERLINK("http://www.ncbi.nlm.nih.gov/protein/123413828","gi|123413828")</f>
        <v>gi|123413828</v>
      </c>
      <c r="AL834">
        <v>37.700000000000003</v>
      </c>
      <c r="AM834">
        <v>51</v>
      </c>
      <c r="AN834">
        <v>207</v>
      </c>
      <c r="AO834">
        <v>38</v>
      </c>
      <c r="AP834">
        <v>25</v>
      </c>
      <c r="AQ834">
        <v>32</v>
      </c>
      <c r="AR834">
        <v>3</v>
      </c>
      <c r="AS834">
        <v>114</v>
      </c>
      <c r="AT834">
        <v>64</v>
      </c>
      <c r="AU834">
        <v>1</v>
      </c>
      <c r="AV834">
        <v>-1</v>
      </c>
      <c r="AW834" t="s">
        <v>12</v>
      </c>
      <c r="AY834" t="s">
        <v>1666</v>
      </c>
      <c r="AZ834" t="s">
        <v>3278</v>
      </c>
      <c r="BA834" s="4" t="str">
        <f>HYPERLINK("http://exon.niaid.nih.gov/transcriptome/C_felis/S1/links/SWISSP/cf-contig_448-SWISSP.txt","1-deoxy-D-xylulose 5-phosphate reductoisomerase")</f>
        <v>1-deoxy-D-xylulose 5-phosphate reductoisomerase</v>
      </c>
      <c r="BB834" t="str">
        <f>HYPERLINK("http://www.uniprot.org/uniprot/A8F4Z0","0.56")</f>
        <v>0.56</v>
      </c>
      <c r="BC834" t="s">
        <v>3279</v>
      </c>
      <c r="BD834">
        <v>33.1</v>
      </c>
      <c r="BE834">
        <v>30</v>
      </c>
      <c r="BF834">
        <v>359</v>
      </c>
      <c r="BG834">
        <v>45</v>
      </c>
      <c r="BH834">
        <v>9</v>
      </c>
      <c r="BI834">
        <v>17</v>
      </c>
      <c r="BJ834">
        <v>0</v>
      </c>
      <c r="BK834">
        <v>267</v>
      </c>
      <c r="BL834">
        <v>11</v>
      </c>
      <c r="BM834">
        <v>1</v>
      </c>
      <c r="BN834">
        <v>2</v>
      </c>
      <c r="BO834" t="s">
        <v>12</v>
      </c>
      <c r="BQ834" t="s">
        <v>1676</v>
      </c>
      <c r="BR834" t="s">
        <v>3280</v>
      </c>
      <c r="BS834" s="4" t="str">
        <f>HYPERLINK("http://exon.niaid.nih.gov/transcriptome/C_felis/S1/links/CDD/cf-contig_448-CDD.txt","ND5")</f>
        <v>ND5</v>
      </c>
      <c r="BT834" t="str">
        <f>HYPERLINK("http://www.ncbi.nlm.nih.gov/Structure/cdd/cddsrv.cgi?uid=MTH00095&amp;version=v4.0","0.004")</f>
        <v>0.004</v>
      </c>
      <c r="BU834" t="s">
        <v>3281</v>
      </c>
      <c r="BV834" s="4" t="s">
        <v>42</v>
      </c>
      <c r="BW834" t="s">
        <v>42</v>
      </c>
      <c r="BX834" t="s">
        <v>42</v>
      </c>
      <c r="BY834" t="s">
        <v>42</v>
      </c>
      <c r="BZ834" t="s">
        <v>42</v>
      </c>
      <c r="CA834" t="s">
        <v>42</v>
      </c>
      <c r="CB834" t="s">
        <v>42</v>
      </c>
      <c r="CC834" t="s">
        <v>42</v>
      </c>
      <c r="CD834" t="s">
        <v>42</v>
      </c>
      <c r="CE834" t="s">
        <v>42</v>
      </c>
      <c r="CF834" t="s">
        <v>42</v>
      </c>
      <c r="CG834" t="s">
        <v>42</v>
      </c>
      <c r="CH834" t="s">
        <v>42</v>
      </c>
      <c r="CI834" t="s">
        <v>42</v>
      </c>
      <c r="CJ834" t="s">
        <v>42</v>
      </c>
      <c r="CK834" t="s">
        <v>42</v>
      </c>
      <c r="CL834" t="s">
        <v>42</v>
      </c>
      <c r="CM834" t="s">
        <v>42</v>
      </c>
      <c r="CN834" t="s">
        <v>42</v>
      </c>
      <c r="CO834" t="s">
        <v>42</v>
      </c>
      <c r="CP834" t="s">
        <v>42</v>
      </c>
      <c r="CQ834" t="s">
        <v>42</v>
      </c>
      <c r="CR834" t="s">
        <v>42</v>
      </c>
      <c r="CS834" s="4" t="str">
        <f>HYPERLINK("http://exon.niaid.nih.gov/transcriptome/C_felis/S1/links/KOG/cf-contig_448-KOG.txt","G-protein alpha subunit (small G protein superfamily)")</f>
        <v>G-protein alpha subunit (small G protein superfamily)</v>
      </c>
      <c r="CT834" t="str">
        <f>HYPERLINK("http://www.ncbi.nlm.nih.gov/COG/grace/shokog.cgi?KOG0082","0.025")</f>
        <v>0.025</v>
      </c>
      <c r="CU834" t="s">
        <v>3282</v>
      </c>
      <c r="CV834" s="4" t="str">
        <f>HYPERLINK("http://exon.niaid.nih.gov/transcriptome/C_felis/S1/links/PFAM/cf-contig_448-PFAM.txt","Dymeclin")</f>
        <v>Dymeclin</v>
      </c>
      <c r="CW834" t="str">
        <f>HYPERLINK("http://pfam.sanger.ac.uk/family?acc=PF09742","0.032")</f>
        <v>0.032</v>
      </c>
      <c r="CX834" s="4" t="str">
        <f>HYPERLINK("http://exon.niaid.nih.gov/transcriptome/C_felis/S1/links/SMART/cf-contig_448-SMART.txt","AgrB")</f>
        <v>AgrB</v>
      </c>
      <c r="CY834" t="str">
        <f>HYPERLINK("http://smart.embl-heidelberg.de/smart/do_annotation.pl?DOMAIN=AgrB&amp;BLAST=DUMMY","0.029")</f>
        <v>0.029</v>
      </c>
      <c r="CZ834" s="4" t="s">
        <v>42</v>
      </c>
      <c r="DA834" t="s">
        <v>42</v>
      </c>
      <c r="DB834" t="s">
        <v>42</v>
      </c>
      <c r="DC834" t="s">
        <v>42</v>
      </c>
      <c r="DD834" t="s">
        <v>42</v>
      </c>
      <c r="DE834" t="s">
        <v>42</v>
      </c>
      <c r="DF834" t="s">
        <v>42</v>
      </c>
      <c r="DG834" t="s">
        <v>42</v>
      </c>
      <c r="DH834" s="4" t="s">
        <v>42</v>
      </c>
      <c r="DI834" t="s">
        <v>42</v>
      </c>
      <c r="DJ834" s="4" t="s">
        <v>42</v>
      </c>
      <c r="DK834" t="s">
        <v>42</v>
      </c>
      <c r="DL834" s="4">
        <v>363</v>
      </c>
      <c r="DM834">
        <v>1</v>
      </c>
      <c r="DN834" s="4">
        <v>372</v>
      </c>
      <c r="DO834">
        <v>1</v>
      </c>
      <c r="DP834" s="4">
        <v>377</v>
      </c>
      <c r="DQ834">
        <v>1</v>
      </c>
      <c r="DR834" s="4">
        <v>391</v>
      </c>
      <c r="DS834">
        <v>1</v>
      </c>
      <c r="DT834" s="4">
        <v>401</v>
      </c>
      <c r="DU834">
        <v>1</v>
      </c>
      <c r="DV834" s="4">
        <v>415</v>
      </c>
      <c r="DW834">
        <v>1</v>
      </c>
      <c r="DX834" s="4">
        <v>418</v>
      </c>
      <c r="DY834">
        <v>1</v>
      </c>
      <c r="DZ834" s="4">
        <v>423</v>
      </c>
      <c r="EA834">
        <v>1</v>
      </c>
      <c r="EB834" s="4">
        <v>428</v>
      </c>
      <c r="EC834">
        <v>1</v>
      </c>
      <c r="ED834" s="4">
        <v>432</v>
      </c>
      <c r="EE834">
        <v>1</v>
      </c>
      <c r="EF834" s="4">
        <v>437</v>
      </c>
      <c r="EG834">
        <v>1</v>
      </c>
      <c r="EH834" s="4">
        <v>442</v>
      </c>
      <c r="EI834">
        <v>1</v>
      </c>
      <c r="EJ834" s="4">
        <v>448</v>
      </c>
      <c r="EK834">
        <v>1</v>
      </c>
    </row>
    <row r="835" spans="1:141" x14ac:dyDescent="0.2">
      <c r="A835" t="str">
        <f>HYPERLINK("http://exon.niaid.nih.gov/transcriptome/C_felis/S1/links/cf/cf-contig_467.txt","cf-contig_467")</f>
        <v>cf-contig_467</v>
      </c>
      <c r="B835">
        <v>1</v>
      </c>
      <c r="C835" s="10" t="s">
        <v>4600</v>
      </c>
      <c r="D835">
        <v>1</v>
      </c>
      <c r="E835" t="str">
        <f>HYPERLINK("http://exon.niaid.nih.gov/transcriptome/C_felis/S1/links/cf/cf-5-36-asb-467.txt","Contig-467")</f>
        <v>Contig-467</v>
      </c>
      <c r="F835" t="str">
        <f>HYPERLINK("http://exon.niaid.nih.gov/transcriptome/C_felis/S1/links/cf/cf-5-36-467-CLU.txt","Contig467")</f>
        <v>Contig467</v>
      </c>
      <c r="G835" t="str">
        <f>HYPERLINK("http://exon.niaid.nih.gov/transcriptome/C_felis/S1/links/cf/cf-5-36-467-qual.txt","56.5")</f>
        <v>56.5</v>
      </c>
      <c r="H835">
        <v>0.8</v>
      </c>
      <c r="I835">
        <v>73.5</v>
      </c>
      <c r="J835">
        <v>230</v>
      </c>
      <c r="K835" t="s">
        <v>12</v>
      </c>
      <c r="L835">
        <v>1</v>
      </c>
      <c r="M835" t="s">
        <v>480</v>
      </c>
      <c r="N835">
        <v>230</v>
      </c>
      <c r="O835">
        <v>249</v>
      </c>
      <c r="P835">
        <v>144</v>
      </c>
      <c r="Q835" t="s">
        <v>1286</v>
      </c>
      <c r="R835">
        <v>2</v>
      </c>
      <c r="S835" s="7" t="str">
        <f>HYPERLINK("http://exon.niaid.nih.gov/transcriptome/C_felis/S1/links/Sigp/CF-CONTIG_467-SigP.txt","Cyt")</f>
        <v>Cyt</v>
      </c>
      <c r="U835">
        <v>1</v>
      </c>
      <c r="V835" s="4">
        <v>379</v>
      </c>
      <c r="W835">
        <v>1</v>
      </c>
      <c r="X835" s="4">
        <v>388</v>
      </c>
      <c r="Y835">
        <v>1</v>
      </c>
      <c r="Z835" s="4">
        <v>393</v>
      </c>
      <c r="AA835">
        <v>1</v>
      </c>
      <c r="AB835" s="4" t="str">
        <f>HYPERLINK("http://exon.niaid.nih.gov/transcriptome/C_felis/S1/links/XC-ASB/cf-contig_467-XC-ASB.txt","XC-contig_159")</f>
        <v>XC-contig_159</v>
      </c>
      <c r="AC835">
        <v>0.11</v>
      </c>
      <c r="AD835" s="10" t="s">
        <v>4600</v>
      </c>
      <c r="AE835" t="s">
        <v>4601</v>
      </c>
      <c r="AI835" s="4" t="str">
        <f>HYPERLINK("http://exon.niaid.nih.gov/transcriptome/C_felis/S1/links/NR/cf-contig_467-NR.txt","hypothetical protein")</f>
        <v>hypothetical protein</v>
      </c>
      <c r="AJ835" t="str">
        <f>HYPERLINK("http://www.ncbi.nlm.nih.gov/sutils/blink.cgi?pid=123471170","7.2")</f>
        <v>7.2</v>
      </c>
      <c r="AK835" t="str">
        <f>HYPERLINK("http://www.ncbi.nlm.nih.gov/protein/123471170","gi|123471170")</f>
        <v>gi|123471170</v>
      </c>
      <c r="AL835">
        <v>34.299999999999997</v>
      </c>
      <c r="AM835">
        <v>72</v>
      </c>
      <c r="AN835">
        <v>511</v>
      </c>
      <c r="AO835">
        <v>23</v>
      </c>
      <c r="AP835">
        <v>14</v>
      </c>
      <c r="AQ835">
        <v>56</v>
      </c>
      <c r="AR835">
        <v>10</v>
      </c>
      <c r="AS835">
        <v>325</v>
      </c>
      <c r="AT835">
        <v>38</v>
      </c>
      <c r="AU835">
        <v>1</v>
      </c>
      <c r="AV835">
        <v>2</v>
      </c>
      <c r="AW835" t="s">
        <v>12</v>
      </c>
      <c r="AX835">
        <v>1.389</v>
      </c>
      <c r="AY835" t="s">
        <v>1676</v>
      </c>
      <c r="AZ835" t="s">
        <v>3278</v>
      </c>
      <c r="BA835" s="4" t="str">
        <f>HYPERLINK("http://exon.niaid.nih.gov/transcriptome/C_felis/S1/links/SWISSP/cf-contig_467-SWISSP.txt","Fibrous sheath-interacting protein 2")</f>
        <v>Fibrous sheath-interacting protein 2</v>
      </c>
      <c r="BB835" t="str">
        <f>HYPERLINK("http://www.uniprot.org/uniprot/A2ARZ3","6.1")</f>
        <v>6.1</v>
      </c>
      <c r="BC835" t="s">
        <v>3370</v>
      </c>
      <c r="BD835">
        <v>29.6</v>
      </c>
      <c r="BE835">
        <v>34</v>
      </c>
      <c r="BF835">
        <v>6995</v>
      </c>
      <c r="BG835">
        <v>37</v>
      </c>
      <c r="BH835">
        <v>1</v>
      </c>
      <c r="BI835">
        <v>22</v>
      </c>
      <c r="BJ835">
        <v>0</v>
      </c>
      <c r="BK835">
        <v>4628</v>
      </c>
      <c r="BL835">
        <v>103</v>
      </c>
      <c r="BM835">
        <v>1</v>
      </c>
      <c r="BN835">
        <v>-1</v>
      </c>
      <c r="BO835" t="s">
        <v>12</v>
      </c>
      <c r="BQ835" t="s">
        <v>1666</v>
      </c>
      <c r="BR835" t="s">
        <v>1705</v>
      </c>
      <c r="BS835" s="4" t="str">
        <f>HYPERLINK("http://exon.niaid.nih.gov/transcriptome/C_felis/S1/links/CDD/cf-contig_467-CDD.txt","PRK14791")</f>
        <v>PRK14791</v>
      </c>
      <c r="BT835" t="str">
        <f>HYPERLINK("http://www.ncbi.nlm.nih.gov/Structure/cdd/cddsrv.cgi?uid=PRK14791&amp;version=v4.0","0.018")</f>
        <v>0.018</v>
      </c>
      <c r="BU835" t="s">
        <v>3371</v>
      </c>
      <c r="BV835" s="4" t="s">
        <v>42</v>
      </c>
      <c r="BW835" t="s">
        <v>42</v>
      </c>
      <c r="BX835" t="s">
        <v>42</v>
      </c>
      <c r="BY835" t="s">
        <v>42</v>
      </c>
      <c r="BZ835" t="s">
        <v>42</v>
      </c>
      <c r="CA835" t="s">
        <v>42</v>
      </c>
      <c r="CB835" t="s">
        <v>42</v>
      </c>
      <c r="CC835" t="s">
        <v>42</v>
      </c>
      <c r="CD835" t="s">
        <v>42</v>
      </c>
      <c r="CE835" t="s">
        <v>42</v>
      </c>
      <c r="CF835" t="s">
        <v>42</v>
      </c>
      <c r="CG835" t="s">
        <v>42</v>
      </c>
      <c r="CH835" t="s">
        <v>42</v>
      </c>
      <c r="CI835" t="s">
        <v>42</v>
      </c>
      <c r="CJ835" t="s">
        <v>42</v>
      </c>
      <c r="CK835" t="s">
        <v>42</v>
      </c>
      <c r="CL835" t="s">
        <v>42</v>
      </c>
      <c r="CM835" t="s">
        <v>42</v>
      </c>
      <c r="CN835" t="s">
        <v>42</v>
      </c>
      <c r="CO835" t="s">
        <v>42</v>
      </c>
      <c r="CP835" t="s">
        <v>42</v>
      </c>
      <c r="CQ835" t="s">
        <v>42</v>
      </c>
      <c r="CR835" t="s">
        <v>42</v>
      </c>
      <c r="CS835" s="4" t="str">
        <f>HYPERLINK("http://exon.niaid.nih.gov/transcriptome/C_felis/S1/links/KOG/cf-contig_467-KOG.txt","Predicted membrane protein")</f>
        <v>Predicted membrane protein</v>
      </c>
      <c r="CT835" t="str">
        <f>HYPERLINK("http://www.ncbi.nlm.nih.gov/COG/grace/shokog.cgi?KOG2970","1.8")</f>
        <v>1.8</v>
      </c>
      <c r="CU835" t="s">
        <v>1711</v>
      </c>
      <c r="CV835" s="4" t="str">
        <f>HYPERLINK("http://exon.niaid.nih.gov/transcriptome/C_felis/S1/links/PFAM/cf-contig_467-PFAM.txt","SHP")</f>
        <v>SHP</v>
      </c>
      <c r="CW835" t="str">
        <f>HYPERLINK("http://pfam.sanger.ac.uk/family?acc=PF03579","0.025")</f>
        <v>0.025</v>
      </c>
      <c r="CX835" s="4" t="str">
        <f>HYPERLINK("http://exon.niaid.nih.gov/transcriptome/C_felis/S1/links/SMART/cf-contig_467-SMART.txt","s48_45")</f>
        <v>s48_45</v>
      </c>
      <c r="CY835" t="str">
        <f>HYPERLINK("http://smart.embl-heidelberg.de/smart/do_annotation.pl?DOMAIN=s48_45&amp;BLAST=DUMMY","0.031")</f>
        <v>0.031</v>
      </c>
      <c r="CZ835" s="4" t="s">
        <v>42</v>
      </c>
      <c r="DA835" t="s">
        <v>42</v>
      </c>
      <c r="DB835" t="s">
        <v>42</v>
      </c>
      <c r="DC835" t="s">
        <v>42</v>
      </c>
      <c r="DD835" t="s">
        <v>42</v>
      </c>
      <c r="DE835" t="s">
        <v>42</v>
      </c>
      <c r="DF835" t="s">
        <v>42</v>
      </c>
      <c r="DG835" t="s">
        <v>42</v>
      </c>
      <c r="DH835" s="4" t="s">
        <v>42</v>
      </c>
      <c r="DI835" t="s">
        <v>42</v>
      </c>
      <c r="DJ835" s="4" t="s">
        <v>42</v>
      </c>
      <c r="DK835" t="s">
        <v>42</v>
      </c>
      <c r="DL835" s="4">
        <v>379</v>
      </c>
      <c r="DM835">
        <v>1</v>
      </c>
      <c r="DN835" s="4">
        <v>388</v>
      </c>
      <c r="DO835">
        <v>1</v>
      </c>
      <c r="DP835" s="4">
        <v>393</v>
      </c>
      <c r="DQ835">
        <v>1</v>
      </c>
      <c r="DR835" s="4">
        <v>408</v>
      </c>
      <c r="DS835">
        <v>1</v>
      </c>
      <c r="DT835" s="4">
        <v>418</v>
      </c>
      <c r="DU835">
        <v>1</v>
      </c>
      <c r="DV835" s="4">
        <v>432</v>
      </c>
      <c r="DW835">
        <v>1</v>
      </c>
      <c r="DX835" s="4">
        <v>435</v>
      </c>
      <c r="DY835">
        <v>1</v>
      </c>
      <c r="DZ835" s="4">
        <v>441</v>
      </c>
      <c r="EA835">
        <v>1</v>
      </c>
      <c r="EB835" s="4">
        <v>446</v>
      </c>
      <c r="EC835">
        <v>1</v>
      </c>
      <c r="ED835" s="4">
        <v>450</v>
      </c>
      <c r="EE835">
        <v>1</v>
      </c>
      <c r="EF835" s="4">
        <v>455</v>
      </c>
      <c r="EG835">
        <v>1</v>
      </c>
      <c r="EH835" s="4">
        <v>461</v>
      </c>
      <c r="EI835">
        <v>1</v>
      </c>
      <c r="EJ835" s="4">
        <v>467</v>
      </c>
      <c r="EK835">
        <v>1</v>
      </c>
    </row>
    <row r="836" spans="1:141" x14ac:dyDescent="0.2">
      <c r="A836" t="str">
        <f>HYPERLINK("http://exon.niaid.nih.gov/transcriptome/C_felis/S1/links/cf/cf-contig_719.txt","cf-contig_719")</f>
        <v>cf-contig_719</v>
      </c>
      <c r="B836">
        <v>1</v>
      </c>
      <c r="C836" s="10" t="s">
        <v>4600</v>
      </c>
      <c r="D836">
        <v>1</v>
      </c>
      <c r="E836" t="str">
        <f>HYPERLINK("http://exon.niaid.nih.gov/transcriptome/C_felis/S1/links/cf/cf-5-36-asb-719.txt","Contig-719")</f>
        <v>Contig-719</v>
      </c>
      <c r="F836" t="str">
        <f>HYPERLINK("http://exon.niaid.nih.gov/transcriptome/C_felis/S1/links/cf/cf-5-36-719-CLU.txt","Contig719")</f>
        <v>Contig719</v>
      </c>
      <c r="G836" t="str">
        <f>HYPERLINK("http://exon.niaid.nih.gov/transcriptome/C_felis/S1/links/cf/cf-5-36-719-qual.txt","62.2")</f>
        <v>62.2</v>
      </c>
      <c r="H836" t="s">
        <v>11</v>
      </c>
      <c r="I836">
        <v>66.900000000000006</v>
      </c>
      <c r="J836">
        <v>229</v>
      </c>
      <c r="K836" t="s">
        <v>12</v>
      </c>
      <c r="L836">
        <v>1</v>
      </c>
      <c r="M836" t="s">
        <v>732</v>
      </c>
      <c r="N836">
        <v>229</v>
      </c>
      <c r="O836">
        <v>248</v>
      </c>
      <c r="P836">
        <v>75</v>
      </c>
      <c r="Q836" t="s">
        <v>1538</v>
      </c>
      <c r="R836">
        <v>2</v>
      </c>
      <c r="S836" s="7" t="s">
        <v>4585</v>
      </c>
      <c r="U836">
        <v>1</v>
      </c>
      <c r="V836" s="4">
        <v>583</v>
      </c>
      <c r="W836">
        <v>1</v>
      </c>
      <c r="X836" s="4">
        <v>599</v>
      </c>
      <c r="Y836">
        <v>1</v>
      </c>
      <c r="Z836" s="4">
        <v>612</v>
      </c>
      <c r="AA836">
        <v>1</v>
      </c>
      <c r="AB836" s="4" t="str">
        <f>HYPERLINK("http://exon.niaid.nih.gov/transcriptome/C_felis/S1/links/XC-ASB/cf-contig_719-XC-ASB.txt","XC-contig_9")</f>
        <v>XC-contig_9</v>
      </c>
      <c r="AC836">
        <v>1.7000000000000001E-2</v>
      </c>
      <c r="AD836" s="10" t="s">
        <v>4600</v>
      </c>
      <c r="AE836" t="s">
        <v>4601</v>
      </c>
      <c r="AI836" s="4" t="str">
        <f>HYPERLINK("http://exon.niaid.nih.gov/transcriptome/C_felis/S1/links/NR/cf-contig_719-NR.txt","hypothetical protein TRV_01110")</f>
        <v>hypothetical protein TRV_01110</v>
      </c>
      <c r="AJ836" t="str">
        <f>HYPERLINK("http://www.ncbi.nlm.nih.gov/sutils/blink.cgi?pid=302666203","61")</f>
        <v>61</v>
      </c>
      <c r="AK836" t="str">
        <f>HYPERLINK("http://www.ncbi.nlm.nih.gov/protein/302666203","gi|302666203")</f>
        <v>gi|302666203</v>
      </c>
      <c r="AL836">
        <v>31.2</v>
      </c>
      <c r="AM836">
        <v>29</v>
      </c>
      <c r="AN836">
        <v>576</v>
      </c>
      <c r="AO836">
        <v>43</v>
      </c>
      <c r="AP836">
        <v>5</v>
      </c>
      <c r="AQ836">
        <v>17</v>
      </c>
      <c r="AR836">
        <v>0</v>
      </c>
      <c r="AS836">
        <v>137</v>
      </c>
      <c r="AT836">
        <v>42</v>
      </c>
      <c r="AU836">
        <v>1</v>
      </c>
      <c r="AV836">
        <v>3</v>
      </c>
      <c r="AW836" t="s">
        <v>12</v>
      </c>
      <c r="AX836">
        <v>6.8970000000000002</v>
      </c>
      <c r="AY836" t="s">
        <v>1676</v>
      </c>
      <c r="AZ836" t="s">
        <v>4270</v>
      </c>
      <c r="BA836" s="4" t="str">
        <f>HYPERLINK("http://exon.niaid.nih.gov/transcriptome/C_felis/S1/links/SWISSP/cf-contig_719-SWISSP.txt","Chorismate synthase")</f>
        <v>Chorismate synthase</v>
      </c>
      <c r="BB836" t="str">
        <f>HYPERLINK("http://www.uniprot.org/uniprot/B9DU46","6.2")</f>
        <v>6.2</v>
      </c>
      <c r="BC836" t="s">
        <v>4271</v>
      </c>
      <c r="BD836">
        <v>29.6</v>
      </c>
      <c r="BE836">
        <v>37</v>
      </c>
      <c r="BF836">
        <v>388</v>
      </c>
      <c r="BG836">
        <v>34</v>
      </c>
      <c r="BH836">
        <v>10</v>
      </c>
      <c r="BI836">
        <v>25</v>
      </c>
      <c r="BJ836">
        <v>0</v>
      </c>
      <c r="BK836">
        <v>70</v>
      </c>
      <c r="BL836">
        <v>82</v>
      </c>
      <c r="BM836">
        <v>1</v>
      </c>
      <c r="BN836">
        <v>1</v>
      </c>
      <c r="BO836" t="s">
        <v>12</v>
      </c>
      <c r="BP836">
        <v>2.7029999999999998</v>
      </c>
      <c r="BQ836" t="s">
        <v>1676</v>
      </c>
      <c r="BR836" t="s">
        <v>4272</v>
      </c>
      <c r="BS836" s="4" t="str">
        <f>HYPERLINK("http://exon.niaid.nih.gov/transcriptome/C_felis/S1/links/CDD/cf-contig_719-CDD.txt","Cas8a1_I-A")</f>
        <v>Cas8a1_I-A</v>
      </c>
      <c r="BT836" t="str">
        <f>HYPERLINK("http://www.ncbi.nlm.nih.gov/Structure/cdd/cddsrv.cgi?uid=cd09665&amp;version=v4.0","0.71")</f>
        <v>0.71</v>
      </c>
      <c r="BU836" t="s">
        <v>4273</v>
      </c>
      <c r="BV836" s="4" t="s">
        <v>42</v>
      </c>
      <c r="BW836" t="s">
        <v>42</v>
      </c>
      <c r="BX836" t="s">
        <v>42</v>
      </c>
      <c r="BY836" t="s">
        <v>42</v>
      </c>
      <c r="BZ836" t="s">
        <v>42</v>
      </c>
      <c r="CA836" t="s">
        <v>42</v>
      </c>
      <c r="CB836" t="s">
        <v>42</v>
      </c>
      <c r="CC836" t="s">
        <v>42</v>
      </c>
      <c r="CD836" t="s">
        <v>42</v>
      </c>
      <c r="CE836" t="s">
        <v>42</v>
      </c>
      <c r="CF836" t="s">
        <v>42</v>
      </c>
      <c r="CG836" t="s">
        <v>42</v>
      </c>
      <c r="CH836" t="s">
        <v>42</v>
      </c>
      <c r="CI836" t="s">
        <v>42</v>
      </c>
      <c r="CJ836" t="s">
        <v>42</v>
      </c>
      <c r="CK836" t="s">
        <v>42</v>
      </c>
      <c r="CL836" t="s">
        <v>42</v>
      </c>
      <c r="CM836" t="s">
        <v>42</v>
      </c>
      <c r="CN836" t="s">
        <v>42</v>
      </c>
      <c r="CO836" t="s">
        <v>42</v>
      </c>
      <c r="CP836" t="s">
        <v>42</v>
      </c>
      <c r="CQ836" t="s">
        <v>42</v>
      </c>
      <c r="CR836" t="s">
        <v>42</v>
      </c>
      <c r="CS836" s="4" t="str">
        <f>HYPERLINK("http://exon.niaid.nih.gov/transcriptome/C_felis/S1/links/KOG/cf-contig_719-KOG.txt","Ca2+/Mg2+-permeable cation channels (LTRPC family)")</f>
        <v>Ca2+/Mg2+-permeable cation channels (LTRPC family)</v>
      </c>
      <c r="CT836" t="str">
        <f>HYPERLINK("http://www.ncbi.nlm.nih.gov/COG/grace/shokog.cgi?KOG3614","4.5")</f>
        <v>4.5</v>
      </c>
      <c r="CU836" t="s">
        <v>1702</v>
      </c>
      <c r="CV836" s="4" t="str">
        <f>HYPERLINK("http://exon.niaid.nih.gov/transcriptome/C_felis/S1/links/PFAM/cf-contig_719-PFAM.txt","Orbi_VP1")</f>
        <v>Orbi_VP1</v>
      </c>
      <c r="CW836" t="str">
        <f>HYPERLINK("http://pfam.sanger.ac.uk/family?acc=PF05788","1.9")</f>
        <v>1.9</v>
      </c>
      <c r="CX836" s="4" t="str">
        <f>HYPERLINK("http://exon.niaid.nih.gov/transcriptome/C_felis/S1/links/SMART/cf-contig_719-SMART.txt","RelA_SpoT")</f>
        <v>RelA_SpoT</v>
      </c>
      <c r="CY836" t="str">
        <f>HYPERLINK("http://smart.embl-heidelberg.de/smart/do_annotation.pl?DOMAIN=RelA_SpoT&amp;BLAST=DUMMY","0.57")</f>
        <v>0.57</v>
      </c>
      <c r="CZ836" s="4" t="s">
        <v>42</v>
      </c>
      <c r="DA836" t="s">
        <v>42</v>
      </c>
      <c r="DB836" t="s">
        <v>42</v>
      </c>
      <c r="DC836" t="s">
        <v>42</v>
      </c>
      <c r="DD836" t="s">
        <v>42</v>
      </c>
      <c r="DE836" t="s">
        <v>42</v>
      </c>
      <c r="DF836" t="s">
        <v>42</v>
      </c>
      <c r="DG836" t="s">
        <v>42</v>
      </c>
      <c r="DH836" s="4" t="s">
        <v>42</v>
      </c>
      <c r="DI836" t="s">
        <v>42</v>
      </c>
      <c r="DJ836" s="4" t="s">
        <v>42</v>
      </c>
      <c r="DK836" t="s">
        <v>42</v>
      </c>
      <c r="DL836" s="4">
        <v>583</v>
      </c>
      <c r="DM836">
        <v>1</v>
      </c>
      <c r="DN836" s="4">
        <v>599</v>
      </c>
      <c r="DO836">
        <v>1</v>
      </c>
      <c r="DP836" s="4">
        <v>612</v>
      </c>
      <c r="DQ836">
        <v>1</v>
      </c>
      <c r="DR836" s="4">
        <v>633</v>
      </c>
      <c r="DS836">
        <v>1</v>
      </c>
      <c r="DT836" s="4">
        <v>648</v>
      </c>
      <c r="DU836">
        <v>1</v>
      </c>
      <c r="DV836" s="4">
        <v>663</v>
      </c>
      <c r="DW836">
        <v>1</v>
      </c>
      <c r="DX836" s="4">
        <v>674</v>
      </c>
      <c r="DY836">
        <v>1</v>
      </c>
      <c r="DZ836" s="4">
        <v>684</v>
      </c>
      <c r="EA836">
        <v>1</v>
      </c>
      <c r="EB836" s="4">
        <v>690</v>
      </c>
      <c r="EC836">
        <v>1</v>
      </c>
      <c r="ED836" s="4">
        <v>694</v>
      </c>
      <c r="EE836">
        <v>1</v>
      </c>
      <c r="EF836" s="4">
        <v>700</v>
      </c>
      <c r="EG836">
        <v>1</v>
      </c>
      <c r="EH836" s="4">
        <v>710</v>
      </c>
      <c r="EI836">
        <v>1</v>
      </c>
      <c r="EJ836" s="4">
        <v>719</v>
      </c>
      <c r="EK836">
        <v>1</v>
      </c>
    </row>
    <row r="837" spans="1:141" x14ac:dyDescent="0.2">
      <c r="A837" t="str">
        <f>HYPERLINK("http://exon.niaid.nih.gov/transcriptome/C_felis/S1/links/cf/cf-contig_411.txt","cf-contig_411")</f>
        <v>cf-contig_411</v>
      </c>
      <c r="B837">
        <v>1</v>
      </c>
      <c r="C837" s="10" t="s">
        <v>4600</v>
      </c>
      <c r="D837">
        <v>1</v>
      </c>
      <c r="E837" t="str">
        <f>HYPERLINK("http://exon.niaid.nih.gov/transcriptome/C_felis/S1/links/cf/cf-5-36-asb-411.txt","Contig-411")</f>
        <v>Contig-411</v>
      </c>
      <c r="F837" t="str">
        <f>HYPERLINK("http://exon.niaid.nih.gov/transcriptome/C_felis/S1/links/cf/cf-5-36-411-CLU.txt","Contig411")</f>
        <v>Contig411</v>
      </c>
      <c r="G837" t="str">
        <f>HYPERLINK("http://exon.niaid.nih.gov/transcriptome/C_felis/S1/links/cf/cf-5-36-411-qual.txt","27.7")</f>
        <v>27.7</v>
      </c>
      <c r="H837">
        <v>0.9</v>
      </c>
      <c r="I837">
        <v>58.6</v>
      </c>
      <c r="J837">
        <v>97</v>
      </c>
      <c r="K837" t="s">
        <v>12</v>
      </c>
      <c r="L837">
        <v>1</v>
      </c>
      <c r="M837" t="s">
        <v>424</v>
      </c>
      <c r="N837">
        <v>97</v>
      </c>
      <c r="O837">
        <v>116</v>
      </c>
      <c r="P837">
        <v>114</v>
      </c>
      <c r="Q837" t="s">
        <v>1231</v>
      </c>
      <c r="R837">
        <v>1</v>
      </c>
      <c r="S837" s="7" t="s">
        <v>4585</v>
      </c>
      <c r="U837">
        <v>1</v>
      </c>
      <c r="V837" s="4">
        <f>HYPERLINK("http://exon.niaid.nih.gov/transcriptome/C_felis/S1/links/cluster/cf-5-36-asb30-50-Id-CLU5.txt", 5)</f>
        <v>5</v>
      </c>
      <c r="W837">
        <f>HYPERLINK("http://exon.niaid.nih.gov/transcriptome/C_felis/S1/links/cluster/cf-5-36-asb30-50-Id-CLTL5.txt", 5)</f>
        <v>5</v>
      </c>
      <c r="X837" s="4">
        <f>HYPERLINK("http://exon.niaid.nih.gov/transcriptome/C_felis/S1/links/cluster/cf-5-36-asb35-50-Id-CLU5.txt", 5)</f>
        <v>5</v>
      </c>
      <c r="Y837">
        <f>HYPERLINK("http://exon.niaid.nih.gov/transcriptome/C_felis/S1/links/cluster/cf-5-36-asb35-50-Id-CLTL5.txt", 5)</f>
        <v>5</v>
      </c>
      <c r="Z837" s="4">
        <v>346</v>
      </c>
      <c r="AA837">
        <v>1</v>
      </c>
      <c r="AB837" s="4" t="str">
        <f>HYPERLINK("http://exon.niaid.nih.gov/transcriptome/C_felis/S1/links/XC-ASB/cf-contig_411-XC-ASB.txt","XC-contig_193")</f>
        <v>XC-contig_193</v>
      </c>
      <c r="AC837">
        <v>0.98</v>
      </c>
      <c r="AD837" s="10" t="s">
        <v>4600</v>
      </c>
      <c r="AE837" t="s">
        <v>4601</v>
      </c>
      <c r="AI837" s="4" t="str">
        <f>HYPERLINK("http://exon.niaid.nih.gov/transcriptome/C_felis/S1/links/NR/cf-contig_411-NR.txt","hypothetical protein TRIADDRAFT_31455")</f>
        <v>hypothetical protein TRIADDRAFT_31455</v>
      </c>
      <c r="AJ837" t="str">
        <f>HYPERLINK("http://www.ncbi.nlm.nih.gov/sutils/blink.cgi?pid=196013946","5.6")</f>
        <v>5.6</v>
      </c>
      <c r="AK837" t="str">
        <f>HYPERLINK("http://www.ncbi.nlm.nih.gov/protein/196013946","gi|196013946")</f>
        <v>gi|196013946</v>
      </c>
      <c r="AL837">
        <v>34.700000000000003</v>
      </c>
      <c r="AM837">
        <v>28</v>
      </c>
      <c r="AN837">
        <v>531</v>
      </c>
      <c r="AO837">
        <v>44</v>
      </c>
      <c r="AP837">
        <v>5</v>
      </c>
      <c r="AQ837">
        <v>16</v>
      </c>
      <c r="AR837">
        <v>0</v>
      </c>
      <c r="AS837">
        <v>476</v>
      </c>
      <c r="AT837">
        <v>4</v>
      </c>
      <c r="AU837">
        <v>1</v>
      </c>
      <c r="AV837">
        <v>1</v>
      </c>
      <c r="AW837" t="s">
        <v>12</v>
      </c>
      <c r="AY837" t="s">
        <v>1676</v>
      </c>
      <c r="AZ837" t="s">
        <v>2236</v>
      </c>
      <c r="BA837" s="4" t="str">
        <f>HYPERLINK("http://exon.niaid.nih.gov/transcriptome/C_felis/S1/links/SWISSP/cf-contig_411-SWISSP.txt","LexA repressor")</f>
        <v>LexA repressor</v>
      </c>
      <c r="BB837" t="str">
        <f>HYPERLINK("http://www.uniprot.org/uniprot/A1B3Z0","69")</f>
        <v>69</v>
      </c>
      <c r="BC837" t="s">
        <v>3126</v>
      </c>
      <c r="BD837">
        <v>26.2</v>
      </c>
      <c r="BE837">
        <v>25</v>
      </c>
      <c r="BF837">
        <v>232</v>
      </c>
      <c r="BG837">
        <v>42</v>
      </c>
      <c r="BH837">
        <v>11</v>
      </c>
      <c r="BI837">
        <v>15</v>
      </c>
      <c r="BJ837">
        <v>0</v>
      </c>
      <c r="BK837">
        <v>69</v>
      </c>
      <c r="BL837">
        <v>1</v>
      </c>
      <c r="BM837">
        <v>1</v>
      </c>
      <c r="BN837">
        <v>-3</v>
      </c>
      <c r="BO837" t="s">
        <v>12</v>
      </c>
      <c r="BP837">
        <v>4</v>
      </c>
      <c r="BQ837" t="s">
        <v>1666</v>
      </c>
      <c r="BR837" t="s">
        <v>3127</v>
      </c>
      <c r="BS837" s="4" t="str">
        <f>HYPERLINK("http://exon.niaid.nih.gov/transcriptome/C_felis/S1/links/CDD/cf-contig_411-CDD.txt","PLN03112")</f>
        <v>PLN03112</v>
      </c>
      <c r="BT837" t="str">
        <f>HYPERLINK("http://www.ncbi.nlm.nih.gov/Structure/cdd/cddsrv.cgi?uid=PLN03112&amp;version=v4.0","6.3")</f>
        <v>6.3</v>
      </c>
      <c r="BU837" t="s">
        <v>3128</v>
      </c>
      <c r="BV837" s="4" t="s">
        <v>42</v>
      </c>
      <c r="BW837" t="s">
        <v>42</v>
      </c>
      <c r="BX837" t="s">
        <v>42</v>
      </c>
      <c r="BY837" t="s">
        <v>42</v>
      </c>
      <c r="BZ837" t="s">
        <v>42</v>
      </c>
      <c r="CA837" t="s">
        <v>42</v>
      </c>
      <c r="CB837" t="s">
        <v>42</v>
      </c>
      <c r="CC837" t="s">
        <v>42</v>
      </c>
      <c r="CD837" t="s">
        <v>42</v>
      </c>
      <c r="CE837" t="s">
        <v>42</v>
      </c>
      <c r="CF837" t="s">
        <v>42</v>
      </c>
      <c r="CG837" t="s">
        <v>42</v>
      </c>
      <c r="CH837" t="s">
        <v>42</v>
      </c>
      <c r="CI837" t="s">
        <v>42</v>
      </c>
      <c r="CJ837" t="s">
        <v>42</v>
      </c>
      <c r="CK837" t="s">
        <v>42</v>
      </c>
      <c r="CL837" t="s">
        <v>42</v>
      </c>
      <c r="CM837" t="s">
        <v>42</v>
      </c>
      <c r="CN837" t="s">
        <v>42</v>
      </c>
      <c r="CO837" t="s">
        <v>42</v>
      </c>
      <c r="CP837" t="s">
        <v>42</v>
      </c>
      <c r="CQ837" t="s">
        <v>42</v>
      </c>
      <c r="CR837" t="s">
        <v>42</v>
      </c>
      <c r="CS837" s="4" t="str">
        <f>HYPERLINK("http://exon.niaid.nih.gov/transcriptome/C_felis/S1/links/KOG/cf-contig_411-KOG.txt","Lysyl hydroxylase")</f>
        <v>Lysyl hydroxylase</v>
      </c>
      <c r="CT837" t="str">
        <f>HYPERLINK("http://www.ncbi.nlm.nih.gov/COG/grace/shokog.cgi?KOG1971","2.0")</f>
        <v>2.0</v>
      </c>
      <c r="CU837" t="s">
        <v>2198</v>
      </c>
      <c r="CV837" s="4" t="str">
        <f>HYPERLINK("http://exon.niaid.nih.gov/transcriptome/C_felis/S1/links/PFAM/cf-contig_411-PFAM.txt","Sec16")</f>
        <v>Sec16</v>
      </c>
      <c r="CW837" t="str">
        <f>HYPERLINK("http://pfam.sanger.ac.uk/family?acc=PF12932","5.6")</f>
        <v>5.6</v>
      </c>
      <c r="CX837" s="4" t="str">
        <f>HYPERLINK("http://exon.niaid.nih.gov/transcriptome/C_felis/S1/links/SMART/cf-contig_411-SMART.txt","DM6")</f>
        <v>DM6</v>
      </c>
      <c r="CY837" t="str">
        <f>HYPERLINK("http://smart.embl-heidelberg.de/smart/do_annotation.pl?DOMAIN=DM6&amp;BLAST=DUMMY","1.1")</f>
        <v>1.1</v>
      </c>
      <c r="CZ837" s="4" t="s">
        <v>42</v>
      </c>
      <c r="DA837" t="s">
        <v>42</v>
      </c>
      <c r="DB837" t="s">
        <v>42</v>
      </c>
      <c r="DC837" t="s">
        <v>42</v>
      </c>
      <c r="DD837" t="s">
        <v>42</v>
      </c>
      <c r="DE837" t="s">
        <v>42</v>
      </c>
      <c r="DF837" t="s">
        <v>42</v>
      </c>
      <c r="DG837" t="s">
        <v>42</v>
      </c>
      <c r="DH837" s="4" t="s">
        <v>42</v>
      </c>
      <c r="DI837" t="s">
        <v>42</v>
      </c>
      <c r="DJ837" s="4" t="s">
        <v>42</v>
      </c>
      <c r="DK837" t="s">
        <v>42</v>
      </c>
      <c r="DL837" s="4">
        <f>HYPERLINK("http://exon.niaid.nih.gov/transcriptome/C_felis/S1/links/cluster/cf-5-36-asb30-50-Id-CLU5.txt", 5)</f>
        <v>5</v>
      </c>
      <c r="DM837">
        <f>HYPERLINK("http://exon.niaid.nih.gov/transcriptome/C_felis/S1/links/cluster/cf-5-36-asb30-50-Id-CLTL5.txt", 5)</f>
        <v>5</v>
      </c>
      <c r="DN837" s="4">
        <f>HYPERLINK("http://exon.niaid.nih.gov/transcriptome/C_felis/S1/links/cluster/cf-5-36-asb35-50-Id-CLU5.txt", 5)</f>
        <v>5</v>
      </c>
      <c r="DO837">
        <f>HYPERLINK("http://exon.niaid.nih.gov/transcriptome/C_felis/S1/links/cluster/cf-5-36-asb35-50-Id-CLTL5.txt", 5)</f>
        <v>5</v>
      </c>
      <c r="DP837" s="4">
        <v>346</v>
      </c>
      <c r="DQ837">
        <v>1</v>
      </c>
      <c r="DR837" s="4">
        <v>357</v>
      </c>
      <c r="DS837">
        <v>1</v>
      </c>
      <c r="DT837" s="4">
        <v>367</v>
      </c>
      <c r="DU837">
        <v>1</v>
      </c>
      <c r="DV837" s="4">
        <v>380</v>
      </c>
      <c r="DW837">
        <v>1</v>
      </c>
      <c r="DX837" s="4">
        <v>383</v>
      </c>
      <c r="DY837">
        <v>1</v>
      </c>
      <c r="DZ837" s="4">
        <v>388</v>
      </c>
      <c r="EA837">
        <v>1</v>
      </c>
      <c r="EB837" s="4">
        <v>393</v>
      </c>
      <c r="EC837">
        <v>1</v>
      </c>
      <c r="ED837" s="4">
        <v>397</v>
      </c>
      <c r="EE837">
        <v>1</v>
      </c>
      <c r="EF837" s="4">
        <v>402</v>
      </c>
      <c r="EG837">
        <v>1</v>
      </c>
      <c r="EH837" s="4">
        <v>405</v>
      </c>
      <c r="EI837">
        <v>1</v>
      </c>
      <c r="EJ837" s="4">
        <v>411</v>
      </c>
      <c r="EK837">
        <v>1</v>
      </c>
    </row>
    <row r="838" spans="1:141" x14ac:dyDescent="0.2">
      <c r="A838" t="str">
        <f>HYPERLINK("http://exon.niaid.nih.gov/transcriptome/C_felis/S1/links/cf/cf-contig_23.txt","cf-contig_23")</f>
        <v>cf-contig_23</v>
      </c>
      <c r="B838">
        <v>17</v>
      </c>
      <c r="C838" s="10" t="s">
        <v>4600</v>
      </c>
      <c r="D838">
        <v>17</v>
      </c>
      <c r="E838" t="str">
        <f>HYPERLINK("http://exon.niaid.nih.gov/transcriptome/C_felis/S1/links/cf/cf-5-36-asb-23.txt","Contig-23")</f>
        <v>Contig-23</v>
      </c>
      <c r="F838" t="str">
        <f>HYPERLINK("http://exon.niaid.nih.gov/transcriptome/C_felis/S1/links/cf/cf-5-36-23-CLU.txt","Contig23")</f>
        <v>Contig23</v>
      </c>
      <c r="G838" t="str">
        <f>HYPERLINK("http://exon.niaid.nih.gov/transcriptome/C_felis/S1/links/cf/cf-5-36-23-qual.txt","88.4")</f>
        <v>88.4</v>
      </c>
      <c r="H838" t="s">
        <v>11</v>
      </c>
      <c r="I838">
        <v>72.2</v>
      </c>
      <c r="J838">
        <v>326</v>
      </c>
      <c r="K838" t="s">
        <v>12</v>
      </c>
      <c r="L838">
        <v>17</v>
      </c>
      <c r="M838" t="s">
        <v>35</v>
      </c>
      <c r="N838">
        <v>292</v>
      </c>
      <c r="O838">
        <v>352</v>
      </c>
      <c r="P838">
        <v>180</v>
      </c>
      <c r="Q838" t="s">
        <v>845</v>
      </c>
      <c r="R838">
        <v>2</v>
      </c>
      <c r="S838" s="7" t="s">
        <v>4585</v>
      </c>
      <c r="U838">
        <v>17</v>
      </c>
      <c r="V838" s="4">
        <f>HYPERLINK("http://exon.niaid.nih.gov/transcriptome/C_felis/S1/links/cluster/cf-5-36-asb30-50-Id-CLU6.txt", 6)</f>
        <v>6</v>
      </c>
      <c r="W838">
        <f>HYPERLINK("http://exon.niaid.nih.gov/transcriptome/C_felis/S1/links/cluster/cf-5-36-asb30-50-Id-CLTL6.txt", 4)</f>
        <v>4</v>
      </c>
      <c r="X838" s="4">
        <f>HYPERLINK("http://exon.niaid.nih.gov/transcriptome/C_felis/S1/links/cluster/cf-5-36-asb35-50-Id-CLU6.txt", 6)</f>
        <v>6</v>
      </c>
      <c r="Y838">
        <f>HYPERLINK("http://exon.niaid.nih.gov/transcriptome/C_felis/S1/links/cluster/cf-5-36-asb35-50-Id-CLTL6.txt", 4)</f>
        <v>4</v>
      </c>
      <c r="Z838" s="4">
        <f>HYPERLINK("http://exon.niaid.nih.gov/transcriptome/C_felis/S1/links/cluster/cf-5-36-asb40-50-Id-CLU11.txt", 11)</f>
        <v>11</v>
      </c>
      <c r="AA838">
        <f>HYPERLINK("http://exon.niaid.nih.gov/transcriptome/C_felis/S1/links/cluster/cf-5-36-asb40-50-Id-CLTL11.txt", 3)</f>
        <v>3</v>
      </c>
      <c r="AB838" s="4" t="str">
        <f>HYPERLINK("http://exon.niaid.nih.gov/transcriptome/C_felis/S1/links/XC-ASB/cf-contig_23-XC-ASB.txt","XC-contig_41")</f>
        <v>XC-contig_41</v>
      </c>
      <c r="AC838">
        <v>2E-3</v>
      </c>
      <c r="AD838" s="10" t="s">
        <v>4600</v>
      </c>
      <c r="AE838" t="s">
        <v>4601</v>
      </c>
      <c r="AI838" s="4" t="str">
        <f>HYPERLINK("http://exon.niaid.nih.gov/transcriptome/C_felis/S1/links/NR/cf-contig_23-NR.txt","hypothetical protein, unlikely")</f>
        <v>hypothetical protein, unlikely</v>
      </c>
      <c r="AJ838" t="str">
        <f>HYPERLINK("http://www.ncbi.nlm.nih.gov/sutils/blink.cgi?pid=261331335","9.5")</f>
        <v>9.5</v>
      </c>
      <c r="AK838" t="str">
        <f>HYPERLINK("http://www.ncbi.nlm.nih.gov/protein/261331335","gi|261331335")</f>
        <v>gi|261331335</v>
      </c>
      <c r="AL838">
        <v>33.9</v>
      </c>
      <c r="AM838">
        <v>63</v>
      </c>
      <c r="AN838">
        <v>134</v>
      </c>
      <c r="AO838">
        <v>31</v>
      </c>
      <c r="AP838">
        <v>48</v>
      </c>
      <c r="AQ838">
        <v>44</v>
      </c>
      <c r="AR838">
        <v>9</v>
      </c>
      <c r="AS838">
        <v>47</v>
      </c>
      <c r="AT838">
        <v>188</v>
      </c>
      <c r="AU838">
        <v>1</v>
      </c>
      <c r="AV838">
        <v>-1</v>
      </c>
      <c r="AW838" t="s">
        <v>12</v>
      </c>
      <c r="AX838">
        <v>3.1749999999999998</v>
      </c>
      <c r="AY838" t="s">
        <v>1666</v>
      </c>
      <c r="AZ838" t="s">
        <v>1755</v>
      </c>
      <c r="BA838" s="4" t="str">
        <f>HYPERLINK("http://exon.niaid.nih.gov/transcriptome/C_felis/S1/links/SWISSP/cf-contig_23-SWISSP.txt","Xenotropic and polytropic retrovirus receptor 1 homolog")</f>
        <v>Xenotropic and polytropic retrovirus receptor 1 homolog</v>
      </c>
      <c r="BB838" t="str">
        <f>HYPERLINK("http://www.uniprot.org/uniprot/Q9R031","1.7")</f>
        <v>1.7</v>
      </c>
      <c r="BC838" t="s">
        <v>1756</v>
      </c>
      <c r="BD838">
        <v>31.6</v>
      </c>
      <c r="BE838">
        <v>67</v>
      </c>
      <c r="BF838">
        <v>691</v>
      </c>
      <c r="BG838">
        <v>28</v>
      </c>
      <c r="BH838">
        <v>10</v>
      </c>
      <c r="BI838">
        <v>54</v>
      </c>
      <c r="BJ838">
        <v>0</v>
      </c>
      <c r="BK838">
        <v>335</v>
      </c>
      <c r="BL838">
        <v>122</v>
      </c>
      <c r="BM838">
        <v>1</v>
      </c>
      <c r="BN838">
        <v>-1</v>
      </c>
      <c r="BO838" t="s">
        <v>12</v>
      </c>
      <c r="BP838">
        <v>2.9849999999999999</v>
      </c>
      <c r="BQ838" t="s">
        <v>1666</v>
      </c>
      <c r="BR838" t="s">
        <v>1757</v>
      </c>
      <c r="BS838" s="4" t="str">
        <f>HYPERLINK("http://exon.niaid.nih.gov/transcriptome/C_felis/S1/links/CDD/cf-contig_23-CDD.txt","ND6")</f>
        <v>ND6</v>
      </c>
      <c r="BT838" t="str">
        <f>HYPERLINK("http://www.ncbi.nlm.nih.gov/Structure/cdd/cddsrv.cgi?uid=MTH00166&amp;version=v4.0","0.071")</f>
        <v>0.071</v>
      </c>
      <c r="BU838" t="s">
        <v>1758</v>
      </c>
      <c r="BV838" s="4" t="s">
        <v>42</v>
      </c>
      <c r="BW838" t="s">
        <v>42</v>
      </c>
      <c r="BX838" t="s">
        <v>42</v>
      </c>
      <c r="BY838" t="s">
        <v>42</v>
      </c>
      <c r="BZ838" t="s">
        <v>42</v>
      </c>
      <c r="CA838" t="s">
        <v>42</v>
      </c>
      <c r="CB838" t="s">
        <v>42</v>
      </c>
      <c r="CC838" t="s">
        <v>42</v>
      </c>
      <c r="CD838" t="s">
        <v>42</v>
      </c>
      <c r="CE838" t="s">
        <v>42</v>
      </c>
      <c r="CF838" t="s">
        <v>42</v>
      </c>
      <c r="CG838" t="s">
        <v>42</v>
      </c>
      <c r="CH838" t="s">
        <v>42</v>
      </c>
      <c r="CI838" t="s">
        <v>42</v>
      </c>
      <c r="CJ838" t="s">
        <v>42</v>
      </c>
      <c r="CK838" t="s">
        <v>42</v>
      </c>
      <c r="CL838" t="s">
        <v>42</v>
      </c>
      <c r="CM838" t="s">
        <v>42</v>
      </c>
      <c r="CN838" t="s">
        <v>42</v>
      </c>
      <c r="CO838" t="s">
        <v>42</v>
      </c>
      <c r="CP838" t="s">
        <v>42</v>
      </c>
      <c r="CQ838" t="s">
        <v>42</v>
      </c>
      <c r="CR838" t="s">
        <v>42</v>
      </c>
      <c r="CS838" s="4" t="str">
        <f>HYPERLINK("http://exon.niaid.nih.gov/transcriptome/C_felis/S1/links/KOG/cf-contig_23-KOG.txt","Uncharacterized conserved protein")</f>
        <v>Uncharacterized conserved protein</v>
      </c>
      <c r="CT838" t="str">
        <f>HYPERLINK("http://www.ncbi.nlm.nih.gov/COG/grace/shokog.cgi?KOG2357","0.25")</f>
        <v>0.25</v>
      </c>
      <c r="CU838" t="s">
        <v>1711</v>
      </c>
      <c r="CV838" s="4" t="str">
        <f>HYPERLINK("http://exon.niaid.nih.gov/transcriptome/C_felis/S1/links/PFAM/cf-contig_23-PFAM.txt","Trehalose_recp")</f>
        <v>Trehalose_recp</v>
      </c>
      <c r="CW838" t="str">
        <f>HYPERLINK("http://pfam.sanger.ac.uk/family?acc=PF06151","0.090")</f>
        <v>0.090</v>
      </c>
      <c r="CX838" s="4" t="str">
        <f>HYPERLINK("http://exon.niaid.nih.gov/transcriptome/C_felis/S1/links/SMART/cf-contig_23-SMART.txt","GEL")</f>
        <v>GEL</v>
      </c>
      <c r="CY838" t="str">
        <f>HYPERLINK("http://smart.embl-heidelberg.de/smart/do_annotation.pl?DOMAIN=GEL&amp;BLAST=DUMMY","0.040")</f>
        <v>0.040</v>
      </c>
      <c r="CZ838" s="4" t="s">
        <v>42</v>
      </c>
      <c r="DA838" t="s">
        <v>42</v>
      </c>
      <c r="DB838" t="s">
        <v>42</v>
      </c>
      <c r="DC838" t="s">
        <v>42</v>
      </c>
      <c r="DD838" t="s">
        <v>42</v>
      </c>
      <c r="DE838" t="s">
        <v>42</v>
      </c>
      <c r="DF838" t="s">
        <v>42</v>
      </c>
      <c r="DG838" t="s">
        <v>42</v>
      </c>
      <c r="DH838" s="4" t="s">
        <v>42</v>
      </c>
      <c r="DI838" t="s">
        <v>42</v>
      </c>
      <c r="DJ838" s="4" t="s">
        <v>42</v>
      </c>
      <c r="DK838" t="s">
        <v>42</v>
      </c>
      <c r="DL838" s="4">
        <f>HYPERLINK("http://exon.niaid.nih.gov/transcriptome/C_felis/S1/links/cluster/cf-5-36-asb30-50-Id-CLU6.txt", 6)</f>
        <v>6</v>
      </c>
      <c r="DM838">
        <f>HYPERLINK("http://exon.niaid.nih.gov/transcriptome/C_felis/S1/links/cluster/cf-5-36-asb30-50-Id-CLTL6.txt", 4)</f>
        <v>4</v>
      </c>
      <c r="DN838" s="4">
        <f>HYPERLINK("http://exon.niaid.nih.gov/transcriptome/C_felis/S1/links/cluster/cf-5-36-asb35-50-Id-CLU6.txt", 6)</f>
        <v>6</v>
      </c>
      <c r="DO838">
        <f>HYPERLINK("http://exon.niaid.nih.gov/transcriptome/C_felis/S1/links/cluster/cf-5-36-asb35-50-Id-CLTL6.txt", 4)</f>
        <v>4</v>
      </c>
      <c r="DP838" s="4">
        <f>HYPERLINK("http://exon.niaid.nih.gov/transcriptome/C_felis/S1/links/cluster/cf-5-36-asb40-50-Id-CLU11.txt", 11)</f>
        <v>11</v>
      </c>
      <c r="DQ838">
        <f>HYPERLINK("http://exon.niaid.nih.gov/transcriptome/C_felis/S1/links/cluster/cf-5-36-asb40-50-Id-CLTL11.txt", 3)</f>
        <v>3</v>
      </c>
      <c r="DR838" s="4">
        <f>HYPERLINK("http://exon.niaid.nih.gov/transcriptome/C_felis/S1/links/cluster/cf-5-36-asb45-50-Id-CLU18.txt", 18)</f>
        <v>18</v>
      </c>
      <c r="DS838">
        <f>HYPERLINK("http://exon.niaid.nih.gov/transcriptome/C_felis/S1/links/cluster/cf-5-36-asb45-50-Id-CLTL18.txt", 2)</f>
        <v>2</v>
      </c>
      <c r="DT838" s="4">
        <f>HYPERLINK("http://exon.niaid.nih.gov/transcriptome/C_felis/S1/links/cluster/cf-5-36-asb50-50-Id-CLU14.txt", 14)</f>
        <v>14</v>
      </c>
      <c r="DU838">
        <f>HYPERLINK("http://exon.niaid.nih.gov/transcriptome/C_felis/S1/links/cluster/cf-5-36-asb50-50-Id-CLTL14.txt", 2)</f>
        <v>2</v>
      </c>
      <c r="DV838" s="4">
        <f>HYPERLINK("http://exon.niaid.nih.gov/transcriptome/C_felis/S1/links/cluster/cf-5-36-asb55-50-Id-CLU15.txt", 15)</f>
        <v>15</v>
      </c>
      <c r="DW838">
        <f>HYPERLINK("http://exon.niaid.nih.gov/transcriptome/C_felis/S1/links/cluster/cf-5-36-asb55-50-Id-CLTL15.txt", 2)</f>
        <v>2</v>
      </c>
      <c r="DX838" s="4">
        <f>HYPERLINK("http://exon.niaid.nih.gov/transcriptome/C_felis/S1/links/cluster/cf-5-36-asb60-50-Id-CLU13.txt", 13)</f>
        <v>13</v>
      </c>
      <c r="DY838">
        <f>HYPERLINK("http://exon.niaid.nih.gov/transcriptome/C_felis/S1/links/cluster/cf-5-36-asb60-50-Id-CLTL13.txt", 2)</f>
        <v>2</v>
      </c>
      <c r="DZ838" s="4">
        <f>HYPERLINK("http://exon.niaid.nih.gov/transcriptome/C_felis/S1/links/cluster/cf-5-36-asb65-50-Id-CLU10.txt", 10)</f>
        <v>10</v>
      </c>
      <c r="EA838">
        <f>HYPERLINK("http://exon.niaid.nih.gov/transcriptome/C_felis/S1/links/cluster/cf-5-36-asb65-50-Id-CLTL10.txt", 2)</f>
        <v>2</v>
      </c>
      <c r="EB838" s="4">
        <v>46</v>
      </c>
      <c r="EC838">
        <v>1</v>
      </c>
      <c r="ED838" s="4">
        <v>46</v>
      </c>
      <c r="EE838">
        <v>1</v>
      </c>
      <c r="EF838" s="4">
        <v>40</v>
      </c>
      <c r="EG838">
        <v>1</v>
      </c>
      <c r="EH838" s="4">
        <v>28</v>
      </c>
      <c r="EI838">
        <v>1</v>
      </c>
      <c r="EJ838" s="4">
        <v>23</v>
      </c>
      <c r="EK838">
        <v>1</v>
      </c>
    </row>
    <row r="839" spans="1:141" x14ac:dyDescent="0.2">
      <c r="A839" t="str">
        <f>HYPERLINK("http://exon.niaid.nih.gov/transcriptome/C_felis/S1/links/cf/cf-contig_367.txt","cf-contig_367")</f>
        <v>cf-contig_367</v>
      </c>
      <c r="B839">
        <v>1</v>
      </c>
      <c r="C839" s="10" t="s">
        <v>4600</v>
      </c>
      <c r="D839">
        <v>1</v>
      </c>
      <c r="E839" t="str">
        <f>HYPERLINK("http://exon.niaid.nih.gov/transcriptome/C_felis/S1/links/cf/cf-5-36-asb-367.txt","Contig-367")</f>
        <v>Contig-367</v>
      </c>
      <c r="F839" t="str">
        <f>HYPERLINK("http://exon.niaid.nih.gov/transcriptome/C_felis/S1/links/cf/cf-5-36-367-CLU.txt","Contig367")</f>
        <v>Contig367</v>
      </c>
      <c r="G839" t="str">
        <f>HYPERLINK("http://exon.niaid.nih.gov/transcriptome/C_felis/S1/links/cf/cf-5-36-367-qual.txt","57.4")</f>
        <v>57.4</v>
      </c>
      <c r="H839" t="s">
        <v>11</v>
      </c>
      <c r="I839">
        <v>74</v>
      </c>
      <c r="J839">
        <v>388</v>
      </c>
      <c r="K839" t="s">
        <v>12</v>
      </c>
      <c r="L839">
        <v>1</v>
      </c>
      <c r="M839" t="s">
        <v>380</v>
      </c>
      <c r="N839">
        <v>388</v>
      </c>
      <c r="O839">
        <v>407</v>
      </c>
      <c r="P839">
        <v>141</v>
      </c>
      <c r="Q839" t="s">
        <v>1187</v>
      </c>
      <c r="R839">
        <v>2</v>
      </c>
      <c r="S839" s="7" t="s">
        <v>4585</v>
      </c>
      <c r="U839">
        <v>1</v>
      </c>
      <c r="V839" s="4">
        <v>296</v>
      </c>
      <c r="W839">
        <v>1</v>
      </c>
      <c r="X839" s="4">
        <v>303</v>
      </c>
      <c r="Y839">
        <v>1</v>
      </c>
      <c r="Z839" s="4">
        <v>304</v>
      </c>
      <c r="AA839">
        <v>1</v>
      </c>
      <c r="AB839" s="4" t="str">
        <f>HYPERLINK("http://exon.niaid.nih.gov/transcriptome/C_felis/S1/links/XC-ASB/cf-contig_367-XC-ASB.txt","XC-contig_86")</f>
        <v>XC-contig_86</v>
      </c>
      <c r="AC839">
        <v>1.7000000000000001E-2</v>
      </c>
      <c r="AD839" s="10" t="s">
        <v>4600</v>
      </c>
      <c r="AE839" t="s">
        <v>4601</v>
      </c>
      <c r="AI839" s="4" t="str">
        <f>HYPERLINK("http://exon.niaid.nih.gov/transcriptome/C_felis/S1/links/NR/cf-contig_367-NR.txt","hypothetical protein, unlikely")</f>
        <v>hypothetical protein, unlikely</v>
      </c>
      <c r="AJ839" t="str">
        <f>HYPERLINK("http://www.ncbi.nlm.nih.gov/sutils/blink.cgi?pid=261329802","2.5")</f>
        <v>2.5</v>
      </c>
      <c r="AK839" t="str">
        <f>HYPERLINK("http://www.ncbi.nlm.nih.gov/protein/261329802","gi|261329802")</f>
        <v>gi|261329802</v>
      </c>
      <c r="AL839">
        <v>35.799999999999997</v>
      </c>
      <c r="AM839">
        <v>78</v>
      </c>
      <c r="AN839">
        <v>117</v>
      </c>
      <c r="AO839">
        <v>33</v>
      </c>
      <c r="AP839">
        <v>68</v>
      </c>
      <c r="AQ839">
        <v>60</v>
      </c>
      <c r="AR839">
        <v>1</v>
      </c>
      <c r="AS839">
        <v>34</v>
      </c>
      <c r="AT839">
        <v>92</v>
      </c>
      <c r="AU839">
        <v>1</v>
      </c>
      <c r="AV839">
        <v>2</v>
      </c>
      <c r="AW839" t="s">
        <v>12</v>
      </c>
      <c r="AX839">
        <v>3.8460000000000001</v>
      </c>
      <c r="AY839" t="s">
        <v>1676</v>
      </c>
      <c r="AZ839" t="s">
        <v>1755</v>
      </c>
      <c r="BA839" s="4" t="str">
        <f>HYPERLINK("http://exon.niaid.nih.gov/transcriptome/C_felis/S1/links/SWISSP/cf-contig_367-SWISSP.txt","DNA-directed RNA polymerase subunit beta''")</f>
        <v>DNA-directed RNA polymerase subunit beta''</v>
      </c>
      <c r="BB839" t="str">
        <f>HYPERLINK("http://www.uniprot.org/uniprot/Q25802","0.43")</f>
        <v>0.43</v>
      </c>
      <c r="BC839" t="s">
        <v>1918</v>
      </c>
      <c r="BD839">
        <v>33.5</v>
      </c>
      <c r="BE839">
        <v>71</v>
      </c>
      <c r="BF839">
        <v>960</v>
      </c>
      <c r="BG839">
        <v>29</v>
      </c>
      <c r="BH839">
        <v>8</v>
      </c>
      <c r="BI839">
        <v>58</v>
      </c>
      <c r="BJ839">
        <v>0</v>
      </c>
      <c r="BK839">
        <v>797</v>
      </c>
      <c r="BL839">
        <v>116</v>
      </c>
      <c r="BM839">
        <v>1</v>
      </c>
      <c r="BN839">
        <v>2</v>
      </c>
      <c r="BO839" t="s">
        <v>12</v>
      </c>
      <c r="BP839">
        <v>4.2249999999999996</v>
      </c>
      <c r="BQ839" t="s">
        <v>1676</v>
      </c>
      <c r="BR839" t="s">
        <v>1791</v>
      </c>
      <c r="BS839" s="4" t="str">
        <f>HYPERLINK("http://exon.niaid.nih.gov/transcriptome/C_felis/S1/links/CDD/cf-contig_367-CDD.txt","PRK13414")</f>
        <v>PRK13414</v>
      </c>
      <c r="BT839" t="str">
        <f>HYPERLINK("http://www.ncbi.nlm.nih.gov/Structure/cdd/cddsrv.cgi?uid=PRK13414&amp;version=v4.0","0.008")</f>
        <v>0.008</v>
      </c>
      <c r="BU839" t="s">
        <v>2961</v>
      </c>
      <c r="BV839" s="4" t="s">
        <v>42</v>
      </c>
      <c r="BW839" t="s">
        <v>42</v>
      </c>
      <c r="BX839" t="s">
        <v>42</v>
      </c>
      <c r="BY839" t="s">
        <v>42</v>
      </c>
      <c r="BZ839" t="s">
        <v>42</v>
      </c>
      <c r="CA839" t="s">
        <v>42</v>
      </c>
      <c r="CB839" t="s">
        <v>42</v>
      </c>
      <c r="CC839" t="s">
        <v>42</v>
      </c>
      <c r="CD839" t="s">
        <v>42</v>
      </c>
      <c r="CE839" t="s">
        <v>42</v>
      </c>
      <c r="CF839" t="s">
        <v>42</v>
      </c>
      <c r="CG839" t="s">
        <v>42</v>
      </c>
      <c r="CH839" t="s">
        <v>42</v>
      </c>
      <c r="CI839" t="s">
        <v>42</v>
      </c>
      <c r="CJ839" t="s">
        <v>42</v>
      </c>
      <c r="CK839" t="s">
        <v>42</v>
      </c>
      <c r="CL839" t="s">
        <v>42</v>
      </c>
      <c r="CM839" t="s">
        <v>42</v>
      </c>
      <c r="CN839" t="s">
        <v>42</v>
      </c>
      <c r="CO839" t="s">
        <v>42</v>
      </c>
      <c r="CP839" t="s">
        <v>42</v>
      </c>
      <c r="CQ839" t="s">
        <v>42</v>
      </c>
      <c r="CR839" t="s">
        <v>42</v>
      </c>
      <c r="CS839" s="4" t="str">
        <f>HYPERLINK("http://exon.niaid.nih.gov/transcriptome/C_felis/S1/links/KOG/cf-contig_367-KOG.txt","N-acetylglucosaminyltransferase complex, subunit PIG-C/GPI2, required for phosphatidylinositol biosynthesis")</f>
        <v>N-acetylglucosaminyltransferase complex, subunit PIG-C/GPI2, required for phosphatidylinositol biosynthesis</v>
      </c>
      <c r="CT839" t="str">
        <f>HYPERLINK("http://www.ncbi.nlm.nih.gov/COG/grace/shokog.cgi?KOG3059","0.10")</f>
        <v>0.10</v>
      </c>
      <c r="CU839" t="s">
        <v>1761</v>
      </c>
      <c r="CV839" s="4" t="str">
        <f>HYPERLINK("http://exon.niaid.nih.gov/transcriptome/C_felis/S1/links/PFAM/cf-contig_367-PFAM.txt","GpcrRhopsn4")</f>
        <v>GpcrRhopsn4</v>
      </c>
      <c r="CW839" t="str">
        <f>HYPERLINK("http://pfam.sanger.ac.uk/family?acc=PF10192","0.034")</f>
        <v>0.034</v>
      </c>
      <c r="CX839" s="4" t="str">
        <f>HYPERLINK("http://exon.niaid.nih.gov/transcriptome/C_felis/S1/links/SMART/cf-contig_367-SMART.txt","s48_45")</f>
        <v>s48_45</v>
      </c>
      <c r="CY839" t="str">
        <f>HYPERLINK("http://smart.embl-heidelberg.de/smart/do_annotation.pl?DOMAIN=s48_45&amp;BLAST=DUMMY","0.053")</f>
        <v>0.053</v>
      </c>
      <c r="CZ839" s="4" t="s">
        <v>42</v>
      </c>
      <c r="DA839" t="s">
        <v>42</v>
      </c>
      <c r="DB839" t="s">
        <v>42</v>
      </c>
      <c r="DC839" t="s">
        <v>42</v>
      </c>
      <c r="DD839" t="s">
        <v>42</v>
      </c>
      <c r="DE839" t="s">
        <v>42</v>
      </c>
      <c r="DF839" t="s">
        <v>42</v>
      </c>
      <c r="DG839" t="s">
        <v>42</v>
      </c>
      <c r="DH839" s="4" t="s">
        <v>42</v>
      </c>
      <c r="DI839" t="s">
        <v>42</v>
      </c>
      <c r="DJ839" s="4" t="s">
        <v>42</v>
      </c>
      <c r="DK839" t="s">
        <v>42</v>
      </c>
      <c r="DL839" s="4">
        <v>296</v>
      </c>
      <c r="DM839">
        <v>1</v>
      </c>
      <c r="DN839" s="4">
        <v>303</v>
      </c>
      <c r="DO839">
        <v>1</v>
      </c>
      <c r="DP839" s="4">
        <v>304</v>
      </c>
      <c r="DQ839">
        <v>1</v>
      </c>
      <c r="DR839" s="4">
        <v>315</v>
      </c>
      <c r="DS839">
        <v>1</v>
      </c>
      <c r="DT839" s="4">
        <v>325</v>
      </c>
      <c r="DU839">
        <v>1</v>
      </c>
      <c r="DV839" s="4">
        <v>338</v>
      </c>
      <c r="DW839">
        <v>1</v>
      </c>
      <c r="DX839" s="4">
        <v>341</v>
      </c>
      <c r="DY839">
        <v>1</v>
      </c>
      <c r="DZ839" s="4">
        <v>346</v>
      </c>
      <c r="EA839">
        <v>1</v>
      </c>
      <c r="EB839" s="4">
        <v>351</v>
      </c>
      <c r="EC839">
        <v>1</v>
      </c>
      <c r="ED839" s="4">
        <v>355</v>
      </c>
      <c r="EE839">
        <v>1</v>
      </c>
      <c r="EF839" s="4">
        <v>360</v>
      </c>
      <c r="EG839">
        <v>1</v>
      </c>
      <c r="EH839" s="4">
        <v>362</v>
      </c>
      <c r="EI839">
        <v>1</v>
      </c>
      <c r="EJ839" s="4">
        <v>367</v>
      </c>
      <c r="EK839">
        <v>1</v>
      </c>
    </row>
    <row r="840" spans="1:141" x14ac:dyDescent="0.2">
      <c r="A840" t="str">
        <f>HYPERLINK("http://exon.niaid.nih.gov/transcriptome/C_felis/S1/links/cf/cf-contig_88.txt","cf-contig_88")</f>
        <v>cf-contig_88</v>
      </c>
      <c r="B840">
        <v>2</v>
      </c>
      <c r="C840" s="10" t="s">
        <v>4600</v>
      </c>
      <c r="D840">
        <v>2</v>
      </c>
      <c r="E840" t="str">
        <f>HYPERLINK("http://exon.niaid.nih.gov/transcriptome/C_felis/S1/links/cf/cf-5-36-asb-88.txt","Contig-88")</f>
        <v>Contig-88</v>
      </c>
      <c r="F840" t="str">
        <f>HYPERLINK("http://exon.niaid.nih.gov/transcriptome/C_felis/S1/links/cf/cf-5-36-88-CLU.txt","Contig88")</f>
        <v>Contig88</v>
      </c>
      <c r="G840" t="str">
        <f>HYPERLINK("http://exon.niaid.nih.gov/transcriptome/C_felis/S1/links/cf/cf-5-36-88-qual.txt","85.3")</f>
        <v>85.3</v>
      </c>
      <c r="H840" t="s">
        <v>11</v>
      </c>
      <c r="I840">
        <v>79.7</v>
      </c>
      <c r="J840">
        <v>371</v>
      </c>
      <c r="K840" t="s">
        <v>12</v>
      </c>
      <c r="L840">
        <v>2</v>
      </c>
      <c r="M840" t="s">
        <v>101</v>
      </c>
      <c r="N840">
        <v>371</v>
      </c>
      <c r="O840">
        <v>390</v>
      </c>
      <c r="P840">
        <v>93</v>
      </c>
      <c r="Q840" t="s">
        <v>908</v>
      </c>
      <c r="R840">
        <v>1</v>
      </c>
      <c r="S840" s="7" t="s">
        <v>4585</v>
      </c>
      <c r="U840">
        <v>2</v>
      </c>
      <c r="V840" s="4">
        <v>114</v>
      </c>
      <c r="W840">
        <v>1</v>
      </c>
      <c r="X840" s="4">
        <v>109</v>
      </c>
      <c r="Y840">
        <v>1</v>
      </c>
      <c r="Z840" s="4">
        <v>106</v>
      </c>
      <c r="AA840">
        <v>1</v>
      </c>
      <c r="AB840" s="4" t="str">
        <f>HYPERLINK("http://exon.niaid.nih.gov/transcriptome/C_felis/S1/links/XC-ASB/cf-contig_88-XC-ASB.txt","XC-contig_41")</f>
        <v>XC-contig_41</v>
      </c>
      <c r="AC840">
        <v>6.0000000000000002E-6</v>
      </c>
      <c r="AD840" s="10" t="s">
        <v>4600</v>
      </c>
      <c r="AE840" t="s">
        <v>4601</v>
      </c>
      <c r="AI840" s="4" t="str">
        <f>HYPERLINK("http://exon.niaid.nih.gov/transcriptome/C_felis/S1/links/NR/cf-contig_88-NR.txt","hypothetical protein, unlikely")</f>
        <v>hypothetical protein, unlikely</v>
      </c>
      <c r="AJ840" t="str">
        <f>HYPERLINK("http://www.ncbi.nlm.nih.gov/sutils/blink.cgi?pid=343474219","0.65")</f>
        <v>0.65</v>
      </c>
      <c r="AK840" t="str">
        <f>HYPERLINK("http://www.ncbi.nlm.nih.gov/protein/343474219","gi|343474219")</f>
        <v>gi|343474219</v>
      </c>
      <c r="AL840">
        <v>37.700000000000003</v>
      </c>
      <c r="AM840">
        <v>55</v>
      </c>
      <c r="AN840">
        <v>140</v>
      </c>
      <c r="AO840">
        <v>35</v>
      </c>
      <c r="AP840">
        <v>40</v>
      </c>
      <c r="AQ840">
        <v>36</v>
      </c>
      <c r="AR840">
        <v>6</v>
      </c>
      <c r="AS840">
        <v>18</v>
      </c>
      <c r="AT840">
        <v>32</v>
      </c>
      <c r="AU840">
        <v>1</v>
      </c>
      <c r="AV840">
        <v>-3</v>
      </c>
      <c r="AW840" t="s">
        <v>12</v>
      </c>
      <c r="AY840" t="s">
        <v>1666</v>
      </c>
      <c r="AZ840" t="s">
        <v>1990</v>
      </c>
      <c r="BA840" s="4" t="str">
        <f>HYPERLINK("http://exon.niaid.nih.gov/transcriptome/C_felis/S1/links/SWISSP/cf-contig_88-SWISSP.txt","Uncharacterized protein MG098")</f>
        <v>Uncharacterized protein MG098</v>
      </c>
      <c r="BB840" t="str">
        <f>HYPERLINK("http://www.uniprot.org/uniprot/P47344","0.56")</f>
        <v>0.56</v>
      </c>
      <c r="BC840" t="s">
        <v>1991</v>
      </c>
      <c r="BD840">
        <v>33.1</v>
      </c>
      <c r="BE840">
        <v>79</v>
      </c>
      <c r="BF840">
        <v>477</v>
      </c>
      <c r="BG840">
        <v>31</v>
      </c>
      <c r="BH840">
        <v>17</v>
      </c>
      <c r="BI840">
        <v>56</v>
      </c>
      <c r="BJ840">
        <v>2</v>
      </c>
      <c r="BK840">
        <v>243</v>
      </c>
      <c r="BL840">
        <v>24</v>
      </c>
      <c r="BM840">
        <v>1</v>
      </c>
      <c r="BN840">
        <v>-2</v>
      </c>
      <c r="BO840" t="s">
        <v>12</v>
      </c>
      <c r="BP840">
        <v>3.7970000000000002</v>
      </c>
      <c r="BQ840" t="s">
        <v>1666</v>
      </c>
      <c r="BR840" t="s">
        <v>1815</v>
      </c>
      <c r="BS840" s="4" t="str">
        <f>HYPERLINK("http://exon.niaid.nih.gov/transcriptome/C_felis/S1/links/CDD/cf-contig_88-CDD.txt","PRK14788")</f>
        <v>PRK14788</v>
      </c>
      <c r="BT840" t="str">
        <f>HYPERLINK("http://www.ncbi.nlm.nih.gov/Structure/cdd/cddsrv.cgi?uid=PRK14788&amp;version=v4.0","0.009")</f>
        <v>0.009</v>
      </c>
      <c r="BU840" t="s">
        <v>1992</v>
      </c>
      <c r="BV840" s="4" t="s">
        <v>42</v>
      </c>
      <c r="BW840" t="s">
        <v>42</v>
      </c>
      <c r="BX840" t="s">
        <v>42</v>
      </c>
      <c r="BY840" t="s">
        <v>42</v>
      </c>
      <c r="BZ840" t="s">
        <v>42</v>
      </c>
      <c r="CA840" t="s">
        <v>42</v>
      </c>
      <c r="CB840" t="s">
        <v>42</v>
      </c>
      <c r="CC840" t="s">
        <v>42</v>
      </c>
      <c r="CD840" t="s">
        <v>42</v>
      </c>
      <c r="CE840" t="s">
        <v>42</v>
      </c>
      <c r="CF840" t="s">
        <v>42</v>
      </c>
      <c r="CG840" t="s">
        <v>42</v>
      </c>
      <c r="CH840" t="s">
        <v>42</v>
      </c>
      <c r="CI840" t="s">
        <v>42</v>
      </c>
      <c r="CJ840" t="s">
        <v>42</v>
      </c>
      <c r="CK840" t="s">
        <v>42</v>
      </c>
      <c r="CL840" t="s">
        <v>42</v>
      </c>
      <c r="CM840" t="s">
        <v>42</v>
      </c>
      <c r="CN840" t="s">
        <v>42</v>
      </c>
      <c r="CO840" t="s">
        <v>42</v>
      </c>
      <c r="CP840" t="s">
        <v>42</v>
      </c>
      <c r="CQ840" t="s">
        <v>42</v>
      </c>
      <c r="CR840" t="s">
        <v>42</v>
      </c>
      <c r="CS840" s="4" t="str">
        <f>HYPERLINK("http://exon.niaid.nih.gov/transcriptome/C_felis/S1/links/KOG/cf-contig_88-KOG.txt","Membrane protein Patched/PTCH")</f>
        <v>Membrane protein Patched/PTCH</v>
      </c>
      <c r="CT840" t="str">
        <f>HYPERLINK("http://www.ncbi.nlm.nih.gov/COG/grace/shokog.cgi?KOG1935","0.19")</f>
        <v>0.19</v>
      </c>
      <c r="CU840" t="s">
        <v>1780</v>
      </c>
      <c r="CV840" s="4" t="str">
        <f>HYPERLINK("http://exon.niaid.nih.gov/transcriptome/C_felis/S1/links/PFAM/cf-contig_88-PFAM.txt","7TM_GPCR_Srz")</f>
        <v>7TM_GPCR_Srz</v>
      </c>
      <c r="CW840" t="str">
        <f>HYPERLINK("http://pfam.sanger.ac.uk/family?acc=PF10325","0.014")</f>
        <v>0.014</v>
      </c>
      <c r="CX840" s="4" t="str">
        <f>HYPERLINK("http://exon.niaid.nih.gov/transcriptome/C_felis/S1/links/SMART/cf-contig_88-SMART.txt","CAT")</f>
        <v>CAT</v>
      </c>
      <c r="CY840" t="str">
        <f>HYPERLINK("http://smart.embl-heidelberg.de/smart/do_annotation.pl?DOMAIN=CAT&amp;BLAST=DUMMY","0.046")</f>
        <v>0.046</v>
      </c>
      <c r="CZ840" s="4" t="s">
        <v>42</v>
      </c>
      <c r="DA840" t="s">
        <v>42</v>
      </c>
      <c r="DB840" t="s">
        <v>42</v>
      </c>
      <c r="DC840" t="s">
        <v>42</v>
      </c>
      <c r="DD840" t="s">
        <v>42</v>
      </c>
      <c r="DE840" t="s">
        <v>42</v>
      </c>
      <c r="DF840" t="s">
        <v>42</v>
      </c>
      <c r="DG840" t="s">
        <v>42</v>
      </c>
      <c r="DH840" s="4" t="s">
        <v>42</v>
      </c>
      <c r="DI840" t="s">
        <v>42</v>
      </c>
      <c r="DJ840" s="4" t="s">
        <v>42</v>
      </c>
      <c r="DK840" t="s">
        <v>42</v>
      </c>
      <c r="DL840" s="4">
        <v>114</v>
      </c>
      <c r="DM840">
        <v>1</v>
      </c>
      <c r="DN840" s="4">
        <v>109</v>
      </c>
      <c r="DO840">
        <v>1</v>
      </c>
      <c r="DP840" s="4">
        <v>106</v>
      </c>
      <c r="DQ840">
        <v>1</v>
      </c>
      <c r="DR840" s="4">
        <v>97</v>
      </c>
      <c r="DS840">
        <v>1</v>
      </c>
      <c r="DT840" s="4">
        <v>95</v>
      </c>
      <c r="DU840">
        <v>1</v>
      </c>
      <c r="DV840" s="4">
        <v>100</v>
      </c>
      <c r="DW840">
        <v>1</v>
      </c>
      <c r="DX840" s="4">
        <v>99</v>
      </c>
      <c r="DY840">
        <v>1</v>
      </c>
      <c r="DZ840" s="4">
        <v>97</v>
      </c>
      <c r="EA840">
        <v>1</v>
      </c>
      <c r="EB840" s="4">
        <v>97</v>
      </c>
      <c r="EC840">
        <v>1</v>
      </c>
      <c r="ED840" s="4">
        <v>98</v>
      </c>
      <c r="EE840">
        <v>1</v>
      </c>
      <c r="EF840" s="4">
        <v>95</v>
      </c>
      <c r="EG840">
        <v>1</v>
      </c>
      <c r="EH840" s="4">
        <v>90</v>
      </c>
      <c r="EI840">
        <v>1</v>
      </c>
      <c r="EJ840" s="4">
        <v>88</v>
      </c>
      <c r="EK840">
        <v>1</v>
      </c>
    </row>
    <row r="841" spans="1:141" x14ac:dyDescent="0.2">
      <c r="A841" t="str">
        <f>HYPERLINK("http://exon.niaid.nih.gov/transcriptome/C_felis/S1/links/cf/cf-contig_554.txt","cf-contig_554")</f>
        <v>cf-contig_554</v>
      </c>
      <c r="B841">
        <v>1</v>
      </c>
      <c r="C841" s="10" t="s">
        <v>4600</v>
      </c>
      <c r="D841">
        <v>1</v>
      </c>
      <c r="E841" t="str">
        <f>HYPERLINK("http://exon.niaid.nih.gov/transcriptome/C_felis/S1/links/cf/cf-5-36-asb-554.txt","Contig-554")</f>
        <v>Contig-554</v>
      </c>
      <c r="F841" t="str">
        <f>HYPERLINK("http://exon.niaid.nih.gov/transcriptome/C_felis/S1/links/cf/cf-5-36-554-CLU.txt","Contig554")</f>
        <v>Contig554</v>
      </c>
      <c r="G841" t="str">
        <f>HYPERLINK("http://exon.niaid.nih.gov/transcriptome/C_felis/S1/links/cf/cf-5-36-554-qual.txt","58.8")</f>
        <v>58.8</v>
      </c>
      <c r="H841" t="s">
        <v>11</v>
      </c>
      <c r="I841">
        <v>77.099999999999994</v>
      </c>
      <c r="J841">
        <v>151</v>
      </c>
      <c r="K841" t="s">
        <v>12</v>
      </c>
      <c r="L841">
        <v>1</v>
      </c>
      <c r="M841" t="s">
        <v>567</v>
      </c>
      <c r="N841">
        <v>151</v>
      </c>
      <c r="O841">
        <v>170</v>
      </c>
      <c r="P841">
        <v>117</v>
      </c>
      <c r="Q841" t="s">
        <v>1373</v>
      </c>
      <c r="R841">
        <v>1</v>
      </c>
      <c r="S841" s="7" t="s">
        <v>4585</v>
      </c>
      <c r="U841">
        <v>1</v>
      </c>
      <c r="V841" s="4">
        <v>451</v>
      </c>
      <c r="W841">
        <v>1</v>
      </c>
      <c r="X841" s="4">
        <v>461</v>
      </c>
      <c r="Y841">
        <v>1</v>
      </c>
      <c r="Z841" s="4">
        <v>468</v>
      </c>
      <c r="AA841">
        <v>1</v>
      </c>
      <c r="AB841" s="4" t="str">
        <f>HYPERLINK("http://exon.niaid.nih.gov/transcriptome/C_felis/S1/links/XC-ASB/cf-contig_554-XC-ASB.txt","XC-contig_207")</f>
        <v>XC-contig_207</v>
      </c>
      <c r="AC841">
        <v>4.5999999999999999E-2</v>
      </c>
      <c r="AD841" s="10" t="s">
        <v>4600</v>
      </c>
      <c r="AE841" t="s">
        <v>4601</v>
      </c>
      <c r="AI841" s="4" t="str">
        <f>HYPERLINK("http://exon.niaid.nih.gov/transcriptome/C_felis/S1/links/NR/cf-contig_554-NR.txt","hypothetical protein, conserved in T. vivax")</f>
        <v>hypothetical protein, conserved in T. vivax</v>
      </c>
      <c r="AJ841" t="str">
        <f>HYPERLINK("http://www.ncbi.nlm.nih.gov/sutils/blink.cgi?pid=343413461","61")</f>
        <v>61</v>
      </c>
      <c r="AK841" t="str">
        <f>HYPERLINK("http://www.ncbi.nlm.nih.gov/protein/343413461","gi|343413461")</f>
        <v>gi|343413461</v>
      </c>
      <c r="AL841">
        <v>31.2</v>
      </c>
      <c r="AM841">
        <v>38</v>
      </c>
      <c r="AN841">
        <v>544</v>
      </c>
      <c r="AO841">
        <v>38</v>
      </c>
      <c r="AP841">
        <v>7</v>
      </c>
      <c r="AQ841">
        <v>24</v>
      </c>
      <c r="AR841">
        <v>3</v>
      </c>
      <c r="AS841">
        <v>37</v>
      </c>
      <c r="AT841">
        <v>28</v>
      </c>
      <c r="AU841">
        <v>1</v>
      </c>
      <c r="AV841">
        <v>-3</v>
      </c>
      <c r="AW841" t="s">
        <v>12</v>
      </c>
      <c r="AX841">
        <v>2.6320000000000001</v>
      </c>
      <c r="AY841" t="s">
        <v>1666</v>
      </c>
      <c r="AZ841" t="s">
        <v>3687</v>
      </c>
      <c r="BA841" s="4" t="str">
        <f>HYPERLINK("http://exon.niaid.nih.gov/transcriptome/C_felis/S1/links/SWISSP/cf-contig_554-SWISSP.txt","Probable fucosyltransferase 8")</f>
        <v>Probable fucosyltransferase 8</v>
      </c>
      <c r="BB841" t="str">
        <f>HYPERLINK("http://www.uniprot.org/uniprot/Q9XI78","6.2")</f>
        <v>6.2</v>
      </c>
      <c r="BC841" t="s">
        <v>3688</v>
      </c>
      <c r="BD841">
        <v>29.6</v>
      </c>
      <c r="BE841">
        <v>26</v>
      </c>
      <c r="BF841">
        <v>516</v>
      </c>
      <c r="BG841">
        <v>48</v>
      </c>
      <c r="BH841">
        <v>5</v>
      </c>
      <c r="BI841">
        <v>14</v>
      </c>
      <c r="BJ841">
        <v>0</v>
      </c>
      <c r="BK841">
        <v>202</v>
      </c>
      <c r="BL841">
        <v>19</v>
      </c>
      <c r="BM841">
        <v>1</v>
      </c>
      <c r="BN841">
        <v>1</v>
      </c>
      <c r="BO841" t="s">
        <v>12</v>
      </c>
      <c r="BP841">
        <v>3.8460000000000001</v>
      </c>
      <c r="BQ841" t="s">
        <v>1676</v>
      </c>
      <c r="BR841" t="s">
        <v>1714</v>
      </c>
      <c r="BS841" s="4" t="str">
        <f>HYPERLINK("http://exon.niaid.nih.gov/transcriptome/C_felis/S1/links/CDD/cf-contig_554-CDD.txt","LAGLIDADG_2")</f>
        <v>LAGLIDADG_2</v>
      </c>
      <c r="BT841" t="str">
        <f>HYPERLINK("http://www.ncbi.nlm.nih.gov/Structure/cdd/cddsrv.cgi?uid=pfam03161&amp;version=v4.0","0.32")</f>
        <v>0.32</v>
      </c>
      <c r="BU841" t="s">
        <v>3689</v>
      </c>
      <c r="BV841" s="4" t="s">
        <v>42</v>
      </c>
      <c r="BW841" t="s">
        <v>42</v>
      </c>
      <c r="BX841" t="s">
        <v>42</v>
      </c>
      <c r="BY841" t="s">
        <v>42</v>
      </c>
      <c r="BZ841" t="s">
        <v>42</v>
      </c>
      <c r="CA841" t="s">
        <v>42</v>
      </c>
      <c r="CB841" t="s">
        <v>42</v>
      </c>
      <c r="CC841" t="s">
        <v>42</v>
      </c>
      <c r="CD841" t="s">
        <v>42</v>
      </c>
      <c r="CE841" t="s">
        <v>42</v>
      </c>
      <c r="CF841" t="s">
        <v>42</v>
      </c>
      <c r="CG841" t="s">
        <v>42</v>
      </c>
      <c r="CH841" t="s">
        <v>42</v>
      </c>
      <c r="CI841" t="s">
        <v>42</v>
      </c>
      <c r="CJ841" t="s">
        <v>42</v>
      </c>
      <c r="CK841" t="s">
        <v>42</v>
      </c>
      <c r="CL841" t="s">
        <v>42</v>
      </c>
      <c r="CM841" t="s">
        <v>42</v>
      </c>
      <c r="CN841" t="s">
        <v>42</v>
      </c>
      <c r="CO841" t="s">
        <v>42</v>
      </c>
      <c r="CP841" t="s">
        <v>42</v>
      </c>
      <c r="CQ841" t="s">
        <v>42</v>
      </c>
      <c r="CR841" t="s">
        <v>42</v>
      </c>
      <c r="CS841" s="4" t="str">
        <f>HYPERLINK("http://exon.niaid.nih.gov/transcriptome/C_felis/S1/links/KOG/cf-contig_554-KOG.txt","Uncharacterized conserved protein")</f>
        <v>Uncharacterized conserved protein</v>
      </c>
      <c r="CT841" t="str">
        <f>HYPERLINK("http://www.ncbi.nlm.nih.gov/COG/grace/shokog.cgi?KOG4623","4.7")</f>
        <v>4.7</v>
      </c>
      <c r="CU841" t="s">
        <v>1711</v>
      </c>
      <c r="CV841" s="4" t="str">
        <f>HYPERLINK("http://exon.niaid.nih.gov/transcriptome/C_felis/S1/links/PFAM/cf-contig_554-PFAM.txt","LAGLIDADG_2")</f>
        <v>LAGLIDADG_2</v>
      </c>
      <c r="CW841" t="str">
        <f>HYPERLINK("http://pfam.sanger.ac.uk/family?acc=PF03161","0.067")</f>
        <v>0.067</v>
      </c>
      <c r="CX841" s="4" t="str">
        <f>HYPERLINK("http://exon.niaid.nih.gov/transcriptome/C_felis/S1/links/SMART/cf-contig_554-SMART.txt","RQC")</f>
        <v>RQC</v>
      </c>
      <c r="CY841" t="str">
        <f>HYPERLINK("http://smart.embl-heidelberg.de/smart/do_annotation.pl?DOMAIN=RQC&amp;BLAST=DUMMY","0.25")</f>
        <v>0.25</v>
      </c>
      <c r="CZ841" s="4" t="s">
        <v>42</v>
      </c>
      <c r="DA841" t="s">
        <v>42</v>
      </c>
      <c r="DB841" t="s">
        <v>42</v>
      </c>
      <c r="DC841" t="s">
        <v>42</v>
      </c>
      <c r="DD841" t="s">
        <v>42</v>
      </c>
      <c r="DE841" t="s">
        <v>42</v>
      </c>
      <c r="DF841" t="s">
        <v>42</v>
      </c>
      <c r="DG841" t="s">
        <v>42</v>
      </c>
      <c r="DH841" s="4" t="s">
        <v>42</v>
      </c>
      <c r="DI841" t="s">
        <v>42</v>
      </c>
      <c r="DJ841" s="4" t="s">
        <v>42</v>
      </c>
      <c r="DK841" t="s">
        <v>42</v>
      </c>
      <c r="DL841" s="4">
        <v>451</v>
      </c>
      <c r="DM841">
        <v>1</v>
      </c>
      <c r="DN841" s="4">
        <v>461</v>
      </c>
      <c r="DO841">
        <v>1</v>
      </c>
      <c r="DP841" s="4">
        <v>468</v>
      </c>
      <c r="DQ841">
        <v>1</v>
      </c>
      <c r="DR841" s="4">
        <v>484</v>
      </c>
      <c r="DS841">
        <v>1</v>
      </c>
      <c r="DT841" s="4">
        <v>496</v>
      </c>
      <c r="DU841">
        <v>1</v>
      </c>
      <c r="DV841" s="4">
        <v>510</v>
      </c>
      <c r="DW841">
        <v>1</v>
      </c>
      <c r="DX841" s="4">
        <v>518</v>
      </c>
      <c r="DY841">
        <v>1</v>
      </c>
      <c r="DZ841" s="4">
        <v>526</v>
      </c>
      <c r="EA841">
        <v>1</v>
      </c>
      <c r="EB841" s="4">
        <v>531</v>
      </c>
      <c r="EC841">
        <v>1</v>
      </c>
      <c r="ED841" s="4">
        <v>535</v>
      </c>
      <c r="EE841">
        <v>1</v>
      </c>
      <c r="EF841" s="4">
        <v>540</v>
      </c>
      <c r="EG841">
        <v>1</v>
      </c>
      <c r="EH841" s="4">
        <v>547</v>
      </c>
      <c r="EI841">
        <v>1</v>
      </c>
      <c r="EJ841" s="4">
        <v>554</v>
      </c>
      <c r="EK841">
        <v>1</v>
      </c>
    </row>
    <row r="842" spans="1:141" x14ac:dyDescent="0.2">
      <c r="A842" t="str">
        <f>HYPERLINK("http://exon.niaid.nih.gov/transcriptome/C_felis/S1/links/cf/cf-contig_424.txt","cf-contig_424")</f>
        <v>cf-contig_424</v>
      </c>
      <c r="B842">
        <v>1</v>
      </c>
      <c r="C842" s="10" t="s">
        <v>4600</v>
      </c>
      <c r="D842">
        <v>1</v>
      </c>
      <c r="E842" t="str">
        <f>HYPERLINK("http://exon.niaid.nih.gov/transcriptome/C_felis/S1/links/cf/cf-5-36-asb-424.txt","Contig-424")</f>
        <v>Contig-424</v>
      </c>
      <c r="F842" t="str">
        <f>HYPERLINK("http://exon.niaid.nih.gov/transcriptome/C_felis/S1/links/cf/cf-5-36-424-CLU.txt","Contig424")</f>
        <v>Contig424</v>
      </c>
      <c r="G842" t="str">
        <f>HYPERLINK("http://exon.niaid.nih.gov/transcriptome/C_felis/S1/links/cf/cf-5-36-424-qual.txt","67.5")</f>
        <v>67.5</v>
      </c>
      <c r="H842" t="s">
        <v>11</v>
      </c>
      <c r="I842">
        <v>59.2</v>
      </c>
      <c r="J842">
        <v>155</v>
      </c>
      <c r="K842" t="s">
        <v>12</v>
      </c>
      <c r="L842">
        <v>1</v>
      </c>
      <c r="M842" t="s">
        <v>437</v>
      </c>
      <c r="N842">
        <v>155</v>
      </c>
      <c r="O842">
        <v>174</v>
      </c>
      <c r="P842">
        <v>159</v>
      </c>
      <c r="Q842" t="s">
        <v>1244</v>
      </c>
      <c r="R842">
        <v>2</v>
      </c>
      <c r="S842" s="7" t="s">
        <v>4585</v>
      </c>
      <c r="U842">
        <v>1</v>
      </c>
      <c r="V842" s="4">
        <f>HYPERLINK("http://exon.niaid.nih.gov/transcriptome/C_felis/S1/links/cluster/cf-5-36-asb30-50-Id-CLU75.txt", 75)</f>
        <v>75</v>
      </c>
      <c r="W842">
        <f>HYPERLINK("http://exon.niaid.nih.gov/transcriptome/C_felis/S1/links/cluster/cf-5-36-asb30-50-Id-CLTL75.txt", 2)</f>
        <v>2</v>
      </c>
      <c r="X842" s="4">
        <f>HYPERLINK("http://exon.niaid.nih.gov/transcriptome/C_felis/S1/links/cluster/cf-5-36-asb35-50-Id-CLU67.txt", 67)</f>
        <v>67</v>
      </c>
      <c r="Y842">
        <f>HYPERLINK("http://exon.niaid.nih.gov/transcriptome/C_felis/S1/links/cluster/cf-5-36-asb35-50-Id-CLTL67.txt", 2)</f>
        <v>2</v>
      </c>
      <c r="Z842" s="4">
        <f>HYPERLINK("http://exon.niaid.nih.gov/transcriptome/C_felis/S1/links/cluster/cf-5-36-asb40-50-Id-CLU62.txt", 62)</f>
        <v>62</v>
      </c>
      <c r="AA842">
        <f>HYPERLINK("http://exon.niaid.nih.gov/transcriptome/C_felis/S1/links/cluster/cf-5-36-asb40-50-Id-CLTL62.txt", 2)</f>
        <v>2</v>
      </c>
      <c r="AB842" s="4" t="str">
        <f>HYPERLINK("http://exon.niaid.nih.gov/transcriptome/C_felis/S1/links/XC-ASB/cf-contig_424-XC-ASB.txt","XC-contig_106")</f>
        <v>XC-contig_106</v>
      </c>
      <c r="AC842">
        <v>1.1000000000000001</v>
      </c>
      <c r="AD842" s="10" t="s">
        <v>4600</v>
      </c>
      <c r="AE842" t="s">
        <v>4601</v>
      </c>
      <c r="AI842" s="4" t="str">
        <f>HYPERLINK("http://exon.niaid.nih.gov/transcriptome/C_felis/S1/links/NR/cf-contig_424-NR.txt","hypothetical protein")</f>
        <v>hypothetical protein</v>
      </c>
      <c r="AJ842" t="str">
        <f>HYPERLINK("http://www.ncbi.nlm.nih.gov/sutils/blink.cgi?pid=296424756","16")</f>
        <v>16</v>
      </c>
      <c r="AK842" t="str">
        <f>HYPERLINK("http://www.ncbi.nlm.nih.gov/protein/296424756","gi|296424756")</f>
        <v>gi|296424756</v>
      </c>
      <c r="AL842">
        <v>33.1</v>
      </c>
      <c r="AM842">
        <v>28</v>
      </c>
      <c r="AN842">
        <v>709</v>
      </c>
      <c r="AO842">
        <v>58</v>
      </c>
      <c r="AP842">
        <v>4</v>
      </c>
      <c r="AQ842">
        <v>12</v>
      </c>
      <c r="AR842">
        <v>0</v>
      </c>
      <c r="AS842">
        <v>275</v>
      </c>
      <c r="AT842">
        <v>34</v>
      </c>
      <c r="AU842">
        <v>1</v>
      </c>
      <c r="AV842">
        <v>1</v>
      </c>
      <c r="AW842" t="s">
        <v>12</v>
      </c>
      <c r="AY842" t="s">
        <v>1676</v>
      </c>
      <c r="AZ842" t="s">
        <v>3184</v>
      </c>
      <c r="BA842" s="4" t="str">
        <f>HYPERLINK("http://exon.niaid.nih.gov/transcriptome/C_felis/S1/links/SWISSP/cf-contig_424-SWISSP.txt","Methyltransferase/helicase/RNA-directed RNA polymerase")</f>
        <v>Methyltransferase/helicase/RNA-directed RNA polymerase</v>
      </c>
      <c r="BB842" t="str">
        <f>HYPERLINK("http://www.uniprot.org/uniprot/Q67724","23")</f>
        <v>23</v>
      </c>
      <c r="BC842" t="s">
        <v>3185</v>
      </c>
      <c r="BD842">
        <v>27.7</v>
      </c>
      <c r="BE842">
        <v>25</v>
      </c>
      <c r="BF842">
        <v>1704</v>
      </c>
      <c r="BG842">
        <v>50</v>
      </c>
      <c r="BH842">
        <v>2</v>
      </c>
      <c r="BI842">
        <v>13</v>
      </c>
      <c r="BJ842">
        <v>0</v>
      </c>
      <c r="BK842">
        <v>1211</v>
      </c>
      <c r="BL842">
        <v>73</v>
      </c>
      <c r="BM842">
        <v>1</v>
      </c>
      <c r="BN842">
        <v>1</v>
      </c>
      <c r="BO842" t="s">
        <v>12</v>
      </c>
      <c r="BP842">
        <v>4</v>
      </c>
      <c r="BQ842" t="s">
        <v>1676</v>
      </c>
      <c r="BR842" t="s">
        <v>3186</v>
      </c>
      <c r="BS842" s="4" t="str">
        <f>HYPERLINK("http://exon.niaid.nih.gov/transcriptome/C_felis/S1/links/CDD/cf-contig_424-CDD.txt","Urb2")</f>
        <v>Urb2</v>
      </c>
      <c r="BT842" t="str">
        <f>HYPERLINK("http://www.ncbi.nlm.nih.gov/Structure/cdd/cddsrv.cgi?uid=pfam10441&amp;version=v4.0","0.93")</f>
        <v>0.93</v>
      </c>
      <c r="BU842" t="s">
        <v>3187</v>
      </c>
      <c r="BV842" s="4" t="s">
        <v>42</v>
      </c>
      <c r="BW842" t="s">
        <v>42</v>
      </c>
      <c r="BX842" t="s">
        <v>42</v>
      </c>
      <c r="BY842" t="s">
        <v>42</v>
      </c>
      <c r="BZ842" t="s">
        <v>42</v>
      </c>
      <c r="CA842" t="s">
        <v>42</v>
      </c>
      <c r="CB842" t="s">
        <v>42</v>
      </c>
      <c r="CC842" t="s">
        <v>42</v>
      </c>
      <c r="CD842" t="s">
        <v>42</v>
      </c>
      <c r="CE842" t="s">
        <v>42</v>
      </c>
      <c r="CF842" t="s">
        <v>42</v>
      </c>
      <c r="CG842" t="s">
        <v>42</v>
      </c>
      <c r="CH842" t="s">
        <v>42</v>
      </c>
      <c r="CI842" t="s">
        <v>42</v>
      </c>
      <c r="CJ842" t="s">
        <v>42</v>
      </c>
      <c r="CK842" t="s">
        <v>42</v>
      </c>
      <c r="CL842" t="s">
        <v>42</v>
      </c>
      <c r="CM842" t="s">
        <v>42</v>
      </c>
      <c r="CN842" t="s">
        <v>42</v>
      </c>
      <c r="CO842" t="s">
        <v>42</v>
      </c>
      <c r="CP842" t="s">
        <v>42</v>
      </c>
      <c r="CQ842" t="s">
        <v>42</v>
      </c>
      <c r="CR842" t="s">
        <v>42</v>
      </c>
      <c r="CS842" s="4" t="str">
        <f>HYPERLINK("http://exon.niaid.nih.gov/transcriptome/C_felis/S1/links/KOG/cf-contig_424-KOG.txt","Serine/threonine kinase TIP30/CC3")</f>
        <v>Serine/threonine kinase TIP30/CC3</v>
      </c>
      <c r="CT842" t="str">
        <f>HYPERLINK("http://www.ncbi.nlm.nih.gov/COG/grace/shokog.cgi?KOG4039","3.5")</f>
        <v>3.5</v>
      </c>
      <c r="CU842" t="s">
        <v>1780</v>
      </c>
      <c r="CV842" s="4" t="str">
        <f>HYPERLINK("http://exon.niaid.nih.gov/transcriptome/C_felis/S1/links/PFAM/cf-contig_424-PFAM.txt","Urb2")</f>
        <v>Urb2</v>
      </c>
      <c r="CW842" t="str">
        <f>HYPERLINK("http://pfam.sanger.ac.uk/family?acc=PF10441","0.19")</f>
        <v>0.19</v>
      </c>
      <c r="CX842" s="4" t="str">
        <f>HYPERLINK("http://exon.niaid.nih.gov/transcriptome/C_felis/S1/links/SMART/cf-contig_424-SMART.txt","Zn_pept")</f>
        <v>Zn_pept</v>
      </c>
      <c r="CY842" t="str">
        <f>HYPERLINK("http://smart.embl-heidelberg.de/smart/do_annotation.pl?DOMAIN=Zn_pept&amp;BLAST=DUMMY","0.29")</f>
        <v>0.29</v>
      </c>
      <c r="CZ842" s="4" t="s">
        <v>42</v>
      </c>
      <c r="DA842" t="s">
        <v>42</v>
      </c>
      <c r="DB842" t="s">
        <v>42</v>
      </c>
      <c r="DC842" t="s">
        <v>42</v>
      </c>
      <c r="DD842" t="s">
        <v>42</v>
      </c>
      <c r="DE842" t="s">
        <v>42</v>
      </c>
      <c r="DF842" t="s">
        <v>42</v>
      </c>
      <c r="DG842" t="s">
        <v>42</v>
      </c>
      <c r="DH842" s="4" t="s">
        <v>42</v>
      </c>
      <c r="DI842" t="s">
        <v>42</v>
      </c>
      <c r="DJ842" s="4" t="s">
        <v>42</v>
      </c>
      <c r="DK842" t="s">
        <v>42</v>
      </c>
      <c r="DL842" s="4">
        <f>HYPERLINK("http://exon.niaid.nih.gov/transcriptome/C_felis/S1/links/cluster/cf-5-36-asb30-50-Id-CLU75.txt", 75)</f>
        <v>75</v>
      </c>
      <c r="DM842">
        <f>HYPERLINK("http://exon.niaid.nih.gov/transcriptome/C_felis/S1/links/cluster/cf-5-36-asb30-50-Id-CLTL75.txt", 2)</f>
        <v>2</v>
      </c>
      <c r="DN842" s="4">
        <f>HYPERLINK("http://exon.niaid.nih.gov/transcriptome/C_felis/S1/links/cluster/cf-5-36-asb35-50-Id-CLU67.txt", 67)</f>
        <v>67</v>
      </c>
      <c r="DO842">
        <f>HYPERLINK("http://exon.niaid.nih.gov/transcriptome/C_felis/S1/links/cluster/cf-5-36-asb35-50-Id-CLTL67.txt", 2)</f>
        <v>2</v>
      </c>
      <c r="DP842" s="4">
        <f>HYPERLINK("http://exon.niaid.nih.gov/transcriptome/C_felis/S1/links/cluster/cf-5-36-asb40-50-Id-CLU62.txt", 62)</f>
        <v>62</v>
      </c>
      <c r="DQ842">
        <f>HYPERLINK("http://exon.niaid.nih.gov/transcriptome/C_felis/S1/links/cluster/cf-5-36-asb40-50-Id-CLTL62.txt", 2)</f>
        <v>2</v>
      </c>
      <c r="DR842" s="4">
        <f>HYPERLINK("http://exon.niaid.nih.gov/transcriptome/C_felis/S1/links/cluster/cf-5-36-asb45-50-Id-CLU51.txt", 51)</f>
        <v>51</v>
      </c>
      <c r="DS842">
        <f>HYPERLINK("http://exon.niaid.nih.gov/transcriptome/C_felis/S1/links/cluster/cf-5-36-asb45-50-Id-CLTL51.txt", 2)</f>
        <v>2</v>
      </c>
      <c r="DT842" s="4">
        <f>HYPERLINK("http://exon.niaid.nih.gov/transcriptome/C_felis/S1/links/cluster/cf-5-36-asb50-50-Id-CLU44.txt", 44)</f>
        <v>44</v>
      </c>
      <c r="DU842">
        <f>HYPERLINK("http://exon.niaid.nih.gov/transcriptome/C_felis/S1/links/cluster/cf-5-36-asb50-50-Id-CLTL44.txt", 2)</f>
        <v>2</v>
      </c>
      <c r="DV842" s="4">
        <f>HYPERLINK("http://exon.niaid.nih.gov/transcriptome/C_felis/S1/links/cluster/cf-5-36-asb55-50-Id-CLU40.txt", 40)</f>
        <v>40</v>
      </c>
      <c r="DW842">
        <f>HYPERLINK("http://exon.niaid.nih.gov/transcriptome/C_felis/S1/links/cluster/cf-5-36-asb55-50-Id-CLTL40.txt", 2)</f>
        <v>2</v>
      </c>
      <c r="DX842" s="4">
        <f>HYPERLINK("http://exon.niaid.nih.gov/transcriptome/C_felis/S1/links/cluster/cf-5-36-asb60-50-Id-CLU36.txt", 36)</f>
        <v>36</v>
      </c>
      <c r="DY842">
        <f>HYPERLINK("http://exon.niaid.nih.gov/transcriptome/C_felis/S1/links/cluster/cf-5-36-asb60-50-Id-CLTL36.txt", 2)</f>
        <v>2</v>
      </c>
      <c r="DZ842" s="4">
        <f>HYPERLINK("http://exon.niaid.nih.gov/transcriptome/C_felis/S1/links/cluster/cf-5-36-asb65-50-Id-CLU30.txt", 30)</f>
        <v>30</v>
      </c>
      <c r="EA842">
        <f>HYPERLINK("http://exon.niaid.nih.gov/transcriptome/C_felis/S1/links/cluster/cf-5-36-asb65-50-Id-CLTL30.txt", 2)</f>
        <v>2</v>
      </c>
      <c r="EB842" s="4">
        <f>HYPERLINK("http://exon.niaid.nih.gov/transcriptome/C_felis/S1/links/cluster/cf-5-36-asb70-50-Id-CLU25.txt", 25)</f>
        <v>25</v>
      </c>
      <c r="EC842">
        <f>HYPERLINK("http://exon.niaid.nih.gov/transcriptome/C_felis/S1/links/cluster/cf-5-36-asb70-50-Id-CLTL25.txt", 2)</f>
        <v>2</v>
      </c>
      <c r="ED842" s="4">
        <f>HYPERLINK("http://exon.niaid.nih.gov/transcriptome/C_felis/S1/links/cluster/cf-5-36-asb75-50-Id-CLU21.txt", 21)</f>
        <v>21</v>
      </c>
      <c r="EE842">
        <f>HYPERLINK("http://exon.niaid.nih.gov/transcriptome/C_felis/S1/links/cluster/cf-5-36-asb75-50-Id-CLTL21.txt", 2)</f>
        <v>2</v>
      </c>
      <c r="EF842" s="4">
        <f>HYPERLINK("http://exon.niaid.nih.gov/transcriptome/C_felis/S1/links/cluster/cf-5-36-asb80-50-Id-CLU14.txt", 14)</f>
        <v>14</v>
      </c>
      <c r="EG842">
        <f>HYPERLINK("http://exon.niaid.nih.gov/transcriptome/C_felis/S1/links/cluster/cf-5-36-asb80-50-Id-CLTL14.txt", 2)</f>
        <v>2</v>
      </c>
      <c r="EH842" s="4">
        <v>418</v>
      </c>
      <c r="EI842">
        <v>1</v>
      </c>
      <c r="EJ842" s="4">
        <v>424</v>
      </c>
      <c r="EK842">
        <v>1</v>
      </c>
    </row>
    <row r="843" spans="1:141" x14ac:dyDescent="0.2">
      <c r="A843" t="str">
        <f>HYPERLINK("http://exon.niaid.nih.gov/transcriptome/C_felis/S1/links/cf/cf-contig_714.txt","cf-contig_714")</f>
        <v>cf-contig_714</v>
      </c>
      <c r="B843">
        <v>1</v>
      </c>
      <c r="C843" s="10" t="s">
        <v>4600</v>
      </c>
      <c r="D843">
        <v>1</v>
      </c>
      <c r="E843" t="str">
        <f>HYPERLINK("http://exon.niaid.nih.gov/transcriptome/C_felis/S1/links/cf/cf-5-36-asb-714.txt","Contig-714")</f>
        <v>Contig-714</v>
      </c>
      <c r="F843" t="str">
        <f>HYPERLINK("http://exon.niaid.nih.gov/transcriptome/C_felis/S1/links/cf/cf-5-36-714-CLU.txt","Contig714")</f>
        <v>Contig714</v>
      </c>
      <c r="G843" t="str">
        <f>HYPERLINK("http://exon.niaid.nih.gov/transcriptome/C_felis/S1/links/cf/cf-5-36-714-qual.txt","63.2")</f>
        <v>63.2</v>
      </c>
      <c r="H843" t="s">
        <v>11</v>
      </c>
      <c r="I843">
        <v>56.2</v>
      </c>
      <c r="J843">
        <v>159</v>
      </c>
      <c r="K843" t="s">
        <v>12</v>
      </c>
      <c r="L843">
        <v>1</v>
      </c>
      <c r="M843" t="s">
        <v>727</v>
      </c>
      <c r="N843">
        <v>159</v>
      </c>
      <c r="O843">
        <v>178</v>
      </c>
      <c r="P843">
        <v>156</v>
      </c>
      <c r="Q843" t="s">
        <v>1533</v>
      </c>
      <c r="R843">
        <v>2</v>
      </c>
      <c r="S843" s="7" t="s">
        <v>4585</v>
      </c>
      <c r="U843">
        <v>1</v>
      </c>
      <c r="V843" s="4">
        <f>HYPERLINK("http://exon.niaid.nih.gov/transcriptome/C_felis/S1/links/cluster/cf-5-36-asb30-50-Id-CLU75.txt", 75)</f>
        <v>75</v>
      </c>
      <c r="W843">
        <f>HYPERLINK("http://exon.niaid.nih.gov/transcriptome/C_felis/S1/links/cluster/cf-5-36-asb30-50-Id-CLTL75.txt", 2)</f>
        <v>2</v>
      </c>
      <c r="X843" s="4">
        <f>HYPERLINK("http://exon.niaid.nih.gov/transcriptome/C_felis/S1/links/cluster/cf-5-36-asb35-50-Id-CLU67.txt", 67)</f>
        <v>67</v>
      </c>
      <c r="Y843">
        <f>HYPERLINK("http://exon.niaid.nih.gov/transcriptome/C_felis/S1/links/cluster/cf-5-36-asb35-50-Id-CLTL67.txt", 2)</f>
        <v>2</v>
      </c>
      <c r="Z843" s="4">
        <f>HYPERLINK("http://exon.niaid.nih.gov/transcriptome/C_felis/S1/links/cluster/cf-5-36-asb40-50-Id-CLU62.txt", 62)</f>
        <v>62</v>
      </c>
      <c r="AA843">
        <f>HYPERLINK("http://exon.niaid.nih.gov/transcriptome/C_felis/S1/links/cluster/cf-5-36-asb40-50-Id-CLTL62.txt", 2)</f>
        <v>2</v>
      </c>
      <c r="AB843" s="4" t="str">
        <f>HYPERLINK("http://exon.niaid.nih.gov/transcriptome/C_felis/S1/links/XC-ASB/cf-contig_714-XC-ASB.txt","XC-contig_106")</f>
        <v>XC-contig_106</v>
      </c>
      <c r="AC843">
        <v>1.1000000000000001</v>
      </c>
      <c r="AD843" s="10" t="s">
        <v>4600</v>
      </c>
      <c r="AE843" t="s">
        <v>4601</v>
      </c>
      <c r="AI843" s="4" t="str">
        <f>HYPERLINK("http://exon.niaid.nih.gov/transcriptome/C_felis/S1/links/NR/cf-contig_714-NR.txt","hypothetical protein")</f>
        <v>hypothetical protein</v>
      </c>
      <c r="AJ843" t="str">
        <f>HYPERLINK("http://www.ncbi.nlm.nih.gov/sutils/blink.cgi?pid=296424756","16")</f>
        <v>16</v>
      </c>
      <c r="AK843" t="str">
        <f>HYPERLINK("http://www.ncbi.nlm.nih.gov/protein/296424756","gi|296424756")</f>
        <v>gi|296424756</v>
      </c>
      <c r="AL843">
        <v>33.1</v>
      </c>
      <c r="AM843">
        <v>28</v>
      </c>
      <c r="AN843">
        <v>709</v>
      </c>
      <c r="AO843">
        <v>58</v>
      </c>
      <c r="AP843">
        <v>4</v>
      </c>
      <c r="AQ843">
        <v>12</v>
      </c>
      <c r="AR843">
        <v>0</v>
      </c>
      <c r="AS843">
        <v>275</v>
      </c>
      <c r="AT843">
        <v>40</v>
      </c>
      <c r="AU843">
        <v>1</v>
      </c>
      <c r="AV843">
        <v>1</v>
      </c>
      <c r="AW843" t="s">
        <v>12</v>
      </c>
      <c r="AY843" t="s">
        <v>1676</v>
      </c>
      <c r="AZ843" t="s">
        <v>3184</v>
      </c>
      <c r="BA843" s="4" t="str">
        <f>HYPERLINK("http://exon.niaid.nih.gov/transcriptome/C_felis/S1/links/SWISSP/cf-contig_714-SWISSP.txt","Methyltransferase/helicase/RNA-directed RNA polymerase")</f>
        <v>Methyltransferase/helicase/RNA-directed RNA polymerase</v>
      </c>
      <c r="BB843" t="str">
        <f>HYPERLINK("http://www.uniprot.org/uniprot/Q67724","23")</f>
        <v>23</v>
      </c>
      <c r="BC843" t="s">
        <v>3185</v>
      </c>
      <c r="BD843">
        <v>27.7</v>
      </c>
      <c r="BE843">
        <v>25</v>
      </c>
      <c r="BF843">
        <v>1704</v>
      </c>
      <c r="BG843">
        <v>50</v>
      </c>
      <c r="BH843">
        <v>2</v>
      </c>
      <c r="BI843">
        <v>13</v>
      </c>
      <c r="BJ843">
        <v>0</v>
      </c>
      <c r="BK843">
        <v>1211</v>
      </c>
      <c r="BL843">
        <v>79</v>
      </c>
      <c r="BM843">
        <v>1</v>
      </c>
      <c r="BN843">
        <v>1</v>
      </c>
      <c r="BO843" t="s">
        <v>12</v>
      </c>
      <c r="BP843">
        <v>4</v>
      </c>
      <c r="BQ843" t="s">
        <v>1676</v>
      </c>
      <c r="BR843" t="s">
        <v>3186</v>
      </c>
      <c r="BS843" s="4" t="str">
        <f>HYPERLINK("http://exon.niaid.nih.gov/transcriptome/C_felis/S1/links/CDD/cf-contig_714-CDD.txt","DUF559")</f>
        <v>DUF559</v>
      </c>
      <c r="BT843" t="str">
        <f>HYPERLINK("http://www.ncbi.nlm.nih.gov/Structure/cdd/cddsrv.cgi?uid=pfam04480&amp;version=v4.0","1.3")</f>
        <v>1.3</v>
      </c>
      <c r="BU843" t="s">
        <v>4259</v>
      </c>
      <c r="BV843" s="4" t="s">
        <v>42</v>
      </c>
      <c r="BW843" t="s">
        <v>42</v>
      </c>
      <c r="BX843" t="s">
        <v>42</v>
      </c>
      <c r="BY843" t="s">
        <v>42</v>
      </c>
      <c r="BZ843" t="s">
        <v>42</v>
      </c>
      <c r="CA843" t="s">
        <v>42</v>
      </c>
      <c r="CB843" t="s">
        <v>42</v>
      </c>
      <c r="CC843" t="s">
        <v>42</v>
      </c>
      <c r="CD843" t="s">
        <v>42</v>
      </c>
      <c r="CE843" t="s">
        <v>42</v>
      </c>
      <c r="CF843" t="s">
        <v>42</v>
      </c>
      <c r="CG843" t="s">
        <v>42</v>
      </c>
      <c r="CH843" t="s">
        <v>42</v>
      </c>
      <c r="CI843" t="s">
        <v>42</v>
      </c>
      <c r="CJ843" t="s">
        <v>42</v>
      </c>
      <c r="CK843" t="s">
        <v>42</v>
      </c>
      <c r="CL843" t="s">
        <v>42</v>
      </c>
      <c r="CM843" t="s">
        <v>42</v>
      </c>
      <c r="CN843" t="s">
        <v>42</v>
      </c>
      <c r="CO843" t="s">
        <v>42</v>
      </c>
      <c r="CP843" t="s">
        <v>42</v>
      </c>
      <c r="CQ843" t="s">
        <v>42</v>
      </c>
      <c r="CR843" t="s">
        <v>42</v>
      </c>
      <c r="CS843" s="4" t="str">
        <f>HYPERLINK("http://exon.niaid.nih.gov/transcriptome/C_felis/S1/links/KOG/cf-contig_714-KOG.txt","Serine/threonine kinase TIP30/CC3")</f>
        <v>Serine/threonine kinase TIP30/CC3</v>
      </c>
      <c r="CT843" t="str">
        <f>HYPERLINK("http://www.ncbi.nlm.nih.gov/COG/grace/shokog.cgi?KOG4039","3.3")</f>
        <v>3.3</v>
      </c>
      <c r="CU843" t="s">
        <v>1780</v>
      </c>
      <c r="CV843" s="4" t="str">
        <f>HYPERLINK("http://exon.niaid.nih.gov/transcriptome/C_felis/S1/links/PFAM/cf-contig_714-PFAM.txt","DUF559")</f>
        <v>DUF559</v>
      </c>
      <c r="CW843" t="str">
        <f>HYPERLINK("http://pfam.sanger.ac.uk/family?acc=PF04480","0.28")</f>
        <v>0.28</v>
      </c>
      <c r="CX843" s="4" t="str">
        <f>HYPERLINK("http://exon.niaid.nih.gov/transcriptome/C_felis/S1/links/SMART/cf-contig_714-SMART.txt","Zn_pept")</f>
        <v>Zn_pept</v>
      </c>
      <c r="CY843" t="str">
        <f>HYPERLINK("http://smart.embl-heidelberg.de/smart/do_annotation.pl?DOMAIN=Zn_pept&amp;BLAST=DUMMY","0.29")</f>
        <v>0.29</v>
      </c>
      <c r="CZ843" s="4" t="s">
        <v>42</v>
      </c>
      <c r="DA843" t="s">
        <v>42</v>
      </c>
      <c r="DB843" t="s">
        <v>42</v>
      </c>
      <c r="DC843" t="s">
        <v>42</v>
      </c>
      <c r="DD843" t="s">
        <v>42</v>
      </c>
      <c r="DE843" t="s">
        <v>42</v>
      </c>
      <c r="DF843" t="s">
        <v>42</v>
      </c>
      <c r="DG843" t="s">
        <v>42</v>
      </c>
      <c r="DH843" s="4" t="s">
        <v>42</v>
      </c>
      <c r="DI843" t="s">
        <v>42</v>
      </c>
      <c r="DJ843" s="4" t="s">
        <v>42</v>
      </c>
      <c r="DK843" t="s">
        <v>42</v>
      </c>
      <c r="DL843" s="4">
        <f>HYPERLINK("http://exon.niaid.nih.gov/transcriptome/C_felis/S1/links/cluster/cf-5-36-asb30-50-Id-CLU75.txt", 75)</f>
        <v>75</v>
      </c>
      <c r="DM843">
        <f>HYPERLINK("http://exon.niaid.nih.gov/transcriptome/C_felis/S1/links/cluster/cf-5-36-asb30-50-Id-CLTL75.txt", 2)</f>
        <v>2</v>
      </c>
      <c r="DN843" s="4">
        <f>HYPERLINK("http://exon.niaid.nih.gov/transcriptome/C_felis/S1/links/cluster/cf-5-36-asb35-50-Id-CLU67.txt", 67)</f>
        <v>67</v>
      </c>
      <c r="DO843">
        <f>HYPERLINK("http://exon.niaid.nih.gov/transcriptome/C_felis/S1/links/cluster/cf-5-36-asb35-50-Id-CLTL67.txt", 2)</f>
        <v>2</v>
      </c>
      <c r="DP843" s="4">
        <f>HYPERLINK("http://exon.niaid.nih.gov/transcriptome/C_felis/S1/links/cluster/cf-5-36-asb40-50-Id-CLU62.txt", 62)</f>
        <v>62</v>
      </c>
      <c r="DQ843">
        <f>HYPERLINK("http://exon.niaid.nih.gov/transcriptome/C_felis/S1/links/cluster/cf-5-36-asb40-50-Id-CLTL62.txt", 2)</f>
        <v>2</v>
      </c>
      <c r="DR843" s="4">
        <f>HYPERLINK("http://exon.niaid.nih.gov/transcriptome/C_felis/S1/links/cluster/cf-5-36-asb45-50-Id-CLU51.txt", 51)</f>
        <v>51</v>
      </c>
      <c r="DS843">
        <f>HYPERLINK("http://exon.niaid.nih.gov/transcriptome/C_felis/S1/links/cluster/cf-5-36-asb45-50-Id-CLTL51.txt", 2)</f>
        <v>2</v>
      </c>
      <c r="DT843" s="4">
        <f>HYPERLINK("http://exon.niaid.nih.gov/transcriptome/C_felis/S1/links/cluster/cf-5-36-asb50-50-Id-CLU44.txt", 44)</f>
        <v>44</v>
      </c>
      <c r="DU843">
        <f>HYPERLINK("http://exon.niaid.nih.gov/transcriptome/C_felis/S1/links/cluster/cf-5-36-asb50-50-Id-CLTL44.txt", 2)</f>
        <v>2</v>
      </c>
      <c r="DV843" s="4">
        <f>HYPERLINK("http://exon.niaid.nih.gov/transcriptome/C_felis/S1/links/cluster/cf-5-36-asb55-50-Id-CLU40.txt", 40)</f>
        <v>40</v>
      </c>
      <c r="DW843">
        <f>HYPERLINK("http://exon.niaid.nih.gov/transcriptome/C_felis/S1/links/cluster/cf-5-36-asb55-50-Id-CLTL40.txt", 2)</f>
        <v>2</v>
      </c>
      <c r="DX843" s="4">
        <f>HYPERLINK("http://exon.niaid.nih.gov/transcriptome/C_felis/S1/links/cluster/cf-5-36-asb60-50-Id-CLU36.txt", 36)</f>
        <v>36</v>
      </c>
      <c r="DY843">
        <f>HYPERLINK("http://exon.niaid.nih.gov/transcriptome/C_felis/S1/links/cluster/cf-5-36-asb60-50-Id-CLTL36.txt", 2)</f>
        <v>2</v>
      </c>
      <c r="DZ843" s="4">
        <f>HYPERLINK("http://exon.niaid.nih.gov/transcriptome/C_felis/S1/links/cluster/cf-5-36-asb65-50-Id-CLU30.txt", 30)</f>
        <v>30</v>
      </c>
      <c r="EA843">
        <f>HYPERLINK("http://exon.niaid.nih.gov/transcriptome/C_felis/S1/links/cluster/cf-5-36-asb65-50-Id-CLTL30.txt", 2)</f>
        <v>2</v>
      </c>
      <c r="EB843" s="4">
        <f>HYPERLINK("http://exon.niaid.nih.gov/transcriptome/C_felis/S1/links/cluster/cf-5-36-asb70-50-Id-CLU25.txt", 25)</f>
        <v>25</v>
      </c>
      <c r="EC843">
        <f>HYPERLINK("http://exon.niaid.nih.gov/transcriptome/C_felis/S1/links/cluster/cf-5-36-asb70-50-Id-CLTL25.txt", 2)</f>
        <v>2</v>
      </c>
      <c r="ED843" s="4">
        <f>HYPERLINK("http://exon.niaid.nih.gov/transcriptome/C_felis/S1/links/cluster/cf-5-36-asb75-50-Id-CLU21.txt", 21)</f>
        <v>21</v>
      </c>
      <c r="EE843">
        <f>HYPERLINK("http://exon.niaid.nih.gov/transcriptome/C_felis/S1/links/cluster/cf-5-36-asb75-50-Id-CLTL21.txt", 2)</f>
        <v>2</v>
      </c>
      <c r="EF843" s="4">
        <f>HYPERLINK("http://exon.niaid.nih.gov/transcriptome/C_felis/S1/links/cluster/cf-5-36-asb80-50-Id-CLU14.txt", 14)</f>
        <v>14</v>
      </c>
      <c r="EG843">
        <f>HYPERLINK("http://exon.niaid.nih.gov/transcriptome/C_felis/S1/links/cluster/cf-5-36-asb80-50-Id-CLTL14.txt", 2)</f>
        <v>2</v>
      </c>
      <c r="EH843" s="4">
        <v>705</v>
      </c>
      <c r="EI843">
        <v>1</v>
      </c>
      <c r="EJ843" s="4">
        <v>714</v>
      </c>
      <c r="EK843">
        <v>1</v>
      </c>
    </row>
    <row r="844" spans="1:141" x14ac:dyDescent="0.2">
      <c r="A844" t="str">
        <f>HYPERLINK("http://exon.niaid.nih.gov/transcriptome/C_felis/S1/links/cf/cf-contig_132.txt","cf-contig_132")</f>
        <v>cf-contig_132</v>
      </c>
      <c r="B844">
        <v>1</v>
      </c>
      <c r="C844" s="10" t="s">
        <v>4600</v>
      </c>
      <c r="D844">
        <v>1</v>
      </c>
      <c r="E844" t="str">
        <f>HYPERLINK("http://exon.niaid.nih.gov/transcriptome/C_felis/S1/links/cf/cf-5-36-asb-132.txt","Contig-132")</f>
        <v>Contig-132</v>
      </c>
      <c r="F844" t="str">
        <f>HYPERLINK("http://exon.niaid.nih.gov/transcriptome/C_felis/S1/links/cf/cf-5-36-132-CLU.txt","Contig132")</f>
        <v>Contig132</v>
      </c>
      <c r="G844" t="str">
        <f>HYPERLINK("http://exon.niaid.nih.gov/transcriptome/C_felis/S1/links/cf/cf-5-36-132-qual.txt","52.3")</f>
        <v>52.3</v>
      </c>
      <c r="H844">
        <v>0.9</v>
      </c>
      <c r="I844">
        <v>64.7</v>
      </c>
      <c r="J844">
        <v>199</v>
      </c>
      <c r="K844" t="s">
        <v>12</v>
      </c>
      <c r="L844">
        <v>1</v>
      </c>
      <c r="M844" t="s">
        <v>145</v>
      </c>
      <c r="N844">
        <v>199</v>
      </c>
      <c r="O844">
        <v>218</v>
      </c>
      <c r="P844">
        <v>111</v>
      </c>
      <c r="Q844" t="s">
        <v>952</v>
      </c>
      <c r="R844">
        <v>1</v>
      </c>
      <c r="S844" s="7" t="s">
        <v>4585</v>
      </c>
      <c r="U844">
        <v>1</v>
      </c>
      <c r="V844" s="4">
        <f>HYPERLINK("http://exon.niaid.nih.gov/transcriptome/C_felis/S1/links/cluster/cf-5-36-asb30-50-Id-CLU19.txt", 19)</f>
        <v>19</v>
      </c>
      <c r="W844">
        <f>HYPERLINK("http://exon.niaid.nih.gov/transcriptome/C_felis/S1/links/cluster/cf-5-36-asb30-50-Id-CLTL19.txt", 3)</f>
        <v>3</v>
      </c>
      <c r="X844" s="4">
        <v>132</v>
      </c>
      <c r="Y844">
        <v>1</v>
      </c>
      <c r="Z844" s="4">
        <v>129</v>
      </c>
      <c r="AA844">
        <v>1</v>
      </c>
      <c r="AB844" s="4" t="str">
        <f>HYPERLINK("http://exon.niaid.nih.gov/transcriptome/C_felis/S1/links/XC-ASB/cf-contig_132-XC-ASB.txt","XC-contig_150")</f>
        <v>XC-contig_150</v>
      </c>
      <c r="AC844">
        <v>0.19</v>
      </c>
      <c r="AD844" s="10" t="s">
        <v>4600</v>
      </c>
      <c r="AE844" t="s">
        <v>4601</v>
      </c>
      <c r="AI844" s="4" t="str">
        <f>HYPERLINK("http://exon.niaid.nih.gov/transcriptome/C_felis/S1/links/NR/cf-contig_132-NR.txt","DNA internalization-related competence protein ComEC/Rec2")</f>
        <v>DNA internalization-related competence protein ComEC/Rec2</v>
      </c>
      <c r="AJ844" t="str">
        <f>HYPERLINK("http://www.ncbi.nlm.nih.gov/sutils/blink.cgi?pid=294793761","5.5")</f>
        <v>5.5</v>
      </c>
      <c r="AK844" t="str">
        <f>HYPERLINK("http://www.ncbi.nlm.nih.gov/protein/294793761","gi|294793761")</f>
        <v>gi|294793761</v>
      </c>
      <c r="AL844">
        <v>34.700000000000003</v>
      </c>
      <c r="AM844">
        <v>39</v>
      </c>
      <c r="AN844">
        <v>742</v>
      </c>
      <c r="AO844">
        <v>37</v>
      </c>
      <c r="AP844">
        <v>5</v>
      </c>
      <c r="AQ844">
        <v>25</v>
      </c>
      <c r="AR844">
        <v>0</v>
      </c>
      <c r="AS844">
        <v>536</v>
      </c>
      <c r="AT844">
        <v>55</v>
      </c>
      <c r="AU844">
        <v>1</v>
      </c>
      <c r="AV844">
        <v>-3</v>
      </c>
      <c r="AW844" t="s">
        <v>12</v>
      </c>
      <c r="AY844" t="s">
        <v>1666</v>
      </c>
      <c r="AZ844" t="s">
        <v>2166</v>
      </c>
      <c r="BA844" s="4" t="str">
        <f>HYPERLINK("http://exon.niaid.nih.gov/transcriptome/C_felis/S1/links/SWISSP/cf-contig_132-SWISSP.txt","Protein CrcB homolog")</f>
        <v>Protein CrcB homolog</v>
      </c>
      <c r="BB844" t="str">
        <f>HYPERLINK("http://www.uniprot.org/uniprot/Q8YRV2","4.7")</f>
        <v>4.7</v>
      </c>
      <c r="BC844" t="s">
        <v>2167</v>
      </c>
      <c r="BD844">
        <v>30</v>
      </c>
      <c r="BE844">
        <v>35</v>
      </c>
      <c r="BF844">
        <v>157</v>
      </c>
      <c r="BG844">
        <v>41</v>
      </c>
      <c r="BH844">
        <v>23</v>
      </c>
      <c r="BI844">
        <v>21</v>
      </c>
      <c r="BJ844">
        <v>0</v>
      </c>
      <c r="BK844">
        <v>79</v>
      </c>
      <c r="BL844">
        <v>46</v>
      </c>
      <c r="BM844">
        <v>1</v>
      </c>
      <c r="BN844">
        <v>-3</v>
      </c>
      <c r="BO844" t="s">
        <v>12</v>
      </c>
      <c r="BQ844" t="s">
        <v>1666</v>
      </c>
      <c r="BR844" t="s">
        <v>2168</v>
      </c>
      <c r="BS844" s="4" t="str">
        <f>HYPERLINK("http://exon.niaid.nih.gov/transcriptome/C_felis/S1/links/CDD/cf-contig_132-CDD.txt","DUF2031")</f>
        <v>DUF2031</v>
      </c>
      <c r="BT844" t="str">
        <f>HYPERLINK("http://www.ncbi.nlm.nih.gov/Structure/cdd/cddsrv.cgi?uid=pfam09592&amp;version=v4.0","0.49")</f>
        <v>0.49</v>
      </c>
      <c r="BU844" t="s">
        <v>2169</v>
      </c>
      <c r="BV844" s="4" t="s">
        <v>42</v>
      </c>
      <c r="BW844" t="s">
        <v>42</v>
      </c>
      <c r="BX844" t="s">
        <v>42</v>
      </c>
      <c r="BY844" t="s">
        <v>42</v>
      </c>
      <c r="BZ844" t="s">
        <v>42</v>
      </c>
      <c r="CA844" t="s">
        <v>42</v>
      </c>
      <c r="CB844" t="s">
        <v>42</v>
      </c>
      <c r="CC844" t="s">
        <v>42</v>
      </c>
      <c r="CD844" t="s">
        <v>42</v>
      </c>
      <c r="CE844" t="s">
        <v>42</v>
      </c>
      <c r="CF844" t="s">
        <v>42</v>
      </c>
      <c r="CG844" t="s">
        <v>42</v>
      </c>
      <c r="CH844" t="s">
        <v>42</v>
      </c>
      <c r="CI844" t="s">
        <v>42</v>
      </c>
      <c r="CJ844" t="s">
        <v>42</v>
      </c>
      <c r="CK844" t="s">
        <v>42</v>
      </c>
      <c r="CL844" t="s">
        <v>42</v>
      </c>
      <c r="CM844" t="s">
        <v>42</v>
      </c>
      <c r="CN844" t="s">
        <v>42</v>
      </c>
      <c r="CO844" t="s">
        <v>42</v>
      </c>
      <c r="CP844" t="s">
        <v>42</v>
      </c>
      <c r="CQ844" t="s">
        <v>42</v>
      </c>
      <c r="CR844" t="s">
        <v>42</v>
      </c>
      <c r="CS844" s="4" t="str">
        <f>HYPERLINK("http://exon.niaid.nih.gov/transcriptome/C_felis/S1/links/KOG/cf-contig_132-KOG.txt","Ca2+-activated K+ channel Slowpoke, alpha subunit")</f>
        <v>Ca2+-activated K+ channel Slowpoke, alpha subunit</v>
      </c>
      <c r="CT844" t="str">
        <f>HYPERLINK("http://www.ncbi.nlm.nih.gov/COG/grace/shokog.cgi?KOG1420","1.9")</f>
        <v>1.9</v>
      </c>
      <c r="CU844" t="s">
        <v>1702</v>
      </c>
      <c r="CV844" s="4" t="str">
        <f>HYPERLINK("http://exon.niaid.nih.gov/transcriptome/C_felis/S1/links/PFAM/cf-contig_132-PFAM.txt","DUF2031")</f>
        <v>DUF2031</v>
      </c>
      <c r="CW844" t="str">
        <f>HYPERLINK("http://pfam.sanger.ac.uk/family?acc=PF09592","0.10")</f>
        <v>0.10</v>
      </c>
      <c r="CX844" s="4" t="str">
        <f>HYPERLINK("http://exon.niaid.nih.gov/transcriptome/C_felis/S1/links/SMART/cf-contig_132-SMART.txt","s48_45")</f>
        <v>s48_45</v>
      </c>
      <c r="CY844" t="str">
        <f>HYPERLINK("http://smart.embl-heidelberg.de/smart/do_annotation.pl?DOMAIN=s48_45&amp;BLAST=DUMMY","0.030")</f>
        <v>0.030</v>
      </c>
      <c r="CZ844" s="4" t="s">
        <v>42</v>
      </c>
      <c r="DA844" t="s">
        <v>42</v>
      </c>
      <c r="DB844" t="s">
        <v>42</v>
      </c>
      <c r="DC844" t="s">
        <v>42</v>
      </c>
      <c r="DD844" t="s">
        <v>42</v>
      </c>
      <c r="DE844" t="s">
        <v>42</v>
      </c>
      <c r="DF844" t="s">
        <v>42</v>
      </c>
      <c r="DG844" t="s">
        <v>42</v>
      </c>
      <c r="DH844" s="4" t="s">
        <v>42</v>
      </c>
      <c r="DI844" t="s">
        <v>42</v>
      </c>
      <c r="DJ844" s="4" t="s">
        <v>42</v>
      </c>
      <c r="DK844" t="s">
        <v>42</v>
      </c>
      <c r="DL844" s="4">
        <f>HYPERLINK("http://exon.niaid.nih.gov/transcriptome/C_felis/S1/links/cluster/cf-5-36-asb30-50-Id-CLU19.txt", 19)</f>
        <v>19</v>
      </c>
      <c r="DM844">
        <f>HYPERLINK("http://exon.niaid.nih.gov/transcriptome/C_felis/S1/links/cluster/cf-5-36-asb30-50-Id-CLTL19.txt", 3)</f>
        <v>3</v>
      </c>
      <c r="DN844" s="4">
        <v>132</v>
      </c>
      <c r="DO844">
        <v>1</v>
      </c>
      <c r="DP844" s="4">
        <v>129</v>
      </c>
      <c r="DQ844">
        <v>1</v>
      </c>
      <c r="DR844" s="4">
        <v>123</v>
      </c>
      <c r="DS844">
        <v>1</v>
      </c>
      <c r="DT844" s="4">
        <v>121</v>
      </c>
      <c r="DU844">
        <v>1</v>
      </c>
      <c r="DV844" s="4">
        <v>130</v>
      </c>
      <c r="DW844">
        <v>1</v>
      </c>
      <c r="DX844" s="4">
        <v>132</v>
      </c>
      <c r="DY844">
        <v>1</v>
      </c>
      <c r="DZ844" s="4">
        <v>132</v>
      </c>
      <c r="EA844">
        <v>1</v>
      </c>
      <c r="EB844" s="4">
        <v>135</v>
      </c>
      <c r="EC844">
        <v>1</v>
      </c>
      <c r="ED844" s="4">
        <v>136</v>
      </c>
      <c r="EE844">
        <v>1</v>
      </c>
      <c r="EF844" s="4">
        <v>134</v>
      </c>
      <c r="EG844">
        <v>1</v>
      </c>
      <c r="EH844" s="4">
        <v>131</v>
      </c>
      <c r="EI844">
        <v>1</v>
      </c>
      <c r="EJ844" s="4">
        <v>132</v>
      </c>
      <c r="EK844">
        <v>1</v>
      </c>
    </row>
    <row r="845" spans="1:141" x14ac:dyDescent="0.2">
      <c r="A845" t="str">
        <f>HYPERLINK("http://exon.niaid.nih.gov/transcriptome/C_felis/S1/links/cf/cf-contig_390.txt","cf-contig_390")</f>
        <v>cf-contig_390</v>
      </c>
      <c r="B845">
        <v>1</v>
      </c>
      <c r="C845" s="10" t="s">
        <v>4600</v>
      </c>
      <c r="D845">
        <v>1</v>
      </c>
      <c r="E845" t="str">
        <f>HYPERLINK("http://exon.niaid.nih.gov/transcriptome/C_felis/S1/links/cf/cf-5-36-asb-390.txt","Contig-390")</f>
        <v>Contig-390</v>
      </c>
      <c r="F845" t="str">
        <f>HYPERLINK("http://exon.niaid.nih.gov/transcriptome/C_felis/S1/links/cf/cf-5-36-390-CLU.txt","Contig390")</f>
        <v>Contig390</v>
      </c>
      <c r="G845" t="str">
        <f>HYPERLINK("http://exon.niaid.nih.gov/transcriptome/C_felis/S1/links/cf/cf-5-36-390-qual.txt","61.1")</f>
        <v>61.1</v>
      </c>
      <c r="H845" t="s">
        <v>11</v>
      </c>
      <c r="I845">
        <v>66.7</v>
      </c>
      <c r="J845">
        <v>170</v>
      </c>
      <c r="K845" t="s">
        <v>12</v>
      </c>
      <c r="L845">
        <v>1</v>
      </c>
      <c r="M845" t="s">
        <v>403</v>
      </c>
      <c r="N845">
        <v>170</v>
      </c>
      <c r="O845">
        <v>189</v>
      </c>
      <c r="P845">
        <v>111</v>
      </c>
      <c r="Q845" t="s">
        <v>1210</v>
      </c>
      <c r="R845">
        <v>3</v>
      </c>
      <c r="S845" s="7" t="s">
        <v>4585</v>
      </c>
      <c r="U845">
        <v>1</v>
      </c>
      <c r="V845" s="4">
        <v>318</v>
      </c>
      <c r="W845">
        <v>1</v>
      </c>
      <c r="X845" s="4">
        <v>326</v>
      </c>
      <c r="Y845">
        <v>1</v>
      </c>
      <c r="Z845" s="4">
        <v>327</v>
      </c>
      <c r="AA845">
        <v>1</v>
      </c>
      <c r="AB845" s="4" t="str">
        <f>HYPERLINK("http://exon.niaid.nih.gov/transcriptome/C_felis/S1/links/XC-ASB/cf-contig_390-XC-ASB.txt","XC-contig_174")</f>
        <v>XC-contig_174</v>
      </c>
      <c r="AC845">
        <v>0.2</v>
      </c>
      <c r="AD845" s="10" t="s">
        <v>4600</v>
      </c>
      <c r="AE845" t="s">
        <v>4601</v>
      </c>
      <c r="AI845" s="4" t="str">
        <f>HYPERLINK("http://exon.niaid.nih.gov/transcriptome/C_felis/S1/links/NR/cf-contig_390-NR.txt","DNA topoisomerase III")</f>
        <v>DNA topoisomerase III</v>
      </c>
      <c r="AJ845" t="str">
        <f>HYPERLINK("http://www.ncbi.nlm.nih.gov/sutils/blink.cgi?pid=343508709","7.3")</f>
        <v>7.3</v>
      </c>
      <c r="AK845" t="str">
        <f>HYPERLINK("http://www.ncbi.nlm.nih.gov/protein/343508709","gi|343508709")</f>
        <v>gi|343508709</v>
      </c>
      <c r="AL845">
        <v>34.299999999999997</v>
      </c>
      <c r="AM845">
        <v>29</v>
      </c>
      <c r="AN845">
        <v>749</v>
      </c>
      <c r="AO845">
        <v>50</v>
      </c>
      <c r="AP845">
        <v>4</v>
      </c>
      <c r="AQ845">
        <v>15</v>
      </c>
      <c r="AR845">
        <v>0</v>
      </c>
      <c r="AS845">
        <v>113</v>
      </c>
      <c r="AT845">
        <v>46</v>
      </c>
      <c r="AU845">
        <v>1</v>
      </c>
      <c r="AV845">
        <v>-1</v>
      </c>
      <c r="AW845" t="s">
        <v>12</v>
      </c>
      <c r="AY845" t="s">
        <v>1666</v>
      </c>
      <c r="AZ845" t="s">
        <v>3055</v>
      </c>
      <c r="BA845" s="4" t="str">
        <f>HYPERLINK("http://exon.niaid.nih.gov/transcriptome/C_felis/S1/links/SWISSP/cf-contig_390-SWISSP.txt","Mating factor M secretion protein mam1")</f>
        <v>Mating factor M secretion protein mam1</v>
      </c>
      <c r="BB845" t="str">
        <f>HYPERLINK("http://www.uniprot.org/uniprot/P78966","70")</f>
        <v>70</v>
      </c>
      <c r="BC845" t="s">
        <v>3056</v>
      </c>
      <c r="BD845">
        <v>26.2</v>
      </c>
      <c r="BE845">
        <v>34</v>
      </c>
      <c r="BF845">
        <v>1336</v>
      </c>
      <c r="BG845">
        <v>45</v>
      </c>
      <c r="BH845">
        <v>3</v>
      </c>
      <c r="BI845">
        <v>19</v>
      </c>
      <c r="BJ845">
        <v>2</v>
      </c>
      <c r="BK845">
        <v>979</v>
      </c>
      <c r="BL845">
        <v>65</v>
      </c>
      <c r="BM845">
        <v>1</v>
      </c>
      <c r="BN845">
        <v>-3</v>
      </c>
      <c r="BO845" t="s">
        <v>12</v>
      </c>
      <c r="BP845">
        <v>2.9409999999999998</v>
      </c>
      <c r="BQ845" t="s">
        <v>1666</v>
      </c>
      <c r="BR845" t="s">
        <v>1695</v>
      </c>
      <c r="BS845" s="4" t="str">
        <f>HYPERLINK("http://exon.niaid.nih.gov/transcriptome/C_felis/S1/links/CDD/cf-contig_390-CDD.txt","PLN02318")</f>
        <v>PLN02318</v>
      </c>
      <c r="BT845" t="str">
        <f>HYPERLINK("http://www.ncbi.nlm.nih.gov/Structure/cdd/cddsrv.cgi?uid=PLN02318&amp;version=v4.0","1.3")</f>
        <v>1.3</v>
      </c>
      <c r="BU845" t="s">
        <v>3057</v>
      </c>
      <c r="BV845" s="4" t="s">
        <v>42</v>
      </c>
      <c r="BW845" t="s">
        <v>42</v>
      </c>
      <c r="BX845" t="s">
        <v>42</v>
      </c>
      <c r="BY845" t="s">
        <v>42</v>
      </c>
      <c r="BZ845" t="s">
        <v>42</v>
      </c>
      <c r="CA845" t="s">
        <v>42</v>
      </c>
      <c r="CB845" t="s">
        <v>42</v>
      </c>
      <c r="CC845" t="s">
        <v>42</v>
      </c>
      <c r="CD845" t="s">
        <v>42</v>
      </c>
      <c r="CE845" t="s">
        <v>42</v>
      </c>
      <c r="CF845" t="s">
        <v>42</v>
      </c>
      <c r="CG845" t="s">
        <v>42</v>
      </c>
      <c r="CH845" t="s">
        <v>42</v>
      </c>
      <c r="CI845" t="s">
        <v>42</v>
      </c>
      <c r="CJ845" t="s">
        <v>42</v>
      </c>
      <c r="CK845" t="s">
        <v>42</v>
      </c>
      <c r="CL845" t="s">
        <v>42</v>
      </c>
      <c r="CM845" t="s">
        <v>42</v>
      </c>
      <c r="CN845" t="s">
        <v>42</v>
      </c>
      <c r="CO845" t="s">
        <v>42</v>
      </c>
      <c r="CP845" t="s">
        <v>42</v>
      </c>
      <c r="CQ845" t="s">
        <v>42</v>
      </c>
      <c r="CR845" t="s">
        <v>42</v>
      </c>
      <c r="CS845" s="4" t="str">
        <f>HYPERLINK("http://exon.niaid.nih.gov/transcriptome/C_felis/S1/links/KOG/cf-contig_390-KOG.txt","c-Mpl binding protein, contains La domain")</f>
        <v>c-Mpl binding protein, contains La domain</v>
      </c>
      <c r="CT845" t="str">
        <f>HYPERLINK("http://www.ncbi.nlm.nih.gov/COG/grace/shokog.cgi?KOG2591","0.80")</f>
        <v>0.80</v>
      </c>
      <c r="CU845" t="s">
        <v>1780</v>
      </c>
      <c r="CV845" s="4" t="str">
        <f>HYPERLINK("http://exon.niaid.nih.gov/transcriptome/C_felis/S1/links/PFAM/cf-contig_390-PFAM.txt","PRiA4_ORF3")</f>
        <v>PRiA4_ORF3</v>
      </c>
      <c r="CW845" t="str">
        <f>HYPERLINK("http://pfam.sanger.ac.uk/family?acc=PF07929","1.0")</f>
        <v>1.0</v>
      </c>
      <c r="CX845" s="4" t="str">
        <f>HYPERLINK("http://exon.niaid.nih.gov/transcriptome/C_felis/S1/links/SMART/cf-contig_390-SMART.txt","CPDc")</f>
        <v>CPDc</v>
      </c>
      <c r="CY845" t="str">
        <f>HYPERLINK("http://smart.embl-heidelberg.de/smart/do_annotation.pl?DOMAIN=CPDc&amp;BLAST=DUMMY","0.70")</f>
        <v>0.70</v>
      </c>
      <c r="CZ845" s="4" t="s">
        <v>42</v>
      </c>
      <c r="DA845" t="s">
        <v>42</v>
      </c>
      <c r="DB845" t="s">
        <v>42</v>
      </c>
      <c r="DC845" t="s">
        <v>42</v>
      </c>
      <c r="DD845" t="s">
        <v>42</v>
      </c>
      <c r="DE845" t="s">
        <v>42</v>
      </c>
      <c r="DF845" t="s">
        <v>42</v>
      </c>
      <c r="DG845" t="s">
        <v>42</v>
      </c>
      <c r="DH845" s="4" t="s">
        <v>42</v>
      </c>
      <c r="DI845" t="s">
        <v>42</v>
      </c>
      <c r="DJ845" s="4" t="s">
        <v>42</v>
      </c>
      <c r="DK845" t="s">
        <v>42</v>
      </c>
      <c r="DL845" s="4">
        <v>318</v>
      </c>
      <c r="DM845">
        <v>1</v>
      </c>
      <c r="DN845" s="4">
        <v>326</v>
      </c>
      <c r="DO845">
        <v>1</v>
      </c>
      <c r="DP845" s="4">
        <v>327</v>
      </c>
      <c r="DQ845">
        <v>1</v>
      </c>
      <c r="DR845" s="4">
        <v>338</v>
      </c>
      <c r="DS845">
        <v>1</v>
      </c>
      <c r="DT845" s="4">
        <v>348</v>
      </c>
      <c r="DU845">
        <v>1</v>
      </c>
      <c r="DV845" s="4">
        <v>361</v>
      </c>
      <c r="DW845">
        <v>1</v>
      </c>
      <c r="DX845" s="4">
        <v>364</v>
      </c>
      <c r="DY845">
        <v>1</v>
      </c>
      <c r="DZ845" s="4">
        <v>369</v>
      </c>
      <c r="EA845">
        <v>1</v>
      </c>
      <c r="EB845" s="4">
        <v>374</v>
      </c>
      <c r="EC845">
        <v>1</v>
      </c>
      <c r="ED845" s="4">
        <v>378</v>
      </c>
      <c r="EE845">
        <v>1</v>
      </c>
      <c r="EF845" s="4">
        <v>383</v>
      </c>
      <c r="EG845">
        <v>1</v>
      </c>
      <c r="EH845" s="4">
        <v>385</v>
      </c>
      <c r="EI845">
        <v>1</v>
      </c>
      <c r="EJ845" s="4">
        <v>390</v>
      </c>
      <c r="EK845">
        <v>1</v>
      </c>
    </row>
    <row r="846" spans="1:141" x14ac:dyDescent="0.2">
      <c r="A846" t="str">
        <f>HYPERLINK("http://exon.niaid.nih.gov/transcriptome/C_felis/S1/links/cf/cf-contig_328.txt","cf-contig_328")</f>
        <v>cf-contig_328</v>
      </c>
      <c r="B846">
        <v>1</v>
      </c>
      <c r="C846" s="10" t="s">
        <v>4600</v>
      </c>
      <c r="D846">
        <v>1</v>
      </c>
      <c r="E846" t="str">
        <f>HYPERLINK("http://exon.niaid.nih.gov/transcriptome/C_felis/S1/links/cf/cf-5-36-asb-328.txt","Contig-328")</f>
        <v>Contig-328</v>
      </c>
      <c r="F846" t="str">
        <f>HYPERLINK("http://exon.niaid.nih.gov/transcriptome/C_felis/S1/links/cf/cf-5-36-328-CLU.txt","Contig328")</f>
        <v>Contig328</v>
      </c>
      <c r="G846" t="str">
        <f>HYPERLINK("http://exon.niaid.nih.gov/transcriptome/C_felis/S1/links/cf/cf-5-36-328-qual.txt","35.1")</f>
        <v>35.1</v>
      </c>
      <c r="H846">
        <v>0.8</v>
      </c>
      <c r="I846">
        <v>59.5</v>
      </c>
      <c r="J846">
        <v>107</v>
      </c>
      <c r="K846" t="s">
        <v>12</v>
      </c>
      <c r="L846">
        <v>1</v>
      </c>
      <c r="M846" t="s">
        <v>341</v>
      </c>
      <c r="N846">
        <v>107</v>
      </c>
      <c r="O846">
        <v>126</v>
      </c>
      <c r="P846">
        <v>75</v>
      </c>
      <c r="Q846" t="s">
        <v>1148</v>
      </c>
      <c r="R846">
        <v>1</v>
      </c>
      <c r="S846" s="7" t="s">
        <v>4585</v>
      </c>
      <c r="U846">
        <v>1</v>
      </c>
      <c r="V846" s="4">
        <v>265</v>
      </c>
      <c r="W846">
        <v>1</v>
      </c>
      <c r="X846" s="4">
        <v>271</v>
      </c>
      <c r="Y846">
        <v>1</v>
      </c>
      <c r="Z846" s="4">
        <v>270</v>
      </c>
      <c r="AA846">
        <v>1</v>
      </c>
      <c r="AB846" s="4" t="str">
        <f>HYPERLINK("http://exon.niaid.nih.gov/transcriptome/C_felis/S1/links/XC-ASB/cf-contig_328-XC-ASB.txt","XC-contig_55")</f>
        <v>XC-contig_55</v>
      </c>
      <c r="AC846">
        <v>0.86</v>
      </c>
      <c r="AD846" s="10" t="s">
        <v>4600</v>
      </c>
      <c r="AE846" t="s">
        <v>4601</v>
      </c>
      <c r="AI846" s="4" t="str">
        <f>HYPERLINK("http://exon.niaid.nih.gov/transcriptome/C_felis/S1/links/NR/cf-contig_328-NR.txt","hypothetical protein WIV_gp005")</f>
        <v>hypothetical protein WIV_gp005</v>
      </c>
      <c r="AJ846" t="str">
        <f>HYPERLINK("http://www.ncbi.nlm.nih.gov/sutils/blink.cgi?pid=339905991","80")</f>
        <v>80</v>
      </c>
      <c r="AK846" t="str">
        <f>HYPERLINK("http://www.ncbi.nlm.nih.gov/protein/339905991","gi|339905991")</f>
        <v>gi|339905991</v>
      </c>
      <c r="AL846">
        <v>30.8</v>
      </c>
      <c r="AM846">
        <v>30</v>
      </c>
      <c r="AN846">
        <v>515</v>
      </c>
      <c r="AO846">
        <v>45</v>
      </c>
      <c r="AP846">
        <v>6</v>
      </c>
      <c r="AQ846">
        <v>17</v>
      </c>
      <c r="AR846">
        <v>0</v>
      </c>
      <c r="AS846">
        <v>416</v>
      </c>
      <c r="AT846">
        <v>4</v>
      </c>
      <c r="AU846">
        <v>1</v>
      </c>
      <c r="AV846">
        <v>-1</v>
      </c>
      <c r="AW846" t="s">
        <v>12</v>
      </c>
      <c r="AY846" t="s">
        <v>1666</v>
      </c>
      <c r="AZ846" t="s">
        <v>2852</v>
      </c>
      <c r="BA846" s="4" t="str">
        <f>HYPERLINK("http://exon.niaid.nih.gov/transcriptome/C_felis/S1/links/SWISSP/cf-contig_328-SWISSP.txt","LMBR1 domain-containing protein 2 homolog")</f>
        <v>LMBR1 domain-containing protein 2 homolog</v>
      </c>
      <c r="BB846" t="str">
        <f>HYPERLINK("http://www.uniprot.org/uniprot/Q18695","40")</f>
        <v>40</v>
      </c>
      <c r="BC846" t="s">
        <v>2853</v>
      </c>
      <c r="BD846">
        <v>26.9</v>
      </c>
      <c r="BE846">
        <v>31</v>
      </c>
      <c r="BF846">
        <v>644</v>
      </c>
      <c r="BG846">
        <v>36</v>
      </c>
      <c r="BH846">
        <v>5</v>
      </c>
      <c r="BI846">
        <v>21</v>
      </c>
      <c r="BJ846">
        <v>0</v>
      </c>
      <c r="BK846">
        <v>58</v>
      </c>
      <c r="BL846">
        <v>1</v>
      </c>
      <c r="BM846">
        <v>1</v>
      </c>
      <c r="BN846">
        <v>-1</v>
      </c>
      <c r="BO846" t="s">
        <v>12</v>
      </c>
      <c r="BQ846" t="s">
        <v>1666</v>
      </c>
      <c r="BR846" t="s">
        <v>1735</v>
      </c>
      <c r="BS846" s="4" t="str">
        <f>HYPERLINK("http://exon.niaid.nih.gov/transcriptome/C_felis/S1/links/CDD/cf-contig_328-CDD.txt","UDP_AE_SDR_e")</f>
        <v>UDP_AE_SDR_e</v>
      </c>
      <c r="BT846" t="str">
        <f>HYPERLINK("http://www.ncbi.nlm.nih.gov/Structure/cdd/cddsrv.cgi?uid=cd05256&amp;version=v4.0","3.2")</f>
        <v>3.2</v>
      </c>
      <c r="BU846" t="s">
        <v>2854</v>
      </c>
      <c r="BV846" s="4" t="s">
        <v>42</v>
      </c>
      <c r="BW846" t="s">
        <v>42</v>
      </c>
      <c r="BX846" t="s">
        <v>42</v>
      </c>
      <c r="BY846" t="s">
        <v>42</v>
      </c>
      <c r="BZ846" t="s">
        <v>42</v>
      </c>
      <c r="CA846" t="s">
        <v>42</v>
      </c>
      <c r="CB846" t="s">
        <v>42</v>
      </c>
      <c r="CC846" t="s">
        <v>42</v>
      </c>
      <c r="CD846" t="s">
        <v>42</v>
      </c>
      <c r="CE846" t="s">
        <v>42</v>
      </c>
      <c r="CF846" t="s">
        <v>42</v>
      </c>
      <c r="CG846" t="s">
        <v>42</v>
      </c>
      <c r="CH846" t="s">
        <v>42</v>
      </c>
      <c r="CI846" t="s">
        <v>42</v>
      </c>
      <c r="CJ846" t="s">
        <v>42</v>
      </c>
      <c r="CK846" t="s">
        <v>42</v>
      </c>
      <c r="CL846" t="s">
        <v>42</v>
      </c>
      <c r="CM846" t="s">
        <v>42</v>
      </c>
      <c r="CN846" t="s">
        <v>42</v>
      </c>
      <c r="CO846" t="s">
        <v>42</v>
      </c>
      <c r="CP846" t="s">
        <v>42</v>
      </c>
      <c r="CQ846" t="s">
        <v>42</v>
      </c>
      <c r="CR846" t="s">
        <v>42</v>
      </c>
      <c r="CS846" s="4" t="str">
        <f>HYPERLINK("http://exon.niaid.nih.gov/transcriptome/C_felis/S1/links/KOG/cf-contig_328-KOG.txt","Aminoacylase ACY1 and related metalloexopeptidases")</f>
        <v>Aminoacylase ACY1 and related metalloexopeptidases</v>
      </c>
      <c r="CT846" t="str">
        <f>HYPERLINK("http://www.ncbi.nlm.nih.gov/COG/grace/shokog.cgi?KOG2275","3.1")</f>
        <v>3.1</v>
      </c>
      <c r="CU846" t="s">
        <v>2408</v>
      </c>
      <c r="CV846" s="4" t="str">
        <f>HYPERLINK("http://exon.niaid.nih.gov/transcriptome/C_felis/S1/links/PFAM/cf-contig_328-PFAM.txt","RNA_lig_T4_1")</f>
        <v>RNA_lig_T4_1</v>
      </c>
      <c r="CW846" t="str">
        <f>HYPERLINK("http://pfam.sanger.ac.uk/family?acc=PF09511","1.5")</f>
        <v>1.5</v>
      </c>
      <c r="CX846" s="4" t="str">
        <f>HYPERLINK("http://exon.niaid.nih.gov/transcriptome/C_felis/S1/links/SMART/cf-contig_328-SMART.txt","RL11")</f>
        <v>RL11</v>
      </c>
      <c r="CY846" t="str">
        <f>HYPERLINK("http://smart.embl-heidelberg.de/smart/do_annotation.pl?DOMAIN=RL11&amp;BLAST=DUMMY","1.1")</f>
        <v>1.1</v>
      </c>
      <c r="CZ846" s="4" t="s">
        <v>42</v>
      </c>
      <c r="DA846" t="s">
        <v>42</v>
      </c>
      <c r="DB846" t="s">
        <v>42</v>
      </c>
      <c r="DC846" t="s">
        <v>42</v>
      </c>
      <c r="DD846" t="s">
        <v>42</v>
      </c>
      <c r="DE846" t="s">
        <v>42</v>
      </c>
      <c r="DF846" t="s">
        <v>42</v>
      </c>
      <c r="DG846" t="s">
        <v>42</v>
      </c>
      <c r="DH846" s="4" t="s">
        <v>42</v>
      </c>
      <c r="DI846" t="s">
        <v>42</v>
      </c>
      <c r="DJ846" s="4" t="s">
        <v>42</v>
      </c>
      <c r="DK846" t="s">
        <v>42</v>
      </c>
      <c r="DL846" s="4">
        <v>265</v>
      </c>
      <c r="DM846">
        <v>1</v>
      </c>
      <c r="DN846" s="4">
        <v>271</v>
      </c>
      <c r="DO846">
        <v>1</v>
      </c>
      <c r="DP846" s="4">
        <v>270</v>
      </c>
      <c r="DQ846">
        <v>1</v>
      </c>
      <c r="DR846" s="4">
        <v>279</v>
      </c>
      <c r="DS846">
        <v>1</v>
      </c>
      <c r="DT846" s="4">
        <v>289</v>
      </c>
      <c r="DU846">
        <v>1</v>
      </c>
      <c r="DV846" s="4">
        <v>301</v>
      </c>
      <c r="DW846">
        <v>1</v>
      </c>
      <c r="DX846" s="4">
        <v>303</v>
      </c>
      <c r="DY846">
        <v>1</v>
      </c>
      <c r="DZ846" s="4">
        <v>308</v>
      </c>
      <c r="EA846">
        <v>1</v>
      </c>
      <c r="EB846" s="4">
        <v>313</v>
      </c>
      <c r="EC846">
        <v>1</v>
      </c>
      <c r="ED846" s="4">
        <v>317</v>
      </c>
      <c r="EE846">
        <v>1</v>
      </c>
      <c r="EF846" s="4">
        <v>321</v>
      </c>
      <c r="EG846">
        <v>1</v>
      </c>
      <c r="EH846" s="4">
        <v>323</v>
      </c>
      <c r="EI846">
        <v>1</v>
      </c>
      <c r="EJ846" s="4">
        <v>328</v>
      </c>
      <c r="EK846">
        <v>1</v>
      </c>
    </row>
    <row r="847" spans="1:141" x14ac:dyDescent="0.2">
      <c r="A847" t="str">
        <f>HYPERLINK("http://exon.niaid.nih.gov/transcriptome/C_felis/S1/links/cf/cf-contig_216.txt","cf-contig_216")</f>
        <v>cf-contig_216</v>
      </c>
      <c r="B847">
        <v>3</v>
      </c>
      <c r="C847" s="10" t="s">
        <v>4600</v>
      </c>
      <c r="D847">
        <v>3</v>
      </c>
      <c r="E847" t="str">
        <f>HYPERLINK("http://exon.niaid.nih.gov/transcriptome/C_felis/S1/links/cf/cf-5-36-asb-216.txt","Contig-216")</f>
        <v>Contig-216</v>
      </c>
      <c r="F847" t="str">
        <f>HYPERLINK("http://exon.niaid.nih.gov/transcriptome/C_felis/S1/links/cf/cf-5-36-216-CLU.txt","Contig216")</f>
        <v>Contig216</v>
      </c>
      <c r="G847" t="str">
        <f>HYPERLINK("http://exon.niaid.nih.gov/transcriptome/C_felis/S1/links/cf/cf-5-36-216-qual.txt","85.6")</f>
        <v>85.6</v>
      </c>
      <c r="H847" t="s">
        <v>11</v>
      </c>
      <c r="I847">
        <v>73.599999999999994</v>
      </c>
      <c r="J847">
        <v>216</v>
      </c>
      <c r="K847" t="s">
        <v>12</v>
      </c>
      <c r="L847">
        <v>3</v>
      </c>
      <c r="M847" t="s">
        <v>229</v>
      </c>
      <c r="N847">
        <v>239</v>
      </c>
      <c r="O847">
        <v>235</v>
      </c>
      <c r="P847">
        <v>108</v>
      </c>
      <c r="Q847" t="s">
        <v>1036</v>
      </c>
      <c r="R847">
        <v>1</v>
      </c>
      <c r="S847" s="7" t="s">
        <v>4585</v>
      </c>
      <c r="U847">
        <v>3</v>
      </c>
      <c r="V847" s="4">
        <f>HYPERLINK("http://exon.niaid.nih.gov/transcriptome/C_felis/S1/links/cluster/cf-5-36-asb30-50-Id-CLU24.txt", 24)</f>
        <v>24</v>
      </c>
      <c r="W847">
        <f>HYPERLINK("http://exon.niaid.nih.gov/transcriptome/C_felis/S1/links/cluster/cf-5-36-asb30-50-Id-CLTL24.txt", 3)</f>
        <v>3</v>
      </c>
      <c r="X847" s="4">
        <v>177</v>
      </c>
      <c r="Y847">
        <v>1</v>
      </c>
      <c r="Z847" s="4">
        <v>175</v>
      </c>
      <c r="AA847">
        <v>1</v>
      </c>
      <c r="AB847" s="4" t="str">
        <f>HYPERLINK("http://exon.niaid.nih.gov/transcriptome/C_felis/S1/links/XC-ASB/cf-contig_216-XC-ASB.txt","XC-contig_43")</f>
        <v>XC-contig_43</v>
      </c>
      <c r="AC847">
        <v>1.4999999999999999E-2</v>
      </c>
      <c r="AD847" s="10" t="s">
        <v>4600</v>
      </c>
      <c r="AE847" t="s">
        <v>4601</v>
      </c>
      <c r="AI847" s="4" t="str">
        <f>HYPERLINK("http://exon.niaid.nih.gov/transcriptome/C_felis/S1/links/NR/cf-contig_216-NR.txt","diguanylate cyclase/phosphodiesterase")</f>
        <v>diguanylate cyclase/phosphodiesterase</v>
      </c>
      <c r="AJ847" t="str">
        <f>HYPERLINK("http://www.ncbi.nlm.nih.gov/sutils/blink.cgi?pid=335932233","12")</f>
        <v>12</v>
      </c>
      <c r="AK847" t="str">
        <f>HYPERLINK("http://www.ncbi.nlm.nih.gov/protein/335932233","gi|335932233")</f>
        <v>gi|335932233</v>
      </c>
      <c r="AL847">
        <v>33.5</v>
      </c>
      <c r="AM847">
        <v>45</v>
      </c>
      <c r="AN847">
        <v>683</v>
      </c>
      <c r="AO847">
        <v>31</v>
      </c>
      <c r="AP847">
        <v>7</v>
      </c>
      <c r="AQ847">
        <v>32</v>
      </c>
      <c r="AR847">
        <v>0</v>
      </c>
      <c r="AS847">
        <v>180</v>
      </c>
      <c r="AT847">
        <v>26</v>
      </c>
      <c r="AU847">
        <v>1</v>
      </c>
      <c r="AV847">
        <v>-1</v>
      </c>
      <c r="AW847" t="s">
        <v>12</v>
      </c>
      <c r="AX847">
        <v>2.222</v>
      </c>
      <c r="AY847" t="s">
        <v>1666</v>
      </c>
      <c r="AZ847" t="s">
        <v>2471</v>
      </c>
      <c r="BA847" s="4" t="str">
        <f>HYPERLINK("http://exon.niaid.nih.gov/transcriptome/C_felis/S1/links/SWISSP/cf-contig_216-SWISSP.txt","NAD(P)H-quinone oxidoreductase chain 4, chloroplastic")</f>
        <v>NAD(P)H-quinone oxidoreductase chain 4, chloroplastic</v>
      </c>
      <c r="BB847" t="str">
        <f>HYPERLINK("http://www.uniprot.org/uniprot/Q85BG0","2.8")</f>
        <v>2.8</v>
      </c>
      <c r="BC847" t="s">
        <v>2472</v>
      </c>
      <c r="BD847">
        <v>30.8</v>
      </c>
      <c r="BE847">
        <v>20</v>
      </c>
      <c r="BF847">
        <v>501</v>
      </c>
      <c r="BG847">
        <v>52</v>
      </c>
      <c r="BH847">
        <v>4</v>
      </c>
      <c r="BI847">
        <v>10</v>
      </c>
      <c r="BJ847">
        <v>0</v>
      </c>
      <c r="BK847">
        <v>50</v>
      </c>
      <c r="BL847">
        <v>31</v>
      </c>
      <c r="BM847">
        <v>1</v>
      </c>
      <c r="BN847">
        <v>-2</v>
      </c>
      <c r="BO847" t="s">
        <v>12</v>
      </c>
      <c r="BQ847" t="s">
        <v>1666</v>
      </c>
      <c r="BR847" t="s">
        <v>2473</v>
      </c>
      <c r="BS847" s="4" t="str">
        <f>HYPERLINK("http://exon.niaid.nih.gov/transcriptome/C_felis/S1/links/CDD/cf-contig_216-CDD.txt","ATP6")</f>
        <v>ATP6</v>
      </c>
      <c r="BT847" t="str">
        <f>HYPERLINK("http://www.ncbi.nlm.nih.gov/Structure/cdd/cddsrv.cgi?uid=MTH00157&amp;version=v4.0","0.23")</f>
        <v>0.23</v>
      </c>
      <c r="BU847" t="s">
        <v>2474</v>
      </c>
      <c r="BV847" s="4" t="s">
        <v>42</v>
      </c>
      <c r="BW847" t="s">
        <v>42</v>
      </c>
      <c r="BX847" t="s">
        <v>42</v>
      </c>
      <c r="BY847" t="s">
        <v>42</v>
      </c>
      <c r="BZ847" t="s">
        <v>42</v>
      </c>
      <c r="CA847" t="s">
        <v>42</v>
      </c>
      <c r="CB847" t="s">
        <v>42</v>
      </c>
      <c r="CC847" t="s">
        <v>42</v>
      </c>
      <c r="CD847" t="s">
        <v>42</v>
      </c>
      <c r="CE847" t="s">
        <v>42</v>
      </c>
      <c r="CF847" t="s">
        <v>42</v>
      </c>
      <c r="CG847" t="s">
        <v>42</v>
      </c>
      <c r="CH847" t="s">
        <v>42</v>
      </c>
      <c r="CI847" t="s">
        <v>42</v>
      </c>
      <c r="CJ847" t="s">
        <v>42</v>
      </c>
      <c r="CK847" t="s">
        <v>42</v>
      </c>
      <c r="CL847" t="s">
        <v>42</v>
      </c>
      <c r="CM847" t="s">
        <v>42</v>
      </c>
      <c r="CN847" t="s">
        <v>42</v>
      </c>
      <c r="CO847" t="s">
        <v>42</v>
      </c>
      <c r="CP847" t="s">
        <v>42</v>
      </c>
      <c r="CQ847" t="s">
        <v>42</v>
      </c>
      <c r="CR847" t="s">
        <v>42</v>
      </c>
      <c r="CS847" s="4" t="str">
        <f>HYPERLINK("http://exon.niaid.nih.gov/transcriptome/C_felis/S1/links/KOG/cf-contig_216-KOG.txt","Major facilitator superfamily permease - Cdc91p")</f>
        <v>Major facilitator superfamily permease - Cdc91p</v>
      </c>
      <c r="CT847" t="str">
        <f>HYPERLINK("http://www.ncbi.nlm.nih.gov/COG/grace/shokog.cgi?KOG2552","0.090")</f>
        <v>0.090</v>
      </c>
      <c r="CU847" t="s">
        <v>1721</v>
      </c>
      <c r="CV847" s="4" t="str">
        <f>HYPERLINK("http://exon.niaid.nih.gov/transcriptome/C_felis/S1/links/PFAM/cf-contig_216-PFAM.txt","Chordopox_A15")</f>
        <v>Chordopox_A15</v>
      </c>
      <c r="CW847" t="str">
        <f>HYPERLINK("http://pfam.sanger.ac.uk/family?acc=PF05846","0.12")</f>
        <v>0.12</v>
      </c>
      <c r="CX847" s="4" t="str">
        <f>HYPERLINK("http://exon.niaid.nih.gov/transcriptome/C_felis/S1/links/SMART/cf-contig_216-SMART.txt","HECTc")</f>
        <v>HECTc</v>
      </c>
      <c r="CY847" t="str">
        <f>HYPERLINK("http://smart.embl-heidelberg.de/smart/do_annotation.pl?DOMAIN=HECTc&amp;BLAST=DUMMY","0.006")</f>
        <v>0.006</v>
      </c>
      <c r="CZ847" s="4" t="s">
        <v>42</v>
      </c>
      <c r="DA847" t="s">
        <v>42</v>
      </c>
      <c r="DB847" t="s">
        <v>42</v>
      </c>
      <c r="DC847" t="s">
        <v>42</v>
      </c>
      <c r="DD847" t="s">
        <v>42</v>
      </c>
      <c r="DE847" t="s">
        <v>42</v>
      </c>
      <c r="DF847" t="s">
        <v>42</v>
      </c>
      <c r="DG847" t="s">
        <v>42</v>
      </c>
      <c r="DH847" s="4" t="s">
        <v>42</v>
      </c>
      <c r="DI847" t="s">
        <v>42</v>
      </c>
      <c r="DJ847" s="4" t="s">
        <v>42</v>
      </c>
      <c r="DK847" t="s">
        <v>42</v>
      </c>
      <c r="DL847" s="4">
        <f>HYPERLINK("http://exon.niaid.nih.gov/transcriptome/C_felis/S1/links/cluster/cf-5-36-asb30-50-Id-CLU24.txt", 24)</f>
        <v>24</v>
      </c>
      <c r="DM847">
        <f>HYPERLINK("http://exon.niaid.nih.gov/transcriptome/C_felis/S1/links/cluster/cf-5-36-asb30-50-Id-CLTL24.txt", 3)</f>
        <v>3</v>
      </c>
      <c r="DN847" s="4">
        <v>177</v>
      </c>
      <c r="DO847">
        <v>1</v>
      </c>
      <c r="DP847" s="4">
        <v>175</v>
      </c>
      <c r="DQ847">
        <v>1</v>
      </c>
      <c r="DR847" s="4">
        <v>178</v>
      </c>
      <c r="DS847">
        <v>1</v>
      </c>
      <c r="DT847" s="4">
        <v>182</v>
      </c>
      <c r="DU847">
        <v>1</v>
      </c>
      <c r="DV847" s="4">
        <v>194</v>
      </c>
      <c r="DW847">
        <v>1</v>
      </c>
      <c r="DX847" s="4">
        <v>196</v>
      </c>
      <c r="DY847">
        <v>1</v>
      </c>
      <c r="DZ847" s="4">
        <v>198</v>
      </c>
      <c r="EA847">
        <v>1</v>
      </c>
      <c r="EB847" s="4">
        <v>203</v>
      </c>
      <c r="EC847">
        <v>1</v>
      </c>
      <c r="ED847" s="4">
        <v>206</v>
      </c>
      <c r="EE847">
        <v>1</v>
      </c>
      <c r="EF847" s="4">
        <v>209</v>
      </c>
      <c r="EG847">
        <v>1</v>
      </c>
      <c r="EH847" s="4">
        <v>211</v>
      </c>
      <c r="EI847">
        <v>1</v>
      </c>
      <c r="EJ847" s="4">
        <v>216</v>
      </c>
      <c r="EK847">
        <v>1</v>
      </c>
    </row>
    <row r="848" spans="1:141" x14ac:dyDescent="0.2">
      <c r="AI848" s="4" t="s">
        <v>42</v>
      </c>
      <c r="AJ848" t="s">
        <v>42</v>
      </c>
      <c r="AK848" t="s">
        <v>42</v>
      </c>
      <c r="AL848" t="s">
        <v>42</v>
      </c>
      <c r="AM848" t="s">
        <v>42</v>
      </c>
      <c r="AN848" t="s">
        <v>42</v>
      </c>
      <c r="AO848" t="s">
        <v>42</v>
      </c>
      <c r="AP848" t="s">
        <v>42</v>
      </c>
      <c r="AQ848" t="s">
        <v>42</v>
      </c>
      <c r="AR848" t="s">
        <v>42</v>
      </c>
      <c r="AS848" t="s">
        <v>42</v>
      </c>
      <c r="AT848" t="s">
        <v>42</v>
      </c>
      <c r="AU848" t="s">
        <v>42</v>
      </c>
      <c r="AV848" t="s">
        <v>42</v>
      </c>
      <c r="AW848" t="s">
        <v>42</v>
      </c>
      <c r="AX848" t="s">
        <v>42</v>
      </c>
      <c r="AY848" t="s">
        <v>42</v>
      </c>
      <c r="AZ848" t="s">
        <v>42</v>
      </c>
      <c r="BA848" s="4" t="s">
        <v>42</v>
      </c>
      <c r="BB848" t="s">
        <v>42</v>
      </c>
      <c r="BC848" t="s">
        <v>42</v>
      </c>
      <c r="BD848" t="s">
        <v>42</v>
      </c>
      <c r="BE848" t="s">
        <v>42</v>
      </c>
      <c r="BF848" t="s">
        <v>42</v>
      </c>
      <c r="BG848" t="s">
        <v>42</v>
      </c>
      <c r="BH848" t="s">
        <v>42</v>
      </c>
      <c r="BI848" t="s">
        <v>42</v>
      </c>
      <c r="BJ848" t="s">
        <v>42</v>
      </c>
      <c r="BK848" t="s">
        <v>42</v>
      </c>
      <c r="BL848" t="s">
        <v>42</v>
      </c>
      <c r="BM848" t="s">
        <v>42</v>
      </c>
      <c r="BN848" t="s">
        <v>42</v>
      </c>
      <c r="BO848" t="s">
        <v>42</v>
      </c>
      <c r="BP848" t="s">
        <v>42</v>
      </c>
      <c r="BQ848" t="s">
        <v>42</v>
      </c>
      <c r="BR848" t="s">
        <v>42</v>
      </c>
      <c r="BS848" s="4" t="s">
        <v>42</v>
      </c>
      <c r="BT848" t="s">
        <v>42</v>
      </c>
      <c r="BU848" t="s">
        <v>42</v>
      </c>
      <c r="BV848" s="4" t="s">
        <v>42</v>
      </c>
      <c r="BW848" t="s">
        <v>42</v>
      </c>
      <c r="BX848" t="s">
        <v>42</v>
      </c>
      <c r="BY848" t="s">
        <v>42</v>
      </c>
      <c r="BZ848" t="s">
        <v>42</v>
      </c>
      <c r="CA848" t="s">
        <v>42</v>
      </c>
      <c r="CB848" t="s">
        <v>42</v>
      </c>
      <c r="CC848" t="s">
        <v>42</v>
      </c>
      <c r="CD848" t="s">
        <v>42</v>
      </c>
      <c r="CE848" t="s">
        <v>42</v>
      </c>
      <c r="CF848" t="s">
        <v>42</v>
      </c>
      <c r="CG848" t="s">
        <v>42</v>
      </c>
      <c r="CH848" t="s">
        <v>42</v>
      </c>
      <c r="CI848" t="s">
        <v>42</v>
      </c>
      <c r="CJ848" t="s">
        <v>42</v>
      </c>
      <c r="CK848" t="s">
        <v>42</v>
      </c>
      <c r="CL848" t="s">
        <v>42</v>
      </c>
      <c r="CM848" t="s">
        <v>42</v>
      </c>
      <c r="CN848" t="s">
        <v>42</v>
      </c>
      <c r="CO848" t="s">
        <v>42</v>
      </c>
      <c r="CP848" t="s">
        <v>42</v>
      </c>
      <c r="CQ848" t="s">
        <v>42</v>
      </c>
      <c r="CR848" t="s">
        <v>42</v>
      </c>
      <c r="CS848" s="4" t="s">
        <v>42</v>
      </c>
      <c r="CT848" t="s">
        <v>42</v>
      </c>
      <c r="CU848" t="s">
        <v>42</v>
      </c>
      <c r="CV848" s="4" t="s">
        <v>42</v>
      </c>
      <c r="CW848" t="s">
        <v>42</v>
      </c>
      <c r="CX848" s="4" t="s">
        <v>42</v>
      </c>
      <c r="CY848" t="s">
        <v>42</v>
      </c>
      <c r="CZ848" s="4" t="s">
        <v>42</v>
      </c>
      <c r="DA848" t="s">
        <v>42</v>
      </c>
      <c r="DB848" t="s">
        <v>42</v>
      </c>
      <c r="DC848" t="s">
        <v>42</v>
      </c>
      <c r="DD848" t="s">
        <v>42</v>
      </c>
      <c r="DE848" t="s">
        <v>42</v>
      </c>
      <c r="DF848" t="s">
        <v>42</v>
      </c>
      <c r="DG848" t="s">
        <v>42</v>
      </c>
      <c r="DH848" s="4" t="s">
        <v>42</v>
      </c>
      <c r="DI848" t="s">
        <v>42</v>
      </c>
      <c r="DJ848" s="4" t="s">
        <v>42</v>
      </c>
      <c r="DK848" t="s">
        <v>42</v>
      </c>
    </row>
  </sheetData>
  <sortState ref="A12:EL35">
    <sortCondition ref="AZ85:AZ108"/>
    <sortCondition ref="DN85:DN108"/>
    <sortCondition ref="DP85:DP108"/>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7"/>
  <sheetViews>
    <sheetView workbookViewId="0"/>
  </sheetViews>
  <sheetFormatPr defaultRowHeight="14.25" x14ac:dyDescent="0.2"/>
  <sheetData>
    <row r="1" spans="1:4" x14ac:dyDescent="0.2">
      <c r="A1" t="s">
        <v>4969</v>
      </c>
      <c r="B1" t="s">
        <v>4594</v>
      </c>
      <c r="C1" t="s">
        <v>4970</v>
      </c>
      <c r="D1" t="s">
        <v>4593</v>
      </c>
    </row>
    <row r="2" spans="1:4" x14ac:dyDescent="0.2">
      <c r="A2">
        <v>402</v>
      </c>
      <c r="B2" t="s">
        <v>4904</v>
      </c>
      <c r="C2" t="s">
        <v>4939</v>
      </c>
      <c r="D2" t="s">
        <v>4931</v>
      </c>
    </row>
    <row r="3" spans="1:4" x14ac:dyDescent="0.2">
      <c r="A3">
        <v>421</v>
      </c>
      <c r="B3" t="s">
        <v>4904</v>
      </c>
      <c r="C3" t="s">
        <v>4939</v>
      </c>
      <c r="D3" t="s">
        <v>4931</v>
      </c>
    </row>
    <row r="4" spans="1:4" x14ac:dyDescent="0.2">
      <c r="A4">
        <v>423</v>
      </c>
      <c r="B4" t="s">
        <v>4904</v>
      </c>
      <c r="C4" t="s">
        <v>4939</v>
      </c>
      <c r="D4" t="s">
        <v>4931</v>
      </c>
    </row>
    <row r="5" spans="1:4" x14ac:dyDescent="0.2">
      <c r="A5">
        <v>358</v>
      </c>
      <c r="B5" t="s">
        <v>4904</v>
      </c>
      <c r="C5" t="s">
        <v>4939</v>
      </c>
      <c r="D5" t="s">
        <v>4740</v>
      </c>
    </row>
    <row r="6" spans="1:4" x14ac:dyDescent="0.2">
      <c r="A6">
        <v>766</v>
      </c>
      <c r="B6" t="s">
        <v>4904</v>
      </c>
      <c r="C6" t="s">
        <v>4939</v>
      </c>
      <c r="D6" t="s">
        <v>4824</v>
      </c>
    </row>
    <row r="7" spans="1:4" x14ac:dyDescent="0.2">
      <c r="A7">
        <v>393</v>
      </c>
      <c r="B7" t="s">
        <v>4904</v>
      </c>
      <c r="C7" t="s">
        <v>4939</v>
      </c>
      <c r="D7" t="s">
        <v>4603</v>
      </c>
    </row>
    <row r="8" spans="1:4" x14ac:dyDescent="0.2">
      <c r="A8">
        <v>510</v>
      </c>
      <c r="B8" t="s">
        <v>4904</v>
      </c>
      <c r="C8" t="s">
        <v>4939</v>
      </c>
      <c r="D8" t="s">
        <v>4603</v>
      </c>
    </row>
    <row r="9" spans="1:4" x14ac:dyDescent="0.2">
      <c r="A9">
        <v>47</v>
      </c>
      <c r="B9" t="s">
        <v>4904</v>
      </c>
      <c r="C9" t="s">
        <v>4939</v>
      </c>
      <c r="D9" t="s">
        <v>4606</v>
      </c>
    </row>
    <row r="10" spans="1:4" x14ac:dyDescent="0.2">
      <c r="A10">
        <v>48</v>
      </c>
      <c r="B10" t="s">
        <v>4904</v>
      </c>
      <c r="C10" t="s">
        <v>4939</v>
      </c>
      <c r="D10" t="s">
        <v>4606</v>
      </c>
    </row>
    <row r="11" spans="1:4" x14ac:dyDescent="0.2">
      <c r="A11">
        <v>49</v>
      </c>
      <c r="B11" t="s">
        <v>4904</v>
      </c>
      <c r="C11" t="s">
        <v>4939</v>
      </c>
      <c r="D11" t="s">
        <v>4606</v>
      </c>
    </row>
    <row r="12" spans="1:4" x14ac:dyDescent="0.2">
      <c r="A12">
        <v>123</v>
      </c>
      <c r="B12" t="s">
        <v>4904</v>
      </c>
      <c r="C12" t="s">
        <v>4939</v>
      </c>
      <c r="D12" t="s">
        <v>4640</v>
      </c>
    </row>
    <row r="13" spans="1:4" x14ac:dyDescent="0.2">
      <c r="A13">
        <v>148</v>
      </c>
      <c r="B13" t="s">
        <v>4904</v>
      </c>
      <c r="C13" t="s">
        <v>4939</v>
      </c>
      <c r="D13" t="s">
        <v>4640</v>
      </c>
    </row>
    <row r="14" spans="1:4" x14ac:dyDescent="0.2">
      <c r="A14">
        <v>79</v>
      </c>
      <c r="B14" t="s">
        <v>4904</v>
      </c>
      <c r="C14" t="s">
        <v>4939</v>
      </c>
      <c r="D14" t="s">
        <v>4606</v>
      </c>
    </row>
    <row r="15" spans="1:4" x14ac:dyDescent="0.2">
      <c r="A15">
        <v>261</v>
      </c>
      <c r="B15" t="s">
        <v>4904</v>
      </c>
      <c r="C15" t="s">
        <v>4939</v>
      </c>
      <c r="D15" t="s">
        <v>4606</v>
      </c>
    </row>
    <row r="16" spans="1:4" x14ac:dyDescent="0.2">
      <c r="A16">
        <v>220</v>
      </c>
      <c r="B16" t="s">
        <v>4904</v>
      </c>
      <c r="C16" t="s">
        <v>4939</v>
      </c>
      <c r="D16" t="s">
        <v>4640</v>
      </c>
    </row>
    <row r="17" spans="1:4" x14ac:dyDescent="0.2">
      <c r="A17">
        <v>246</v>
      </c>
      <c r="B17" t="s">
        <v>4904</v>
      </c>
      <c r="C17" t="s">
        <v>4939</v>
      </c>
      <c r="D17" t="s">
        <v>4714</v>
      </c>
    </row>
    <row r="18" spans="1:4" x14ac:dyDescent="0.2">
      <c r="A18">
        <v>370</v>
      </c>
      <c r="B18" t="s">
        <v>4904</v>
      </c>
      <c r="C18" t="s">
        <v>4939</v>
      </c>
      <c r="D18" t="s">
        <v>4640</v>
      </c>
    </row>
    <row r="19" spans="1:4" x14ac:dyDescent="0.2">
      <c r="A19">
        <v>609</v>
      </c>
      <c r="B19" t="s">
        <v>4904</v>
      </c>
      <c r="C19" t="s">
        <v>4939</v>
      </c>
      <c r="D19" t="s">
        <v>4824</v>
      </c>
    </row>
    <row r="20" spans="1:4" x14ac:dyDescent="0.2">
      <c r="A20">
        <v>50</v>
      </c>
      <c r="B20" t="s">
        <v>4904</v>
      </c>
      <c r="C20" t="s">
        <v>4939</v>
      </c>
      <c r="D20" t="s">
        <v>4607</v>
      </c>
    </row>
    <row r="21" spans="1:4" x14ac:dyDescent="0.2">
      <c r="A21">
        <v>80</v>
      </c>
      <c r="B21" t="s">
        <v>4904</v>
      </c>
      <c r="C21" t="s">
        <v>4940</v>
      </c>
      <c r="D21" t="s">
        <v>4617</v>
      </c>
    </row>
    <row r="22" spans="1:4" x14ac:dyDescent="0.2">
      <c r="A22">
        <v>81</v>
      </c>
      <c r="B22" t="s">
        <v>4904</v>
      </c>
      <c r="C22" t="s">
        <v>4940</v>
      </c>
      <c r="D22" t="s">
        <v>4617</v>
      </c>
    </row>
    <row r="23" spans="1:4" x14ac:dyDescent="0.2">
      <c r="A23">
        <v>653</v>
      </c>
      <c r="B23" t="s">
        <v>4904</v>
      </c>
      <c r="C23" t="s">
        <v>4940</v>
      </c>
      <c r="D23" t="s">
        <v>4617</v>
      </c>
    </row>
    <row r="24" spans="1:4" x14ac:dyDescent="0.2">
      <c r="A24">
        <v>791</v>
      </c>
      <c r="B24" t="s">
        <v>4904</v>
      </c>
      <c r="C24" t="s">
        <v>4877</v>
      </c>
      <c r="D24" t="s">
        <v>4877</v>
      </c>
    </row>
    <row r="25" spans="1:4" x14ac:dyDescent="0.2">
      <c r="A25">
        <v>806</v>
      </c>
      <c r="B25" t="s">
        <v>4904</v>
      </c>
      <c r="C25" t="s">
        <v>4877</v>
      </c>
      <c r="D25" t="s">
        <v>4877</v>
      </c>
    </row>
    <row r="26" spans="1:4" x14ac:dyDescent="0.2">
      <c r="A26">
        <v>60</v>
      </c>
      <c r="B26" t="s">
        <v>4904</v>
      </c>
      <c r="C26" t="s">
        <v>4941</v>
      </c>
      <c r="D26" t="s">
        <v>4613</v>
      </c>
    </row>
    <row r="27" spans="1:4" x14ac:dyDescent="0.2">
      <c r="A27">
        <v>61</v>
      </c>
      <c r="B27" t="s">
        <v>4904</v>
      </c>
      <c r="C27" t="s">
        <v>4941</v>
      </c>
      <c r="D27" t="s">
        <v>4613</v>
      </c>
    </row>
    <row r="28" spans="1:4" x14ac:dyDescent="0.2">
      <c r="A28">
        <v>59</v>
      </c>
      <c r="B28" t="s">
        <v>4904</v>
      </c>
      <c r="C28" t="s">
        <v>4941</v>
      </c>
      <c r="D28" t="s">
        <v>4611</v>
      </c>
    </row>
    <row r="29" spans="1:4" x14ac:dyDescent="0.2">
      <c r="A29">
        <v>62</v>
      </c>
      <c r="B29" t="s">
        <v>4904</v>
      </c>
      <c r="C29" t="s">
        <v>4941</v>
      </c>
      <c r="D29" t="s">
        <v>4615</v>
      </c>
    </row>
    <row r="30" spans="1:4" x14ac:dyDescent="0.2">
      <c r="A30">
        <v>100</v>
      </c>
      <c r="B30" t="s">
        <v>4904</v>
      </c>
      <c r="C30" t="s">
        <v>4941</v>
      </c>
      <c r="D30" t="s">
        <v>4609</v>
      </c>
    </row>
    <row r="31" spans="1:4" x14ac:dyDescent="0.2">
      <c r="A31">
        <v>781</v>
      </c>
      <c r="B31" t="s">
        <v>4904</v>
      </c>
      <c r="C31" t="s">
        <v>4942</v>
      </c>
      <c r="D31" t="s">
        <v>4609</v>
      </c>
    </row>
    <row r="32" spans="1:4" x14ac:dyDescent="0.2">
      <c r="A32">
        <v>56</v>
      </c>
      <c r="B32" t="s">
        <v>4904</v>
      </c>
      <c r="C32" t="s">
        <v>4942</v>
      </c>
      <c r="D32" t="s">
        <v>4609</v>
      </c>
    </row>
    <row r="33" spans="1:4" x14ac:dyDescent="0.2">
      <c r="A33">
        <v>51</v>
      </c>
      <c r="B33" t="s">
        <v>4938</v>
      </c>
      <c r="C33" t="s">
        <v>42</v>
      </c>
      <c r="D33" t="s">
        <v>4608</v>
      </c>
    </row>
    <row r="34" spans="1:4" x14ac:dyDescent="0.2">
      <c r="A34">
        <v>52</v>
      </c>
      <c r="B34" t="s">
        <v>4938</v>
      </c>
      <c r="C34" t="s">
        <v>42</v>
      </c>
      <c r="D34" t="s">
        <v>4608</v>
      </c>
    </row>
    <row r="35" spans="1:4" x14ac:dyDescent="0.2">
      <c r="A35">
        <v>54</v>
      </c>
      <c r="B35" t="s">
        <v>4938</v>
      </c>
      <c r="C35" t="s">
        <v>42</v>
      </c>
      <c r="D35" t="s">
        <v>4608</v>
      </c>
    </row>
    <row r="36" spans="1:4" x14ac:dyDescent="0.2">
      <c r="A36">
        <v>208</v>
      </c>
      <c r="B36" t="s">
        <v>4935</v>
      </c>
      <c r="C36" t="s">
        <v>4690</v>
      </c>
      <c r="D36" t="s">
        <v>4690</v>
      </c>
    </row>
    <row r="37" spans="1:4" x14ac:dyDescent="0.2">
      <c r="A37">
        <v>726</v>
      </c>
      <c r="B37" t="s">
        <v>4935</v>
      </c>
      <c r="C37" t="s">
        <v>4943</v>
      </c>
      <c r="D37" t="s">
        <v>4855</v>
      </c>
    </row>
    <row r="38" spans="1:4" x14ac:dyDescent="0.2">
      <c r="A38">
        <v>537</v>
      </c>
      <c r="B38" t="s">
        <v>4935</v>
      </c>
      <c r="C38" t="s">
        <v>4943</v>
      </c>
      <c r="D38" t="s">
        <v>4677</v>
      </c>
    </row>
    <row r="39" spans="1:4" x14ac:dyDescent="0.2">
      <c r="A39">
        <v>188</v>
      </c>
      <c r="B39" t="s">
        <v>4935</v>
      </c>
      <c r="C39" t="s">
        <v>4943</v>
      </c>
      <c r="D39" t="s">
        <v>4677</v>
      </c>
    </row>
    <row r="40" spans="1:4" x14ac:dyDescent="0.2">
      <c r="A40">
        <v>189</v>
      </c>
      <c r="B40" t="s">
        <v>4935</v>
      </c>
      <c r="C40" t="s">
        <v>4943</v>
      </c>
      <c r="D40" t="s">
        <v>4677</v>
      </c>
    </row>
    <row r="41" spans="1:4" x14ac:dyDescent="0.2">
      <c r="A41">
        <v>190</v>
      </c>
      <c r="B41" t="s">
        <v>4935</v>
      </c>
      <c r="C41" t="s">
        <v>4943</v>
      </c>
      <c r="D41" t="s">
        <v>4677</v>
      </c>
    </row>
    <row r="42" spans="1:4" x14ac:dyDescent="0.2">
      <c r="A42">
        <v>29</v>
      </c>
      <c r="B42" t="s">
        <v>4934</v>
      </c>
      <c r="C42" t="s">
        <v>4944</v>
      </c>
      <c r="D42" t="s">
        <v>4600</v>
      </c>
    </row>
    <row r="43" spans="1:4" x14ac:dyDescent="0.2">
      <c r="A43">
        <v>37</v>
      </c>
      <c r="B43" t="s">
        <v>4934</v>
      </c>
      <c r="C43" t="s">
        <v>4944</v>
      </c>
      <c r="D43" t="s">
        <v>4603</v>
      </c>
    </row>
    <row r="44" spans="1:4" x14ac:dyDescent="0.2">
      <c r="A44">
        <v>31</v>
      </c>
      <c r="B44" t="s">
        <v>4934</v>
      </c>
      <c r="C44" t="s">
        <v>4944</v>
      </c>
      <c r="D44" t="s">
        <v>4603</v>
      </c>
    </row>
    <row r="45" spans="1:4" x14ac:dyDescent="0.2">
      <c r="A45">
        <v>39</v>
      </c>
      <c r="B45" t="s">
        <v>4934</v>
      </c>
      <c r="C45" t="s">
        <v>4944</v>
      </c>
      <c r="D45" t="s">
        <v>4603</v>
      </c>
    </row>
    <row r="46" spans="1:4" x14ac:dyDescent="0.2">
      <c r="A46">
        <v>40</v>
      </c>
      <c r="B46" t="s">
        <v>4934</v>
      </c>
      <c r="C46" t="s">
        <v>4944</v>
      </c>
      <c r="D46" t="s">
        <v>4603</v>
      </c>
    </row>
    <row r="47" spans="1:4" x14ac:dyDescent="0.2">
      <c r="A47">
        <v>41</v>
      </c>
      <c r="B47" t="s">
        <v>4934</v>
      </c>
      <c r="C47" t="s">
        <v>4944</v>
      </c>
      <c r="D47" t="s">
        <v>4603</v>
      </c>
    </row>
    <row r="48" spans="1:4" x14ac:dyDescent="0.2">
      <c r="A48">
        <v>38</v>
      </c>
      <c r="B48" t="s">
        <v>4934</v>
      </c>
      <c r="C48" t="s">
        <v>4944</v>
      </c>
      <c r="D48" t="s">
        <v>4600</v>
      </c>
    </row>
    <row r="49" spans="1:4" x14ac:dyDescent="0.2">
      <c r="A49">
        <v>66</v>
      </c>
      <c r="B49" t="s">
        <v>4934</v>
      </c>
      <c r="C49" t="s">
        <v>4944</v>
      </c>
      <c r="D49" t="s">
        <v>4600</v>
      </c>
    </row>
    <row r="50" spans="1:4" x14ac:dyDescent="0.2">
      <c r="A50">
        <v>69</v>
      </c>
      <c r="B50" t="s">
        <v>4934</v>
      </c>
      <c r="C50" t="s">
        <v>4944</v>
      </c>
      <c r="D50" t="s">
        <v>4600</v>
      </c>
    </row>
    <row r="51" spans="1:4" x14ac:dyDescent="0.2">
      <c r="A51">
        <v>70</v>
      </c>
      <c r="B51" t="s">
        <v>4934</v>
      </c>
      <c r="C51" t="s">
        <v>4944</v>
      </c>
      <c r="D51" t="s">
        <v>4600</v>
      </c>
    </row>
    <row r="52" spans="1:4" x14ac:dyDescent="0.2">
      <c r="A52">
        <v>71</v>
      </c>
      <c r="B52" t="s">
        <v>4934</v>
      </c>
      <c r="C52" t="s">
        <v>4944</v>
      </c>
      <c r="D52" t="s">
        <v>4600</v>
      </c>
    </row>
    <row r="53" spans="1:4" x14ac:dyDescent="0.2">
      <c r="A53">
        <v>63</v>
      </c>
      <c r="B53" t="s">
        <v>4934</v>
      </c>
      <c r="C53" t="s">
        <v>4944</v>
      </c>
      <c r="D53" t="s">
        <v>4600</v>
      </c>
    </row>
    <row r="54" spans="1:4" x14ac:dyDescent="0.2">
      <c r="A54">
        <v>64</v>
      </c>
      <c r="B54" t="s">
        <v>4934</v>
      </c>
      <c r="C54" t="s">
        <v>4944</v>
      </c>
      <c r="D54" t="s">
        <v>4600</v>
      </c>
    </row>
    <row r="55" spans="1:4" x14ac:dyDescent="0.2">
      <c r="A55">
        <v>67</v>
      </c>
      <c r="B55" t="s">
        <v>4934</v>
      </c>
      <c r="C55" t="s">
        <v>4944</v>
      </c>
      <c r="D55" t="s">
        <v>4603</v>
      </c>
    </row>
    <row r="56" spans="1:4" x14ac:dyDescent="0.2">
      <c r="A56">
        <v>94</v>
      </c>
      <c r="B56" t="s">
        <v>4934</v>
      </c>
      <c r="C56" t="s">
        <v>4944</v>
      </c>
      <c r="D56" t="s">
        <v>4603</v>
      </c>
    </row>
    <row r="57" spans="1:4" x14ac:dyDescent="0.2">
      <c r="A57">
        <v>95</v>
      </c>
      <c r="B57" t="s">
        <v>4934</v>
      </c>
      <c r="C57" t="s">
        <v>4944</v>
      </c>
      <c r="D57" t="s">
        <v>4603</v>
      </c>
    </row>
    <row r="58" spans="1:4" x14ac:dyDescent="0.2">
      <c r="A58">
        <v>65</v>
      </c>
      <c r="B58" t="s">
        <v>4934</v>
      </c>
      <c r="C58" t="s">
        <v>4944</v>
      </c>
      <c r="D58" t="s">
        <v>4602</v>
      </c>
    </row>
    <row r="59" spans="1:4" x14ac:dyDescent="0.2">
      <c r="A59">
        <v>68</v>
      </c>
      <c r="B59" t="s">
        <v>4934</v>
      </c>
      <c r="C59" t="s">
        <v>4944</v>
      </c>
      <c r="D59" t="s">
        <v>4600</v>
      </c>
    </row>
    <row r="60" spans="1:4" x14ac:dyDescent="0.2">
      <c r="A60">
        <v>724</v>
      </c>
      <c r="B60" t="s">
        <v>4934</v>
      </c>
      <c r="C60" t="s">
        <v>4944</v>
      </c>
      <c r="D60" t="s">
        <v>4603</v>
      </c>
    </row>
    <row r="61" spans="1:4" x14ac:dyDescent="0.2">
      <c r="A61">
        <v>19</v>
      </c>
      <c r="B61" t="s">
        <v>4934</v>
      </c>
      <c r="C61" t="s">
        <v>4945</v>
      </c>
      <c r="D61" t="s">
        <v>4603</v>
      </c>
    </row>
    <row r="62" spans="1:4" x14ac:dyDescent="0.2">
      <c r="A62">
        <v>12</v>
      </c>
      <c r="B62" t="s">
        <v>4934</v>
      </c>
      <c r="C62" t="s">
        <v>4945</v>
      </c>
      <c r="D62" t="s">
        <v>4602</v>
      </c>
    </row>
    <row r="63" spans="1:4" x14ac:dyDescent="0.2">
      <c r="A63">
        <v>13</v>
      </c>
      <c r="B63" t="s">
        <v>4934</v>
      </c>
      <c r="C63" t="s">
        <v>4945</v>
      </c>
      <c r="D63" t="s">
        <v>4602</v>
      </c>
    </row>
    <row r="64" spans="1:4" x14ac:dyDescent="0.2">
      <c r="A64">
        <v>14</v>
      </c>
      <c r="B64" t="s">
        <v>4934</v>
      </c>
      <c r="C64" t="s">
        <v>4945</v>
      </c>
      <c r="D64" t="s">
        <v>4602</v>
      </c>
    </row>
    <row r="65" spans="1:4" x14ac:dyDescent="0.2">
      <c r="A65">
        <v>16</v>
      </c>
      <c r="B65" t="s">
        <v>4934</v>
      </c>
      <c r="C65" t="s">
        <v>4945</v>
      </c>
      <c r="D65" t="s">
        <v>4600</v>
      </c>
    </row>
    <row r="66" spans="1:4" x14ac:dyDescent="0.2">
      <c r="A66">
        <v>17</v>
      </c>
      <c r="B66" t="s">
        <v>4934</v>
      </c>
      <c r="C66" t="s">
        <v>4945</v>
      </c>
      <c r="D66" t="s">
        <v>4602</v>
      </c>
    </row>
    <row r="67" spans="1:4" x14ac:dyDescent="0.2">
      <c r="A67">
        <v>15</v>
      </c>
      <c r="B67" t="s">
        <v>4934</v>
      </c>
      <c r="C67" t="s">
        <v>4945</v>
      </c>
      <c r="D67" t="s">
        <v>4600</v>
      </c>
    </row>
    <row r="68" spans="1:4" x14ac:dyDescent="0.2">
      <c r="A68">
        <v>673</v>
      </c>
      <c r="B68" t="s">
        <v>4934</v>
      </c>
      <c r="C68" t="s">
        <v>4945</v>
      </c>
      <c r="D68" t="s">
        <v>4600</v>
      </c>
    </row>
    <row r="69" spans="1:4" x14ac:dyDescent="0.2">
      <c r="A69">
        <v>1</v>
      </c>
      <c r="B69" t="s">
        <v>4934</v>
      </c>
      <c r="C69" t="s">
        <v>4946</v>
      </c>
      <c r="D69" t="s">
        <v>4598</v>
      </c>
    </row>
    <row r="70" spans="1:4" x14ac:dyDescent="0.2">
      <c r="A70">
        <v>2</v>
      </c>
      <c r="B70" t="s">
        <v>4934</v>
      </c>
      <c r="C70" t="s">
        <v>4946</v>
      </c>
      <c r="D70" t="s">
        <v>4598</v>
      </c>
    </row>
    <row r="71" spans="1:4" x14ac:dyDescent="0.2">
      <c r="A71">
        <v>5</v>
      </c>
      <c r="B71" t="s">
        <v>4934</v>
      </c>
      <c r="C71" t="s">
        <v>4946</v>
      </c>
      <c r="D71" t="s">
        <v>4598</v>
      </c>
    </row>
    <row r="72" spans="1:4" x14ac:dyDescent="0.2">
      <c r="A72">
        <v>6</v>
      </c>
      <c r="B72" t="s">
        <v>4934</v>
      </c>
      <c r="C72" t="s">
        <v>4946</v>
      </c>
      <c r="D72" t="s">
        <v>4598</v>
      </c>
    </row>
    <row r="73" spans="1:4" x14ac:dyDescent="0.2">
      <c r="A73">
        <v>7</v>
      </c>
      <c r="B73" t="s">
        <v>4934</v>
      </c>
      <c r="C73" t="s">
        <v>4946</v>
      </c>
      <c r="D73" t="s">
        <v>4598</v>
      </c>
    </row>
    <row r="74" spans="1:4" x14ac:dyDescent="0.2">
      <c r="A74">
        <v>10</v>
      </c>
      <c r="B74" t="s">
        <v>4934</v>
      </c>
      <c r="C74" t="s">
        <v>4946</v>
      </c>
      <c r="D74" t="s">
        <v>4598</v>
      </c>
    </row>
    <row r="75" spans="1:4" x14ac:dyDescent="0.2">
      <c r="A75">
        <v>25</v>
      </c>
      <c r="B75" t="s">
        <v>4934</v>
      </c>
      <c r="C75" t="s">
        <v>4946</v>
      </c>
      <c r="D75" t="s">
        <v>4598</v>
      </c>
    </row>
    <row r="76" spans="1:4" x14ac:dyDescent="0.2">
      <c r="A76">
        <v>169</v>
      </c>
      <c r="B76" t="s">
        <v>4934</v>
      </c>
      <c r="C76" t="s">
        <v>4947</v>
      </c>
      <c r="D76" t="s">
        <v>4667</v>
      </c>
    </row>
    <row r="77" spans="1:4" x14ac:dyDescent="0.2">
      <c r="A77">
        <v>303</v>
      </c>
      <c r="B77" t="s">
        <v>4934</v>
      </c>
      <c r="C77" t="s">
        <v>4948</v>
      </c>
      <c r="D77" t="s">
        <v>4598</v>
      </c>
    </row>
    <row r="78" spans="1:4" x14ac:dyDescent="0.2">
      <c r="A78">
        <v>437</v>
      </c>
      <c r="B78" t="s">
        <v>4934</v>
      </c>
      <c r="C78" t="s">
        <v>4948</v>
      </c>
      <c r="D78" t="s">
        <v>4600</v>
      </c>
    </row>
    <row r="79" spans="1:4" x14ac:dyDescent="0.2">
      <c r="A79">
        <v>75</v>
      </c>
      <c r="B79" t="s">
        <v>4934</v>
      </c>
      <c r="C79" t="s">
        <v>4948</v>
      </c>
      <c r="D79" t="s">
        <v>4603</v>
      </c>
    </row>
    <row r="80" spans="1:4" x14ac:dyDescent="0.2">
      <c r="A80">
        <v>638</v>
      </c>
      <c r="B80" t="s">
        <v>4934</v>
      </c>
      <c r="C80" t="s">
        <v>4948</v>
      </c>
      <c r="D80" t="s">
        <v>4600</v>
      </c>
    </row>
    <row r="81" spans="1:4" x14ac:dyDescent="0.2">
      <c r="A81">
        <v>693</v>
      </c>
      <c r="B81" t="s">
        <v>4934</v>
      </c>
      <c r="C81" t="s">
        <v>4948</v>
      </c>
      <c r="D81" t="s">
        <v>4600</v>
      </c>
    </row>
    <row r="82" spans="1:4" x14ac:dyDescent="0.2">
      <c r="A82">
        <v>735</v>
      </c>
      <c r="B82" t="s">
        <v>4934</v>
      </c>
      <c r="C82" t="s">
        <v>4948</v>
      </c>
      <c r="D82" t="s">
        <v>4603</v>
      </c>
    </row>
    <row r="83" spans="1:4" x14ac:dyDescent="0.2">
      <c r="A83">
        <v>55</v>
      </c>
      <c r="B83" t="s">
        <v>4934</v>
      </c>
      <c r="C83" t="s">
        <v>4949</v>
      </c>
      <c r="D83" t="s">
        <v>4600</v>
      </c>
    </row>
    <row r="84" spans="1:4" x14ac:dyDescent="0.2">
      <c r="A84">
        <v>83</v>
      </c>
      <c r="B84" t="s">
        <v>4934</v>
      </c>
      <c r="C84" t="s">
        <v>4949</v>
      </c>
      <c r="D84" t="s">
        <v>4618</v>
      </c>
    </row>
    <row r="85" spans="1:4" x14ac:dyDescent="0.2">
      <c r="A85">
        <v>514</v>
      </c>
      <c r="B85" t="s">
        <v>4934</v>
      </c>
      <c r="C85" t="s">
        <v>4949</v>
      </c>
      <c r="D85" t="s">
        <v>4598</v>
      </c>
    </row>
    <row r="86" spans="1:4" x14ac:dyDescent="0.2">
      <c r="A86">
        <v>802</v>
      </c>
      <c r="B86" t="s">
        <v>4934</v>
      </c>
      <c r="C86" t="s">
        <v>4949</v>
      </c>
      <c r="D86" t="s">
        <v>4598</v>
      </c>
    </row>
    <row r="87" spans="1:4" x14ac:dyDescent="0.2">
      <c r="A87">
        <v>230</v>
      </c>
      <c r="B87" t="s">
        <v>4934</v>
      </c>
      <c r="C87" t="s">
        <v>4949</v>
      </c>
      <c r="D87" t="s">
        <v>4598</v>
      </c>
    </row>
    <row r="88" spans="1:4" x14ac:dyDescent="0.2">
      <c r="A88">
        <v>277</v>
      </c>
      <c r="B88" t="s">
        <v>4934</v>
      </c>
      <c r="C88" t="s">
        <v>4949</v>
      </c>
      <c r="D88" t="s">
        <v>4598</v>
      </c>
    </row>
    <row r="89" spans="1:4" x14ac:dyDescent="0.2">
      <c r="A89">
        <v>760</v>
      </c>
      <c r="B89" t="s">
        <v>4934</v>
      </c>
      <c r="C89" t="s">
        <v>4949</v>
      </c>
      <c r="D89" t="s">
        <v>4598</v>
      </c>
    </row>
    <row r="90" spans="1:4" x14ac:dyDescent="0.2">
      <c r="A90">
        <v>120</v>
      </c>
      <c r="B90" t="s">
        <v>4934</v>
      </c>
      <c r="C90" t="s">
        <v>4949</v>
      </c>
      <c r="D90" t="s">
        <v>4598</v>
      </c>
    </row>
    <row r="91" spans="1:4" x14ac:dyDescent="0.2">
      <c r="A91">
        <v>564</v>
      </c>
      <c r="B91" t="s">
        <v>4934</v>
      </c>
      <c r="C91" t="s">
        <v>4949</v>
      </c>
      <c r="D91" t="s">
        <v>4598</v>
      </c>
    </row>
    <row r="92" spans="1:4" x14ac:dyDescent="0.2">
      <c r="A92">
        <v>792</v>
      </c>
      <c r="B92" t="s">
        <v>4934</v>
      </c>
      <c r="C92" t="s">
        <v>4949</v>
      </c>
      <c r="D92" t="s">
        <v>4598</v>
      </c>
    </row>
    <row r="93" spans="1:4" x14ac:dyDescent="0.2">
      <c r="A93">
        <v>310</v>
      </c>
      <c r="B93" t="s">
        <v>4879</v>
      </c>
      <c r="C93" t="s">
        <v>4950</v>
      </c>
      <c r="D93" t="s">
        <v>4726</v>
      </c>
    </row>
    <row r="94" spans="1:4" x14ac:dyDescent="0.2">
      <c r="A94">
        <v>755</v>
      </c>
      <c r="B94" t="s">
        <v>4879</v>
      </c>
      <c r="C94" t="s">
        <v>4950</v>
      </c>
      <c r="D94" t="s">
        <v>4868</v>
      </c>
    </row>
    <row r="95" spans="1:4" x14ac:dyDescent="0.2">
      <c r="A95">
        <v>798</v>
      </c>
      <c r="B95" t="s">
        <v>4879</v>
      </c>
      <c r="C95" t="s">
        <v>4950</v>
      </c>
      <c r="D95" t="s">
        <v>4878</v>
      </c>
    </row>
    <row r="96" spans="1:4" x14ac:dyDescent="0.2">
      <c r="A96">
        <v>607</v>
      </c>
      <c r="B96" t="s">
        <v>4879</v>
      </c>
      <c r="C96" t="s">
        <v>4950</v>
      </c>
      <c r="D96" t="s">
        <v>4823</v>
      </c>
    </row>
    <row r="97" spans="1:4" x14ac:dyDescent="0.2">
      <c r="A97">
        <v>685</v>
      </c>
      <c r="B97" t="s">
        <v>4879</v>
      </c>
      <c r="C97" t="s">
        <v>4950</v>
      </c>
      <c r="D97" t="s">
        <v>4823</v>
      </c>
    </row>
    <row r="98" spans="1:4" x14ac:dyDescent="0.2">
      <c r="A98">
        <v>750</v>
      </c>
      <c r="B98" t="s">
        <v>4879</v>
      </c>
      <c r="C98" t="s">
        <v>4950</v>
      </c>
      <c r="D98" t="s">
        <v>4823</v>
      </c>
    </row>
    <row r="99" spans="1:4" x14ac:dyDescent="0.2">
      <c r="A99">
        <v>761</v>
      </c>
      <c r="B99" t="s">
        <v>4879</v>
      </c>
      <c r="C99" t="s">
        <v>4950</v>
      </c>
      <c r="D99" t="s">
        <v>4870</v>
      </c>
    </row>
    <row r="100" spans="1:4" x14ac:dyDescent="0.2">
      <c r="A100">
        <v>117</v>
      </c>
      <c r="B100" t="s">
        <v>4879</v>
      </c>
      <c r="C100" t="s">
        <v>4950</v>
      </c>
      <c r="D100" t="s">
        <v>4636</v>
      </c>
    </row>
    <row r="101" spans="1:4" x14ac:dyDescent="0.2">
      <c r="A101">
        <v>225</v>
      </c>
      <c r="B101" t="s">
        <v>4879</v>
      </c>
      <c r="C101" t="s">
        <v>4950</v>
      </c>
      <c r="D101" t="s">
        <v>4699</v>
      </c>
    </row>
    <row r="102" spans="1:4" x14ac:dyDescent="0.2">
      <c r="A102">
        <v>451</v>
      </c>
      <c r="B102" t="s">
        <v>4879</v>
      </c>
      <c r="C102" t="s">
        <v>4950</v>
      </c>
      <c r="D102" t="s">
        <v>4770</v>
      </c>
    </row>
    <row r="103" spans="1:4" x14ac:dyDescent="0.2">
      <c r="A103">
        <v>626</v>
      </c>
      <c r="B103" t="s">
        <v>4879</v>
      </c>
      <c r="C103" t="s">
        <v>4950</v>
      </c>
      <c r="D103" t="s">
        <v>4827</v>
      </c>
    </row>
    <row r="104" spans="1:4" x14ac:dyDescent="0.2">
      <c r="A104">
        <v>576</v>
      </c>
      <c r="B104" t="s">
        <v>4879</v>
      </c>
      <c r="C104" t="s">
        <v>4950</v>
      </c>
      <c r="D104" t="s">
        <v>4807</v>
      </c>
    </row>
    <row r="105" spans="1:4" x14ac:dyDescent="0.2">
      <c r="A105">
        <v>288</v>
      </c>
      <c r="B105" t="s">
        <v>4879</v>
      </c>
      <c r="C105" t="s">
        <v>4950</v>
      </c>
      <c r="D105" t="s">
        <v>4719</v>
      </c>
    </row>
    <row r="106" spans="1:4" x14ac:dyDescent="0.2">
      <c r="A106">
        <v>426</v>
      </c>
      <c r="B106" t="s">
        <v>4879</v>
      </c>
      <c r="C106" t="s">
        <v>4950</v>
      </c>
      <c r="D106" t="s">
        <v>4763</v>
      </c>
    </row>
    <row r="107" spans="1:4" x14ac:dyDescent="0.2">
      <c r="A107">
        <v>134</v>
      </c>
      <c r="B107" t="s">
        <v>4879</v>
      </c>
      <c r="C107" t="s">
        <v>4951</v>
      </c>
      <c r="D107" t="s">
        <v>4647</v>
      </c>
    </row>
    <row r="108" spans="1:4" x14ac:dyDescent="0.2">
      <c r="A108">
        <v>622</v>
      </c>
      <c r="B108" t="s">
        <v>4879</v>
      </c>
      <c r="C108" t="s">
        <v>4935</v>
      </c>
      <c r="D108" t="s">
        <v>4825</v>
      </c>
    </row>
    <row r="109" spans="1:4" x14ac:dyDescent="0.2">
      <c r="A109">
        <v>697</v>
      </c>
      <c r="B109" t="s">
        <v>4879</v>
      </c>
      <c r="C109" t="s">
        <v>4935</v>
      </c>
      <c r="D109" t="s">
        <v>4848</v>
      </c>
    </row>
    <row r="110" spans="1:4" x14ac:dyDescent="0.2">
      <c r="A110">
        <v>242</v>
      </c>
      <c r="B110" t="s">
        <v>4879</v>
      </c>
      <c r="C110" t="s">
        <v>4935</v>
      </c>
      <c r="D110" t="s">
        <v>4710</v>
      </c>
    </row>
    <row r="111" spans="1:4" x14ac:dyDescent="0.2">
      <c r="A111">
        <v>371</v>
      </c>
      <c r="B111" t="s">
        <v>4879</v>
      </c>
      <c r="C111" t="s">
        <v>4952</v>
      </c>
      <c r="D111" t="s">
        <v>4747</v>
      </c>
    </row>
    <row r="112" spans="1:4" x14ac:dyDescent="0.2">
      <c r="A112">
        <v>664</v>
      </c>
      <c r="B112" t="s">
        <v>4879</v>
      </c>
      <c r="C112" t="s">
        <v>4952</v>
      </c>
      <c r="D112" t="s">
        <v>4839</v>
      </c>
    </row>
    <row r="113" spans="1:4" x14ac:dyDescent="0.2">
      <c r="A113">
        <v>623</v>
      </c>
      <c r="B113" t="s">
        <v>4879</v>
      </c>
      <c r="C113" t="s">
        <v>4952</v>
      </c>
      <c r="D113" t="s">
        <v>4826</v>
      </c>
    </row>
    <row r="114" spans="1:4" x14ac:dyDescent="0.2">
      <c r="A114">
        <v>501</v>
      </c>
      <c r="B114" t="s">
        <v>4879</v>
      </c>
      <c r="C114" t="s">
        <v>4952</v>
      </c>
      <c r="D114" t="s">
        <v>4784</v>
      </c>
    </row>
    <row r="115" spans="1:4" x14ac:dyDescent="0.2">
      <c r="A115">
        <v>378</v>
      </c>
      <c r="B115" t="s">
        <v>4879</v>
      </c>
      <c r="C115" t="s">
        <v>4952</v>
      </c>
      <c r="D115" t="s">
        <v>4752</v>
      </c>
    </row>
    <row r="116" spans="1:4" x14ac:dyDescent="0.2">
      <c r="A116">
        <v>524</v>
      </c>
      <c r="B116" t="s">
        <v>4879</v>
      </c>
      <c r="C116" t="s">
        <v>4952</v>
      </c>
      <c r="D116" t="s">
        <v>4793</v>
      </c>
    </row>
    <row r="117" spans="1:4" x14ac:dyDescent="0.2">
      <c r="A117">
        <v>455</v>
      </c>
      <c r="B117" t="s">
        <v>4879</v>
      </c>
      <c r="C117" t="s">
        <v>4953</v>
      </c>
      <c r="D117" t="s">
        <v>4773</v>
      </c>
    </row>
    <row r="118" spans="1:4" x14ac:dyDescent="0.2">
      <c r="A118">
        <v>440</v>
      </c>
      <c r="B118" t="s">
        <v>4879</v>
      </c>
      <c r="C118" t="s">
        <v>4953</v>
      </c>
      <c r="D118" t="s">
        <v>4767</v>
      </c>
    </row>
    <row r="119" spans="1:4" x14ac:dyDescent="0.2">
      <c r="A119">
        <v>222</v>
      </c>
      <c r="B119" t="s">
        <v>4879</v>
      </c>
      <c r="C119" t="s">
        <v>4953</v>
      </c>
      <c r="D119" t="s">
        <v>4697</v>
      </c>
    </row>
    <row r="120" spans="1:4" x14ac:dyDescent="0.2">
      <c r="A120">
        <v>223</v>
      </c>
      <c r="B120" t="s">
        <v>4879</v>
      </c>
      <c r="C120" t="s">
        <v>4953</v>
      </c>
      <c r="D120" t="s">
        <v>4697</v>
      </c>
    </row>
    <row r="121" spans="1:4" x14ac:dyDescent="0.2">
      <c r="A121">
        <v>449</v>
      </c>
      <c r="B121" t="s">
        <v>4879</v>
      </c>
      <c r="C121" t="s">
        <v>4953</v>
      </c>
      <c r="D121" t="s">
        <v>4769</v>
      </c>
    </row>
    <row r="122" spans="1:4" x14ac:dyDescent="0.2">
      <c r="A122">
        <v>668</v>
      </c>
      <c r="B122" t="s">
        <v>4879</v>
      </c>
      <c r="C122" t="s">
        <v>4953</v>
      </c>
      <c r="D122" t="s">
        <v>4841</v>
      </c>
    </row>
    <row r="123" spans="1:4" x14ac:dyDescent="0.2">
      <c r="A123">
        <v>547</v>
      </c>
      <c r="B123" t="s">
        <v>4879</v>
      </c>
      <c r="C123" t="s">
        <v>4953</v>
      </c>
      <c r="D123" t="s">
        <v>4800</v>
      </c>
    </row>
    <row r="124" spans="1:4" x14ac:dyDescent="0.2">
      <c r="A124">
        <v>387</v>
      </c>
      <c r="B124" t="s">
        <v>4879</v>
      </c>
      <c r="C124" t="s">
        <v>4954</v>
      </c>
      <c r="D124" t="s">
        <v>4754</v>
      </c>
    </row>
    <row r="125" spans="1:4" x14ac:dyDescent="0.2">
      <c r="A125">
        <v>764</v>
      </c>
      <c r="B125" t="s">
        <v>4879</v>
      </c>
      <c r="C125" t="s">
        <v>4954</v>
      </c>
      <c r="D125" t="s">
        <v>4871</v>
      </c>
    </row>
    <row r="126" spans="1:4" x14ac:dyDescent="0.2">
      <c r="A126">
        <v>527</v>
      </c>
      <c r="B126" t="s">
        <v>4879</v>
      </c>
      <c r="C126" t="s">
        <v>4954</v>
      </c>
      <c r="D126" t="s">
        <v>4794</v>
      </c>
    </row>
    <row r="127" spans="1:4" x14ac:dyDescent="0.2">
      <c r="A127">
        <v>490</v>
      </c>
      <c r="B127" t="s">
        <v>4879</v>
      </c>
      <c r="C127" t="s">
        <v>4954</v>
      </c>
      <c r="D127" t="s">
        <v>4783</v>
      </c>
    </row>
    <row r="128" spans="1:4" x14ac:dyDescent="0.2">
      <c r="A128">
        <v>520</v>
      </c>
      <c r="B128" t="s">
        <v>4879</v>
      </c>
      <c r="C128" t="s">
        <v>4954</v>
      </c>
      <c r="D128" t="s">
        <v>4791</v>
      </c>
    </row>
    <row r="129" spans="1:4" x14ac:dyDescent="0.2">
      <c r="A129">
        <v>459</v>
      </c>
      <c r="B129" t="s">
        <v>4879</v>
      </c>
      <c r="C129" t="s">
        <v>4954</v>
      </c>
      <c r="D129" t="s">
        <v>4774</v>
      </c>
    </row>
    <row r="130" spans="1:4" x14ac:dyDescent="0.2">
      <c r="A130">
        <v>744</v>
      </c>
      <c r="B130" t="s">
        <v>4879</v>
      </c>
      <c r="C130" t="s">
        <v>4954</v>
      </c>
      <c r="D130" t="s">
        <v>4774</v>
      </c>
    </row>
    <row r="131" spans="1:4" x14ac:dyDescent="0.2">
      <c r="A131">
        <v>754</v>
      </c>
      <c r="B131" t="s">
        <v>4879</v>
      </c>
      <c r="C131" t="s">
        <v>4954</v>
      </c>
      <c r="D131" t="s">
        <v>4867</v>
      </c>
    </row>
    <row r="132" spans="1:4" x14ac:dyDescent="0.2">
      <c r="A132">
        <v>563</v>
      </c>
      <c r="B132" t="s">
        <v>4879</v>
      </c>
      <c r="C132" t="s">
        <v>4954</v>
      </c>
      <c r="D132" t="s">
        <v>4803</v>
      </c>
    </row>
    <row r="133" spans="1:4" x14ac:dyDescent="0.2">
      <c r="A133">
        <v>666</v>
      </c>
      <c r="B133" t="s">
        <v>4879</v>
      </c>
      <c r="C133" t="s">
        <v>4954</v>
      </c>
      <c r="D133" t="s">
        <v>4840</v>
      </c>
    </row>
    <row r="134" spans="1:4" x14ac:dyDescent="0.2">
      <c r="A134">
        <v>445</v>
      </c>
      <c r="B134" t="s">
        <v>4879</v>
      </c>
      <c r="C134" t="s">
        <v>4954</v>
      </c>
      <c r="D134" t="s">
        <v>4768</v>
      </c>
    </row>
    <row r="135" spans="1:4" x14ac:dyDescent="0.2">
      <c r="A135">
        <v>696</v>
      </c>
      <c r="B135" t="s">
        <v>4879</v>
      </c>
      <c r="C135" t="s">
        <v>4954</v>
      </c>
      <c r="D135" t="s">
        <v>4768</v>
      </c>
    </row>
    <row r="136" spans="1:4" x14ac:dyDescent="0.2">
      <c r="A136">
        <v>412</v>
      </c>
      <c r="B136" t="s">
        <v>4879</v>
      </c>
      <c r="C136" t="s">
        <v>4954</v>
      </c>
      <c r="D136" t="s">
        <v>4759</v>
      </c>
    </row>
    <row r="137" spans="1:4" x14ac:dyDescent="0.2">
      <c r="A137">
        <v>586</v>
      </c>
      <c r="B137" t="s">
        <v>4879</v>
      </c>
      <c r="C137" t="s">
        <v>4954</v>
      </c>
      <c r="D137" t="s">
        <v>4812</v>
      </c>
    </row>
    <row r="138" spans="1:4" x14ac:dyDescent="0.2">
      <c r="A138">
        <v>538</v>
      </c>
      <c r="B138" t="s">
        <v>4879</v>
      </c>
      <c r="C138" t="s">
        <v>4954</v>
      </c>
      <c r="D138" t="s">
        <v>4797</v>
      </c>
    </row>
    <row r="139" spans="1:4" x14ac:dyDescent="0.2">
      <c r="A139">
        <v>341</v>
      </c>
      <c r="B139" t="s">
        <v>4879</v>
      </c>
      <c r="C139" t="s">
        <v>4955</v>
      </c>
      <c r="D139" t="s">
        <v>4735</v>
      </c>
    </row>
    <row r="140" spans="1:4" x14ac:dyDescent="0.2">
      <c r="A140">
        <v>597</v>
      </c>
      <c r="B140" t="s">
        <v>4879</v>
      </c>
      <c r="C140" t="s">
        <v>4956</v>
      </c>
      <c r="D140" t="s">
        <v>4819</v>
      </c>
    </row>
    <row r="141" spans="1:4" x14ac:dyDescent="0.2">
      <c r="A141">
        <v>743</v>
      </c>
      <c r="B141" t="s">
        <v>4879</v>
      </c>
      <c r="C141" t="s">
        <v>4956</v>
      </c>
      <c r="D141" t="s">
        <v>4861</v>
      </c>
    </row>
    <row r="142" spans="1:4" x14ac:dyDescent="0.2">
      <c r="A142">
        <v>727</v>
      </c>
      <c r="B142" t="s">
        <v>4879</v>
      </c>
      <c r="C142" t="s">
        <v>4956</v>
      </c>
      <c r="D142" t="s">
        <v>4857</v>
      </c>
    </row>
    <row r="143" spans="1:4" x14ac:dyDescent="0.2">
      <c r="A143">
        <v>413</v>
      </c>
      <c r="B143" t="s">
        <v>4879</v>
      </c>
      <c r="C143" t="s">
        <v>4957</v>
      </c>
      <c r="D143" t="s">
        <v>4760</v>
      </c>
    </row>
    <row r="144" spans="1:4" x14ac:dyDescent="0.2">
      <c r="A144">
        <v>787</v>
      </c>
      <c r="B144" t="s">
        <v>4879</v>
      </c>
      <c r="C144" t="s">
        <v>4958</v>
      </c>
      <c r="D144" t="s">
        <v>4876</v>
      </c>
    </row>
    <row r="145" spans="1:4" x14ac:dyDescent="0.2">
      <c r="A145">
        <v>637</v>
      </c>
      <c r="B145" t="s">
        <v>4879</v>
      </c>
      <c r="C145" t="s">
        <v>4958</v>
      </c>
      <c r="D145" t="s">
        <v>4831</v>
      </c>
    </row>
    <row r="146" spans="1:4" x14ac:dyDescent="0.2">
      <c r="A146">
        <v>718</v>
      </c>
      <c r="B146" t="s">
        <v>4879</v>
      </c>
      <c r="C146" t="s">
        <v>4959</v>
      </c>
      <c r="D146" t="s">
        <v>4853</v>
      </c>
    </row>
    <row r="147" spans="1:4" x14ac:dyDescent="0.2">
      <c r="A147">
        <v>460</v>
      </c>
      <c r="B147" t="s">
        <v>4879</v>
      </c>
      <c r="C147" t="s">
        <v>4959</v>
      </c>
      <c r="D147" t="s">
        <v>4775</v>
      </c>
    </row>
    <row r="148" spans="1:4" x14ac:dyDescent="0.2">
      <c r="A148">
        <v>364</v>
      </c>
      <c r="B148" t="s">
        <v>4879</v>
      </c>
      <c r="C148" t="s">
        <v>4959</v>
      </c>
      <c r="D148" t="s">
        <v>4742</v>
      </c>
    </row>
    <row r="149" spans="1:4" x14ac:dyDescent="0.2">
      <c r="A149">
        <v>580</v>
      </c>
      <c r="B149" t="s">
        <v>4879</v>
      </c>
      <c r="C149" t="s">
        <v>4959</v>
      </c>
      <c r="D149" t="s">
        <v>4809</v>
      </c>
    </row>
    <row r="150" spans="1:4" x14ac:dyDescent="0.2">
      <c r="A150">
        <v>701</v>
      </c>
      <c r="B150" t="s">
        <v>4879</v>
      </c>
      <c r="C150" t="s">
        <v>4959</v>
      </c>
      <c r="D150" t="s">
        <v>4850</v>
      </c>
    </row>
    <row r="151" spans="1:4" x14ac:dyDescent="0.2">
      <c r="A151">
        <v>508</v>
      </c>
      <c r="B151" t="s">
        <v>4879</v>
      </c>
      <c r="C151" t="s">
        <v>4959</v>
      </c>
      <c r="D151" t="s">
        <v>4788</v>
      </c>
    </row>
    <row r="152" spans="1:4" x14ac:dyDescent="0.2">
      <c r="A152">
        <v>439</v>
      </c>
      <c r="B152" t="s">
        <v>4879</v>
      </c>
      <c r="C152" t="s">
        <v>4959</v>
      </c>
      <c r="D152" t="s">
        <v>4766</v>
      </c>
    </row>
    <row r="153" spans="1:4" x14ac:dyDescent="0.2">
      <c r="A153">
        <v>601</v>
      </c>
      <c r="B153" t="s">
        <v>4879</v>
      </c>
      <c r="C153" t="s">
        <v>4960</v>
      </c>
      <c r="D153" t="s">
        <v>4821</v>
      </c>
    </row>
    <row r="154" spans="1:4" x14ac:dyDescent="0.2">
      <c r="A154">
        <v>462</v>
      </c>
      <c r="B154" t="s">
        <v>4879</v>
      </c>
      <c r="C154" t="s">
        <v>4960</v>
      </c>
      <c r="D154" t="s">
        <v>4776</v>
      </c>
    </row>
    <row r="155" spans="1:4" x14ac:dyDescent="0.2">
      <c r="A155">
        <v>157</v>
      </c>
      <c r="B155" t="s">
        <v>4879</v>
      </c>
      <c r="C155" t="s">
        <v>4960</v>
      </c>
      <c r="D155" t="s">
        <v>4662</v>
      </c>
    </row>
    <row r="156" spans="1:4" x14ac:dyDescent="0.2">
      <c r="A156">
        <v>728</v>
      </c>
      <c r="B156" t="s">
        <v>4879</v>
      </c>
      <c r="C156" t="s">
        <v>4960</v>
      </c>
      <c r="D156" t="s">
        <v>4859</v>
      </c>
    </row>
    <row r="157" spans="1:4" x14ac:dyDescent="0.2">
      <c r="A157">
        <v>591</v>
      </c>
      <c r="B157" t="s">
        <v>4879</v>
      </c>
      <c r="C157" t="s">
        <v>4960</v>
      </c>
      <c r="D157" t="s">
        <v>4815</v>
      </c>
    </row>
    <row r="158" spans="1:4" x14ac:dyDescent="0.2">
      <c r="A158">
        <v>298</v>
      </c>
      <c r="B158" t="s">
        <v>4879</v>
      </c>
      <c r="C158" t="s">
        <v>4960</v>
      </c>
      <c r="D158" t="s">
        <v>4723</v>
      </c>
    </row>
    <row r="159" spans="1:4" x14ac:dyDescent="0.2">
      <c r="A159">
        <v>556</v>
      </c>
      <c r="B159" t="s">
        <v>4879</v>
      </c>
      <c r="C159" t="s">
        <v>4960</v>
      </c>
      <c r="D159" t="s">
        <v>4801</v>
      </c>
    </row>
    <row r="160" spans="1:4" x14ac:dyDescent="0.2">
      <c r="A160">
        <v>669</v>
      </c>
      <c r="B160" t="s">
        <v>4879</v>
      </c>
      <c r="C160" t="s">
        <v>4960</v>
      </c>
      <c r="D160" t="s">
        <v>4842</v>
      </c>
    </row>
    <row r="161" spans="1:4" x14ac:dyDescent="0.2">
      <c r="A161">
        <v>516</v>
      </c>
      <c r="B161" t="s">
        <v>4879</v>
      </c>
      <c r="C161" t="s">
        <v>4960</v>
      </c>
      <c r="D161" t="s">
        <v>4790</v>
      </c>
    </row>
    <row r="162" spans="1:4" x14ac:dyDescent="0.2">
      <c r="A162">
        <v>628</v>
      </c>
      <c r="B162" t="s">
        <v>4879</v>
      </c>
      <c r="C162" t="s">
        <v>4960</v>
      </c>
      <c r="D162" t="s">
        <v>4828</v>
      </c>
    </row>
    <row r="163" spans="1:4" x14ac:dyDescent="0.2">
      <c r="A163">
        <v>775</v>
      </c>
      <c r="B163" t="s">
        <v>4879</v>
      </c>
      <c r="C163" t="s">
        <v>4960</v>
      </c>
      <c r="D163" t="s">
        <v>4873</v>
      </c>
    </row>
    <row r="164" spans="1:4" x14ac:dyDescent="0.2">
      <c r="A164">
        <v>584</v>
      </c>
      <c r="B164" t="s">
        <v>4879</v>
      </c>
      <c r="C164" t="s">
        <v>4960</v>
      </c>
      <c r="D164" t="s">
        <v>4810</v>
      </c>
    </row>
    <row r="165" spans="1:4" x14ac:dyDescent="0.2">
      <c r="A165">
        <v>89</v>
      </c>
      <c r="B165" t="s">
        <v>4879</v>
      </c>
      <c r="C165" t="s">
        <v>4961</v>
      </c>
      <c r="D165" t="s">
        <v>4620</v>
      </c>
    </row>
    <row r="166" spans="1:4" x14ac:dyDescent="0.2">
      <c r="A166">
        <v>142</v>
      </c>
      <c r="B166" t="s">
        <v>4879</v>
      </c>
      <c r="C166" t="s">
        <v>4961</v>
      </c>
      <c r="D166" t="s">
        <v>4651</v>
      </c>
    </row>
    <row r="167" spans="1:4" x14ac:dyDescent="0.2">
      <c r="A167">
        <v>536</v>
      </c>
      <c r="B167" t="s">
        <v>4879</v>
      </c>
      <c r="C167" t="s">
        <v>4961</v>
      </c>
      <c r="D167" t="s">
        <v>4796</v>
      </c>
    </row>
    <row r="168" spans="1:4" x14ac:dyDescent="0.2">
      <c r="A168">
        <v>785</v>
      </c>
      <c r="B168" t="s">
        <v>4879</v>
      </c>
      <c r="C168" t="s">
        <v>4961</v>
      </c>
      <c r="D168" t="s">
        <v>4875</v>
      </c>
    </row>
    <row r="169" spans="1:4" x14ac:dyDescent="0.2">
      <c r="A169">
        <v>251</v>
      </c>
      <c r="B169" t="s">
        <v>4879</v>
      </c>
      <c r="C169" t="s">
        <v>4961</v>
      </c>
      <c r="D169" t="s">
        <v>4717</v>
      </c>
    </row>
    <row r="170" spans="1:4" x14ac:dyDescent="0.2">
      <c r="A170">
        <v>346</v>
      </c>
      <c r="B170" t="s">
        <v>4879</v>
      </c>
      <c r="C170" t="s">
        <v>4961</v>
      </c>
      <c r="D170" t="s">
        <v>4737</v>
      </c>
    </row>
    <row r="171" spans="1:4" x14ac:dyDescent="0.2">
      <c r="A171">
        <v>422</v>
      </c>
      <c r="B171" t="s">
        <v>4879</v>
      </c>
      <c r="C171" t="s">
        <v>4961</v>
      </c>
      <c r="D171" t="s">
        <v>4762</v>
      </c>
    </row>
    <row r="172" spans="1:4" x14ac:dyDescent="0.2">
      <c r="A172">
        <v>90</v>
      </c>
      <c r="B172" t="s">
        <v>4879</v>
      </c>
      <c r="C172" t="s">
        <v>4961</v>
      </c>
      <c r="D172" t="s">
        <v>4622</v>
      </c>
    </row>
    <row r="173" spans="1:4" x14ac:dyDescent="0.2">
      <c r="A173">
        <v>91</v>
      </c>
      <c r="B173" t="s">
        <v>4879</v>
      </c>
      <c r="C173" t="s">
        <v>4961</v>
      </c>
      <c r="D173" t="s">
        <v>4622</v>
      </c>
    </row>
    <row r="174" spans="1:4" x14ac:dyDescent="0.2">
      <c r="A174">
        <v>178</v>
      </c>
      <c r="B174" t="s">
        <v>4879</v>
      </c>
      <c r="C174" t="s">
        <v>4962</v>
      </c>
      <c r="D174" t="s">
        <v>4670</v>
      </c>
    </row>
    <row r="175" spans="1:4" x14ac:dyDescent="0.2">
      <c r="A175">
        <v>179</v>
      </c>
      <c r="B175" t="s">
        <v>4879</v>
      </c>
      <c r="C175" t="s">
        <v>4962</v>
      </c>
      <c r="D175" t="s">
        <v>4670</v>
      </c>
    </row>
    <row r="176" spans="1:4" x14ac:dyDescent="0.2">
      <c r="A176">
        <v>200</v>
      </c>
      <c r="B176" t="s">
        <v>4879</v>
      </c>
      <c r="C176" t="s">
        <v>4962</v>
      </c>
      <c r="D176" t="s">
        <v>4684</v>
      </c>
    </row>
    <row r="177" spans="1:4" x14ac:dyDescent="0.2">
      <c r="A177">
        <v>406</v>
      </c>
      <c r="B177" t="s">
        <v>4879</v>
      </c>
      <c r="C177" t="s">
        <v>4962</v>
      </c>
      <c r="D177" t="s">
        <v>4757</v>
      </c>
    </row>
    <row r="178" spans="1:4" x14ac:dyDescent="0.2">
      <c r="A178">
        <v>801</v>
      </c>
      <c r="B178" t="s">
        <v>4879</v>
      </c>
      <c r="C178" t="s">
        <v>4962</v>
      </c>
      <c r="D178" t="s">
        <v>4757</v>
      </c>
    </row>
    <row r="179" spans="1:4" x14ac:dyDescent="0.2">
      <c r="A179">
        <v>130</v>
      </c>
      <c r="B179" t="s">
        <v>4879</v>
      </c>
      <c r="C179" t="s">
        <v>4962</v>
      </c>
      <c r="D179" t="s">
        <v>4646</v>
      </c>
    </row>
    <row r="180" spans="1:4" x14ac:dyDescent="0.2">
      <c r="A180">
        <v>152</v>
      </c>
      <c r="B180" t="s">
        <v>4879</v>
      </c>
      <c r="C180" t="s">
        <v>4962</v>
      </c>
      <c r="D180" t="s">
        <v>4657</v>
      </c>
    </row>
    <row r="181" spans="1:4" x14ac:dyDescent="0.2">
      <c r="A181">
        <v>102</v>
      </c>
      <c r="B181" t="s">
        <v>4879</v>
      </c>
      <c r="C181" t="s">
        <v>4962</v>
      </c>
      <c r="D181" t="s">
        <v>4627</v>
      </c>
    </row>
    <row r="182" spans="1:4" x14ac:dyDescent="0.2">
      <c r="A182">
        <v>103</v>
      </c>
      <c r="B182" t="s">
        <v>4879</v>
      </c>
      <c r="C182" t="s">
        <v>4962</v>
      </c>
      <c r="D182" t="s">
        <v>4627</v>
      </c>
    </row>
    <row r="183" spans="1:4" x14ac:dyDescent="0.2">
      <c r="A183">
        <v>187</v>
      </c>
      <c r="B183" t="s">
        <v>4879</v>
      </c>
      <c r="C183" t="s">
        <v>4962</v>
      </c>
      <c r="D183" t="s">
        <v>4676</v>
      </c>
    </row>
    <row r="184" spans="1:4" x14ac:dyDescent="0.2">
      <c r="A184">
        <v>320</v>
      </c>
      <c r="B184" t="s">
        <v>4879</v>
      </c>
      <c r="C184" t="s">
        <v>4962</v>
      </c>
      <c r="D184" t="s">
        <v>4731</v>
      </c>
    </row>
    <row r="185" spans="1:4" x14ac:dyDescent="0.2">
      <c r="A185">
        <v>721</v>
      </c>
      <c r="B185" t="s">
        <v>4879</v>
      </c>
      <c r="C185" t="s">
        <v>4962</v>
      </c>
      <c r="D185" t="s">
        <v>4731</v>
      </c>
    </row>
    <row r="186" spans="1:4" x14ac:dyDescent="0.2">
      <c r="A186">
        <v>221</v>
      </c>
      <c r="B186" t="s">
        <v>4879</v>
      </c>
      <c r="C186" t="s">
        <v>4962</v>
      </c>
      <c r="D186" t="s">
        <v>4696</v>
      </c>
    </row>
    <row r="187" spans="1:4" x14ac:dyDescent="0.2">
      <c r="A187">
        <v>128</v>
      </c>
      <c r="B187" t="s">
        <v>4879</v>
      </c>
      <c r="C187" t="s">
        <v>4962</v>
      </c>
      <c r="D187" t="s">
        <v>4644</v>
      </c>
    </row>
    <row r="188" spans="1:4" x14ac:dyDescent="0.2">
      <c r="A188">
        <v>194</v>
      </c>
      <c r="B188" t="s">
        <v>4879</v>
      </c>
      <c r="C188" t="s">
        <v>4962</v>
      </c>
      <c r="D188" t="s">
        <v>4680</v>
      </c>
    </row>
    <row r="189" spans="1:4" x14ac:dyDescent="0.2">
      <c r="A189">
        <v>97</v>
      </c>
      <c r="B189" t="s">
        <v>4879</v>
      </c>
      <c r="C189" t="s">
        <v>4962</v>
      </c>
      <c r="D189" t="s">
        <v>4624</v>
      </c>
    </row>
    <row r="190" spans="1:4" x14ac:dyDescent="0.2">
      <c r="A190">
        <v>170</v>
      </c>
      <c r="B190" t="s">
        <v>4879</v>
      </c>
      <c r="C190" t="s">
        <v>4962</v>
      </c>
      <c r="D190" t="s">
        <v>4668</v>
      </c>
    </row>
    <row r="191" spans="1:4" x14ac:dyDescent="0.2">
      <c r="A191">
        <v>171</v>
      </c>
      <c r="B191" t="s">
        <v>4879</v>
      </c>
      <c r="C191" t="s">
        <v>4962</v>
      </c>
      <c r="D191" t="s">
        <v>4668</v>
      </c>
    </row>
    <row r="192" spans="1:4" x14ac:dyDescent="0.2">
      <c r="A192">
        <v>172</v>
      </c>
      <c r="B192" t="s">
        <v>4879</v>
      </c>
      <c r="C192" t="s">
        <v>4962</v>
      </c>
      <c r="D192" t="s">
        <v>4668</v>
      </c>
    </row>
    <row r="193" spans="1:4" x14ac:dyDescent="0.2">
      <c r="A193">
        <v>104</v>
      </c>
      <c r="B193" t="s">
        <v>4879</v>
      </c>
      <c r="C193" t="s">
        <v>4962</v>
      </c>
      <c r="D193" t="s">
        <v>4628</v>
      </c>
    </row>
    <row r="194" spans="1:4" x14ac:dyDescent="0.2">
      <c r="A194">
        <v>105</v>
      </c>
      <c r="B194" t="s">
        <v>4879</v>
      </c>
      <c r="C194" t="s">
        <v>4962</v>
      </c>
      <c r="D194" t="s">
        <v>4628</v>
      </c>
    </row>
    <row r="195" spans="1:4" x14ac:dyDescent="0.2">
      <c r="A195">
        <v>106</v>
      </c>
      <c r="B195" t="s">
        <v>4879</v>
      </c>
      <c r="C195" t="s">
        <v>4962</v>
      </c>
      <c r="D195" t="s">
        <v>4628</v>
      </c>
    </row>
    <row r="196" spans="1:4" x14ac:dyDescent="0.2">
      <c r="A196">
        <v>249</v>
      </c>
      <c r="B196" t="s">
        <v>4879</v>
      </c>
      <c r="C196" t="s">
        <v>4962</v>
      </c>
      <c r="D196" t="s">
        <v>4716</v>
      </c>
    </row>
    <row r="197" spans="1:4" x14ac:dyDescent="0.2">
      <c r="A197">
        <v>113</v>
      </c>
      <c r="B197" t="s">
        <v>4879</v>
      </c>
      <c r="C197" t="s">
        <v>4962</v>
      </c>
      <c r="D197" t="s">
        <v>4634</v>
      </c>
    </row>
    <row r="198" spans="1:4" x14ac:dyDescent="0.2">
      <c r="A198">
        <v>73</v>
      </c>
      <c r="B198" t="s">
        <v>4879</v>
      </c>
      <c r="C198" t="s">
        <v>4962</v>
      </c>
      <c r="D198" t="s">
        <v>4616</v>
      </c>
    </row>
    <row r="199" spans="1:4" x14ac:dyDescent="0.2">
      <c r="A199">
        <v>74</v>
      </c>
      <c r="B199" t="s">
        <v>4879</v>
      </c>
      <c r="C199" t="s">
        <v>4962</v>
      </c>
      <c r="D199" t="s">
        <v>4616</v>
      </c>
    </row>
    <row r="200" spans="1:4" x14ac:dyDescent="0.2">
      <c r="A200">
        <v>630</v>
      </c>
      <c r="B200" t="s">
        <v>4879</v>
      </c>
      <c r="C200" t="s">
        <v>4962</v>
      </c>
      <c r="D200" t="s">
        <v>4829</v>
      </c>
    </row>
    <row r="201" spans="1:4" x14ac:dyDescent="0.2">
      <c r="A201">
        <v>203</v>
      </c>
      <c r="B201" t="s">
        <v>4879</v>
      </c>
      <c r="C201" t="s">
        <v>4962</v>
      </c>
      <c r="D201" t="s">
        <v>4687</v>
      </c>
    </row>
    <row r="202" spans="1:4" x14ac:dyDescent="0.2">
      <c r="A202">
        <v>232</v>
      </c>
      <c r="B202" t="s">
        <v>4879</v>
      </c>
      <c r="C202" t="s">
        <v>4962</v>
      </c>
      <c r="D202" t="s">
        <v>4701</v>
      </c>
    </row>
    <row r="203" spans="1:4" x14ac:dyDescent="0.2">
      <c r="A203">
        <v>698</v>
      </c>
      <c r="B203" t="s">
        <v>4879</v>
      </c>
      <c r="C203" t="s">
        <v>4962</v>
      </c>
      <c r="D203" t="s">
        <v>4849</v>
      </c>
    </row>
    <row r="204" spans="1:4" x14ac:dyDescent="0.2">
      <c r="A204">
        <v>753</v>
      </c>
      <c r="B204" t="s">
        <v>4879</v>
      </c>
      <c r="C204" t="s">
        <v>4962</v>
      </c>
      <c r="D204" t="s">
        <v>4849</v>
      </c>
    </row>
    <row r="205" spans="1:4" x14ac:dyDescent="0.2">
      <c r="A205">
        <v>239</v>
      </c>
      <c r="B205" t="s">
        <v>4879</v>
      </c>
      <c r="C205" t="s">
        <v>4962</v>
      </c>
      <c r="D205" t="s">
        <v>4706</v>
      </c>
    </row>
    <row r="206" spans="1:4" x14ac:dyDescent="0.2">
      <c r="A206">
        <v>231</v>
      </c>
      <c r="B206" t="s">
        <v>4879</v>
      </c>
      <c r="C206" t="s">
        <v>4962</v>
      </c>
      <c r="D206" t="s">
        <v>4700</v>
      </c>
    </row>
    <row r="207" spans="1:4" x14ac:dyDescent="0.2">
      <c r="A207">
        <v>118</v>
      </c>
      <c r="B207" t="s">
        <v>4879</v>
      </c>
      <c r="C207" t="s">
        <v>4962</v>
      </c>
      <c r="D207" t="s">
        <v>4638</v>
      </c>
    </row>
    <row r="208" spans="1:4" x14ac:dyDescent="0.2">
      <c r="A208">
        <v>119</v>
      </c>
      <c r="B208" t="s">
        <v>4879</v>
      </c>
      <c r="C208" t="s">
        <v>4962</v>
      </c>
      <c r="D208" t="s">
        <v>4638</v>
      </c>
    </row>
    <row r="209" spans="1:4" x14ac:dyDescent="0.2">
      <c r="A209">
        <v>153</v>
      </c>
      <c r="B209" t="s">
        <v>4879</v>
      </c>
      <c r="C209" t="s">
        <v>4962</v>
      </c>
      <c r="D209" t="s">
        <v>4658</v>
      </c>
    </row>
    <row r="210" spans="1:4" x14ac:dyDescent="0.2">
      <c r="A210">
        <v>121</v>
      </c>
      <c r="B210" t="s">
        <v>4879</v>
      </c>
      <c r="C210" t="s">
        <v>4962</v>
      </c>
      <c r="D210" t="s">
        <v>4639</v>
      </c>
    </row>
    <row r="211" spans="1:4" x14ac:dyDescent="0.2">
      <c r="A211">
        <v>108</v>
      </c>
      <c r="B211" t="s">
        <v>4879</v>
      </c>
      <c r="C211" t="s">
        <v>4962</v>
      </c>
      <c r="D211" t="s">
        <v>4630</v>
      </c>
    </row>
    <row r="212" spans="1:4" x14ac:dyDescent="0.2">
      <c r="A212">
        <v>469</v>
      </c>
      <c r="B212" t="s">
        <v>4879</v>
      </c>
      <c r="C212" t="s">
        <v>4962</v>
      </c>
      <c r="D212" t="s">
        <v>4777</v>
      </c>
    </row>
    <row r="213" spans="1:4" x14ac:dyDescent="0.2">
      <c r="A213">
        <v>150</v>
      </c>
      <c r="B213" t="s">
        <v>4879</v>
      </c>
      <c r="C213" t="s">
        <v>4962</v>
      </c>
      <c r="D213" t="s">
        <v>4655</v>
      </c>
    </row>
    <row r="214" spans="1:4" x14ac:dyDescent="0.2">
      <c r="A214">
        <v>420</v>
      </c>
      <c r="B214" t="s">
        <v>4879</v>
      </c>
      <c r="C214" t="s">
        <v>4962</v>
      </c>
      <c r="D214" t="s">
        <v>4761</v>
      </c>
    </row>
    <row r="215" spans="1:4" x14ac:dyDescent="0.2">
      <c r="A215">
        <v>180</v>
      </c>
      <c r="B215" t="s">
        <v>4879</v>
      </c>
      <c r="C215" t="s">
        <v>4962</v>
      </c>
      <c r="D215" t="s">
        <v>4671</v>
      </c>
    </row>
    <row r="216" spans="1:4" x14ac:dyDescent="0.2">
      <c r="A216">
        <v>363</v>
      </c>
      <c r="B216" t="s">
        <v>4879</v>
      </c>
      <c r="C216" t="s">
        <v>4962</v>
      </c>
      <c r="D216" t="s">
        <v>4741</v>
      </c>
    </row>
    <row r="217" spans="1:4" x14ac:dyDescent="0.2">
      <c r="A217">
        <v>209</v>
      </c>
      <c r="B217" t="s">
        <v>4879</v>
      </c>
      <c r="C217" t="s">
        <v>4962</v>
      </c>
      <c r="D217" t="s">
        <v>4691</v>
      </c>
    </row>
    <row r="218" spans="1:4" x14ac:dyDescent="0.2">
      <c r="A218">
        <v>163</v>
      </c>
      <c r="B218" t="s">
        <v>4879</v>
      </c>
      <c r="C218" t="s">
        <v>4962</v>
      </c>
      <c r="D218" t="s">
        <v>4665</v>
      </c>
    </row>
    <row r="219" spans="1:4" x14ac:dyDescent="0.2">
      <c r="A219">
        <v>125</v>
      </c>
      <c r="B219" t="s">
        <v>4879</v>
      </c>
      <c r="C219" t="s">
        <v>4962</v>
      </c>
      <c r="D219" t="s">
        <v>4643</v>
      </c>
    </row>
    <row r="220" spans="1:4" x14ac:dyDescent="0.2">
      <c r="A220">
        <v>240</v>
      </c>
      <c r="B220" t="s">
        <v>4879</v>
      </c>
      <c r="C220" t="s">
        <v>4962</v>
      </c>
      <c r="D220" t="s">
        <v>4707</v>
      </c>
    </row>
    <row r="221" spans="1:4" x14ac:dyDescent="0.2">
      <c r="A221">
        <v>154</v>
      </c>
      <c r="B221" t="s">
        <v>4879</v>
      </c>
      <c r="C221" t="s">
        <v>4962</v>
      </c>
      <c r="D221" t="s">
        <v>4659</v>
      </c>
    </row>
    <row r="222" spans="1:4" x14ac:dyDescent="0.2">
      <c r="A222">
        <v>107</v>
      </c>
      <c r="B222" t="s">
        <v>4879</v>
      </c>
      <c r="C222" t="s">
        <v>4962</v>
      </c>
      <c r="D222" t="s">
        <v>4629</v>
      </c>
    </row>
    <row r="223" spans="1:4" x14ac:dyDescent="0.2">
      <c r="A223">
        <v>566</v>
      </c>
      <c r="B223" t="s">
        <v>4879</v>
      </c>
      <c r="C223" t="s">
        <v>4962</v>
      </c>
      <c r="D223" t="s">
        <v>4804</v>
      </c>
    </row>
    <row r="224" spans="1:4" x14ac:dyDescent="0.2">
      <c r="A224">
        <v>589</v>
      </c>
      <c r="B224" t="s">
        <v>4879</v>
      </c>
      <c r="C224" t="s">
        <v>4962</v>
      </c>
      <c r="D224" t="s">
        <v>4814</v>
      </c>
    </row>
    <row r="225" spans="1:4" x14ac:dyDescent="0.2">
      <c r="A225">
        <v>21</v>
      </c>
      <c r="B225" t="s">
        <v>4879</v>
      </c>
      <c r="C225" t="s">
        <v>4962</v>
      </c>
      <c r="D225" t="s">
        <v>4604</v>
      </c>
    </row>
    <row r="226" spans="1:4" x14ac:dyDescent="0.2">
      <c r="A226">
        <v>507</v>
      </c>
      <c r="B226" t="s">
        <v>4879</v>
      </c>
      <c r="C226" t="s">
        <v>4962</v>
      </c>
      <c r="D226" t="s">
        <v>4787</v>
      </c>
    </row>
    <row r="227" spans="1:4" x14ac:dyDescent="0.2">
      <c r="A227">
        <v>374</v>
      </c>
      <c r="B227" t="s">
        <v>4879</v>
      </c>
      <c r="C227" t="s">
        <v>4962</v>
      </c>
      <c r="D227" t="s">
        <v>4749</v>
      </c>
    </row>
    <row r="228" spans="1:4" x14ac:dyDescent="0.2">
      <c r="A228">
        <v>114</v>
      </c>
      <c r="B228" t="s">
        <v>4879</v>
      </c>
      <c r="C228" t="s">
        <v>4962</v>
      </c>
      <c r="D228" t="s">
        <v>4635</v>
      </c>
    </row>
    <row r="229" spans="1:4" x14ac:dyDescent="0.2">
      <c r="A229">
        <v>115</v>
      </c>
      <c r="B229" t="s">
        <v>4879</v>
      </c>
      <c r="C229" t="s">
        <v>4962</v>
      </c>
      <c r="D229" t="s">
        <v>4635</v>
      </c>
    </row>
    <row r="230" spans="1:4" x14ac:dyDescent="0.2">
      <c r="A230">
        <v>116</v>
      </c>
      <c r="B230" t="s">
        <v>4879</v>
      </c>
      <c r="C230" t="s">
        <v>4962</v>
      </c>
      <c r="D230" t="s">
        <v>4635</v>
      </c>
    </row>
    <row r="231" spans="1:4" x14ac:dyDescent="0.2">
      <c r="A231">
        <v>745</v>
      </c>
      <c r="B231" t="s">
        <v>4879</v>
      </c>
      <c r="C231" t="s">
        <v>4962</v>
      </c>
      <c r="D231" t="s">
        <v>4862</v>
      </c>
    </row>
    <row r="232" spans="1:4" x14ac:dyDescent="0.2">
      <c r="A232">
        <v>598</v>
      </c>
      <c r="B232" t="s">
        <v>4879</v>
      </c>
      <c r="C232" t="s">
        <v>4962</v>
      </c>
      <c r="D232" t="s">
        <v>4820</v>
      </c>
    </row>
    <row r="233" spans="1:4" x14ac:dyDescent="0.2">
      <c r="A233">
        <v>204</v>
      </c>
      <c r="B233" t="s">
        <v>4879</v>
      </c>
      <c r="C233" t="s">
        <v>4962</v>
      </c>
      <c r="D233" t="s">
        <v>4688</v>
      </c>
    </row>
    <row r="234" spans="1:4" x14ac:dyDescent="0.2">
      <c r="A234">
        <v>205</v>
      </c>
      <c r="B234" t="s">
        <v>4879</v>
      </c>
      <c r="C234" t="s">
        <v>4962</v>
      </c>
      <c r="D234" t="s">
        <v>4688</v>
      </c>
    </row>
    <row r="235" spans="1:4" x14ac:dyDescent="0.2">
      <c r="A235">
        <v>385</v>
      </c>
      <c r="B235" t="s">
        <v>4879</v>
      </c>
      <c r="C235" t="s">
        <v>4962</v>
      </c>
      <c r="D235" t="s">
        <v>4753</v>
      </c>
    </row>
    <row r="236" spans="1:4" x14ac:dyDescent="0.2">
      <c r="A236">
        <v>560</v>
      </c>
      <c r="B236" t="s">
        <v>4879</v>
      </c>
      <c r="C236" t="s">
        <v>4962</v>
      </c>
      <c r="D236" t="s">
        <v>4802</v>
      </c>
    </row>
    <row r="237" spans="1:4" x14ac:dyDescent="0.2">
      <c r="A237">
        <v>453</v>
      </c>
      <c r="B237" t="s">
        <v>4879</v>
      </c>
      <c r="C237" t="s">
        <v>4962</v>
      </c>
      <c r="D237" t="s">
        <v>4771</v>
      </c>
    </row>
    <row r="238" spans="1:4" x14ac:dyDescent="0.2">
      <c r="A238">
        <v>201</v>
      </c>
      <c r="B238" t="s">
        <v>4879</v>
      </c>
      <c r="C238" t="s">
        <v>4962</v>
      </c>
      <c r="D238" t="s">
        <v>4685</v>
      </c>
    </row>
    <row r="239" spans="1:4" x14ac:dyDescent="0.2">
      <c r="A239">
        <v>738</v>
      </c>
      <c r="B239" t="s">
        <v>4879</v>
      </c>
      <c r="C239" t="s">
        <v>4962</v>
      </c>
      <c r="D239" t="s">
        <v>4860</v>
      </c>
    </row>
    <row r="240" spans="1:4" x14ac:dyDescent="0.2">
      <c r="A240">
        <v>541</v>
      </c>
      <c r="B240" t="s">
        <v>4879</v>
      </c>
      <c r="C240" t="s">
        <v>4962</v>
      </c>
      <c r="D240" t="s">
        <v>4798</v>
      </c>
    </row>
    <row r="241" spans="1:4" x14ac:dyDescent="0.2">
      <c r="A241">
        <v>162</v>
      </c>
      <c r="B241" t="s">
        <v>4879</v>
      </c>
      <c r="C241" t="s">
        <v>4962</v>
      </c>
      <c r="D241" t="s">
        <v>4664</v>
      </c>
    </row>
    <row r="242" spans="1:4" x14ac:dyDescent="0.2">
      <c r="A242">
        <v>213</v>
      </c>
      <c r="B242" t="s">
        <v>4879</v>
      </c>
      <c r="C242" t="s">
        <v>4962</v>
      </c>
      <c r="D242" t="s">
        <v>4693</v>
      </c>
    </row>
    <row r="243" spans="1:4" x14ac:dyDescent="0.2">
      <c r="A243">
        <v>233</v>
      </c>
      <c r="B243" t="s">
        <v>4879</v>
      </c>
      <c r="C243" t="s">
        <v>4962</v>
      </c>
      <c r="D243" t="s">
        <v>4702</v>
      </c>
    </row>
    <row r="244" spans="1:4" x14ac:dyDescent="0.2">
      <c r="A244">
        <v>109</v>
      </c>
      <c r="B244" t="s">
        <v>4879</v>
      </c>
      <c r="C244" t="s">
        <v>4962</v>
      </c>
      <c r="D244" t="s">
        <v>4631</v>
      </c>
    </row>
    <row r="245" spans="1:4" x14ac:dyDescent="0.2">
      <c r="A245">
        <v>196</v>
      </c>
      <c r="B245" t="s">
        <v>4879</v>
      </c>
      <c r="C245" t="s">
        <v>4962</v>
      </c>
      <c r="D245" t="s">
        <v>4682</v>
      </c>
    </row>
    <row r="246" spans="1:4" x14ac:dyDescent="0.2">
      <c r="A246">
        <v>587</v>
      </c>
      <c r="B246" t="s">
        <v>4879</v>
      </c>
      <c r="C246" t="s">
        <v>4962</v>
      </c>
      <c r="D246" t="s">
        <v>4813</v>
      </c>
    </row>
    <row r="247" spans="1:4" x14ac:dyDescent="0.2">
      <c r="A247">
        <v>181</v>
      </c>
      <c r="B247" t="s">
        <v>4879</v>
      </c>
      <c r="C247" t="s">
        <v>4962</v>
      </c>
      <c r="D247" t="s">
        <v>4672</v>
      </c>
    </row>
    <row r="248" spans="1:4" x14ac:dyDescent="0.2">
      <c r="A248">
        <v>243</v>
      </c>
      <c r="B248" t="s">
        <v>4879</v>
      </c>
      <c r="C248" t="s">
        <v>4962</v>
      </c>
      <c r="D248" t="s">
        <v>4711</v>
      </c>
    </row>
    <row r="249" spans="1:4" x14ac:dyDescent="0.2">
      <c r="A249">
        <v>595</v>
      </c>
      <c r="B249" t="s">
        <v>4879</v>
      </c>
      <c r="C249" t="s">
        <v>4962</v>
      </c>
      <c r="D249" t="s">
        <v>4817</v>
      </c>
    </row>
    <row r="250" spans="1:4" x14ac:dyDescent="0.2">
      <c r="A250">
        <v>780</v>
      </c>
      <c r="B250" t="s">
        <v>4879</v>
      </c>
      <c r="C250" t="s">
        <v>4962</v>
      </c>
      <c r="D250" t="s">
        <v>4817</v>
      </c>
    </row>
    <row r="251" spans="1:4" x14ac:dyDescent="0.2">
      <c r="A251">
        <v>177</v>
      </c>
      <c r="B251" t="s">
        <v>4879</v>
      </c>
      <c r="C251" t="s">
        <v>4962</v>
      </c>
      <c r="D251" t="s">
        <v>4669</v>
      </c>
    </row>
    <row r="252" spans="1:4" x14ac:dyDescent="0.2">
      <c r="A252">
        <v>396</v>
      </c>
      <c r="B252" t="s">
        <v>4879</v>
      </c>
      <c r="C252" t="s">
        <v>4962</v>
      </c>
      <c r="D252" t="s">
        <v>4756</v>
      </c>
    </row>
    <row r="253" spans="1:4" x14ac:dyDescent="0.2">
      <c r="A253">
        <v>214</v>
      </c>
      <c r="B253" t="s">
        <v>4879</v>
      </c>
      <c r="C253" t="s">
        <v>4962</v>
      </c>
      <c r="D253" t="s">
        <v>4694</v>
      </c>
    </row>
    <row r="254" spans="1:4" x14ac:dyDescent="0.2">
      <c r="A254">
        <v>215</v>
      </c>
      <c r="B254" t="s">
        <v>4879</v>
      </c>
      <c r="C254" t="s">
        <v>4962</v>
      </c>
      <c r="D254" t="s">
        <v>4694</v>
      </c>
    </row>
    <row r="255" spans="1:4" x14ac:dyDescent="0.2">
      <c r="A255">
        <v>186</v>
      </c>
      <c r="B255" t="s">
        <v>4879</v>
      </c>
      <c r="C255" t="s">
        <v>4962</v>
      </c>
      <c r="D255" t="s">
        <v>4675</v>
      </c>
    </row>
    <row r="256" spans="1:4" x14ac:dyDescent="0.2">
      <c r="A256">
        <v>182</v>
      </c>
      <c r="B256" t="s">
        <v>4879</v>
      </c>
      <c r="C256" t="s">
        <v>4962</v>
      </c>
      <c r="D256" t="s">
        <v>4673</v>
      </c>
    </row>
    <row r="257" spans="1:4" x14ac:dyDescent="0.2">
      <c r="A257">
        <v>99</v>
      </c>
      <c r="B257" t="s">
        <v>4879</v>
      </c>
      <c r="C257" t="s">
        <v>4962</v>
      </c>
      <c r="D257" t="s">
        <v>4626</v>
      </c>
    </row>
    <row r="258" spans="1:4" x14ac:dyDescent="0.2">
      <c r="A258">
        <v>98</v>
      </c>
      <c r="B258" t="s">
        <v>4879</v>
      </c>
      <c r="C258" t="s">
        <v>4962</v>
      </c>
      <c r="D258" t="s">
        <v>4625</v>
      </c>
    </row>
    <row r="259" spans="1:4" x14ac:dyDescent="0.2">
      <c r="A259">
        <v>144</v>
      </c>
      <c r="B259" t="s">
        <v>4879</v>
      </c>
      <c r="C259" t="s">
        <v>4962</v>
      </c>
      <c r="D259" t="s">
        <v>4652</v>
      </c>
    </row>
    <row r="260" spans="1:4" x14ac:dyDescent="0.2">
      <c r="A260">
        <v>145</v>
      </c>
      <c r="B260" t="s">
        <v>4879</v>
      </c>
      <c r="C260" t="s">
        <v>4962</v>
      </c>
      <c r="D260" t="s">
        <v>4652</v>
      </c>
    </row>
    <row r="261" spans="1:4" x14ac:dyDescent="0.2">
      <c r="A261">
        <v>111</v>
      </c>
      <c r="B261" t="s">
        <v>4879</v>
      </c>
      <c r="C261" t="s">
        <v>4962</v>
      </c>
      <c r="D261" t="s">
        <v>4633</v>
      </c>
    </row>
    <row r="262" spans="1:4" x14ac:dyDescent="0.2">
      <c r="A262">
        <v>285</v>
      </c>
      <c r="B262" t="s">
        <v>4879</v>
      </c>
      <c r="C262" t="s">
        <v>4962</v>
      </c>
      <c r="D262" t="s">
        <v>4718</v>
      </c>
    </row>
    <row r="263" spans="1:4" x14ac:dyDescent="0.2">
      <c r="A263">
        <v>729</v>
      </c>
      <c r="B263" t="s">
        <v>4879</v>
      </c>
      <c r="C263" t="s">
        <v>4962</v>
      </c>
      <c r="D263" t="s">
        <v>4718</v>
      </c>
    </row>
    <row r="264" spans="1:4" x14ac:dyDescent="0.2">
      <c r="A264">
        <v>289</v>
      </c>
      <c r="B264" t="s">
        <v>4879</v>
      </c>
      <c r="C264" t="s">
        <v>4962</v>
      </c>
      <c r="D264" t="s">
        <v>4720</v>
      </c>
    </row>
    <row r="265" spans="1:4" x14ac:dyDescent="0.2">
      <c r="A265">
        <v>521</v>
      </c>
      <c r="B265" t="s">
        <v>4879</v>
      </c>
      <c r="C265" t="s">
        <v>4962</v>
      </c>
      <c r="D265" t="s">
        <v>4792</v>
      </c>
    </row>
    <row r="266" spans="1:4" x14ac:dyDescent="0.2">
      <c r="A266">
        <v>140</v>
      </c>
      <c r="B266" t="s">
        <v>4879</v>
      </c>
      <c r="C266" t="s">
        <v>4962</v>
      </c>
      <c r="D266" t="s">
        <v>4649</v>
      </c>
    </row>
    <row r="267" spans="1:4" x14ac:dyDescent="0.2">
      <c r="A267">
        <v>297</v>
      </c>
      <c r="B267" t="s">
        <v>4879</v>
      </c>
      <c r="C267" t="s">
        <v>4962</v>
      </c>
      <c r="D267" t="s">
        <v>4722</v>
      </c>
    </row>
    <row r="268" spans="1:4" x14ac:dyDescent="0.2">
      <c r="A268">
        <v>146</v>
      </c>
      <c r="B268" t="s">
        <v>4879</v>
      </c>
      <c r="C268" t="s">
        <v>4962</v>
      </c>
      <c r="D268" t="s">
        <v>4653</v>
      </c>
    </row>
    <row r="269" spans="1:4" x14ac:dyDescent="0.2">
      <c r="A269">
        <v>129</v>
      </c>
      <c r="B269" t="s">
        <v>4879</v>
      </c>
      <c r="C269" t="s">
        <v>4962</v>
      </c>
      <c r="D269" t="s">
        <v>4645</v>
      </c>
    </row>
    <row r="270" spans="1:4" x14ac:dyDescent="0.2">
      <c r="A270">
        <v>151</v>
      </c>
      <c r="B270" t="s">
        <v>4879</v>
      </c>
      <c r="C270" t="s">
        <v>4962</v>
      </c>
      <c r="D270" t="s">
        <v>4656</v>
      </c>
    </row>
    <row r="271" spans="1:4" x14ac:dyDescent="0.2">
      <c r="A271">
        <v>651</v>
      </c>
      <c r="B271" t="s">
        <v>4879</v>
      </c>
      <c r="C271" t="s">
        <v>4962</v>
      </c>
      <c r="D271" t="s">
        <v>4836</v>
      </c>
    </row>
    <row r="272" spans="1:4" x14ac:dyDescent="0.2">
      <c r="A272">
        <v>217</v>
      </c>
      <c r="B272" t="s">
        <v>4879</v>
      </c>
      <c r="C272" t="s">
        <v>4962</v>
      </c>
      <c r="D272" t="s">
        <v>4695</v>
      </c>
    </row>
    <row r="273" spans="1:4" x14ac:dyDescent="0.2">
      <c r="A273">
        <v>192</v>
      </c>
      <c r="B273" t="s">
        <v>4879</v>
      </c>
      <c r="C273" t="s">
        <v>4962</v>
      </c>
      <c r="D273" t="s">
        <v>4679</v>
      </c>
    </row>
    <row r="274" spans="1:4" x14ac:dyDescent="0.2">
      <c r="A274">
        <v>167</v>
      </c>
      <c r="B274" t="s">
        <v>4879</v>
      </c>
      <c r="C274" t="s">
        <v>4962</v>
      </c>
      <c r="D274" t="s">
        <v>4666</v>
      </c>
    </row>
    <row r="275" spans="1:4" x14ac:dyDescent="0.2">
      <c r="A275">
        <v>168</v>
      </c>
      <c r="B275" t="s">
        <v>4879</v>
      </c>
      <c r="C275" t="s">
        <v>4962</v>
      </c>
      <c r="D275" t="s">
        <v>4666</v>
      </c>
    </row>
    <row r="276" spans="1:4" x14ac:dyDescent="0.2">
      <c r="A276">
        <v>234</v>
      </c>
      <c r="B276" t="s">
        <v>4879</v>
      </c>
      <c r="C276" t="s">
        <v>4962</v>
      </c>
      <c r="D276" t="s">
        <v>4666</v>
      </c>
    </row>
    <row r="277" spans="1:4" x14ac:dyDescent="0.2">
      <c r="A277">
        <v>139</v>
      </c>
      <c r="B277" t="s">
        <v>4879</v>
      </c>
      <c r="C277" t="s">
        <v>4962</v>
      </c>
      <c r="D277" t="s">
        <v>4648</v>
      </c>
    </row>
    <row r="278" spans="1:4" x14ac:dyDescent="0.2">
      <c r="A278">
        <v>96</v>
      </c>
      <c r="B278" t="s">
        <v>4879</v>
      </c>
      <c r="C278" t="s">
        <v>4962</v>
      </c>
      <c r="D278" t="s">
        <v>4623</v>
      </c>
    </row>
    <row r="279" spans="1:4" x14ac:dyDescent="0.2">
      <c r="A279">
        <v>141</v>
      </c>
      <c r="B279" t="s">
        <v>4879</v>
      </c>
      <c r="C279" t="s">
        <v>4962</v>
      </c>
      <c r="D279" t="s">
        <v>4650</v>
      </c>
    </row>
    <row r="280" spans="1:4" x14ac:dyDescent="0.2">
      <c r="A280">
        <v>306</v>
      </c>
      <c r="B280" t="s">
        <v>4879</v>
      </c>
      <c r="C280" t="s">
        <v>4962</v>
      </c>
      <c r="D280" t="s">
        <v>4724</v>
      </c>
    </row>
    <row r="281" spans="1:4" x14ac:dyDescent="0.2">
      <c r="A281">
        <v>110</v>
      </c>
      <c r="B281" t="s">
        <v>4879</v>
      </c>
      <c r="C281" t="s">
        <v>4962</v>
      </c>
      <c r="D281" t="s">
        <v>4632</v>
      </c>
    </row>
    <row r="282" spans="1:4" x14ac:dyDescent="0.2">
      <c r="A282">
        <v>183</v>
      </c>
      <c r="B282" t="s">
        <v>4879</v>
      </c>
      <c r="C282" t="s">
        <v>4962</v>
      </c>
      <c r="D282" t="s">
        <v>4674</v>
      </c>
    </row>
    <row r="283" spans="1:4" x14ac:dyDescent="0.2">
      <c r="A283">
        <v>238</v>
      </c>
      <c r="B283" t="s">
        <v>4879</v>
      </c>
      <c r="C283" t="s">
        <v>4962</v>
      </c>
      <c r="D283" t="s">
        <v>4705</v>
      </c>
    </row>
    <row r="284" spans="1:4" x14ac:dyDescent="0.2">
      <c r="A284">
        <v>720</v>
      </c>
      <c r="B284" t="s">
        <v>4879</v>
      </c>
      <c r="C284" t="s">
        <v>4962</v>
      </c>
      <c r="D284" t="s">
        <v>4854</v>
      </c>
    </row>
    <row r="285" spans="1:4" x14ac:dyDescent="0.2">
      <c r="A285">
        <v>197</v>
      </c>
      <c r="B285" t="s">
        <v>4879</v>
      </c>
      <c r="C285" t="s">
        <v>4962</v>
      </c>
      <c r="D285" t="s">
        <v>4683</v>
      </c>
    </row>
    <row r="286" spans="1:4" x14ac:dyDescent="0.2">
      <c r="A286">
        <v>198</v>
      </c>
      <c r="B286" t="s">
        <v>4879</v>
      </c>
      <c r="C286" t="s">
        <v>4962</v>
      </c>
      <c r="D286" t="s">
        <v>4683</v>
      </c>
    </row>
    <row r="287" spans="1:4" x14ac:dyDescent="0.2">
      <c r="A287">
        <v>751</v>
      </c>
      <c r="B287" t="s">
        <v>4879</v>
      </c>
      <c r="C287" t="s">
        <v>4962</v>
      </c>
      <c r="D287" t="s">
        <v>4866</v>
      </c>
    </row>
    <row r="288" spans="1:4" x14ac:dyDescent="0.2">
      <c r="A288">
        <v>531</v>
      </c>
      <c r="B288" t="s">
        <v>4879</v>
      </c>
      <c r="C288" t="s">
        <v>4962</v>
      </c>
      <c r="D288" t="s">
        <v>4795</v>
      </c>
    </row>
    <row r="289" spans="1:4" x14ac:dyDescent="0.2">
      <c r="A289">
        <v>646</v>
      </c>
      <c r="B289" t="s">
        <v>4879</v>
      </c>
      <c r="C289" t="s">
        <v>4962</v>
      </c>
      <c r="D289" t="s">
        <v>4835</v>
      </c>
    </row>
    <row r="290" spans="1:4" x14ac:dyDescent="0.2">
      <c r="A290">
        <v>195</v>
      </c>
      <c r="B290" t="s">
        <v>4879</v>
      </c>
      <c r="C290" t="s">
        <v>4962</v>
      </c>
      <c r="D290" t="s">
        <v>4681</v>
      </c>
    </row>
    <row r="291" spans="1:4" x14ac:dyDescent="0.2">
      <c r="A291">
        <v>124</v>
      </c>
      <c r="B291" t="s">
        <v>4879</v>
      </c>
      <c r="C291" t="s">
        <v>4962</v>
      </c>
      <c r="D291" t="s">
        <v>4642</v>
      </c>
    </row>
    <row r="292" spans="1:4" x14ac:dyDescent="0.2">
      <c r="A292">
        <v>783</v>
      </c>
      <c r="B292" t="s">
        <v>4879</v>
      </c>
      <c r="C292" t="s">
        <v>4963</v>
      </c>
      <c r="D292" t="s">
        <v>4874</v>
      </c>
    </row>
    <row r="293" spans="1:4" x14ac:dyDescent="0.2">
      <c r="A293">
        <v>596</v>
      </c>
      <c r="B293" t="s">
        <v>4879</v>
      </c>
      <c r="C293" t="s">
        <v>4963</v>
      </c>
      <c r="D293" t="s">
        <v>4818</v>
      </c>
    </row>
    <row r="294" spans="1:4" x14ac:dyDescent="0.2">
      <c r="A294">
        <v>567</v>
      </c>
      <c r="B294" t="s">
        <v>4879</v>
      </c>
      <c r="C294" t="s">
        <v>4963</v>
      </c>
      <c r="D294" t="s">
        <v>4805</v>
      </c>
    </row>
    <row r="295" spans="1:4" x14ac:dyDescent="0.2">
      <c r="A295">
        <v>644</v>
      </c>
      <c r="B295" t="s">
        <v>4879</v>
      </c>
      <c r="C295" t="s">
        <v>4963</v>
      </c>
      <c r="D295" t="s">
        <v>4834</v>
      </c>
    </row>
    <row r="296" spans="1:4" x14ac:dyDescent="0.2">
      <c r="A296">
        <v>323</v>
      </c>
      <c r="B296" t="s">
        <v>4879</v>
      </c>
      <c r="C296" t="s">
        <v>4963</v>
      </c>
      <c r="D296" t="s">
        <v>4733</v>
      </c>
    </row>
    <row r="297" spans="1:4" x14ac:dyDescent="0.2">
      <c r="A297">
        <v>290</v>
      </c>
      <c r="B297" t="s">
        <v>4879</v>
      </c>
      <c r="C297" t="s">
        <v>4963</v>
      </c>
      <c r="D297" t="s">
        <v>4721</v>
      </c>
    </row>
    <row r="298" spans="1:4" x14ac:dyDescent="0.2">
      <c r="A298">
        <v>315</v>
      </c>
      <c r="B298" t="s">
        <v>4879</v>
      </c>
      <c r="C298" t="s">
        <v>4963</v>
      </c>
      <c r="D298" t="s">
        <v>4729</v>
      </c>
    </row>
    <row r="299" spans="1:4" x14ac:dyDescent="0.2">
      <c r="A299">
        <v>579</v>
      </c>
      <c r="B299" t="s">
        <v>4879</v>
      </c>
      <c r="C299" t="s">
        <v>4963</v>
      </c>
      <c r="D299" t="s">
        <v>4808</v>
      </c>
    </row>
    <row r="300" spans="1:4" x14ac:dyDescent="0.2">
      <c r="A300">
        <v>687</v>
      </c>
      <c r="B300" t="s">
        <v>4879</v>
      </c>
      <c r="C300" t="s">
        <v>4964</v>
      </c>
      <c r="D300" t="s">
        <v>4845</v>
      </c>
    </row>
    <row r="301" spans="1:4" x14ac:dyDescent="0.2">
      <c r="A301">
        <v>746</v>
      </c>
      <c r="B301" t="s">
        <v>4879</v>
      </c>
      <c r="C301" t="s">
        <v>4964</v>
      </c>
      <c r="D301" t="s">
        <v>4863</v>
      </c>
    </row>
    <row r="302" spans="1:4" x14ac:dyDescent="0.2">
      <c r="A302">
        <v>241</v>
      </c>
      <c r="B302" t="s">
        <v>4879</v>
      </c>
      <c r="C302" t="s">
        <v>4964</v>
      </c>
      <c r="D302" t="s">
        <v>4708</v>
      </c>
    </row>
    <row r="303" spans="1:4" x14ac:dyDescent="0.2">
      <c r="A303">
        <v>695</v>
      </c>
      <c r="B303" t="s">
        <v>4879</v>
      </c>
      <c r="C303" t="s">
        <v>4964</v>
      </c>
      <c r="D303" t="s">
        <v>4847</v>
      </c>
    </row>
    <row r="304" spans="1:4" x14ac:dyDescent="0.2">
      <c r="A304">
        <v>632</v>
      </c>
      <c r="B304" t="s">
        <v>4879</v>
      </c>
      <c r="C304" t="s">
        <v>4964</v>
      </c>
      <c r="D304" t="s">
        <v>4830</v>
      </c>
    </row>
    <row r="305" spans="1:4" x14ac:dyDescent="0.2">
      <c r="A305">
        <v>684</v>
      </c>
      <c r="B305" t="s">
        <v>4879</v>
      </c>
      <c r="C305" t="s">
        <v>4964</v>
      </c>
      <c r="D305" t="s">
        <v>4844</v>
      </c>
    </row>
    <row r="306" spans="1:4" x14ac:dyDescent="0.2">
      <c r="A306">
        <v>509</v>
      </c>
      <c r="B306" t="s">
        <v>4879</v>
      </c>
      <c r="C306" t="s">
        <v>4964</v>
      </c>
      <c r="D306" t="s">
        <v>4789</v>
      </c>
    </row>
    <row r="307" spans="1:4" x14ac:dyDescent="0.2">
      <c r="A307">
        <v>505</v>
      </c>
      <c r="B307" t="s">
        <v>4879</v>
      </c>
      <c r="C307" t="s">
        <v>4964</v>
      </c>
      <c r="D307" t="s">
        <v>4786</v>
      </c>
    </row>
    <row r="308" spans="1:4" x14ac:dyDescent="0.2">
      <c r="A308">
        <v>767</v>
      </c>
      <c r="B308" t="s">
        <v>4879</v>
      </c>
      <c r="C308" t="s">
        <v>4964</v>
      </c>
      <c r="D308" t="s">
        <v>4872</v>
      </c>
    </row>
    <row r="309" spans="1:4" x14ac:dyDescent="0.2">
      <c r="A309">
        <v>409</v>
      </c>
      <c r="B309" t="s">
        <v>4879</v>
      </c>
      <c r="C309" t="s">
        <v>4964</v>
      </c>
      <c r="D309" t="s">
        <v>4758</v>
      </c>
    </row>
    <row r="310" spans="1:4" x14ac:dyDescent="0.2">
      <c r="A310">
        <v>368</v>
      </c>
      <c r="B310" t="s">
        <v>4879</v>
      </c>
      <c r="C310" t="s">
        <v>4964</v>
      </c>
      <c r="D310" t="s">
        <v>4745</v>
      </c>
    </row>
    <row r="311" spans="1:4" x14ac:dyDescent="0.2">
      <c r="A311">
        <v>311</v>
      </c>
      <c r="B311" t="s">
        <v>4879</v>
      </c>
      <c r="C311" t="s">
        <v>4964</v>
      </c>
      <c r="D311" t="s">
        <v>4727</v>
      </c>
    </row>
    <row r="312" spans="1:4" x14ac:dyDescent="0.2">
      <c r="A312">
        <v>476</v>
      </c>
      <c r="B312" t="s">
        <v>4879</v>
      </c>
      <c r="C312" t="s">
        <v>4964</v>
      </c>
      <c r="D312" t="s">
        <v>4780</v>
      </c>
    </row>
    <row r="313" spans="1:4" x14ac:dyDescent="0.2">
      <c r="A313">
        <v>210</v>
      </c>
      <c r="B313" t="s">
        <v>4879</v>
      </c>
      <c r="C313" t="s">
        <v>4965</v>
      </c>
      <c r="D313" t="s">
        <v>4692</v>
      </c>
    </row>
    <row r="314" spans="1:4" x14ac:dyDescent="0.2">
      <c r="A314">
        <v>155</v>
      </c>
      <c r="B314" t="s">
        <v>4879</v>
      </c>
      <c r="C314" t="s">
        <v>4965</v>
      </c>
      <c r="D314" t="s">
        <v>4660</v>
      </c>
    </row>
    <row r="315" spans="1:4" x14ac:dyDescent="0.2">
      <c r="A315">
        <v>156</v>
      </c>
      <c r="B315" t="s">
        <v>4879</v>
      </c>
      <c r="C315" t="s">
        <v>4965</v>
      </c>
      <c r="D315" t="s">
        <v>4660</v>
      </c>
    </row>
    <row r="316" spans="1:4" x14ac:dyDescent="0.2">
      <c r="A316">
        <v>472</v>
      </c>
      <c r="B316" t="s">
        <v>4879</v>
      </c>
      <c r="C316" t="s">
        <v>4965</v>
      </c>
      <c r="D316" t="s">
        <v>4778</v>
      </c>
    </row>
    <row r="317" spans="1:4" x14ac:dyDescent="0.2">
      <c r="A317">
        <v>321</v>
      </c>
      <c r="B317" t="s">
        <v>4879</v>
      </c>
      <c r="C317" t="s">
        <v>4966</v>
      </c>
      <c r="D317" t="s">
        <v>4732</v>
      </c>
    </row>
    <row r="318" spans="1:4" x14ac:dyDescent="0.2">
      <c r="A318">
        <v>702</v>
      </c>
      <c r="B318" t="s">
        <v>4879</v>
      </c>
      <c r="C318" t="s">
        <v>4966</v>
      </c>
      <c r="D318" t="s">
        <v>4851</v>
      </c>
    </row>
    <row r="319" spans="1:4" x14ac:dyDescent="0.2">
      <c r="A319">
        <v>502</v>
      </c>
      <c r="B319" t="s">
        <v>4879</v>
      </c>
      <c r="C319" t="s">
        <v>4966</v>
      </c>
      <c r="D319" t="s">
        <v>4785</v>
      </c>
    </row>
    <row r="320" spans="1:4" x14ac:dyDescent="0.2">
      <c r="A320">
        <v>663</v>
      </c>
      <c r="B320" t="s">
        <v>4879</v>
      </c>
      <c r="C320" t="s">
        <v>4966</v>
      </c>
      <c r="D320" t="s">
        <v>4838</v>
      </c>
    </row>
    <row r="321" spans="1:4" x14ac:dyDescent="0.2">
      <c r="A321">
        <v>571</v>
      </c>
      <c r="B321" t="s">
        <v>4879</v>
      </c>
      <c r="C321" t="s">
        <v>4966</v>
      </c>
      <c r="D321" t="s">
        <v>4806</v>
      </c>
    </row>
    <row r="322" spans="1:4" x14ac:dyDescent="0.2">
      <c r="A322">
        <v>307</v>
      </c>
      <c r="B322" t="s">
        <v>4879</v>
      </c>
      <c r="C322" t="s">
        <v>4966</v>
      </c>
      <c r="D322" t="s">
        <v>4725</v>
      </c>
    </row>
    <row r="323" spans="1:4" x14ac:dyDescent="0.2">
      <c r="A323">
        <v>235</v>
      </c>
      <c r="B323" t="s">
        <v>4879</v>
      </c>
      <c r="C323" t="s">
        <v>4966</v>
      </c>
      <c r="D323" t="s">
        <v>4703</v>
      </c>
    </row>
    <row r="324" spans="1:4" x14ac:dyDescent="0.2">
      <c r="A324">
        <v>654</v>
      </c>
      <c r="B324" t="s">
        <v>4879</v>
      </c>
      <c r="C324" t="s">
        <v>4966</v>
      </c>
      <c r="D324" t="s">
        <v>4837</v>
      </c>
    </row>
    <row r="325" spans="1:4" x14ac:dyDescent="0.2">
      <c r="A325">
        <v>356</v>
      </c>
      <c r="B325" t="s">
        <v>4879</v>
      </c>
      <c r="C325" t="s">
        <v>4967</v>
      </c>
      <c r="D325" t="s">
        <v>4738</v>
      </c>
    </row>
    <row r="326" spans="1:4" x14ac:dyDescent="0.2">
      <c r="A326">
        <v>543</v>
      </c>
      <c r="B326" t="s">
        <v>4879</v>
      </c>
      <c r="C326" t="s">
        <v>4967</v>
      </c>
      <c r="D326" t="s">
        <v>4799</v>
      </c>
    </row>
    <row r="327" spans="1:4" x14ac:dyDescent="0.2">
      <c r="A327">
        <v>712</v>
      </c>
      <c r="B327" t="s">
        <v>4879</v>
      </c>
      <c r="C327" t="s">
        <v>4967</v>
      </c>
      <c r="D327" t="s">
        <v>4852</v>
      </c>
    </row>
    <row r="328" spans="1:4" x14ac:dyDescent="0.2">
      <c r="A328">
        <v>593</v>
      </c>
      <c r="B328" t="s">
        <v>4879</v>
      </c>
      <c r="C328" t="s">
        <v>4967</v>
      </c>
      <c r="D328" t="s">
        <v>4816</v>
      </c>
    </row>
    <row r="329" spans="1:4" x14ac:dyDescent="0.2">
      <c r="A329">
        <v>454</v>
      </c>
      <c r="B329" t="s">
        <v>4879</v>
      </c>
      <c r="C329" t="s">
        <v>4967</v>
      </c>
      <c r="D329" t="s">
        <v>4772</v>
      </c>
    </row>
    <row r="330" spans="1:4" x14ac:dyDescent="0.2">
      <c r="A330">
        <v>312</v>
      </c>
      <c r="B330" t="s">
        <v>4879</v>
      </c>
      <c r="C330" t="s">
        <v>4967</v>
      </c>
      <c r="D330" t="s">
        <v>4728</v>
      </c>
    </row>
    <row r="331" spans="1:4" x14ac:dyDescent="0.2">
      <c r="A331">
        <v>147</v>
      </c>
      <c r="B331" t="s">
        <v>4879</v>
      </c>
      <c r="C331" t="s">
        <v>4967</v>
      </c>
      <c r="D331" t="s">
        <v>4654</v>
      </c>
    </row>
    <row r="332" spans="1:4" x14ac:dyDescent="0.2">
      <c r="A332">
        <v>643</v>
      </c>
      <c r="B332" t="s">
        <v>4879</v>
      </c>
      <c r="C332" t="s">
        <v>4967</v>
      </c>
      <c r="D332" t="s">
        <v>4833</v>
      </c>
    </row>
    <row r="333" spans="1:4" x14ac:dyDescent="0.2">
      <c r="A333">
        <v>366</v>
      </c>
      <c r="B333" t="s">
        <v>4879</v>
      </c>
      <c r="C333" t="s">
        <v>4967</v>
      </c>
      <c r="D333" t="s">
        <v>4744</v>
      </c>
    </row>
    <row r="334" spans="1:4" x14ac:dyDescent="0.2">
      <c r="A334">
        <v>429</v>
      </c>
      <c r="B334" t="s">
        <v>4879</v>
      </c>
      <c r="C334" t="s">
        <v>4967</v>
      </c>
      <c r="D334" t="s">
        <v>4764</v>
      </c>
    </row>
    <row r="335" spans="1:4" x14ac:dyDescent="0.2">
      <c r="A335">
        <v>603</v>
      </c>
      <c r="B335" t="s">
        <v>4879</v>
      </c>
      <c r="C335" t="s">
        <v>4967</v>
      </c>
      <c r="D335" t="s">
        <v>4822</v>
      </c>
    </row>
    <row r="336" spans="1:4" x14ac:dyDescent="0.2">
      <c r="A336">
        <v>369</v>
      </c>
      <c r="B336" t="s">
        <v>4879</v>
      </c>
      <c r="C336" t="s">
        <v>4967</v>
      </c>
      <c r="D336" t="s">
        <v>4746</v>
      </c>
    </row>
    <row r="337" spans="1:4" x14ac:dyDescent="0.2">
      <c r="A337">
        <v>489</v>
      </c>
      <c r="B337" t="s">
        <v>4879</v>
      </c>
      <c r="C337" t="s">
        <v>4967</v>
      </c>
      <c r="D337" t="s">
        <v>4782</v>
      </c>
    </row>
    <row r="338" spans="1:4" x14ac:dyDescent="0.2">
      <c r="A338">
        <v>758</v>
      </c>
      <c r="B338" t="s">
        <v>4879</v>
      </c>
      <c r="C338" t="s">
        <v>4967</v>
      </c>
      <c r="D338" t="s">
        <v>4869</v>
      </c>
    </row>
    <row r="339" spans="1:4" x14ac:dyDescent="0.2">
      <c r="A339">
        <v>331</v>
      </c>
      <c r="B339" t="s">
        <v>4879</v>
      </c>
      <c r="C339" t="s">
        <v>4967</v>
      </c>
      <c r="D339" t="s">
        <v>4734</v>
      </c>
    </row>
    <row r="340" spans="1:4" x14ac:dyDescent="0.2">
      <c r="A340">
        <v>202</v>
      </c>
      <c r="B340" t="s">
        <v>4879</v>
      </c>
      <c r="C340" t="s">
        <v>4967</v>
      </c>
      <c r="D340" t="s">
        <v>4686</v>
      </c>
    </row>
    <row r="341" spans="1:4" x14ac:dyDescent="0.2">
      <c r="A341">
        <v>688</v>
      </c>
      <c r="B341" t="s">
        <v>4879</v>
      </c>
      <c r="C341" t="s">
        <v>4967</v>
      </c>
      <c r="D341" t="s">
        <v>4846</v>
      </c>
    </row>
    <row r="342" spans="1:4" x14ac:dyDescent="0.2">
      <c r="A342">
        <v>206</v>
      </c>
      <c r="B342" t="s">
        <v>4879</v>
      </c>
      <c r="C342" t="s">
        <v>4967</v>
      </c>
      <c r="D342" t="s">
        <v>4689</v>
      </c>
    </row>
    <row r="343" spans="1:4" x14ac:dyDescent="0.2">
      <c r="A343">
        <v>756</v>
      </c>
      <c r="B343" t="s">
        <v>4879</v>
      </c>
      <c r="C343" t="s">
        <v>4967</v>
      </c>
      <c r="D343" t="s">
        <v>4689</v>
      </c>
    </row>
    <row r="344" spans="1:4" x14ac:dyDescent="0.2">
      <c r="A344">
        <v>430</v>
      </c>
      <c r="B344" t="s">
        <v>4879</v>
      </c>
      <c r="C344" t="s">
        <v>4967</v>
      </c>
      <c r="D344" t="s">
        <v>4765</v>
      </c>
    </row>
    <row r="345" spans="1:4" x14ac:dyDescent="0.2">
      <c r="A345">
        <v>377</v>
      </c>
      <c r="B345" t="s">
        <v>4879</v>
      </c>
      <c r="C345" t="s">
        <v>4967</v>
      </c>
      <c r="D345" t="s">
        <v>4750</v>
      </c>
    </row>
    <row r="346" spans="1:4" x14ac:dyDescent="0.2">
      <c r="A346">
        <v>682</v>
      </c>
      <c r="B346" t="s">
        <v>4879</v>
      </c>
      <c r="C346" t="s">
        <v>4968</v>
      </c>
      <c r="D346" t="s">
        <v>4843</v>
      </c>
    </row>
    <row r="347" spans="1:4" x14ac:dyDescent="0.2">
      <c r="A347">
        <v>244</v>
      </c>
      <c r="B347" t="s">
        <v>4879</v>
      </c>
      <c r="C347" t="s">
        <v>4968</v>
      </c>
      <c r="D347" t="s">
        <v>4712</v>
      </c>
    </row>
    <row r="348" spans="1:4" x14ac:dyDescent="0.2">
      <c r="A348">
        <v>739</v>
      </c>
      <c r="B348" t="s">
        <v>4879</v>
      </c>
      <c r="C348" t="s">
        <v>4968</v>
      </c>
      <c r="D348" t="s">
        <v>4712</v>
      </c>
    </row>
    <row r="349" spans="1:4" x14ac:dyDescent="0.2">
      <c r="A349">
        <v>143</v>
      </c>
      <c r="B349" t="s">
        <v>4897</v>
      </c>
      <c r="C349" t="s">
        <v>42</v>
      </c>
      <c r="D349" t="s">
        <v>4598</v>
      </c>
    </row>
    <row r="350" spans="1:4" x14ac:dyDescent="0.2">
      <c r="A350">
        <v>9</v>
      </c>
      <c r="B350" t="s">
        <v>4897</v>
      </c>
      <c r="C350" t="s">
        <v>42</v>
      </c>
      <c r="D350" t="s">
        <v>4600</v>
      </c>
    </row>
    <row r="351" spans="1:4" x14ac:dyDescent="0.2">
      <c r="A351">
        <v>82</v>
      </c>
      <c r="B351" t="s">
        <v>4897</v>
      </c>
      <c r="C351" t="s">
        <v>42</v>
      </c>
      <c r="D351" t="s">
        <v>4600</v>
      </c>
    </row>
    <row r="352" spans="1:4" x14ac:dyDescent="0.2">
      <c r="A352">
        <v>166</v>
      </c>
      <c r="B352" t="s">
        <v>4897</v>
      </c>
      <c r="C352" t="s">
        <v>42</v>
      </c>
      <c r="D352" t="s">
        <v>4600</v>
      </c>
    </row>
    <row r="353" spans="1:4" x14ac:dyDescent="0.2">
      <c r="A353">
        <v>193</v>
      </c>
      <c r="B353" t="s">
        <v>4897</v>
      </c>
      <c r="C353" t="s">
        <v>42</v>
      </c>
      <c r="D353" t="s">
        <v>4600</v>
      </c>
    </row>
    <row r="354" spans="1:4" x14ac:dyDescent="0.2">
      <c r="A354">
        <v>224</v>
      </c>
      <c r="B354" t="s">
        <v>4897</v>
      </c>
      <c r="C354" t="s">
        <v>42</v>
      </c>
      <c r="D354" t="s">
        <v>4600</v>
      </c>
    </row>
    <row r="355" spans="1:4" x14ac:dyDescent="0.2">
      <c r="A355">
        <v>248</v>
      </c>
      <c r="B355" t="s">
        <v>4897</v>
      </c>
      <c r="C355" t="s">
        <v>42</v>
      </c>
      <c r="D355" t="s">
        <v>4600</v>
      </c>
    </row>
    <row r="356" spans="1:4" x14ac:dyDescent="0.2">
      <c r="A356">
        <v>253</v>
      </c>
      <c r="B356" t="s">
        <v>4897</v>
      </c>
      <c r="C356" t="s">
        <v>42</v>
      </c>
      <c r="D356" t="s">
        <v>4600</v>
      </c>
    </row>
    <row r="357" spans="1:4" x14ac:dyDescent="0.2">
      <c r="A357">
        <v>255</v>
      </c>
      <c r="B357" t="s">
        <v>4897</v>
      </c>
      <c r="C357" t="s">
        <v>42</v>
      </c>
      <c r="D357" t="s">
        <v>4600</v>
      </c>
    </row>
    <row r="358" spans="1:4" x14ac:dyDescent="0.2">
      <c r="A358">
        <v>256</v>
      </c>
      <c r="B358" t="s">
        <v>4897</v>
      </c>
      <c r="C358" t="s">
        <v>42</v>
      </c>
      <c r="D358" t="s">
        <v>4600</v>
      </c>
    </row>
    <row r="359" spans="1:4" x14ac:dyDescent="0.2">
      <c r="A359">
        <v>257</v>
      </c>
      <c r="B359" t="s">
        <v>4897</v>
      </c>
      <c r="C359" t="s">
        <v>42</v>
      </c>
      <c r="D359" t="s">
        <v>4600</v>
      </c>
    </row>
    <row r="360" spans="1:4" x14ac:dyDescent="0.2">
      <c r="A360">
        <v>258</v>
      </c>
      <c r="B360" t="s">
        <v>4897</v>
      </c>
      <c r="C360" t="s">
        <v>42</v>
      </c>
      <c r="D360" t="s">
        <v>4600</v>
      </c>
    </row>
    <row r="361" spans="1:4" x14ac:dyDescent="0.2">
      <c r="A361">
        <v>259</v>
      </c>
      <c r="B361" t="s">
        <v>4897</v>
      </c>
      <c r="C361" t="s">
        <v>42</v>
      </c>
      <c r="D361" t="s">
        <v>4600</v>
      </c>
    </row>
    <row r="362" spans="1:4" x14ac:dyDescent="0.2">
      <c r="A362">
        <v>260</v>
      </c>
      <c r="B362" t="s">
        <v>4897</v>
      </c>
      <c r="C362" t="s">
        <v>42</v>
      </c>
      <c r="D362" t="s">
        <v>4600</v>
      </c>
    </row>
    <row r="363" spans="1:4" x14ac:dyDescent="0.2">
      <c r="A363">
        <v>262</v>
      </c>
      <c r="B363" t="s">
        <v>4897</v>
      </c>
      <c r="C363" t="s">
        <v>42</v>
      </c>
      <c r="D363" t="s">
        <v>4600</v>
      </c>
    </row>
    <row r="364" spans="1:4" x14ac:dyDescent="0.2">
      <c r="A364">
        <v>263</v>
      </c>
      <c r="B364" t="s">
        <v>4897</v>
      </c>
      <c r="C364" t="s">
        <v>42</v>
      </c>
      <c r="D364" t="s">
        <v>4600</v>
      </c>
    </row>
    <row r="365" spans="1:4" x14ac:dyDescent="0.2">
      <c r="A365">
        <v>265</v>
      </c>
      <c r="B365" t="s">
        <v>4897</v>
      </c>
      <c r="C365" t="s">
        <v>42</v>
      </c>
      <c r="D365" t="s">
        <v>4600</v>
      </c>
    </row>
    <row r="366" spans="1:4" x14ac:dyDescent="0.2">
      <c r="A366">
        <v>268</v>
      </c>
      <c r="B366" t="s">
        <v>4897</v>
      </c>
      <c r="C366" t="s">
        <v>42</v>
      </c>
      <c r="D366" t="s">
        <v>4600</v>
      </c>
    </row>
    <row r="367" spans="1:4" x14ac:dyDescent="0.2">
      <c r="A367">
        <v>272</v>
      </c>
      <c r="B367" t="s">
        <v>4897</v>
      </c>
      <c r="C367" t="s">
        <v>42</v>
      </c>
      <c r="D367" t="s">
        <v>4600</v>
      </c>
    </row>
    <row r="368" spans="1:4" x14ac:dyDescent="0.2">
      <c r="A368">
        <v>274</v>
      </c>
      <c r="B368" t="s">
        <v>4897</v>
      </c>
      <c r="C368" t="s">
        <v>42</v>
      </c>
      <c r="D368" t="s">
        <v>4600</v>
      </c>
    </row>
    <row r="369" spans="1:4" x14ac:dyDescent="0.2">
      <c r="A369">
        <v>275</v>
      </c>
      <c r="B369" t="s">
        <v>4897</v>
      </c>
      <c r="C369" t="s">
        <v>42</v>
      </c>
      <c r="D369" t="s">
        <v>4600</v>
      </c>
    </row>
    <row r="370" spans="1:4" x14ac:dyDescent="0.2">
      <c r="A370">
        <v>276</v>
      </c>
      <c r="B370" t="s">
        <v>4897</v>
      </c>
      <c r="C370" t="s">
        <v>42</v>
      </c>
      <c r="D370" t="s">
        <v>4600</v>
      </c>
    </row>
    <row r="371" spans="1:4" x14ac:dyDescent="0.2">
      <c r="A371">
        <v>278</v>
      </c>
      <c r="B371" t="s">
        <v>4897</v>
      </c>
      <c r="C371" t="s">
        <v>42</v>
      </c>
      <c r="D371" t="s">
        <v>4600</v>
      </c>
    </row>
    <row r="372" spans="1:4" x14ac:dyDescent="0.2">
      <c r="A372">
        <v>279</v>
      </c>
      <c r="B372" t="s">
        <v>4897</v>
      </c>
      <c r="C372" t="s">
        <v>42</v>
      </c>
      <c r="D372" t="s">
        <v>4600</v>
      </c>
    </row>
    <row r="373" spans="1:4" x14ac:dyDescent="0.2">
      <c r="A373">
        <v>280</v>
      </c>
      <c r="B373" t="s">
        <v>4897</v>
      </c>
      <c r="C373" t="s">
        <v>42</v>
      </c>
      <c r="D373" t="s">
        <v>4600</v>
      </c>
    </row>
    <row r="374" spans="1:4" x14ac:dyDescent="0.2">
      <c r="A374">
        <v>282</v>
      </c>
      <c r="B374" t="s">
        <v>4897</v>
      </c>
      <c r="C374" t="s">
        <v>42</v>
      </c>
      <c r="D374" t="s">
        <v>4600</v>
      </c>
    </row>
    <row r="375" spans="1:4" x14ac:dyDescent="0.2">
      <c r="A375">
        <v>283</v>
      </c>
      <c r="B375" t="s">
        <v>4897</v>
      </c>
      <c r="C375" t="s">
        <v>42</v>
      </c>
      <c r="D375" t="s">
        <v>4600</v>
      </c>
    </row>
    <row r="376" spans="1:4" x14ac:dyDescent="0.2">
      <c r="A376">
        <v>284</v>
      </c>
      <c r="B376" t="s">
        <v>4897</v>
      </c>
      <c r="C376" t="s">
        <v>42</v>
      </c>
      <c r="D376" t="s">
        <v>4600</v>
      </c>
    </row>
    <row r="377" spans="1:4" x14ac:dyDescent="0.2">
      <c r="A377">
        <v>286</v>
      </c>
      <c r="B377" t="s">
        <v>4897</v>
      </c>
      <c r="C377" t="s">
        <v>42</v>
      </c>
      <c r="D377" t="s">
        <v>4600</v>
      </c>
    </row>
    <row r="378" spans="1:4" x14ac:dyDescent="0.2">
      <c r="A378">
        <v>293</v>
      </c>
      <c r="B378" t="s">
        <v>4897</v>
      </c>
      <c r="C378" t="s">
        <v>42</v>
      </c>
      <c r="D378" t="s">
        <v>4600</v>
      </c>
    </row>
    <row r="379" spans="1:4" x14ac:dyDescent="0.2">
      <c r="A379">
        <v>294</v>
      </c>
      <c r="B379" t="s">
        <v>4897</v>
      </c>
      <c r="C379" t="s">
        <v>42</v>
      </c>
      <c r="D379" t="s">
        <v>4600</v>
      </c>
    </row>
    <row r="380" spans="1:4" x14ac:dyDescent="0.2">
      <c r="A380">
        <v>296</v>
      </c>
      <c r="B380" t="s">
        <v>4897</v>
      </c>
      <c r="C380" t="s">
        <v>42</v>
      </c>
      <c r="D380" t="s">
        <v>4600</v>
      </c>
    </row>
    <row r="381" spans="1:4" x14ac:dyDescent="0.2">
      <c r="A381">
        <v>300</v>
      </c>
      <c r="B381" t="s">
        <v>4897</v>
      </c>
      <c r="C381" t="s">
        <v>42</v>
      </c>
      <c r="D381" t="s">
        <v>4600</v>
      </c>
    </row>
    <row r="382" spans="1:4" x14ac:dyDescent="0.2">
      <c r="A382">
        <v>301</v>
      </c>
      <c r="B382" t="s">
        <v>4897</v>
      </c>
      <c r="C382" t="s">
        <v>42</v>
      </c>
      <c r="D382" t="s">
        <v>4600</v>
      </c>
    </row>
    <row r="383" spans="1:4" x14ac:dyDescent="0.2">
      <c r="A383">
        <v>319</v>
      </c>
      <c r="B383" t="s">
        <v>4897</v>
      </c>
      <c r="C383" t="s">
        <v>42</v>
      </c>
      <c r="D383" t="s">
        <v>4600</v>
      </c>
    </row>
    <row r="384" spans="1:4" x14ac:dyDescent="0.2">
      <c r="A384">
        <v>322</v>
      </c>
      <c r="B384" t="s">
        <v>4897</v>
      </c>
      <c r="C384" t="s">
        <v>42</v>
      </c>
      <c r="D384" t="s">
        <v>4600</v>
      </c>
    </row>
    <row r="385" spans="1:4" x14ac:dyDescent="0.2">
      <c r="A385">
        <v>326</v>
      </c>
      <c r="B385" t="s">
        <v>4897</v>
      </c>
      <c r="C385" t="s">
        <v>42</v>
      </c>
      <c r="D385" t="s">
        <v>4600</v>
      </c>
    </row>
    <row r="386" spans="1:4" x14ac:dyDescent="0.2">
      <c r="A386">
        <v>332</v>
      </c>
      <c r="B386" t="s">
        <v>4897</v>
      </c>
      <c r="C386" t="s">
        <v>42</v>
      </c>
      <c r="D386" t="s">
        <v>4600</v>
      </c>
    </row>
    <row r="387" spans="1:4" x14ac:dyDescent="0.2">
      <c r="A387">
        <v>333</v>
      </c>
      <c r="B387" t="s">
        <v>4897</v>
      </c>
      <c r="C387" t="s">
        <v>42</v>
      </c>
      <c r="D387" t="s">
        <v>4600</v>
      </c>
    </row>
    <row r="388" spans="1:4" x14ac:dyDescent="0.2">
      <c r="A388">
        <v>334</v>
      </c>
      <c r="B388" t="s">
        <v>4897</v>
      </c>
      <c r="C388" t="s">
        <v>42</v>
      </c>
      <c r="D388" t="s">
        <v>4600</v>
      </c>
    </row>
    <row r="389" spans="1:4" x14ac:dyDescent="0.2">
      <c r="A389">
        <v>335</v>
      </c>
      <c r="B389" t="s">
        <v>4897</v>
      </c>
      <c r="C389" t="s">
        <v>42</v>
      </c>
      <c r="D389" t="s">
        <v>4600</v>
      </c>
    </row>
    <row r="390" spans="1:4" x14ac:dyDescent="0.2">
      <c r="A390">
        <v>336</v>
      </c>
      <c r="B390" t="s">
        <v>4897</v>
      </c>
      <c r="C390" t="s">
        <v>42</v>
      </c>
      <c r="D390" t="s">
        <v>4600</v>
      </c>
    </row>
    <row r="391" spans="1:4" x14ac:dyDescent="0.2">
      <c r="A391">
        <v>339</v>
      </c>
      <c r="B391" t="s">
        <v>4897</v>
      </c>
      <c r="C391" t="s">
        <v>42</v>
      </c>
      <c r="D391" t="s">
        <v>4600</v>
      </c>
    </row>
    <row r="392" spans="1:4" x14ac:dyDescent="0.2">
      <c r="A392">
        <v>340</v>
      </c>
      <c r="B392" t="s">
        <v>4897</v>
      </c>
      <c r="C392" t="s">
        <v>42</v>
      </c>
      <c r="D392" t="s">
        <v>4600</v>
      </c>
    </row>
    <row r="393" spans="1:4" x14ac:dyDescent="0.2">
      <c r="A393">
        <v>344</v>
      </c>
      <c r="B393" t="s">
        <v>4897</v>
      </c>
      <c r="C393" t="s">
        <v>42</v>
      </c>
      <c r="D393" t="s">
        <v>4600</v>
      </c>
    </row>
    <row r="394" spans="1:4" x14ac:dyDescent="0.2">
      <c r="A394">
        <v>345</v>
      </c>
      <c r="B394" t="s">
        <v>4897</v>
      </c>
      <c r="C394" t="s">
        <v>42</v>
      </c>
      <c r="D394" t="s">
        <v>4600</v>
      </c>
    </row>
    <row r="395" spans="1:4" x14ac:dyDescent="0.2">
      <c r="A395">
        <v>347</v>
      </c>
      <c r="B395" t="s">
        <v>4897</v>
      </c>
      <c r="C395" t="s">
        <v>42</v>
      </c>
      <c r="D395" t="s">
        <v>4600</v>
      </c>
    </row>
    <row r="396" spans="1:4" x14ac:dyDescent="0.2">
      <c r="A396">
        <v>348</v>
      </c>
      <c r="B396" t="s">
        <v>4897</v>
      </c>
      <c r="C396" t="s">
        <v>42</v>
      </c>
      <c r="D396" t="s">
        <v>4600</v>
      </c>
    </row>
    <row r="397" spans="1:4" x14ac:dyDescent="0.2">
      <c r="A397">
        <v>350</v>
      </c>
      <c r="B397" t="s">
        <v>4897</v>
      </c>
      <c r="C397" t="s">
        <v>42</v>
      </c>
      <c r="D397" t="s">
        <v>4600</v>
      </c>
    </row>
    <row r="398" spans="1:4" x14ac:dyDescent="0.2">
      <c r="A398">
        <v>351</v>
      </c>
      <c r="B398" t="s">
        <v>4897</v>
      </c>
      <c r="C398" t="s">
        <v>42</v>
      </c>
      <c r="D398" t="s">
        <v>4600</v>
      </c>
    </row>
    <row r="399" spans="1:4" x14ac:dyDescent="0.2">
      <c r="A399">
        <v>359</v>
      </c>
      <c r="B399" t="s">
        <v>4897</v>
      </c>
      <c r="C399" t="s">
        <v>42</v>
      </c>
      <c r="D399" t="s">
        <v>4600</v>
      </c>
    </row>
    <row r="400" spans="1:4" x14ac:dyDescent="0.2">
      <c r="A400">
        <v>360</v>
      </c>
      <c r="B400" t="s">
        <v>4897</v>
      </c>
      <c r="C400" t="s">
        <v>42</v>
      </c>
      <c r="D400" t="s">
        <v>4600</v>
      </c>
    </row>
    <row r="401" spans="1:4" x14ac:dyDescent="0.2">
      <c r="A401">
        <v>362</v>
      </c>
      <c r="B401" t="s">
        <v>4897</v>
      </c>
      <c r="C401" t="s">
        <v>42</v>
      </c>
      <c r="D401" t="s">
        <v>4600</v>
      </c>
    </row>
    <row r="402" spans="1:4" x14ac:dyDescent="0.2">
      <c r="A402">
        <v>365</v>
      </c>
      <c r="B402" t="s">
        <v>4897</v>
      </c>
      <c r="C402" t="s">
        <v>42</v>
      </c>
      <c r="D402" t="s">
        <v>4600</v>
      </c>
    </row>
    <row r="403" spans="1:4" x14ac:dyDescent="0.2">
      <c r="A403">
        <v>372</v>
      </c>
      <c r="B403" t="s">
        <v>4897</v>
      </c>
      <c r="C403" t="s">
        <v>42</v>
      </c>
      <c r="D403" t="s">
        <v>4600</v>
      </c>
    </row>
    <row r="404" spans="1:4" x14ac:dyDescent="0.2">
      <c r="A404">
        <v>380</v>
      </c>
      <c r="B404" t="s">
        <v>4897</v>
      </c>
      <c r="C404" t="s">
        <v>42</v>
      </c>
      <c r="D404" t="s">
        <v>4600</v>
      </c>
    </row>
    <row r="405" spans="1:4" x14ac:dyDescent="0.2">
      <c r="A405">
        <v>386</v>
      </c>
      <c r="B405" t="s">
        <v>4897</v>
      </c>
      <c r="C405" t="s">
        <v>42</v>
      </c>
      <c r="D405" t="s">
        <v>4600</v>
      </c>
    </row>
    <row r="406" spans="1:4" x14ac:dyDescent="0.2">
      <c r="A406">
        <v>391</v>
      </c>
      <c r="B406" t="s">
        <v>4897</v>
      </c>
      <c r="C406" t="s">
        <v>42</v>
      </c>
      <c r="D406" t="s">
        <v>4600</v>
      </c>
    </row>
    <row r="407" spans="1:4" x14ac:dyDescent="0.2">
      <c r="A407">
        <v>395</v>
      </c>
      <c r="B407" t="s">
        <v>4897</v>
      </c>
      <c r="C407" t="s">
        <v>42</v>
      </c>
      <c r="D407" t="s">
        <v>4600</v>
      </c>
    </row>
    <row r="408" spans="1:4" x14ac:dyDescent="0.2">
      <c r="A408">
        <v>397</v>
      </c>
      <c r="B408" t="s">
        <v>4897</v>
      </c>
      <c r="C408" t="s">
        <v>42</v>
      </c>
      <c r="D408" t="s">
        <v>4600</v>
      </c>
    </row>
    <row r="409" spans="1:4" x14ac:dyDescent="0.2">
      <c r="A409">
        <v>408</v>
      </c>
      <c r="B409" t="s">
        <v>4897</v>
      </c>
      <c r="C409" t="s">
        <v>42</v>
      </c>
      <c r="D409" t="s">
        <v>4600</v>
      </c>
    </row>
    <row r="410" spans="1:4" x14ac:dyDescent="0.2">
      <c r="A410">
        <v>410</v>
      </c>
      <c r="B410" t="s">
        <v>4897</v>
      </c>
      <c r="C410" t="s">
        <v>42</v>
      </c>
      <c r="D410" t="s">
        <v>4600</v>
      </c>
    </row>
    <row r="411" spans="1:4" x14ac:dyDescent="0.2">
      <c r="A411">
        <v>441</v>
      </c>
      <c r="B411" t="s">
        <v>4897</v>
      </c>
      <c r="C411" t="s">
        <v>42</v>
      </c>
      <c r="D411" t="s">
        <v>4600</v>
      </c>
    </row>
    <row r="412" spans="1:4" x14ac:dyDescent="0.2">
      <c r="A412">
        <v>450</v>
      </c>
      <c r="B412" t="s">
        <v>4897</v>
      </c>
      <c r="C412" t="s">
        <v>42</v>
      </c>
      <c r="D412" t="s">
        <v>4600</v>
      </c>
    </row>
    <row r="413" spans="1:4" x14ac:dyDescent="0.2">
      <c r="A413">
        <v>471</v>
      </c>
      <c r="B413" t="s">
        <v>4897</v>
      </c>
      <c r="C413" t="s">
        <v>42</v>
      </c>
      <c r="D413" t="s">
        <v>4600</v>
      </c>
    </row>
    <row r="414" spans="1:4" x14ac:dyDescent="0.2">
      <c r="A414">
        <v>478</v>
      </c>
      <c r="B414" t="s">
        <v>4897</v>
      </c>
      <c r="C414" t="s">
        <v>42</v>
      </c>
      <c r="D414" t="s">
        <v>4600</v>
      </c>
    </row>
    <row r="415" spans="1:4" x14ac:dyDescent="0.2">
      <c r="A415">
        <v>480</v>
      </c>
      <c r="B415" t="s">
        <v>4897</v>
      </c>
      <c r="C415" t="s">
        <v>42</v>
      </c>
      <c r="D415" t="s">
        <v>4600</v>
      </c>
    </row>
    <row r="416" spans="1:4" x14ac:dyDescent="0.2">
      <c r="A416">
        <v>486</v>
      </c>
      <c r="B416" t="s">
        <v>4897</v>
      </c>
      <c r="C416" t="s">
        <v>42</v>
      </c>
      <c r="D416" t="s">
        <v>4600</v>
      </c>
    </row>
    <row r="417" spans="1:4" x14ac:dyDescent="0.2">
      <c r="A417">
        <v>493</v>
      </c>
      <c r="B417" t="s">
        <v>4897</v>
      </c>
      <c r="C417" t="s">
        <v>42</v>
      </c>
      <c r="D417" t="s">
        <v>4600</v>
      </c>
    </row>
    <row r="418" spans="1:4" x14ac:dyDescent="0.2">
      <c r="A418">
        <v>494</v>
      </c>
      <c r="B418" t="s">
        <v>4897</v>
      </c>
      <c r="C418" t="s">
        <v>42</v>
      </c>
      <c r="D418" t="s">
        <v>4600</v>
      </c>
    </row>
    <row r="419" spans="1:4" x14ac:dyDescent="0.2">
      <c r="A419">
        <v>495</v>
      </c>
      <c r="B419" t="s">
        <v>4897</v>
      </c>
      <c r="C419" t="s">
        <v>42</v>
      </c>
      <c r="D419" t="s">
        <v>4600</v>
      </c>
    </row>
    <row r="420" spans="1:4" x14ac:dyDescent="0.2">
      <c r="A420">
        <v>496</v>
      </c>
      <c r="B420" t="s">
        <v>4897</v>
      </c>
      <c r="C420" t="s">
        <v>42</v>
      </c>
      <c r="D420" t="s">
        <v>4600</v>
      </c>
    </row>
    <row r="421" spans="1:4" x14ac:dyDescent="0.2">
      <c r="A421">
        <v>500</v>
      </c>
      <c r="B421" t="s">
        <v>4897</v>
      </c>
      <c r="C421" t="s">
        <v>42</v>
      </c>
      <c r="D421" t="s">
        <v>4600</v>
      </c>
    </row>
    <row r="422" spans="1:4" x14ac:dyDescent="0.2">
      <c r="A422">
        <v>504</v>
      </c>
      <c r="B422" t="s">
        <v>4897</v>
      </c>
      <c r="C422" t="s">
        <v>42</v>
      </c>
      <c r="D422" t="s">
        <v>4600</v>
      </c>
    </row>
    <row r="423" spans="1:4" x14ac:dyDescent="0.2">
      <c r="A423">
        <v>506</v>
      </c>
      <c r="B423" t="s">
        <v>4897</v>
      </c>
      <c r="C423" t="s">
        <v>42</v>
      </c>
      <c r="D423" t="s">
        <v>4600</v>
      </c>
    </row>
    <row r="424" spans="1:4" x14ac:dyDescent="0.2">
      <c r="A424">
        <v>511</v>
      </c>
      <c r="B424" t="s">
        <v>4897</v>
      </c>
      <c r="C424" t="s">
        <v>42</v>
      </c>
      <c r="D424" t="s">
        <v>4600</v>
      </c>
    </row>
    <row r="425" spans="1:4" x14ac:dyDescent="0.2">
      <c r="A425">
        <v>512</v>
      </c>
      <c r="B425" t="s">
        <v>4897</v>
      </c>
      <c r="C425" t="s">
        <v>42</v>
      </c>
      <c r="D425" t="s">
        <v>4600</v>
      </c>
    </row>
    <row r="426" spans="1:4" x14ac:dyDescent="0.2">
      <c r="A426">
        <v>517</v>
      </c>
      <c r="B426" t="s">
        <v>4897</v>
      </c>
      <c r="C426" t="s">
        <v>42</v>
      </c>
      <c r="D426" t="s">
        <v>4600</v>
      </c>
    </row>
    <row r="427" spans="1:4" x14ac:dyDescent="0.2">
      <c r="A427">
        <v>519</v>
      </c>
      <c r="B427" t="s">
        <v>4897</v>
      </c>
      <c r="C427" t="s">
        <v>42</v>
      </c>
      <c r="D427" t="s">
        <v>4600</v>
      </c>
    </row>
    <row r="428" spans="1:4" x14ac:dyDescent="0.2">
      <c r="A428">
        <v>525</v>
      </c>
      <c r="B428" t="s">
        <v>4897</v>
      </c>
      <c r="C428" t="s">
        <v>42</v>
      </c>
      <c r="D428" t="s">
        <v>4600</v>
      </c>
    </row>
    <row r="429" spans="1:4" x14ac:dyDescent="0.2">
      <c r="A429">
        <v>529</v>
      </c>
      <c r="B429" t="s">
        <v>4897</v>
      </c>
      <c r="C429" t="s">
        <v>42</v>
      </c>
      <c r="D429" t="s">
        <v>4600</v>
      </c>
    </row>
    <row r="430" spans="1:4" x14ac:dyDescent="0.2">
      <c r="A430">
        <v>530</v>
      </c>
      <c r="B430" t="s">
        <v>4897</v>
      </c>
      <c r="C430" t="s">
        <v>42</v>
      </c>
      <c r="D430" t="s">
        <v>4600</v>
      </c>
    </row>
    <row r="431" spans="1:4" x14ac:dyDescent="0.2">
      <c r="A431">
        <v>535</v>
      </c>
      <c r="B431" t="s">
        <v>4897</v>
      </c>
      <c r="C431" t="s">
        <v>42</v>
      </c>
      <c r="D431" t="s">
        <v>4600</v>
      </c>
    </row>
    <row r="432" spans="1:4" x14ac:dyDescent="0.2">
      <c r="A432">
        <v>545</v>
      </c>
      <c r="B432" t="s">
        <v>4897</v>
      </c>
      <c r="C432" t="s">
        <v>42</v>
      </c>
      <c r="D432" t="s">
        <v>4600</v>
      </c>
    </row>
    <row r="433" spans="1:4" x14ac:dyDescent="0.2">
      <c r="A433">
        <v>546</v>
      </c>
      <c r="B433" t="s">
        <v>4897</v>
      </c>
      <c r="C433" t="s">
        <v>42</v>
      </c>
      <c r="D433" t="s">
        <v>4600</v>
      </c>
    </row>
    <row r="434" spans="1:4" x14ac:dyDescent="0.2">
      <c r="A434">
        <v>550</v>
      </c>
      <c r="B434" t="s">
        <v>4897</v>
      </c>
      <c r="C434" t="s">
        <v>42</v>
      </c>
      <c r="D434" t="s">
        <v>4600</v>
      </c>
    </row>
    <row r="435" spans="1:4" x14ac:dyDescent="0.2">
      <c r="A435">
        <v>552</v>
      </c>
      <c r="B435" t="s">
        <v>4897</v>
      </c>
      <c r="C435" t="s">
        <v>42</v>
      </c>
      <c r="D435" t="s">
        <v>4600</v>
      </c>
    </row>
    <row r="436" spans="1:4" x14ac:dyDescent="0.2">
      <c r="A436">
        <v>553</v>
      </c>
      <c r="B436" t="s">
        <v>4897</v>
      </c>
      <c r="C436" t="s">
        <v>42</v>
      </c>
      <c r="D436" t="s">
        <v>4600</v>
      </c>
    </row>
    <row r="437" spans="1:4" x14ac:dyDescent="0.2">
      <c r="A437">
        <v>555</v>
      </c>
      <c r="B437" t="s">
        <v>4897</v>
      </c>
      <c r="C437" t="s">
        <v>42</v>
      </c>
      <c r="D437" t="s">
        <v>4600</v>
      </c>
    </row>
    <row r="438" spans="1:4" x14ac:dyDescent="0.2">
      <c r="A438">
        <v>559</v>
      </c>
      <c r="B438" t="s">
        <v>4897</v>
      </c>
      <c r="C438" t="s">
        <v>42</v>
      </c>
      <c r="D438" t="s">
        <v>4600</v>
      </c>
    </row>
    <row r="439" spans="1:4" x14ac:dyDescent="0.2">
      <c r="A439">
        <v>569</v>
      </c>
      <c r="B439" t="s">
        <v>4897</v>
      </c>
      <c r="C439" t="s">
        <v>42</v>
      </c>
      <c r="D439" t="s">
        <v>4600</v>
      </c>
    </row>
    <row r="440" spans="1:4" x14ac:dyDescent="0.2">
      <c r="A440">
        <v>573</v>
      </c>
      <c r="B440" t="s">
        <v>4897</v>
      </c>
      <c r="C440" t="s">
        <v>42</v>
      </c>
      <c r="D440" t="s">
        <v>4600</v>
      </c>
    </row>
    <row r="441" spans="1:4" x14ac:dyDescent="0.2">
      <c r="A441">
        <v>574</v>
      </c>
      <c r="B441" t="s">
        <v>4897</v>
      </c>
      <c r="C441" t="s">
        <v>42</v>
      </c>
      <c r="D441" t="s">
        <v>4600</v>
      </c>
    </row>
    <row r="442" spans="1:4" x14ac:dyDescent="0.2">
      <c r="A442">
        <v>581</v>
      </c>
      <c r="B442" t="s">
        <v>4897</v>
      </c>
      <c r="C442" t="s">
        <v>42</v>
      </c>
      <c r="D442" t="s">
        <v>4600</v>
      </c>
    </row>
    <row r="443" spans="1:4" x14ac:dyDescent="0.2">
      <c r="A443">
        <v>585</v>
      </c>
      <c r="B443" t="s">
        <v>4897</v>
      </c>
      <c r="C443" t="s">
        <v>42</v>
      </c>
      <c r="D443" t="s">
        <v>4600</v>
      </c>
    </row>
    <row r="444" spans="1:4" x14ac:dyDescent="0.2">
      <c r="A444">
        <v>592</v>
      </c>
      <c r="B444" t="s">
        <v>4897</v>
      </c>
      <c r="C444" t="s">
        <v>42</v>
      </c>
      <c r="D444" t="s">
        <v>4600</v>
      </c>
    </row>
    <row r="445" spans="1:4" x14ac:dyDescent="0.2">
      <c r="A445">
        <v>594</v>
      </c>
      <c r="B445" t="s">
        <v>4897</v>
      </c>
      <c r="C445" t="s">
        <v>42</v>
      </c>
      <c r="D445" t="s">
        <v>4600</v>
      </c>
    </row>
    <row r="446" spans="1:4" x14ac:dyDescent="0.2">
      <c r="A446">
        <v>599</v>
      </c>
      <c r="B446" t="s">
        <v>4897</v>
      </c>
      <c r="C446" t="s">
        <v>42</v>
      </c>
      <c r="D446" t="s">
        <v>4600</v>
      </c>
    </row>
    <row r="447" spans="1:4" x14ac:dyDescent="0.2">
      <c r="A447">
        <v>613</v>
      </c>
      <c r="B447" t="s">
        <v>4897</v>
      </c>
      <c r="C447" t="s">
        <v>42</v>
      </c>
      <c r="D447" t="s">
        <v>4600</v>
      </c>
    </row>
    <row r="448" spans="1:4" x14ac:dyDescent="0.2">
      <c r="A448">
        <v>614</v>
      </c>
      <c r="B448" t="s">
        <v>4897</v>
      </c>
      <c r="C448" t="s">
        <v>42</v>
      </c>
      <c r="D448" t="s">
        <v>4600</v>
      </c>
    </row>
    <row r="449" spans="1:4" x14ac:dyDescent="0.2">
      <c r="A449">
        <v>618</v>
      </c>
      <c r="B449" t="s">
        <v>4897</v>
      </c>
      <c r="C449" t="s">
        <v>42</v>
      </c>
      <c r="D449" t="s">
        <v>4600</v>
      </c>
    </row>
    <row r="450" spans="1:4" x14ac:dyDescent="0.2">
      <c r="A450">
        <v>621</v>
      </c>
      <c r="B450" t="s">
        <v>4897</v>
      </c>
      <c r="C450" t="s">
        <v>42</v>
      </c>
      <c r="D450" t="s">
        <v>4600</v>
      </c>
    </row>
    <row r="451" spans="1:4" x14ac:dyDescent="0.2">
      <c r="A451">
        <v>624</v>
      </c>
      <c r="B451" t="s">
        <v>4897</v>
      </c>
      <c r="C451" t="s">
        <v>42</v>
      </c>
      <c r="D451" t="s">
        <v>4600</v>
      </c>
    </row>
    <row r="452" spans="1:4" x14ac:dyDescent="0.2">
      <c r="A452">
        <v>625</v>
      </c>
      <c r="B452" t="s">
        <v>4897</v>
      </c>
      <c r="C452" t="s">
        <v>42</v>
      </c>
      <c r="D452" t="s">
        <v>4600</v>
      </c>
    </row>
    <row r="453" spans="1:4" x14ac:dyDescent="0.2">
      <c r="A453">
        <v>631</v>
      </c>
      <c r="B453" t="s">
        <v>4897</v>
      </c>
      <c r="C453" t="s">
        <v>42</v>
      </c>
      <c r="D453" t="s">
        <v>4600</v>
      </c>
    </row>
    <row r="454" spans="1:4" x14ac:dyDescent="0.2">
      <c r="A454">
        <v>645</v>
      </c>
      <c r="B454" t="s">
        <v>4897</v>
      </c>
      <c r="C454" t="s">
        <v>42</v>
      </c>
      <c r="D454" t="s">
        <v>4600</v>
      </c>
    </row>
    <row r="455" spans="1:4" x14ac:dyDescent="0.2">
      <c r="A455">
        <v>647</v>
      </c>
      <c r="B455" t="s">
        <v>4897</v>
      </c>
      <c r="C455" t="s">
        <v>42</v>
      </c>
      <c r="D455" t="s">
        <v>4600</v>
      </c>
    </row>
    <row r="456" spans="1:4" x14ac:dyDescent="0.2">
      <c r="A456">
        <v>648</v>
      </c>
      <c r="B456" t="s">
        <v>4897</v>
      </c>
      <c r="C456" t="s">
        <v>42</v>
      </c>
      <c r="D456" t="s">
        <v>4600</v>
      </c>
    </row>
    <row r="457" spans="1:4" x14ac:dyDescent="0.2">
      <c r="A457">
        <v>649</v>
      </c>
      <c r="B457" t="s">
        <v>4897</v>
      </c>
      <c r="C457" t="s">
        <v>42</v>
      </c>
      <c r="D457" t="s">
        <v>4600</v>
      </c>
    </row>
    <row r="458" spans="1:4" x14ac:dyDescent="0.2">
      <c r="A458">
        <v>657</v>
      </c>
      <c r="B458" t="s">
        <v>4897</v>
      </c>
      <c r="C458" t="s">
        <v>42</v>
      </c>
      <c r="D458" t="s">
        <v>4600</v>
      </c>
    </row>
    <row r="459" spans="1:4" x14ac:dyDescent="0.2">
      <c r="A459">
        <v>658</v>
      </c>
      <c r="B459" t="s">
        <v>4897</v>
      </c>
      <c r="C459" t="s">
        <v>42</v>
      </c>
      <c r="D459" t="s">
        <v>4600</v>
      </c>
    </row>
    <row r="460" spans="1:4" x14ac:dyDescent="0.2">
      <c r="A460">
        <v>665</v>
      </c>
      <c r="B460" t="s">
        <v>4897</v>
      </c>
      <c r="C460" t="s">
        <v>42</v>
      </c>
      <c r="D460" t="s">
        <v>4600</v>
      </c>
    </row>
    <row r="461" spans="1:4" x14ac:dyDescent="0.2">
      <c r="A461">
        <v>667</v>
      </c>
      <c r="B461" t="s">
        <v>4897</v>
      </c>
      <c r="C461" t="s">
        <v>42</v>
      </c>
      <c r="D461" t="s">
        <v>4600</v>
      </c>
    </row>
    <row r="462" spans="1:4" x14ac:dyDescent="0.2">
      <c r="A462">
        <v>670</v>
      </c>
      <c r="B462" t="s">
        <v>4897</v>
      </c>
      <c r="C462" t="s">
        <v>42</v>
      </c>
      <c r="D462" t="s">
        <v>4600</v>
      </c>
    </row>
    <row r="463" spans="1:4" x14ac:dyDescent="0.2">
      <c r="A463">
        <v>677</v>
      </c>
      <c r="B463" t="s">
        <v>4897</v>
      </c>
      <c r="C463" t="s">
        <v>42</v>
      </c>
      <c r="D463" t="s">
        <v>4600</v>
      </c>
    </row>
    <row r="464" spans="1:4" x14ac:dyDescent="0.2">
      <c r="A464">
        <v>689</v>
      </c>
      <c r="B464" t="s">
        <v>4897</v>
      </c>
      <c r="C464" t="s">
        <v>42</v>
      </c>
      <c r="D464" t="s">
        <v>4600</v>
      </c>
    </row>
    <row r="465" spans="1:4" x14ac:dyDescent="0.2">
      <c r="A465">
        <v>691</v>
      </c>
      <c r="B465" t="s">
        <v>4897</v>
      </c>
      <c r="C465" t="s">
        <v>42</v>
      </c>
      <c r="D465" t="s">
        <v>4600</v>
      </c>
    </row>
    <row r="466" spans="1:4" x14ac:dyDescent="0.2">
      <c r="A466">
        <v>699</v>
      </c>
      <c r="B466" t="s">
        <v>4897</v>
      </c>
      <c r="C466" t="s">
        <v>42</v>
      </c>
      <c r="D466" t="s">
        <v>4600</v>
      </c>
    </row>
    <row r="467" spans="1:4" x14ac:dyDescent="0.2">
      <c r="A467">
        <v>704</v>
      </c>
      <c r="B467" t="s">
        <v>4897</v>
      </c>
      <c r="C467" t="s">
        <v>42</v>
      </c>
      <c r="D467" t="s">
        <v>4600</v>
      </c>
    </row>
    <row r="468" spans="1:4" x14ac:dyDescent="0.2">
      <c r="A468">
        <v>705</v>
      </c>
      <c r="B468" t="s">
        <v>4897</v>
      </c>
      <c r="C468" t="s">
        <v>42</v>
      </c>
      <c r="D468" t="s">
        <v>4600</v>
      </c>
    </row>
    <row r="469" spans="1:4" x14ac:dyDescent="0.2">
      <c r="A469">
        <v>716</v>
      </c>
      <c r="B469" t="s">
        <v>4897</v>
      </c>
      <c r="C469" t="s">
        <v>42</v>
      </c>
      <c r="D469" t="s">
        <v>4600</v>
      </c>
    </row>
    <row r="470" spans="1:4" x14ac:dyDescent="0.2">
      <c r="A470">
        <v>733</v>
      </c>
      <c r="B470" t="s">
        <v>4897</v>
      </c>
      <c r="C470" t="s">
        <v>42</v>
      </c>
      <c r="D470" t="s">
        <v>4600</v>
      </c>
    </row>
    <row r="471" spans="1:4" x14ac:dyDescent="0.2">
      <c r="A471">
        <v>736</v>
      </c>
      <c r="B471" t="s">
        <v>4897</v>
      </c>
      <c r="C471" t="s">
        <v>42</v>
      </c>
      <c r="D471" t="s">
        <v>4600</v>
      </c>
    </row>
    <row r="472" spans="1:4" x14ac:dyDescent="0.2">
      <c r="A472">
        <v>741</v>
      </c>
      <c r="B472" t="s">
        <v>4897</v>
      </c>
      <c r="C472" t="s">
        <v>42</v>
      </c>
      <c r="D472" t="s">
        <v>4600</v>
      </c>
    </row>
    <row r="473" spans="1:4" x14ac:dyDescent="0.2">
      <c r="A473">
        <v>749</v>
      </c>
      <c r="B473" t="s">
        <v>4897</v>
      </c>
      <c r="C473" t="s">
        <v>42</v>
      </c>
      <c r="D473" t="s">
        <v>4600</v>
      </c>
    </row>
    <row r="474" spans="1:4" x14ac:dyDescent="0.2">
      <c r="A474">
        <v>757</v>
      </c>
      <c r="B474" t="s">
        <v>4897</v>
      </c>
      <c r="C474" t="s">
        <v>42</v>
      </c>
      <c r="D474" t="s">
        <v>4600</v>
      </c>
    </row>
    <row r="475" spans="1:4" x14ac:dyDescent="0.2">
      <c r="A475">
        <v>765</v>
      </c>
      <c r="B475" t="s">
        <v>4897</v>
      </c>
      <c r="C475" t="s">
        <v>42</v>
      </c>
      <c r="D475" t="s">
        <v>4600</v>
      </c>
    </row>
    <row r="476" spans="1:4" x14ac:dyDescent="0.2">
      <c r="A476">
        <v>774</v>
      </c>
      <c r="B476" t="s">
        <v>4897</v>
      </c>
      <c r="C476" t="s">
        <v>42</v>
      </c>
      <c r="D476" t="s">
        <v>4600</v>
      </c>
    </row>
    <row r="477" spans="1:4" x14ac:dyDescent="0.2">
      <c r="A477">
        <v>776</v>
      </c>
      <c r="B477" t="s">
        <v>4897</v>
      </c>
      <c r="C477" t="s">
        <v>42</v>
      </c>
      <c r="D477" t="s">
        <v>4600</v>
      </c>
    </row>
    <row r="478" spans="1:4" x14ac:dyDescent="0.2">
      <c r="A478">
        <v>784</v>
      </c>
      <c r="B478" t="s">
        <v>4897</v>
      </c>
      <c r="C478" t="s">
        <v>42</v>
      </c>
      <c r="D478" t="s">
        <v>4600</v>
      </c>
    </row>
    <row r="479" spans="1:4" x14ac:dyDescent="0.2">
      <c r="A479">
        <v>786</v>
      </c>
      <c r="B479" t="s">
        <v>4897</v>
      </c>
      <c r="C479" t="s">
        <v>42</v>
      </c>
      <c r="D479" t="s">
        <v>4600</v>
      </c>
    </row>
    <row r="480" spans="1:4" x14ac:dyDescent="0.2">
      <c r="A480">
        <v>793</v>
      </c>
      <c r="B480" t="s">
        <v>4897</v>
      </c>
      <c r="C480" t="s">
        <v>42</v>
      </c>
      <c r="D480" t="s">
        <v>4600</v>
      </c>
    </row>
    <row r="481" spans="1:4" x14ac:dyDescent="0.2">
      <c r="A481">
        <v>803</v>
      </c>
      <c r="B481" t="s">
        <v>4897</v>
      </c>
      <c r="C481" t="s">
        <v>42</v>
      </c>
      <c r="D481" t="s">
        <v>4600</v>
      </c>
    </row>
    <row r="482" spans="1:4" x14ac:dyDescent="0.2">
      <c r="A482">
        <v>444</v>
      </c>
      <c r="B482" t="s">
        <v>4897</v>
      </c>
      <c r="C482" t="s">
        <v>42</v>
      </c>
      <c r="D482" t="s">
        <v>4600</v>
      </c>
    </row>
    <row r="483" spans="1:4" x14ac:dyDescent="0.2">
      <c r="A483">
        <v>269</v>
      </c>
      <c r="B483" t="s">
        <v>4897</v>
      </c>
      <c r="C483" t="s">
        <v>42</v>
      </c>
      <c r="D483" t="s">
        <v>4600</v>
      </c>
    </row>
    <row r="484" spans="1:4" x14ac:dyDescent="0.2">
      <c r="A484">
        <v>642</v>
      </c>
      <c r="B484" t="s">
        <v>4897</v>
      </c>
      <c r="C484" t="s">
        <v>42</v>
      </c>
      <c r="D484" t="s">
        <v>4600</v>
      </c>
    </row>
    <row r="485" spans="1:4" x14ac:dyDescent="0.2">
      <c r="A485">
        <v>299</v>
      </c>
      <c r="B485" t="s">
        <v>4897</v>
      </c>
      <c r="C485" t="s">
        <v>42</v>
      </c>
      <c r="D485" t="s">
        <v>4600</v>
      </c>
    </row>
    <row r="486" spans="1:4" x14ac:dyDescent="0.2">
      <c r="A486">
        <v>355</v>
      </c>
      <c r="B486" t="s">
        <v>4897</v>
      </c>
      <c r="C486" t="s">
        <v>42</v>
      </c>
      <c r="D486" t="s">
        <v>4600</v>
      </c>
    </row>
    <row r="487" spans="1:4" x14ac:dyDescent="0.2">
      <c r="A487">
        <v>583</v>
      </c>
      <c r="B487" t="s">
        <v>4897</v>
      </c>
      <c r="C487" t="s">
        <v>42</v>
      </c>
      <c r="D487" t="s">
        <v>4600</v>
      </c>
    </row>
    <row r="488" spans="1:4" x14ac:dyDescent="0.2">
      <c r="A488">
        <v>617</v>
      </c>
      <c r="B488" t="s">
        <v>4897</v>
      </c>
      <c r="C488" t="s">
        <v>42</v>
      </c>
      <c r="D488" t="s">
        <v>4600</v>
      </c>
    </row>
    <row r="489" spans="1:4" x14ac:dyDescent="0.2">
      <c r="A489">
        <v>655</v>
      </c>
      <c r="B489" t="s">
        <v>4897</v>
      </c>
      <c r="C489" t="s">
        <v>42</v>
      </c>
      <c r="D489" t="s">
        <v>4600</v>
      </c>
    </row>
    <row r="490" spans="1:4" x14ac:dyDescent="0.2">
      <c r="A490">
        <v>313</v>
      </c>
      <c r="B490" t="s">
        <v>4897</v>
      </c>
      <c r="C490" t="s">
        <v>42</v>
      </c>
      <c r="D490" t="s">
        <v>4600</v>
      </c>
    </row>
    <row r="491" spans="1:4" x14ac:dyDescent="0.2">
      <c r="A491">
        <v>389</v>
      </c>
      <c r="B491" t="s">
        <v>4897</v>
      </c>
      <c r="C491" t="s">
        <v>42</v>
      </c>
      <c r="D491" t="s">
        <v>4600</v>
      </c>
    </row>
    <row r="492" spans="1:4" x14ac:dyDescent="0.2">
      <c r="A492">
        <v>708</v>
      </c>
      <c r="B492" t="s">
        <v>4897</v>
      </c>
      <c r="C492" t="s">
        <v>42</v>
      </c>
      <c r="D492" t="s">
        <v>4600</v>
      </c>
    </row>
    <row r="493" spans="1:4" x14ac:dyDescent="0.2">
      <c r="A493">
        <v>636</v>
      </c>
      <c r="B493" t="s">
        <v>4897</v>
      </c>
      <c r="C493" t="s">
        <v>42</v>
      </c>
      <c r="D493" t="s">
        <v>4600</v>
      </c>
    </row>
    <row r="494" spans="1:4" x14ac:dyDescent="0.2">
      <c r="A494">
        <v>338</v>
      </c>
      <c r="B494" t="s">
        <v>4897</v>
      </c>
      <c r="C494" t="s">
        <v>42</v>
      </c>
      <c r="D494" t="s">
        <v>4600</v>
      </c>
    </row>
    <row r="495" spans="1:4" x14ac:dyDescent="0.2">
      <c r="A495">
        <v>403</v>
      </c>
      <c r="B495" t="s">
        <v>4897</v>
      </c>
      <c r="C495" t="s">
        <v>42</v>
      </c>
      <c r="D495" t="s">
        <v>4600</v>
      </c>
    </row>
    <row r="496" spans="1:4" x14ac:dyDescent="0.2">
      <c r="A496">
        <v>731</v>
      </c>
      <c r="B496" t="s">
        <v>4897</v>
      </c>
      <c r="C496" t="s">
        <v>42</v>
      </c>
      <c r="D496" t="s">
        <v>4600</v>
      </c>
    </row>
    <row r="497" spans="1:4" x14ac:dyDescent="0.2">
      <c r="A497">
        <v>309</v>
      </c>
      <c r="B497" t="s">
        <v>4897</v>
      </c>
      <c r="C497" t="s">
        <v>42</v>
      </c>
      <c r="D497" t="s">
        <v>4600</v>
      </c>
    </row>
    <row r="498" spans="1:4" x14ac:dyDescent="0.2">
      <c r="A498">
        <v>438</v>
      </c>
      <c r="B498" t="s">
        <v>4897</v>
      </c>
      <c r="C498" t="s">
        <v>42</v>
      </c>
      <c r="D498" t="s">
        <v>4600</v>
      </c>
    </row>
    <row r="499" spans="1:4" x14ac:dyDescent="0.2">
      <c r="A499">
        <v>662</v>
      </c>
      <c r="B499" t="s">
        <v>4897</v>
      </c>
      <c r="C499" t="s">
        <v>42</v>
      </c>
      <c r="D499" t="s">
        <v>4600</v>
      </c>
    </row>
    <row r="500" spans="1:4" x14ac:dyDescent="0.2">
      <c r="A500">
        <v>683</v>
      </c>
      <c r="B500" t="s">
        <v>4897</v>
      </c>
      <c r="C500" t="s">
        <v>42</v>
      </c>
      <c r="D500" t="s">
        <v>4600</v>
      </c>
    </row>
    <row r="501" spans="1:4" x14ac:dyDescent="0.2">
      <c r="A501">
        <v>11</v>
      </c>
      <c r="B501" t="s">
        <v>4897</v>
      </c>
      <c r="C501" t="s">
        <v>42</v>
      </c>
      <c r="D501" t="s">
        <v>4600</v>
      </c>
    </row>
    <row r="502" spans="1:4" x14ac:dyDescent="0.2">
      <c r="A502">
        <v>304</v>
      </c>
      <c r="B502" t="s">
        <v>4897</v>
      </c>
      <c r="C502" t="s">
        <v>42</v>
      </c>
      <c r="D502" t="s">
        <v>4600</v>
      </c>
    </row>
    <row r="503" spans="1:4" x14ac:dyDescent="0.2">
      <c r="A503">
        <v>316</v>
      </c>
      <c r="B503" t="s">
        <v>4897</v>
      </c>
      <c r="C503" t="s">
        <v>42</v>
      </c>
      <c r="D503" t="s">
        <v>4600</v>
      </c>
    </row>
    <row r="504" spans="1:4" x14ac:dyDescent="0.2">
      <c r="A504">
        <v>497</v>
      </c>
      <c r="B504" t="s">
        <v>4897</v>
      </c>
      <c r="C504" t="s">
        <v>42</v>
      </c>
      <c r="D504" t="s">
        <v>4600</v>
      </c>
    </row>
    <row r="505" spans="1:4" x14ac:dyDescent="0.2">
      <c r="A505">
        <v>635</v>
      </c>
      <c r="B505" t="s">
        <v>4897</v>
      </c>
      <c r="C505" t="s">
        <v>42</v>
      </c>
      <c r="D505" t="s">
        <v>4600</v>
      </c>
    </row>
    <row r="506" spans="1:4" x14ac:dyDescent="0.2">
      <c r="A506">
        <v>482</v>
      </c>
      <c r="B506" t="s">
        <v>4897</v>
      </c>
      <c r="C506" t="s">
        <v>42</v>
      </c>
      <c r="D506" t="s">
        <v>4600</v>
      </c>
    </row>
    <row r="507" spans="1:4" x14ac:dyDescent="0.2">
      <c r="A507">
        <v>42</v>
      </c>
      <c r="B507" t="s">
        <v>4897</v>
      </c>
      <c r="C507" t="s">
        <v>42</v>
      </c>
      <c r="D507" t="s">
        <v>4600</v>
      </c>
    </row>
    <row r="508" spans="1:4" x14ac:dyDescent="0.2">
      <c r="A508">
        <v>484</v>
      </c>
      <c r="B508" t="s">
        <v>4897</v>
      </c>
      <c r="C508" t="s">
        <v>42</v>
      </c>
      <c r="D508" t="s">
        <v>4600</v>
      </c>
    </row>
    <row r="509" spans="1:4" x14ac:dyDescent="0.2">
      <c r="A509">
        <v>428</v>
      </c>
      <c r="B509" t="s">
        <v>4897</v>
      </c>
      <c r="C509" t="s">
        <v>42</v>
      </c>
      <c r="D509" t="s">
        <v>4600</v>
      </c>
    </row>
    <row r="510" spans="1:4" x14ac:dyDescent="0.2">
      <c r="A510">
        <v>281</v>
      </c>
      <c r="B510" t="s">
        <v>4897</v>
      </c>
      <c r="C510" t="s">
        <v>42</v>
      </c>
      <c r="D510" t="s">
        <v>4600</v>
      </c>
    </row>
    <row r="511" spans="1:4" x14ac:dyDescent="0.2">
      <c r="A511">
        <v>456</v>
      </c>
      <c r="B511" t="s">
        <v>4897</v>
      </c>
      <c r="C511" t="s">
        <v>42</v>
      </c>
      <c r="D511" t="s">
        <v>4600</v>
      </c>
    </row>
    <row r="512" spans="1:4" x14ac:dyDescent="0.2">
      <c r="A512">
        <v>342</v>
      </c>
      <c r="B512" t="s">
        <v>4897</v>
      </c>
      <c r="C512" t="s">
        <v>42</v>
      </c>
      <c r="D512" t="s">
        <v>4600</v>
      </c>
    </row>
    <row r="513" spans="1:4" x14ac:dyDescent="0.2">
      <c r="A513">
        <v>709</v>
      </c>
      <c r="B513" t="s">
        <v>4897</v>
      </c>
      <c r="C513" t="s">
        <v>42</v>
      </c>
      <c r="D513" t="s">
        <v>4600</v>
      </c>
    </row>
    <row r="514" spans="1:4" x14ac:dyDescent="0.2">
      <c r="A514">
        <v>432</v>
      </c>
      <c r="B514" t="s">
        <v>4897</v>
      </c>
      <c r="C514" t="s">
        <v>42</v>
      </c>
      <c r="D514" t="s">
        <v>4600</v>
      </c>
    </row>
    <row r="515" spans="1:4" x14ac:dyDescent="0.2">
      <c r="A515">
        <v>477</v>
      </c>
      <c r="B515" t="s">
        <v>4897</v>
      </c>
      <c r="C515" t="s">
        <v>42</v>
      </c>
      <c r="D515" t="s">
        <v>4600</v>
      </c>
    </row>
    <row r="516" spans="1:4" x14ac:dyDescent="0.2">
      <c r="A516">
        <v>30</v>
      </c>
      <c r="B516" t="s">
        <v>4897</v>
      </c>
      <c r="C516" t="s">
        <v>42</v>
      </c>
      <c r="D516" t="s">
        <v>4600</v>
      </c>
    </row>
    <row r="517" spans="1:4" x14ac:dyDescent="0.2">
      <c r="A517">
        <v>337</v>
      </c>
      <c r="B517" t="s">
        <v>4897</v>
      </c>
      <c r="C517" t="s">
        <v>42</v>
      </c>
      <c r="D517" t="s">
        <v>4600</v>
      </c>
    </row>
    <row r="518" spans="1:4" x14ac:dyDescent="0.2">
      <c r="A518">
        <v>199</v>
      </c>
      <c r="B518" t="s">
        <v>4897</v>
      </c>
      <c r="C518" t="s">
        <v>42</v>
      </c>
      <c r="D518" t="s">
        <v>4600</v>
      </c>
    </row>
    <row r="519" spans="1:4" x14ac:dyDescent="0.2">
      <c r="A519">
        <v>379</v>
      </c>
      <c r="B519" t="s">
        <v>4897</v>
      </c>
      <c r="C519" t="s">
        <v>42</v>
      </c>
      <c r="D519" t="s">
        <v>4600</v>
      </c>
    </row>
    <row r="520" spans="1:4" x14ac:dyDescent="0.2">
      <c r="A520">
        <v>612</v>
      </c>
      <c r="B520" t="s">
        <v>4897</v>
      </c>
      <c r="C520" t="s">
        <v>42</v>
      </c>
      <c r="D520" t="s">
        <v>4600</v>
      </c>
    </row>
    <row r="521" spans="1:4" x14ac:dyDescent="0.2">
      <c r="A521">
        <v>84</v>
      </c>
      <c r="B521" t="s">
        <v>4897</v>
      </c>
      <c r="C521" t="s">
        <v>42</v>
      </c>
      <c r="D521" t="s">
        <v>4600</v>
      </c>
    </row>
    <row r="522" spans="1:4" x14ac:dyDescent="0.2">
      <c r="A522">
        <v>329</v>
      </c>
      <c r="B522" t="s">
        <v>4897</v>
      </c>
      <c r="C522" t="s">
        <v>42</v>
      </c>
      <c r="D522" t="s">
        <v>4600</v>
      </c>
    </row>
    <row r="523" spans="1:4" x14ac:dyDescent="0.2">
      <c r="A523">
        <v>797</v>
      </c>
      <c r="B523" t="s">
        <v>4897</v>
      </c>
      <c r="C523" t="s">
        <v>42</v>
      </c>
      <c r="D523" t="s">
        <v>4600</v>
      </c>
    </row>
    <row r="524" spans="1:4" x14ac:dyDescent="0.2">
      <c r="A524">
        <v>292</v>
      </c>
      <c r="B524" t="s">
        <v>4897</v>
      </c>
      <c r="C524" t="s">
        <v>42</v>
      </c>
      <c r="D524" t="s">
        <v>4600</v>
      </c>
    </row>
    <row r="525" spans="1:4" x14ac:dyDescent="0.2">
      <c r="A525">
        <v>373</v>
      </c>
      <c r="B525" t="s">
        <v>4897</v>
      </c>
      <c r="C525" t="s">
        <v>42</v>
      </c>
      <c r="D525" t="s">
        <v>4600</v>
      </c>
    </row>
    <row r="526" spans="1:4" x14ac:dyDescent="0.2">
      <c r="A526">
        <v>138</v>
      </c>
      <c r="B526" t="s">
        <v>4897</v>
      </c>
      <c r="C526" t="s">
        <v>42</v>
      </c>
      <c r="D526" t="s">
        <v>4600</v>
      </c>
    </row>
    <row r="527" spans="1:4" x14ac:dyDescent="0.2">
      <c r="A527">
        <v>777</v>
      </c>
      <c r="B527" t="s">
        <v>4897</v>
      </c>
      <c r="C527" t="s">
        <v>42</v>
      </c>
      <c r="D527" t="s">
        <v>4600</v>
      </c>
    </row>
    <row r="528" spans="1:4" x14ac:dyDescent="0.2">
      <c r="A528">
        <v>470</v>
      </c>
      <c r="B528" t="s">
        <v>4897</v>
      </c>
      <c r="C528" t="s">
        <v>42</v>
      </c>
      <c r="D528" t="s">
        <v>4600</v>
      </c>
    </row>
    <row r="529" spans="1:4" x14ac:dyDescent="0.2">
      <c r="A529">
        <v>634</v>
      </c>
      <c r="B529" t="s">
        <v>4897</v>
      </c>
      <c r="C529" t="s">
        <v>42</v>
      </c>
      <c r="D529" t="s">
        <v>4600</v>
      </c>
    </row>
    <row r="530" spans="1:4" x14ac:dyDescent="0.2">
      <c r="A530">
        <v>266</v>
      </c>
      <c r="B530" t="s">
        <v>4897</v>
      </c>
      <c r="C530" t="s">
        <v>42</v>
      </c>
      <c r="D530" t="s">
        <v>4600</v>
      </c>
    </row>
    <row r="531" spans="1:4" x14ac:dyDescent="0.2">
      <c r="A531">
        <v>773</v>
      </c>
      <c r="B531" t="s">
        <v>4897</v>
      </c>
      <c r="C531" t="s">
        <v>42</v>
      </c>
      <c r="D531" t="s">
        <v>4600</v>
      </c>
    </row>
    <row r="532" spans="1:4" x14ac:dyDescent="0.2">
      <c r="A532">
        <v>498</v>
      </c>
      <c r="B532" t="s">
        <v>4897</v>
      </c>
      <c r="C532" t="s">
        <v>42</v>
      </c>
      <c r="D532" t="s">
        <v>4600</v>
      </c>
    </row>
    <row r="533" spans="1:4" x14ac:dyDescent="0.2">
      <c r="A533">
        <v>492</v>
      </c>
      <c r="B533" t="s">
        <v>4897</v>
      </c>
      <c r="C533" t="s">
        <v>42</v>
      </c>
      <c r="D533" t="s">
        <v>4600</v>
      </c>
    </row>
    <row r="534" spans="1:4" x14ac:dyDescent="0.2">
      <c r="A534">
        <v>605</v>
      </c>
      <c r="B534" t="s">
        <v>4897</v>
      </c>
      <c r="C534" t="s">
        <v>42</v>
      </c>
      <c r="D534" t="s">
        <v>4600</v>
      </c>
    </row>
    <row r="535" spans="1:4" x14ac:dyDescent="0.2">
      <c r="A535">
        <v>565</v>
      </c>
      <c r="B535" t="s">
        <v>4897</v>
      </c>
      <c r="C535" t="s">
        <v>42</v>
      </c>
      <c r="D535" t="s">
        <v>4600</v>
      </c>
    </row>
    <row r="536" spans="1:4" x14ac:dyDescent="0.2">
      <c r="A536">
        <v>681</v>
      </c>
      <c r="B536" t="s">
        <v>4897</v>
      </c>
      <c r="C536" t="s">
        <v>42</v>
      </c>
      <c r="D536" t="s">
        <v>4600</v>
      </c>
    </row>
    <row r="537" spans="1:4" x14ac:dyDescent="0.2">
      <c r="A537">
        <v>532</v>
      </c>
      <c r="B537" t="s">
        <v>4897</v>
      </c>
      <c r="C537" t="s">
        <v>42</v>
      </c>
      <c r="D537" t="s">
        <v>4600</v>
      </c>
    </row>
    <row r="538" spans="1:4" x14ac:dyDescent="0.2">
      <c r="A538">
        <v>788</v>
      </c>
      <c r="B538" t="s">
        <v>4897</v>
      </c>
      <c r="C538" t="s">
        <v>42</v>
      </c>
      <c r="D538" t="s">
        <v>4600</v>
      </c>
    </row>
    <row r="539" spans="1:4" x14ac:dyDescent="0.2">
      <c r="A539">
        <v>747</v>
      </c>
      <c r="B539" t="s">
        <v>4897</v>
      </c>
      <c r="C539" t="s">
        <v>42</v>
      </c>
      <c r="D539" t="s">
        <v>4864</v>
      </c>
    </row>
    <row r="540" spans="1:4" x14ac:dyDescent="0.2">
      <c r="A540">
        <v>568</v>
      </c>
      <c r="B540" t="s">
        <v>4897</v>
      </c>
      <c r="C540" t="s">
        <v>42</v>
      </c>
      <c r="D540" t="s">
        <v>4600</v>
      </c>
    </row>
    <row r="541" spans="1:4" x14ac:dyDescent="0.2">
      <c r="A541">
        <v>542</v>
      </c>
      <c r="B541" t="s">
        <v>4897</v>
      </c>
      <c r="C541" t="s">
        <v>42</v>
      </c>
      <c r="D541" t="s">
        <v>4600</v>
      </c>
    </row>
    <row r="542" spans="1:4" x14ac:dyDescent="0.2">
      <c r="A542">
        <v>131</v>
      </c>
      <c r="B542" t="s">
        <v>4897</v>
      </c>
      <c r="C542" t="s">
        <v>42</v>
      </c>
      <c r="D542" t="s">
        <v>4600</v>
      </c>
    </row>
    <row r="543" spans="1:4" x14ac:dyDescent="0.2">
      <c r="A543">
        <v>474</v>
      </c>
      <c r="B543" t="s">
        <v>4897</v>
      </c>
      <c r="C543" t="s">
        <v>42</v>
      </c>
      <c r="D543" t="s">
        <v>4600</v>
      </c>
    </row>
    <row r="544" spans="1:4" x14ac:dyDescent="0.2">
      <c r="A544">
        <v>641</v>
      </c>
      <c r="B544" t="s">
        <v>4897</v>
      </c>
      <c r="C544" t="s">
        <v>42</v>
      </c>
      <c r="D544" t="s">
        <v>4600</v>
      </c>
    </row>
    <row r="545" spans="1:4" x14ac:dyDescent="0.2">
      <c r="A545">
        <v>485</v>
      </c>
      <c r="B545" t="s">
        <v>4897</v>
      </c>
      <c r="C545" t="s">
        <v>42</v>
      </c>
      <c r="D545" t="s">
        <v>4600</v>
      </c>
    </row>
    <row r="546" spans="1:4" x14ac:dyDescent="0.2">
      <c r="A546">
        <v>45</v>
      </c>
      <c r="B546" t="s">
        <v>4897</v>
      </c>
      <c r="C546" t="s">
        <v>42</v>
      </c>
      <c r="D546" t="s">
        <v>4600</v>
      </c>
    </row>
    <row r="547" spans="1:4" x14ac:dyDescent="0.2">
      <c r="A547">
        <v>46</v>
      </c>
      <c r="B547" t="s">
        <v>4897</v>
      </c>
      <c r="C547" t="s">
        <v>42</v>
      </c>
      <c r="D547" t="s">
        <v>4600</v>
      </c>
    </row>
    <row r="548" spans="1:4" x14ac:dyDescent="0.2">
      <c r="A548">
        <v>384</v>
      </c>
      <c r="B548" t="s">
        <v>4897</v>
      </c>
      <c r="C548" t="s">
        <v>42</v>
      </c>
      <c r="D548" t="s">
        <v>4600</v>
      </c>
    </row>
    <row r="549" spans="1:4" x14ac:dyDescent="0.2">
      <c r="A549">
        <v>400</v>
      </c>
      <c r="B549" t="s">
        <v>4897</v>
      </c>
      <c r="C549" t="s">
        <v>42</v>
      </c>
      <c r="D549" t="s">
        <v>4600</v>
      </c>
    </row>
    <row r="550" spans="1:4" x14ac:dyDescent="0.2">
      <c r="A550">
        <v>717</v>
      </c>
      <c r="B550" t="s">
        <v>4897</v>
      </c>
      <c r="C550" t="s">
        <v>42</v>
      </c>
      <c r="D550" t="s">
        <v>4600</v>
      </c>
    </row>
    <row r="551" spans="1:4" x14ac:dyDescent="0.2">
      <c r="A551">
        <v>149</v>
      </c>
      <c r="B551" t="s">
        <v>4897</v>
      </c>
      <c r="C551" t="s">
        <v>42</v>
      </c>
      <c r="D551" t="s">
        <v>4600</v>
      </c>
    </row>
    <row r="552" spans="1:4" x14ac:dyDescent="0.2">
      <c r="A552">
        <v>528</v>
      </c>
      <c r="B552" t="s">
        <v>4897</v>
      </c>
      <c r="C552" t="s">
        <v>42</v>
      </c>
      <c r="D552" t="s">
        <v>4600</v>
      </c>
    </row>
    <row r="553" spans="1:4" x14ac:dyDescent="0.2">
      <c r="A553">
        <v>247</v>
      </c>
      <c r="B553" t="s">
        <v>4897</v>
      </c>
      <c r="C553" t="s">
        <v>42</v>
      </c>
      <c r="D553" t="s">
        <v>4600</v>
      </c>
    </row>
    <row r="554" spans="1:4" x14ac:dyDescent="0.2">
      <c r="A554">
        <v>112</v>
      </c>
      <c r="B554" t="s">
        <v>4897</v>
      </c>
      <c r="C554" t="s">
        <v>42</v>
      </c>
      <c r="D554" t="s">
        <v>4600</v>
      </c>
    </row>
    <row r="555" spans="1:4" x14ac:dyDescent="0.2">
      <c r="A555">
        <v>678</v>
      </c>
      <c r="B555" t="s">
        <v>4897</v>
      </c>
      <c r="C555" t="s">
        <v>42</v>
      </c>
      <c r="D555" t="s">
        <v>4600</v>
      </c>
    </row>
    <row r="556" spans="1:4" x14ac:dyDescent="0.2">
      <c r="A556">
        <v>590</v>
      </c>
      <c r="B556" t="s">
        <v>4897</v>
      </c>
      <c r="C556" t="s">
        <v>42</v>
      </c>
      <c r="D556" t="s">
        <v>4600</v>
      </c>
    </row>
    <row r="557" spans="1:4" x14ac:dyDescent="0.2">
      <c r="A557">
        <v>302</v>
      </c>
      <c r="B557" t="s">
        <v>4897</v>
      </c>
      <c r="C557" t="s">
        <v>42</v>
      </c>
      <c r="D557" t="s">
        <v>4600</v>
      </c>
    </row>
    <row r="558" spans="1:4" x14ac:dyDescent="0.2">
      <c r="A558">
        <v>804</v>
      </c>
      <c r="B558" t="s">
        <v>4897</v>
      </c>
      <c r="C558" t="s">
        <v>42</v>
      </c>
      <c r="D558" t="s">
        <v>4600</v>
      </c>
    </row>
    <row r="559" spans="1:4" x14ac:dyDescent="0.2">
      <c r="A559">
        <v>604</v>
      </c>
      <c r="B559" t="s">
        <v>4897</v>
      </c>
      <c r="C559" t="s">
        <v>42</v>
      </c>
      <c r="D559" t="s">
        <v>4600</v>
      </c>
    </row>
    <row r="560" spans="1:4" x14ac:dyDescent="0.2">
      <c r="A560">
        <v>608</v>
      </c>
      <c r="B560" t="s">
        <v>4897</v>
      </c>
      <c r="C560" t="s">
        <v>42</v>
      </c>
      <c r="D560" t="s">
        <v>4600</v>
      </c>
    </row>
    <row r="561" spans="1:4" x14ac:dyDescent="0.2">
      <c r="A561">
        <v>27</v>
      </c>
      <c r="B561" t="s">
        <v>4897</v>
      </c>
      <c r="C561" t="s">
        <v>42</v>
      </c>
      <c r="D561" t="s">
        <v>4600</v>
      </c>
    </row>
    <row r="562" spans="1:4" x14ac:dyDescent="0.2">
      <c r="A562">
        <v>551</v>
      </c>
      <c r="B562" t="s">
        <v>4897</v>
      </c>
      <c r="C562" t="s">
        <v>42</v>
      </c>
      <c r="D562" t="s">
        <v>4600</v>
      </c>
    </row>
    <row r="563" spans="1:4" x14ac:dyDescent="0.2">
      <c r="A563">
        <v>92</v>
      </c>
      <c r="B563" t="s">
        <v>4897</v>
      </c>
      <c r="C563" t="s">
        <v>42</v>
      </c>
      <c r="D563" t="s">
        <v>4600</v>
      </c>
    </row>
    <row r="564" spans="1:4" x14ac:dyDescent="0.2">
      <c r="A564">
        <v>611</v>
      </c>
      <c r="B564" t="s">
        <v>4897</v>
      </c>
      <c r="C564" t="s">
        <v>42</v>
      </c>
      <c r="D564" t="s">
        <v>4600</v>
      </c>
    </row>
    <row r="565" spans="1:4" x14ac:dyDescent="0.2">
      <c r="A565">
        <v>582</v>
      </c>
      <c r="B565" t="s">
        <v>4897</v>
      </c>
      <c r="C565" t="s">
        <v>42</v>
      </c>
      <c r="D565" t="s">
        <v>4600</v>
      </c>
    </row>
    <row r="566" spans="1:4" x14ac:dyDescent="0.2">
      <c r="A566">
        <v>250</v>
      </c>
      <c r="B566" t="s">
        <v>4897</v>
      </c>
      <c r="C566" t="s">
        <v>42</v>
      </c>
      <c r="D566" t="s">
        <v>4600</v>
      </c>
    </row>
    <row r="567" spans="1:4" x14ac:dyDescent="0.2">
      <c r="A567">
        <v>572</v>
      </c>
      <c r="B567" t="s">
        <v>4897</v>
      </c>
      <c r="C567" t="s">
        <v>42</v>
      </c>
      <c r="D567" t="s">
        <v>4600</v>
      </c>
    </row>
    <row r="568" spans="1:4" x14ac:dyDescent="0.2">
      <c r="A568">
        <v>447</v>
      </c>
      <c r="B568" t="s">
        <v>4897</v>
      </c>
      <c r="C568" t="s">
        <v>42</v>
      </c>
      <c r="D568" t="s">
        <v>4600</v>
      </c>
    </row>
    <row r="569" spans="1:4" x14ac:dyDescent="0.2">
      <c r="A569">
        <v>652</v>
      </c>
      <c r="B569" t="s">
        <v>4897</v>
      </c>
      <c r="C569" t="s">
        <v>42</v>
      </c>
      <c r="D569" t="s">
        <v>4600</v>
      </c>
    </row>
    <row r="570" spans="1:4" x14ac:dyDescent="0.2">
      <c r="A570">
        <v>435</v>
      </c>
      <c r="B570" t="s">
        <v>4897</v>
      </c>
      <c r="C570" t="s">
        <v>42</v>
      </c>
      <c r="D570" t="s">
        <v>4600</v>
      </c>
    </row>
    <row r="571" spans="1:4" x14ac:dyDescent="0.2">
      <c r="A571">
        <v>515</v>
      </c>
      <c r="B571" t="s">
        <v>4897</v>
      </c>
      <c r="C571" t="s">
        <v>42</v>
      </c>
      <c r="D571" t="s">
        <v>4600</v>
      </c>
    </row>
    <row r="572" spans="1:4" x14ac:dyDescent="0.2">
      <c r="A572">
        <v>790</v>
      </c>
      <c r="B572" t="s">
        <v>4897</v>
      </c>
      <c r="C572" t="s">
        <v>42</v>
      </c>
      <c r="D572" t="s">
        <v>4600</v>
      </c>
    </row>
    <row r="573" spans="1:4" x14ac:dyDescent="0.2">
      <c r="A573">
        <v>398</v>
      </c>
      <c r="B573" t="s">
        <v>4897</v>
      </c>
      <c r="C573" t="s">
        <v>42</v>
      </c>
      <c r="D573" t="s">
        <v>4600</v>
      </c>
    </row>
    <row r="574" spans="1:4" x14ac:dyDescent="0.2">
      <c r="A574">
        <v>415</v>
      </c>
      <c r="B574" t="s">
        <v>4897</v>
      </c>
      <c r="C574" t="s">
        <v>42</v>
      </c>
      <c r="D574" t="s">
        <v>4600</v>
      </c>
    </row>
    <row r="575" spans="1:4" x14ac:dyDescent="0.2">
      <c r="A575">
        <v>126</v>
      </c>
      <c r="B575" t="s">
        <v>4897</v>
      </c>
      <c r="C575" t="s">
        <v>42</v>
      </c>
      <c r="D575" t="s">
        <v>4600</v>
      </c>
    </row>
    <row r="576" spans="1:4" x14ac:dyDescent="0.2">
      <c r="A576">
        <v>633</v>
      </c>
      <c r="B576" t="s">
        <v>4897</v>
      </c>
      <c r="C576" t="s">
        <v>42</v>
      </c>
      <c r="D576" t="s">
        <v>4600</v>
      </c>
    </row>
    <row r="577" spans="1:4" x14ac:dyDescent="0.2">
      <c r="A577">
        <v>711</v>
      </c>
      <c r="B577" t="s">
        <v>4897</v>
      </c>
      <c r="C577" t="s">
        <v>42</v>
      </c>
      <c r="D577" t="s">
        <v>4600</v>
      </c>
    </row>
    <row r="578" spans="1:4" x14ac:dyDescent="0.2">
      <c r="A578">
        <v>127</v>
      </c>
      <c r="B578" t="s">
        <v>4897</v>
      </c>
      <c r="C578" t="s">
        <v>42</v>
      </c>
      <c r="D578" t="s">
        <v>4600</v>
      </c>
    </row>
    <row r="579" spans="1:4" x14ac:dyDescent="0.2">
      <c r="A579">
        <v>461</v>
      </c>
      <c r="B579" t="s">
        <v>4897</v>
      </c>
      <c r="C579" t="s">
        <v>42</v>
      </c>
      <c r="D579" t="s">
        <v>4600</v>
      </c>
    </row>
    <row r="580" spans="1:4" x14ac:dyDescent="0.2">
      <c r="A580">
        <v>159</v>
      </c>
      <c r="B580" t="s">
        <v>4897</v>
      </c>
      <c r="C580" t="s">
        <v>42</v>
      </c>
      <c r="D580" t="s">
        <v>4600</v>
      </c>
    </row>
    <row r="581" spans="1:4" x14ac:dyDescent="0.2">
      <c r="A581">
        <v>740</v>
      </c>
      <c r="B581" t="s">
        <v>4897</v>
      </c>
      <c r="C581" t="s">
        <v>42</v>
      </c>
      <c r="D581" t="s">
        <v>4600</v>
      </c>
    </row>
    <row r="582" spans="1:4" x14ac:dyDescent="0.2">
      <c r="A582">
        <v>175</v>
      </c>
      <c r="B582" t="s">
        <v>4897</v>
      </c>
      <c r="C582" t="s">
        <v>42</v>
      </c>
      <c r="D582" t="s">
        <v>4600</v>
      </c>
    </row>
    <row r="583" spans="1:4" x14ac:dyDescent="0.2">
      <c r="A583">
        <v>627</v>
      </c>
      <c r="B583" t="s">
        <v>4897</v>
      </c>
      <c r="C583" t="s">
        <v>42</v>
      </c>
      <c r="D583" t="s">
        <v>4600</v>
      </c>
    </row>
    <row r="584" spans="1:4" x14ac:dyDescent="0.2">
      <c r="A584">
        <v>317</v>
      </c>
      <c r="B584" t="s">
        <v>4897</v>
      </c>
      <c r="C584" t="s">
        <v>42</v>
      </c>
      <c r="D584" t="s">
        <v>4600</v>
      </c>
    </row>
    <row r="585" spans="1:4" x14ac:dyDescent="0.2">
      <c r="A585">
        <v>382</v>
      </c>
      <c r="B585" t="s">
        <v>4897</v>
      </c>
      <c r="C585" t="s">
        <v>42</v>
      </c>
      <c r="D585" t="s">
        <v>4600</v>
      </c>
    </row>
    <row r="586" spans="1:4" x14ac:dyDescent="0.2">
      <c r="A586">
        <v>458</v>
      </c>
      <c r="B586" t="s">
        <v>4897</v>
      </c>
      <c r="C586" t="s">
        <v>42</v>
      </c>
      <c r="D586" t="s">
        <v>4600</v>
      </c>
    </row>
    <row r="587" spans="1:4" x14ac:dyDescent="0.2">
      <c r="A587">
        <v>431</v>
      </c>
      <c r="B587" t="s">
        <v>4897</v>
      </c>
      <c r="C587" t="s">
        <v>42</v>
      </c>
      <c r="D587" t="s">
        <v>4600</v>
      </c>
    </row>
    <row r="588" spans="1:4" x14ac:dyDescent="0.2">
      <c r="A588">
        <v>164</v>
      </c>
      <c r="B588" t="s">
        <v>4897</v>
      </c>
      <c r="C588" t="s">
        <v>42</v>
      </c>
      <c r="D588" t="s">
        <v>4600</v>
      </c>
    </row>
    <row r="589" spans="1:4" x14ac:dyDescent="0.2">
      <c r="A589">
        <v>308</v>
      </c>
      <c r="B589" t="s">
        <v>4897</v>
      </c>
      <c r="C589" t="s">
        <v>42</v>
      </c>
      <c r="D589" t="s">
        <v>4600</v>
      </c>
    </row>
    <row r="590" spans="1:4" x14ac:dyDescent="0.2">
      <c r="A590">
        <v>491</v>
      </c>
      <c r="B590" t="s">
        <v>4897</v>
      </c>
      <c r="C590" t="s">
        <v>42</v>
      </c>
      <c r="D590" t="s">
        <v>4600</v>
      </c>
    </row>
    <row r="591" spans="1:4" x14ac:dyDescent="0.2">
      <c r="A591">
        <v>575</v>
      </c>
      <c r="B591" t="s">
        <v>4897</v>
      </c>
      <c r="C591" t="s">
        <v>42</v>
      </c>
      <c r="D591" t="s">
        <v>4600</v>
      </c>
    </row>
    <row r="592" spans="1:4" x14ac:dyDescent="0.2">
      <c r="A592">
        <v>763</v>
      </c>
      <c r="B592" t="s">
        <v>4897</v>
      </c>
      <c r="C592" t="s">
        <v>42</v>
      </c>
      <c r="D592" t="s">
        <v>4600</v>
      </c>
    </row>
    <row r="593" spans="1:4" x14ac:dyDescent="0.2">
      <c r="A593">
        <v>405</v>
      </c>
      <c r="B593" t="s">
        <v>4897</v>
      </c>
      <c r="C593" t="s">
        <v>42</v>
      </c>
      <c r="D593" t="s">
        <v>4600</v>
      </c>
    </row>
    <row r="594" spans="1:4" x14ac:dyDescent="0.2">
      <c r="A594">
        <v>433</v>
      </c>
      <c r="B594" t="s">
        <v>4897</v>
      </c>
      <c r="C594" t="s">
        <v>42</v>
      </c>
      <c r="D594" t="s">
        <v>4600</v>
      </c>
    </row>
    <row r="595" spans="1:4" x14ac:dyDescent="0.2">
      <c r="A595">
        <v>427</v>
      </c>
      <c r="B595" t="s">
        <v>4897</v>
      </c>
      <c r="C595" t="s">
        <v>42</v>
      </c>
      <c r="D595" t="s">
        <v>4600</v>
      </c>
    </row>
    <row r="596" spans="1:4" x14ac:dyDescent="0.2">
      <c r="A596">
        <v>660</v>
      </c>
      <c r="B596" t="s">
        <v>4897</v>
      </c>
      <c r="C596" t="s">
        <v>42</v>
      </c>
      <c r="D596" t="s">
        <v>4600</v>
      </c>
    </row>
    <row r="597" spans="1:4" x14ac:dyDescent="0.2">
      <c r="A597">
        <v>544</v>
      </c>
      <c r="B597" t="s">
        <v>4897</v>
      </c>
      <c r="C597" t="s">
        <v>42</v>
      </c>
      <c r="D597" t="s">
        <v>4600</v>
      </c>
    </row>
    <row r="598" spans="1:4" x14ac:dyDescent="0.2">
      <c r="A598">
        <v>434</v>
      </c>
      <c r="B598" t="s">
        <v>4897</v>
      </c>
      <c r="C598" t="s">
        <v>42</v>
      </c>
      <c r="D598" t="s">
        <v>4600</v>
      </c>
    </row>
    <row r="599" spans="1:4" x14ac:dyDescent="0.2">
      <c r="A599">
        <v>481</v>
      </c>
      <c r="B599" t="s">
        <v>4897</v>
      </c>
      <c r="C599" t="s">
        <v>42</v>
      </c>
      <c r="D599" t="s">
        <v>4600</v>
      </c>
    </row>
    <row r="600" spans="1:4" x14ac:dyDescent="0.2">
      <c r="A600">
        <v>419</v>
      </c>
      <c r="B600" t="s">
        <v>4897</v>
      </c>
      <c r="C600" t="s">
        <v>42</v>
      </c>
      <c r="D600" t="s">
        <v>4600</v>
      </c>
    </row>
    <row r="601" spans="1:4" x14ac:dyDescent="0.2">
      <c r="A601">
        <v>483</v>
      </c>
      <c r="B601" t="s">
        <v>4897</v>
      </c>
      <c r="C601" t="s">
        <v>42</v>
      </c>
      <c r="D601" t="s">
        <v>4600</v>
      </c>
    </row>
    <row r="602" spans="1:4" x14ac:dyDescent="0.2">
      <c r="A602">
        <v>381</v>
      </c>
      <c r="B602" t="s">
        <v>4897</v>
      </c>
      <c r="C602" t="s">
        <v>42</v>
      </c>
      <c r="D602" t="s">
        <v>4600</v>
      </c>
    </row>
    <row r="603" spans="1:4" x14ac:dyDescent="0.2">
      <c r="A603">
        <v>383</v>
      </c>
      <c r="B603" t="s">
        <v>4897</v>
      </c>
      <c r="C603" t="s">
        <v>42</v>
      </c>
      <c r="D603" t="s">
        <v>4600</v>
      </c>
    </row>
    <row r="604" spans="1:4" x14ac:dyDescent="0.2">
      <c r="A604">
        <v>557</v>
      </c>
      <c r="B604" t="s">
        <v>4897</v>
      </c>
      <c r="C604" t="s">
        <v>42</v>
      </c>
      <c r="D604" t="s">
        <v>4600</v>
      </c>
    </row>
    <row r="605" spans="1:4" x14ac:dyDescent="0.2">
      <c r="A605">
        <v>795</v>
      </c>
      <c r="B605" t="s">
        <v>4897</v>
      </c>
      <c r="C605" t="s">
        <v>42</v>
      </c>
      <c r="D605" t="s">
        <v>4600</v>
      </c>
    </row>
    <row r="606" spans="1:4" x14ac:dyDescent="0.2">
      <c r="A606">
        <v>442</v>
      </c>
      <c r="B606" t="s">
        <v>4897</v>
      </c>
      <c r="C606" t="s">
        <v>42</v>
      </c>
      <c r="D606" t="s">
        <v>4600</v>
      </c>
    </row>
    <row r="607" spans="1:4" x14ac:dyDescent="0.2">
      <c r="A607">
        <v>722</v>
      </c>
      <c r="B607" t="s">
        <v>4897</v>
      </c>
      <c r="C607" t="s">
        <v>42</v>
      </c>
      <c r="D607" t="s">
        <v>4600</v>
      </c>
    </row>
    <row r="608" spans="1:4" x14ac:dyDescent="0.2">
      <c r="A608">
        <v>680</v>
      </c>
      <c r="B608" t="s">
        <v>4897</v>
      </c>
      <c r="C608" t="s">
        <v>42</v>
      </c>
      <c r="D608" t="s">
        <v>4600</v>
      </c>
    </row>
    <row r="609" spans="1:4" x14ac:dyDescent="0.2">
      <c r="A609">
        <v>174</v>
      </c>
      <c r="B609" t="s">
        <v>4897</v>
      </c>
      <c r="C609" t="s">
        <v>42</v>
      </c>
      <c r="D609" t="s">
        <v>4600</v>
      </c>
    </row>
    <row r="610" spans="1:4" x14ac:dyDescent="0.2">
      <c r="A610">
        <v>473</v>
      </c>
      <c r="B610" t="s">
        <v>4897</v>
      </c>
      <c r="C610" t="s">
        <v>42</v>
      </c>
      <c r="D610" t="s">
        <v>4600</v>
      </c>
    </row>
    <row r="611" spans="1:4" x14ac:dyDescent="0.2">
      <c r="A611">
        <v>676</v>
      </c>
      <c r="B611" t="s">
        <v>4897</v>
      </c>
      <c r="C611" t="s">
        <v>42</v>
      </c>
      <c r="D611" t="s">
        <v>4600</v>
      </c>
    </row>
    <row r="612" spans="1:4" x14ac:dyDescent="0.2">
      <c r="A612">
        <v>173</v>
      </c>
      <c r="B612" t="s">
        <v>4897</v>
      </c>
      <c r="C612" t="s">
        <v>42</v>
      </c>
      <c r="D612" t="s">
        <v>4600</v>
      </c>
    </row>
    <row r="613" spans="1:4" x14ac:dyDescent="0.2">
      <c r="A613">
        <v>330</v>
      </c>
      <c r="B613" t="s">
        <v>4897</v>
      </c>
      <c r="C613" t="s">
        <v>42</v>
      </c>
      <c r="D613" t="s">
        <v>4600</v>
      </c>
    </row>
    <row r="614" spans="1:4" x14ac:dyDescent="0.2">
      <c r="A614">
        <v>789</v>
      </c>
      <c r="B614" t="s">
        <v>4897</v>
      </c>
      <c r="C614" t="s">
        <v>42</v>
      </c>
      <c r="D614" t="s">
        <v>4600</v>
      </c>
    </row>
    <row r="615" spans="1:4" x14ac:dyDescent="0.2">
      <c r="A615">
        <v>549</v>
      </c>
      <c r="B615" t="s">
        <v>4897</v>
      </c>
      <c r="C615" t="s">
        <v>42</v>
      </c>
      <c r="D615" t="s">
        <v>4600</v>
      </c>
    </row>
    <row r="616" spans="1:4" x14ac:dyDescent="0.2">
      <c r="A616">
        <v>161</v>
      </c>
      <c r="B616" t="s">
        <v>4897</v>
      </c>
      <c r="C616" t="s">
        <v>42</v>
      </c>
      <c r="D616" t="s">
        <v>4600</v>
      </c>
    </row>
    <row r="617" spans="1:4" x14ac:dyDescent="0.2">
      <c r="A617">
        <v>254</v>
      </c>
      <c r="B617" t="s">
        <v>4897</v>
      </c>
      <c r="C617" t="s">
        <v>42</v>
      </c>
      <c r="D617" t="s">
        <v>4600</v>
      </c>
    </row>
    <row r="618" spans="1:4" x14ac:dyDescent="0.2">
      <c r="A618">
        <v>759</v>
      </c>
      <c r="B618" t="s">
        <v>4897</v>
      </c>
      <c r="C618" t="s">
        <v>42</v>
      </c>
      <c r="D618" t="s">
        <v>4600</v>
      </c>
    </row>
    <row r="619" spans="1:4" x14ac:dyDescent="0.2">
      <c r="A619">
        <v>742</v>
      </c>
      <c r="B619" t="s">
        <v>4897</v>
      </c>
      <c r="C619" t="s">
        <v>42</v>
      </c>
      <c r="D619" t="s">
        <v>4600</v>
      </c>
    </row>
    <row r="620" spans="1:4" x14ac:dyDescent="0.2">
      <c r="A620">
        <v>252</v>
      </c>
      <c r="B620" t="s">
        <v>4897</v>
      </c>
      <c r="C620" t="s">
        <v>42</v>
      </c>
      <c r="D620" t="s">
        <v>4600</v>
      </c>
    </row>
    <row r="621" spans="1:4" x14ac:dyDescent="0.2">
      <c r="A621">
        <v>376</v>
      </c>
      <c r="B621" t="s">
        <v>4897</v>
      </c>
      <c r="C621" t="s">
        <v>42</v>
      </c>
      <c r="D621" t="s">
        <v>4600</v>
      </c>
    </row>
    <row r="622" spans="1:4" x14ac:dyDescent="0.2">
      <c r="A622">
        <v>191</v>
      </c>
      <c r="B622" t="s">
        <v>4897</v>
      </c>
      <c r="C622" t="s">
        <v>42</v>
      </c>
      <c r="D622" t="s">
        <v>4600</v>
      </c>
    </row>
    <row r="623" spans="1:4" x14ac:dyDescent="0.2">
      <c r="A623">
        <v>354</v>
      </c>
      <c r="B623" t="s">
        <v>4897</v>
      </c>
      <c r="C623" t="s">
        <v>42</v>
      </c>
      <c r="D623" t="s">
        <v>4600</v>
      </c>
    </row>
    <row r="624" spans="1:4" x14ac:dyDescent="0.2">
      <c r="A624">
        <v>671</v>
      </c>
      <c r="B624" t="s">
        <v>4897</v>
      </c>
      <c r="C624" t="s">
        <v>42</v>
      </c>
      <c r="D624" t="s">
        <v>4600</v>
      </c>
    </row>
    <row r="625" spans="1:4" x14ac:dyDescent="0.2">
      <c r="A625">
        <v>264</v>
      </c>
      <c r="B625" t="s">
        <v>4897</v>
      </c>
      <c r="C625" t="s">
        <v>42</v>
      </c>
      <c r="D625" t="s">
        <v>4600</v>
      </c>
    </row>
    <row r="626" spans="1:4" x14ac:dyDescent="0.2">
      <c r="A626">
        <v>558</v>
      </c>
      <c r="B626" t="s">
        <v>4897</v>
      </c>
      <c r="C626" t="s">
        <v>42</v>
      </c>
      <c r="D626" t="s">
        <v>4600</v>
      </c>
    </row>
    <row r="627" spans="1:4" x14ac:dyDescent="0.2">
      <c r="A627">
        <v>357</v>
      </c>
      <c r="B627" t="s">
        <v>4897</v>
      </c>
      <c r="C627" t="s">
        <v>42</v>
      </c>
      <c r="D627" t="s">
        <v>4600</v>
      </c>
    </row>
    <row r="628" spans="1:4" x14ac:dyDescent="0.2">
      <c r="A628">
        <v>779</v>
      </c>
      <c r="B628" t="s">
        <v>4897</v>
      </c>
      <c r="C628" t="s">
        <v>42</v>
      </c>
      <c r="D628" t="s">
        <v>4600</v>
      </c>
    </row>
    <row r="629" spans="1:4" x14ac:dyDescent="0.2">
      <c r="A629">
        <v>211</v>
      </c>
      <c r="B629" t="s">
        <v>4897</v>
      </c>
      <c r="C629" t="s">
        <v>42</v>
      </c>
      <c r="D629" t="s">
        <v>4600</v>
      </c>
    </row>
    <row r="630" spans="1:4" x14ac:dyDescent="0.2">
      <c r="A630">
        <v>212</v>
      </c>
      <c r="B630" t="s">
        <v>4897</v>
      </c>
      <c r="C630" t="s">
        <v>42</v>
      </c>
      <c r="D630" t="s">
        <v>4600</v>
      </c>
    </row>
    <row r="631" spans="1:4" x14ac:dyDescent="0.2">
      <c r="A631">
        <v>318</v>
      </c>
      <c r="B631" t="s">
        <v>4897</v>
      </c>
      <c r="C631" t="s">
        <v>42</v>
      </c>
      <c r="D631" t="s">
        <v>4600</v>
      </c>
    </row>
    <row r="632" spans="1:4" x14ac:dyDescent="0.2">
      <c r="A632">
        <v>185</v>
      </c>
      <c r="B632" t="s">
        <v>4897</v>
      </c>
      <c r="C632" t="s">
        <v>42</v>
      </c>
      <c r="D632" t="s">
        <v>4600</v>
      </c>
    </row>
    <row r="633" spans="1:4" x14ac:dyDescent="0.2">
      <c r="A633">
        <v>388</v>
      </c>
      <c r="B633" t="s">
        <v>4897</v>
      </c>
      <c r="C633" t="s">
        <v>42</v>
      </c>
      <c r="D633" t="s">
        <v>4600</v>
      </c>
    </row>
    <row r="634" spans="1:4" x14ac:dyDescent="0.2">
      <c r="A634">
        <v>487</v>
      </c>
      <c r="B634" t="s">
        <v>4897</v>
      </c>
      <c r="C634" t="s">
        <v>42</v>
      </c>
      <c r="D634" t="s">
        <v>4600</v>
      </c>
    </row>
    <row r="635" spans="1:4" x14ac:dyDescent="0.2">
      <c r="A635">
        <v>602</v>
      </c>
      <c r="B635" t="s">
        <v>4897</v>
      </c>
      <c r="C635" t="s">
        <v>42</v>
      </c>
      <c r="D635" t="s">
        <v>4600</v>
      </c>
    </row>
    <row r="636" spans="1:4" x14ac:dyDescent="0.2">
      <c r="A636">
        <v>207</v>
      </c>
      <c r="B636" t="s">
        <v>4897</v>
      </c>
      <c r="C636" t="s">
        <v>42</v>
      </c>
      <c r="D636" t="s">
        <v>4600</v>
      </c>
    </row>
    <row r="637" spans="1:4" x14ac:dyDescent="0.2">
      <c r="A637">
        <v>218</v>
      </c>
      <c r="B637" t="s">
        <v>4897</v>
      </c>
      <c r="C637" t="s">
        <v>42</v>
      </c>
      <c r="D637" t="s">
        <v>4600</v>
      </c>
    </row>
    <row r="638" spans="1:4" x14ac:dyDescent="0.2">
      <c r="A638">
        <v>33</v>
      </c>
      <c r="B638" t="s">
        <v>4897</v>
      </c>
      <c r="C638" t="s">
        <v>42</v>
      </c>
      <c r="D638" t="s">
        <v>4600</v>
      </c>
    </row>
    <row r="639" spans="1:4" x14ac:dyDescent="0.2">
      <c r="A639">
        <v>503</v>
      </c>
      <c r="B639" t="s">
        <v>4897</v>
      </c>
      <c r="C639" t="s">
        <v>42</v>
      </c>
      <c r="D639" t="s">
        <v>4600</v>
      </c>
    </row>
    <row r="640" spans="1:4" x14ac:dyDescent="0.2">
      <c r="A640">
        <v>732</v>
      </c>
      <c r="B640" t="s">
        <v>4897</v>
      </c>
      <c r="C640" t="s">
        <v>42</v>
      </c>
      <c r="D640" t="s">
        <v>4600</v>
      </c>
    </row>
    <row r="641" spans="1:4" x14ac:dyDescent="0.2">
      <c r="A641">
        <v>26</v>
      </c>
      <c r="B641" t="s">
        <v>4897</v>
      </c>
      <c r="C641" t="s">
        <v>42</v>
      </c>
      <c r="D641" t="s">
        <v>4600</v>
      </c>
    </row>
    <row r="642" spans="1:4" x14ac:dyDescent="0.2">
      <c r="A642">
        <v>401</v>
      </c>
      <c r="B642" t="s">
        <v>4897</v>
      </c>
      <c r="C642" t="s">
        <v>42</v>
      </c>
      <c r="D642" t="s">
        <v>4600</v>
      </c>
    </row>
    <row r="643" spans="1:4" x14ac:dyDescent="0.2">
      <c r="A643">
        <v>479</v>
      </c>
      <c r="B643" t="s">
        <v>4897</v>
      </c>
      <c r="C643" t="s">
        <v>42</v>
      </c>
      <c r="D643" t="s">
        <v>4600</v>
      </c>
    </row>
    <row r="644" spans="1:4" x14ac:dyDescent="0.2">
      <c r="A644">
        <v>768</v>
      </c>
      <c r="B644" t="s">
        <v>4897</v>
      </c>
      <c r="C644" t="s">
        <v>42</v>
      </c>
      <c r="D644" t="s">
        <v>4600</v>
      </c>
    </row>
    <row r="645" spans="1:4" x14ac:dyDescent="0.2">
      <c r="A645">
        <v>43</v>
      </c>
      <c r="B645" t="s">
        <v>4897</v>
      </c>
      <c r="C645" t="s">
        <v>42</v>
      </c>
      <c r="D645" t="s">
        <v>4600</v>
      </c>
    </row>
    <row r="646" spans="1:4" x14ac:dyDescent="0.2">
      <c r="A646">
        <v>85</v>
      </c>
      <c r="B646" t="s">
        <v>4897</v>
      </c>
      <c r="C646" t="s">
        <v>42</v>
      </c>
      <c r="D646" t="s">
        <v>4600</v>
      </c>
    </row>
    <row r="647" spans="1:4" x14ac:dyDescent="0.2">
      <c r="A647">
        <v>314</v>
      </c>
      <c r="B647" t="s">
        <v>4897</v>
      </c>
      <c r="C647" t="s">
        <v>42</v>
      </c>
      <c r="D647" t="s">
        <v>4600</v>
      </c>
    </row>
    <row r="648" spans="1:4" x14ac:dyDescent="0.2">
      <c r="A648">
        <v>58</v>
      </c>
      <c r="B648" t="s">
        <v>4897</v>
      </c>
      <c r="C648" t="s">
        <v>42</v>
      </c>
      <c r="D648" t="s">
        <v>4600</v>
      </c>
    </row>
    <row r="649" spans="1:4" x14ac:dyDescent="0.2">
      <c r="A649">
        <v>425</v>
      </c>
      <c r="B649" t="s">
        <v>4897</v>
      </c>
      <c r="C649" t="s">
        <v>42</v>
      </c>
      <c r="D649" t="s">
        <v>4600</v>
      </c>
    </row>
    <row r="650" spans="1:4" x14ac:dyDescent="0.2">
      <c r="A650">
        <v>578</v>
      </c>
      <c r="B650" t="s">
        <v>4897</v>
      </c>
      <c r="C650" t="s">
        <v>42</v>
      </c>
      <c r="D650" t="s">
        <v>4600</v>
      </c>
    </row>
    <row r="651" spans="1:4" x14ac:dyDescent="0.2">
      <c r="A651">
        <v>672</v>
      </c>
      <c r="B651" t="s">
        <v>4897</v>
      </c>
      <c r="C651" t="s">
        <v>42</v>
      </c>
      <c r="D651" t="s">
        <v>4600</v>
      </c>
    </row>
    <row r="652" spans="1:4" x14ac:dyDescent="0.2">
      <c r="A652">
        <v>295</v>
      </c>
      <c r="B652" t="s">
        <v>4897</v>
      </c>
      <c r="C652" t="s">
        <v>42</v>
      </c>
      <c r="D652" t="s">
        <v>4600</v>
      </c>
    </row>
    <row r="653" spans="1:4" x14ac:dyDescent="0.2">
      <c r="A653">
        <v>399</v>
      </c>
      <c r="B653" t="s">
        <v>4897</v>
      </c>
      <c r="C653" t="s">
        <v>42</v>
      </c>
      <c r="D653" t="s">
        <v>4600</v>
      </c>
    </row>
    <row r="654" spans="1:4" x14ac:dyDescent="0.2">
      <c r="A654">
        <v>619</v>
      </c>
      <c r="B654" t="s">
        <v>4897</v>
      </c>
      <c r="C654" t="s">
        <v>42</v>
      </c>
      <c r="D654" t="s">
        <v>4600</v>
      </c>
    </row>
    <row r="655" spans="1:4" x14ac:dyDescent="0.2">
      <c r="A655">
        <v>475</v>
      </c>
      <c r="B655" t="s">
        <v>4897</v>
      </c>
      <c r="C655" t="s">
        <v>42</v>
      </c>
      <c r="D655" t="s">
        <v>4600</v>
      </c>
    </row>
    <row r="656" spans="1:4" x14ac:dyDescent="0.2">
      <c r="A656">
        <v>513</v>
      </c>
      <c r="B656" t="s">
        <v>4897</v>
      </c>
      <c r="C656" t="s">
        <v>42</v>
      </c>
      <c r="D656" t="s">
        <v>4600</v>
      </c>
    </row>
    <row r="657" spans="1:4" x14ac:dyDescent="0.2">
      <c r="A657">
        <v>523</v>
      </c>
      <c r="B657" t="s">
        <v>4897</v>
      </c>
      <c r="C657" t="s">
        <v>42</v>
      </c>
      <c r="D657" t="s">
        <v>4600</v>
      </c>
    </row>
    <row r="658" spans="1:4" x14ac:dyDescent="0.2">
      <c r="A658">
        <v>443</v>
      </c>
      <c r="B658" t="s">
        <v>4897</v>
      </c>
      <c r="C658" t="s">
        <v>42</v>
      </c>
      <c r="D658" t="s">
        <v>4600</v>
      </c>
    </row>
    <row r="659" spans="1:4" x14ac:dyDescent="0.2">
      <c r="A659">
        <v>35</v>
      </c>
      <c r="B659" t="s">
        <v>4897</v>
      </c>
      <c r="C659" t="s">
        <v>42</v>
      </c>
      <c r="D659" t="s">
        <v>4600</v>
      </c>
    </row>
    <row r="660" spans="1:4" x14ac:dyDescent="0.2">
      <c r="A660">
        <v>135</v>
      </c>
      <c r="B660" t="s">
        <v>4897</v>
      </c>
      <c r="C660" t="s">
        <v>42</v>
      </c>
      <c r="D660" t="s">
        <v>4600</v>
      </c>
    </row>
    <row r="661" spans="1:4" x14ac:dyDescent="0.2">
      <c r="A661">
        <v>679</v>
      </c>
      <c r="B661" t="s">
        <v>4897</v>
      </c>
      <c r="C661" t="s">
        <v>42</v>
      </c>
      <c r="D661" t="s">
        <v>4600</v>
      </c>
    </row>
    <row r="662" spans="1:4" x14ac:dyDescent="0.2">
      <c r="A662">
        <v>291</v>
      </c>
      <c r="B662" t="s">
        <v>4897</v>
      </c>
      <c r="C662" t="s">
        <v>42</v>
      </c>
      <c r="D662" t="s">
        <v>4600</v>
      </c>
    </row>
    <row r="663" spans="1:4" x14ac:dyDescent="0.2">
      <c r="A663">
        <v>686</v>
      </c>
      <c r="B663" t="s">
        <v>4897</v>
      </c>
      <c r="C663" t="s">
        <v>42</v>
      </c>
      <c r="D663" t="s">
        <v>4600</v>
      </c>
    </row>
    <row r="664" spans="1:4" x14ac:dyDescent="0.2">
      <c r="A664">
        <v>416</v>
      </c>
      <c r="B664" t="s">
        <v>4897</v>
      </c>
      <c r="C664" t="s">
        <v>42</v>
      </c>
      <c r="D664" t="s">
        <v>4600</v>
      </c>
    </row>
    <row r="665" spans="1:4" x14ac:dyDescent="0.2">
      <c r="A665">
        <v>463</v>
      </c>
      <c r="B665" t="s">
        <v>4897</v>
      </c>
      <c r="C665" t="s">
        <v>42</v>
      </c>
      <c r="D665" t="s">
        <v>4600</v>
      </c>
    </row>
    <row r="666" spans="1:4" x14ac:dyDescent="0.2">
      <c r="A666">
        <v>707</v>
      </c>
      <c r="B666" t="s">
        <v>4897</v>
      </c>
      <c r="C666" t="s">
        <v>42</v>
      </c>
      <c r="D666" t="s">
        <v>4600</v>
      </c>
    </row>
    <row r="667" spans="1:4" x14ac:dyDescent="0.2">
      <c r="A667">
        <v>713</v>
      </c>
      <c r="B667" t="s">
        <v>4897</v>
      </c>
      <c r="C667" t="s">
        <v>42</v>
      </c>
      <c r="D667" t="s">
        <v>4600</v>
      </c>
    </row>
    <row r="668" spans="1:4" x14ac:dyDescent="0.2">
      <c r="A668">
        <v>394</v>
      </c>
      <c r="B668" t="s">
        <v>4897</v>
      </c>
      <c r="C668" t="s">
        <v>42</v>
      </c>
      <c r="D668" t="s">
        <v>4600</v>
      </c>
    </row>
    <row r="669" spans="1:4" x14ac:dyDescent="0.2">
      <c r="A669">
        <v>805</v>
      </c>
      <c r="B669" t="s">
        <v>4897</v>
      </c>
      <c r="C669" t="s">
        <v>42</v>
      </c>
      <c r="D669" t="s">
        <v>4600</v>
      </c>
    </row>
    <row r="670" spans="1:4" x14ac:dyDescent="0.2">
      <c r="A670">
        <v>748</v>
      </c>
      <c r="B670" t="s">
        <v>4897</v>
      </c>
      <c r="C670" t="s">
        <v>42</v>
      </c>
      <c r="D670" t="s">
        <v>4600</v>
      </c>
    </row>
    <row r="671" spans="1:4" x14ac:dyDescent="0.2">
      <c r="A671">
        <v>76</v>
      </c>
      <c r="B671" t="s">
        <v>4897</v>
      </c>
      <c r="C671" t="s">
        <v>42</v>
      </c>
      <c r="D671" t="s">
        <v>4600</v>
      </c>
    </row>
    <row r="672" spans="1:4" x14ac:dyDescent="0.2">
      <c r="A672">
        <v>18</v>
      </c>
      <c r="B672" t="s">
        <v>4897</v>
      </c>
      <c r="C672" t="s">
        <v>42</v>
      </c>
      <c r="D672" t="s">
        <v>4600</v>
      </c>
    </row>
    <row r="673" spans="1:4" x14ac:dyDescent="0.2">
      <c r="A673">
        <v>464</v>
      </c>
      <c r="B673" t="s">
        <v>4897</v>
      </c>
      <c r="C673" t="s">
        <v>42</v>
      </c>
      <c r="D673" t="s">
        <v>4600</v>
      </c>
    </row>
    <row r="674" spans="1:4" x14ac:dyDescent="0.2">
      <c r="A674">
        <v>778</v>
      </c>
      <c r="B674" t="s">
        <v>4897</v>
      </c>
      <c r="C674" t="s">
        <v>42</v>
      </c>
      <c r="D674" t="s">
        <v>4600</v>
      </c>
    </row>
    <row r="675" spans="1:4" x14ac:dyDescent="0.2">
      <c r="A675">
        <v>588</v>
      </c>
      <c r="B675" t="s">
        <v>4897</v>
      </c>
      <c r="C675" t="s">
        <v>42</v>
      </c>
      <c r="D675" t="s">
        <v>4600</v>
      </c>
    </row>
    <row r="676" spans="1:4" x14ac:dyDescent="0.2">
      <c r="A676">
        <v>245</v>
      </c>
      <c r="B676" t="s">
        <v>4897</v>
      </c>
      <c r="C676" t="s">
        <v>42</v>
      </c>
      <c r="D676" t="s">
        <v>4600</v>
      </c>
    </row>
    <row r="677" spans="1:4" x14ac:dyDescent="0.2">
      <c r="A677">
        <v>327</v>
      </c>
      <c r="B677" t="s">
        <v>4897</v>
      </c>
      <c r="C677" t="s">
        <v>42</v>
      </c>
      <c r="D677" t="s">
        <v>4600</v>
      </c>
    </row>
    <row r="678" spans="1:4" x14ac:dyDescent="0.2">
      <c r="A678">
        <v>375</v>
      </c>
      <c r="B678" t="s">
        <v>4897</v>
      </c>
      <c r="C678" t="s">
        <v>42</v>
      </c>
      <c r="D678" t="s">
        <v>4600</v>
      </c>
    </row>
    <row r="679" spans="1:4" x14ac:dyDescent="0.2">
      <c r="A679">
        <v>3</v>
      </c>
      <c r="B679" t="s">
        <v>4897</v>
      </c>
      <c r="C679" t="s">
        <v>42</v>
      </c>
      <c r="D679" t="s">
        <v>4600</v>
      </c>
    </row>
    <row r="680" spans="1:4" x14ac:dyDescent="0.2">
      <c r="A680">
        <v>706</v>
      </c>
      <c r="B680" t="s">
        <v>4897</v>
      </c>
      <c r="C680" t="s">
        <v>42</v>
      </c>
      <c r="D680" t="s">
        <v>4600</v>
      </c>
    </row>
    <row r="681" spans="1:4" x14ac:dyDescent="0.2">
      <c r="A681">
        <v>457</v>
      </c>
      <c r="B681" t="s">
        <v>4897</v>
      </c>
      <c r="C681" t="s">
        <v>42</v>
      </c>
      <c r="D681" t="s">
        <v>4600</v>
      </c>
    </row>
    <row r="682" spans="1:4" x14ac:dyDescent="0.2">
      <c r="A682">
        <v>237</v>
      </c>
      <c r="B682" t="s">
        <v>4897</v>
      </c>
      <c r="C682" t="s">
        <v>42</v>
      </c>
      <c r="D682" t="s">
        <v>4600</v>
      </c>
    </row>
    <row r="683" spans="1:4" x14ac:dyDescent="0.2">
      <c r="A683">
        <v>228</v>
      </c>
      <c r="B683" t="s">
        <v>4897</v>
      </c>
      <c r="C683" t="s">
        <v>42</v>
      </c>
      <c r="D683" t="s">
        <v>4600</v>
      </c>
    </row>
    <row r="684" spans="1:4" x14ac:dyDescent="0.2">
      <c r="A684">
        <v>137</v>
      </c>
      <c r="B684" t="s">
        <v>4897</v>
      </c>
      <c r="C684" t="s">
        <v>42</v>
      </c>
      <c r="D684" t="s">
        <v>4600</v>
      </c>
    </row>
    <row r="685" spans="1:4" x14ac:dyDescent="0.2">
      <c r="A685">
        <v>723</v>
      </c>
      <c r="B685" t="s">
        <v>4897</v>
      </c>
      <c r="C685" t="s">
        <v>42</v>
      </c>
      <c r="D685" t="s">
        <v>4600</v>
      </c>
    </row>
    <row r="686" spans="1:4" x14ac:dyDescent="0.2">
      <c r="A686">
        <v>287</v>
      </c>
      <c r="B686" t="s">
        <v>4897</v>
      </c>
      <c r="C686" t="s">
        <v>42</v>
      </c>
      <c r="D686" t="s">
        <v>4600</v>
      </c>
    </row>
    <row r="687" spans="1:4" x14ac:dyDescent="0.2">
      <c r="A687">
        <v>101</v>
      </c>
      <c r="B687" t="s">
        <v>4897</v>
      </c>
      <c r="C687" t="s">
        <v>42</v>
      </c>
      <c r="D687" t="s">
        <v>4600</v>
      </c>
    </row>
    <row r="688" spans="1:4" x14ac:dyDescent="0.2">
      <c r="A688">
        <v>78</v>
      </c>
      <c r="B688" t="s">
        <v>4897</v>
      </c>
      <c r="C688" t="s">
        <v>42</v>
      </c>
      <c r="D688" t="s">
        <v>4600</v>
      </c>
    </row>
    <row r="689" spans="1:4" x14ac:dyDescent="0.2">
      <c r="A689">
        <v>227</v>
      </c>
      <c r="B689" t="s">
        <v>4897</v>
      </c>
      <c r="C689" t="s">
        <v>42</v>
      </c>
      <c r="D689" t="s">
        <v>4600</v>
      </c>
    </row>
    <row r="690" spans="1:4" x14ac:dyDescent="0.2">
      <c r="A690">
        <v>8</v>
      </c>
      <c r="B690" t="s">
        <v>4897</v>
      </c>
      <c r="C690" t="s">
        <v>42</v>
      </c>
      <c r="D690" t="s">
        <v>4600</v>
      </c>
    </row>
    <row r="691" spans="1:4" x14ac:dyDescent="0.2">
      <c r="A691">
        <v>32</v>
      </c>
      <c r="B691" t="s">
        <v>4897</v>
      </c>
      <c r="C691" t="s">
        <v>42</v>
      </c>
      <c r="D691" t="s">
        <v>4600</v>
      </c>
    </row>
    <row r="692" spans="1:4" x14ac:dyDescent="0.2">
      <c r="A692">
        <v>570</v>
      </c>
      <c r="B692" t="s">
        <v>4897</v>
      </c>
      <c r="C692" t="s">
        <v>42</v>
      </c>
      <c r="D692" t="s">
        <v>4600</v>
      </c>
    </row>
    <row r="693" spans="1:4" x14ac:dyDescent="0.2">
      <c r="A693">
        <v>771</v>
      </c>
      <c r="B693" t="s">
        <v>4897</v>
      </c>
      <c r="C693" t="s">
        <v>42</v>
      </c>
      <c r="D693" t="s">
        <v>4600</v>
      </c>
    </row>
    <row r="694" spans="1:4" x14ac:dyDescent="0.2">
      <c r="A694">
        <v>762</v>
      </c>
      <c r="B694" t="s">
        <v>4897</v>
      </c>
      <c r="C694" t="s">
        <v>42</v>
      </c>
      <c r="D694" t="s">
        <v>4600</v>
      </c>
    </row>
    <row r="695" spans="1:4" x14ac:dyDescent="0.2">
      <c r="A695">
        <v>610</v>
      </c>
      <c r="B695" t="s">
        <v>4897</v>
      </c>
      <c r="C695" t="s">
        <v>42</v>
      </c>
      <c r="D695" t="s">
        <v>4600</v>
      </c>
    </row>
    <row r="696" spans="1:4" x14ac:dyDescent="0.2">
      <c r="A696">
        <v>414</v>
      </c>
      <c r="B696" t="s">
        <v>4897</v>
      </c>
      <c r="C696" t="s">
        <v>42</v>
      </c>
      <c r="D696" t="s">
        <v>4600</v>
      </c>
    </row>
    <row r="697" spans="1:4" x14ac:dyDescent="0.2">
      <c r="A697">
        <v>236</v>
      </c>
      <c r="B697" t="s">
        <v>4897</v>
      </c>
      <c r="C697" t="s">
        <v>42</v>
      </c>
      <c r="D697" t="s">
        <v>4600</v>
      </c>
    </row>
    <row r="698" spans="1:4" x14ac:dyDescent="0.2">
      <c r="A698">
        <v>273</v>
      </c>
      <c r="B698" t="s">
        <v>4897</v>
      </c>
      <c r="C698" t="s">
        <v>42</v>
      </c>
      <c r="D698" t="s">
        <v>4600</v>
      </c>
    </row>
    <row r="699" spans="1:4" x14ac:dyDescent="0.2">
      <c r="A699">
        <v>343</v>
      </c>
      <c r="B699" t="s">
        <v>4897</v>
      </c>
      <c r="C699" t="s">
        <v>42</v>
      </c>
      <c r="D699" t="s">
        <v>4600</v>
      </c>
    </row>
    <row r="700" spans="1:4" x14ac:dyDescent="0.2">
      <c r="A700">
        <v>353</v>
      </c>
      <c r="B700" t="s">
        <v>4897</v>
      </c>
      <c r="C700" t="s">
        <v>42</v>
      </c>
      <c r="D700" t="s">
        <v>4600</v>
      </c>
    </row>
    <row r="701" spans="1:4" x14ac:dyDescent="0.2">
      <c r="A701">
        <v>522</v>
      </c>
      <c r="B701" t="s">
        <v>4897</v>
      </c>
      <c r="C701" t="s">
        <v>42</v>
      </c>
      <c r="D701" t="s">
        <v>4600</v>
      </c>
    </row>
    <row r="702" spans="1:4" x14ac:dyDescent="0.2">
      <c r="A702">
        <v>674</v>
      </c>
      <c r="B702" t="s">
        <v>4897</v>
      </c>
      <c r="C702" t="s">
        <v>42</v>
      </c>
      <c r="D702" t="s">
        <v>4600</v>
      </c>
    </row>
    <row r="703" spans="1:4" x14ac:dyDescent="0.2">
      <c r="A703">
        <v>734</v>
      </c>
      <c r="B703" t="s">
        <v>4897</v>
      </c>
      <c r="C703" t="s">
        <v>42</v>
      </c>
      <c r="D703" t="s">
        <v>4600</v>
      </c>
    </row>
    <row r="704" spans="1:4" x14ac:dyDescent="0.2">
      <c r="A704">
        <v>737</v>
      </c>
      <c r="B704" t="s">
        <v>4897</v>
      </c>
      <c r="C704" t="s">
        <v>42</v>
      </c>
      <c r="D704" t="s">
        <v>4600</v>
      </c>
    </row>
    <row r="705" spans="1:4" x14ac:dyDescent="0.2">
      <c r="A705">
        <v>629</v>
      </c>
      <c r="B705" t="s">
        <v>4897</v>
      </c>
      <c r="C705" t="s">
        <v>42</v>
      </c>
      <c r="D705" t="s">
        <v>4600</v>
      </c>
    </row>
    <row r="706" spans="1:4" x14ac:dyDescent="0.2">
      <c r="A706">
        <v>22</v>
      </c>
      <c r="B706" t="s">
        <v>4897</v>
      </c>
      <c r="C706" t="s">
        <v>42</v>
      </c>
      <c r="D706" t="s">
        <v>4600</v>
      </c>
    </row>
    <row r="707" spans="1:4" x14ac:dyDescent="0.2">
      <c r="A707">
        <v>703</v>
      </c>
      <c r="B707" t="s">
        <v>4897</v>
      </c>
      <c r="C707" t="s">
        <v>42</v>
      </c>
      <c r="D707" t="s">
        <v>4600</v>
      </c>
    </row>
    <row r="708" spans="1:4" x14ac:dyDescent="0.2">
      <c r="A708">
        <v>270</v>
      </c>
      <c r="B708" t="s">
        <v>4897</v>
      </c>
      <c r="C708" t="s">
        <v>42</v>
      </c>
      <c r="D708" t="s">
        <v>4600</v>
      </c>
    </row>
    <row r="709" spans="1:4" x14ac:dyDescent="0.2">
      <c r="A709">
        <v>404</v>
      </c>
      <c r="B709" t="s">
        <v>4897</v>
      </c>
      <c r="C709" t="s">
        <v>42</v>
      </c>
      <c r="D709" t="s">
        <v>4600</v>
      </c>
    </row>
    <row r="710" spans="1:4" x14ac:dyDescent="0.2">
      <c r="A710">
        <v>499</v>
      </c>
      <c r="B710" t="s">
        <v>4897</v>
      </c>
      <c r="C710" t="s">
        <v>42</v>
      </c>
      <c r="D710" t="s">
        <v>4600</v>
      </c>
    </row>
    <row r="711" spans="1:4" x14ac:dyDescent="0.2">
      <c r="A711">
        <v>656</v>
      </c>
      <c r="B711" t="s">
        <v>4897</v>
      </c>
      <c r="C711" t="s">
        <v>42</v>
      </c>
      <c r="D711" t="s">
        <v>4600</v>
      </c>
    </row>
    <row r="712" spans="1:4" x14ac:dyDescent="0.2">
      <c r="A712">
        <v>548</v>
      </c>
      <c r="B712" t="s">
        <v>4897</v>
      </c>
      <c r="C712" t="s">
        <v>42</v>
      </c>
      <c r="D712" t="s">
        <v>4600</v>
      </c>
    </row>
    <row r="713" spans="1:4" x14ac:dyDescent="0.2">
      <c r="A713">
        <v>165</v>
      </c>
      <c r="B713" t="s">
        <v>4897</v>
      </c>
      <c r="C713" t="s">
        <v>42</v>
      </c>
      <c r="D713" t="s">
        <v>4600</v>
      </c>
    </row>
    <row r="714" spans="1:4" x14ac:dyDescent="0.2">
      <c r="A714">
        <v>219</v>
      </c>
      <c r="B714" t="s">
        <v>4897</v>
      </c>
      <c r="C714" t="s">
        <v>42</v>
      </c>
      <c r="D714" t="s">
        <v>4600</v>
      </c>
    </row>
    <row r="715" spans="1:4" x14ac:dyDescent="0.2">
      <c r="A715">
        <v>526</v>
      </c>
      <c r="B715" t="s">
        <v>4897</v>
      </c>
      <c r="C715" t="s">
        <v>42</v>
      </c>
      <c r="D715" t="s">
        <v>4600</v>
      </c>
    </row>
    <row r="716" spans="1:4" x14ac:dyDescent="0.2">
      <c r="A716">
        <v>4</v>
      </c>
      <c r="B716" t="s">
        <v>4897</v>
      </c>
      <c r="C716" t="s">
        <v>42</v>
      </c>
      <c r="D716" t="s">
        <v>4600</v>
      </c>
    </row>
    <row r="717" spans="1:4" x14ac:dyDescent="0.2">
      <c r="A717">
        <v>72</v>
      </c>
      <c r="B717" t="s">
        <v>4897</v>
      </c>
      <c r="C717" t="s">
        <v>42</v>
      </c>
      <c r="D717" t="s">
        <v>4600</v>
      </c>
    </row>
    <row r="718" spans="1:4" x14ac:dyDescent="0.2">
      <c r="A718">
        <v>122</v>
      </c>
      <c r="B718" t="s">
        <v>4897</v>
      </c>
      <c r="C718" t="s">
        <v>42</v>
      </c>
      <c r="D718" t="s">
        <v>4600</v>
      </c>
    </row>
    <row r="719" spans="1:4" x14ac:dyDescent="0.2">
      <c r="A719">
        <v>184</v>
      </c>
      <c r="B719" t="s">
        <v>4897</v>
      </c>
      <c r="C719" t="s">
        <v>42</v>
      </c>
      <c r="D719" t="s">
        <v>4600</v>
      </c>
    </row>
    <row r="720" spans="1:4" x14ac:dyDescent="0.2">
      <c r="A720">
        <v>562</v>
      </c>
      <c r="B720" t="s">
        <v>4897</v>
      </c>
      <c r="C720" t="s">
        <v>42</v>
      </c>
      <c r="D720" t="s">
        <v>4600</v>
      </c>
    </row>
    <row r="721" spans="1:4" x14ac:dyDescent="0.2">
      <c r="A721">
        <v>392</v>
      </c>
      <c r="B721" t="s">
        <v>4897</v>
      </c>
      <c r="C721" t="s">
        <v>42</v>
      </c>
      <c r="D721" t="s">
        <v>4600</v>
      </c>
    </row>
    <row r="722" spans="1:4" x14ac:dyDescent="0.2">
      <c r="A722">
        <v>20</v>
      </c>
      <c r="B722" t="s">
        <v>4897</v>
      </c>
      <c r="C722" t="s">
        <v>42</v>
      </c>
      <c r="D722" t="s">
        <v>4600</v>
      </c>
    </row>
    <row r="723" spans="1:4" x14ac:dyDescent="0.2">
      <c r="A723">
        <v>561</v>
      </c>
      <c r="B723" t="s">
        <v>4897</v>
      </c>
      <c r="C723" t="s">
        <v>42</v>
      </c>
      <c r="D723" t="s">
        <v>4600</v>
      </c>
    </row>
    <row r="724" spans="1:4" x14ac:dyDescent="0.2">
      <c r="A724">
        <v>700</v>
      </c>
      <c r="B724" t="s">
        <v>4897</v>
      </c>
      <c r="C724" t="s">
        <v>42</v>
      </c>
      <c r="D724" t="s">
        <v>4600</v>
      </c>
    </row>
    <row r="725" spans="1:4" x14ac:dyDescent="0.2">
      <c r="A725">
        <v>325</v>
      </c>
      <c r="B725" t="s">
        <v>4897</v>
      </c>
      <c r="C725" t="s">
        <v>42</v>
      </c>
      <c r="D725" t="s">
        <v>4600</v>
      </c>
    </row>
    <row r="726" spans="1:4" x14ac:dyDescent="0.2">
      <c r="A726">
        <v>436</v>
      </c>
      <c r="B726" t="s">
        <v>4897</v>
      </c>
      <c r="C726" t="s">
        <v>42</v>
      </c>
      <c r="D726" t="s">
        <v>4600</v>
      </c>
    </row>
    <row r="727" spans="1:4" x14ac:dyDescent="0.2">
      <c r="A727">
        <v>533</v>
      </c>
      <c r="B727" t="s">
        <v>4897</v>
      </c>
      <c r="C727" t="s">
        <v>42</v>
      </c>
      <c r="D727" t="s">
        <v>4600</v>
      </c>
    </row>
    <row r="728" spans="1:4" x14ac:dyDescent="0.2">
      <c r="A728">
        <v>730</v>
      </c>
      <c r="B728" t="s">
        <v>4897</v>
      </c>
      <c r="C728" t="s">
        <v>42</v>
      </c>
      <c r="D728" t="s">
        <v>4600</v>
      </c>
    </row>
    <row r="729" spans="1:4" x14ac:dyDescent="0.2">
      <c r="A729">
        <v>782</v>
      </c>
      <c r="B729" t="s">
        <v>4897</v>
      </c>
      <c r="C729" t="s">
        <v>42</v>
      </c>
      <c r="D729" t="s">
        <v>4600</v>
      </c>
    </row>
    <row r="730" spans="1:4" x14ac:dyDescent="0.2">
      <c r="A730">
        <v>620</v>
      </c>
      <c r="B730" t="s">
        <v>4897</v>
      </c>
      <c r="C730" t="s">
        <v>42</v>
      </c>
      <c r="D730" t="s">
        <v>4600</v>
      </c>
    </row>
    <row r="731" spans="1:4" x14ac:dyDescent="0.2">
      <c r="A731">
        <v>539</v>
      </c>
      <c r="B731" t="s">
        <v>4897</v>
      </c>
      <c r="C731" t="s">
        <v>42</v>
      </c>
      <c r="D731" t="s">
        <v>4600</v>
      </c>
    </row>
    <row r="732" spans="1:4" x14ac:dyDescent="0.2">
      <c r="A732">
        <v>87</v>
      </c>
      <c r="B732" t="s">
        <v>4897</v>
      </c>
      <c r="C732" t="s">
        <v>42</v>
      </c>
      <c r="D732" t="s">
        <v>4600</v>
      </c>
    </row>
    <row r="733" spans="1:4" x14ac:dyDescent="0.2">
      <c r="A733">
        <v>36</v>
      </c>
      <c r="B733" t="s">
        <v>4897</v>
      </c>
      <c r="C733" t="s">
        <v>42</v>
      </c>
      <c r="D733" t="s">
        <v>4600</v>
      </c>
    </row>
    <row r="734" spans="1:4" x14ac:dyDescent="0.2">
      <c r="A734">
        <v>468</v>
      </c>
      <c r="B734" t="s">
        <v>4897</v>
      </c>
      <c r="C734" t="s">
        <v>42</v>
      </c>
      <c r="D734" t="s">
        <v>4600</v>
      </c>
    </row>
    <row r="735" spans="1:4" x14ac:dyDescent="0.2">
      <c r="A735">
        <v>770</v>
      </c>
      <c r="B735" t="s">
        <v>4897</v>
      </c>
      <c r="C735" t="s">
        <v>42</v>
      </c>
      <c r="D735" t="s">
        <v>4600</v>
      </c>
    </row>
    <row r="736" spans="1:4" x14ac:dyDescent="0.2">
      <c r="A736">
        <v>418</v>
      </c>
      <c r="B736" t="s">
        <v>4897</v>
      </c>
      <c r="C736" t="s">
        <v>42</v>
      </c>
      <c r="D736" t="s">
        <v>4600</v>
      </c>
    </row>
    <row r="737" spans="1:4" x14ac:dyDescent="0.2">
      <c r="A737">
        <v>659</v>
      </c>
      <c r="B737" t="s">
        <v>4897</v>
      </c>
      <c r="C737" t="s">
        <v>42</v>
      </c>
      <c r="D737" t="s">
        <v>4600</v>
      </c>
    </row>
    <row r="738" spans="1:4" x14ac:dyDescent="0.2">
      <c r="A738">
        <v>540</v>
      </c>
      <c r="B738" t="s">
        <v>4897</v>
      </c>
      <c r="C738" t="s">
        <v>42</v>
      </c>
      <c r="D738" t="s">
        <v>4600</v>
      </c>
    </row>
    <row r="739" spans="1:4" x14ac:dyDescent="0.2">
      <c r="A739">
        <v>349</v>
      </c>
      <c r="B739" t="s">
        <v>4897</v>
      </c>
      <c r="C739" t="s">
        <v>42</v>
      </c>
      <c r="D739" t="s">
        <v>4600</v>
      </c>
    </row>
    <row r="740" spans="1:4" x14ac:dyDescent="0.2">
      <c r="A740">
        <v>53</v>
      </c>
      <c r="B740" t="s">
        <v>4897</v>
      </c>
      <c r="C740" t="s">
        <v>42</v>
      </c>
      <c r="D740" t="s">
        <v>4600</v>
      </c>
    </row>
    <row r="741" spans="1:4" x14ac:dyDescent="0.2">
      <c r="A741">
        <v>452</v>
      </c>
      <c r="B741" t="s">
        <v>4897</v>
      </c>
      <c r="C741" t="s">
        <v>42</v>
      </c>
      <c r="D741" t="s">
        <v>4600</v>
      </c>
    </row>
    <row r="742" spans="1:4" x14ac:dyDescent="0.2">
      <c r="A742">
        <v>715</v>
      </c>
      <c r="B742" t="s">
        <v>4897</v>
      </c>
      <c r="C742" t="s">
        <v>42</v>
      </c>
      <c r="D742" t="s">
        <v>4600</v>
      </c>
    </row>
    <row r="743" spans="1:4" x14ac:dyDescent="0.2">
      <c r="A743">
        <v>661</v>
      </c>
      <c r="B743" t="s">
        <v>4897</v>
      </c>
      <c r="C743" t="s">
        <v>42</v>
      </c>
      <c r="D743" t="s">
        <v>4600</v>
      </c>
    </row>
    <row r="744" spans="1:4" x14ac:dyDescent="0.2">
      <c r="A744">
        <v>361</v>
      </c>
      <c r="B744" t="s">
        <v>4897</v>
      </c>
      <c r="C744" t="s">
        <v>42</v>
      </c>
      <c r="D744" t="s">
        <v>4600</v>
      </c>
    </row>
    <row r="745" spans="1:4" x14ac:dyDescent="0.2">
      <c r="A745">
        <v>488</v>
      </c>
      <c r="B745" t="s">
        <v>4897</v>
      </c>
      <c r="C745" t="s">
        <v>42</v>
      </c>
      <c r="D745" t="s">
        <v>4600</v>
      </c>
    </row>
    <row r="746" spans="1:4" x14ac:dyDescent="0.2">
      <c r="A746">
        <v>466</v>
      </c>
      <c r="B746" t="s">
        <v>4897</v>
      </c>
      <c r="C746" t="s">
        <v>42</v>
      </c>
      <c r="D746" t="s">
        <v>4600</v>
      </c>
    </row>
    <row r="747" spans="1:4" x14ac:dyDescent="0.2">
      <c r="A747">
        <v>93</v>
      </c>
      <c r="B747" t="s">
        <v>4897</v>
      </c>
      <c r="C747" t="s">
        <v>42</v>
      </c>
      <c r="D747" t="s">
        <v>4600</v>
      </c>
    </row>
    <row r="748" spans="1:4" x14ac:dyDescent="0.2">
      <c r="A748">
        <v>446</v>
      </c>
      <c r="B748" t="s">
        <v>4897</v>
      </c>
      <c r="C748" t="s">
        <v>42</v>
      </c>
      <c r="D748" t="s">
        <v>4600</v>
      </c>
    </row>
    <row r="749" spans="1:4" x14ac:dyDescent="0.2">
      <c r="A749">
        <v>752</v>
      </c>
      <c r="B749" t="s">
        <v>4897</v>
      </c>
      <c r="C749" t="s">
        <v>42</v>
      </c>
      <c r="D749" t="s">
        <v>4600</v>
      </c>
    </row>
    <row r="750" spans="1:4" x14ac:dyDescent="0.2">
      <c r="A750">
        <v>44</v>
      </c>
      <c r="B750" t="s">
        <v>4897</v>
      </c>
      <c r="C750" t="s">
        <v>42</v>
      </c>
      <c r="D750" t="s">
        <v>4600</v>
      </c>
    </row>
    <row r="751" spans="1:4" x14ac:dyDescent="0.2">
      <c r="A751">
        <v>271</v>
      </c>
      <c r="B751" t="s">
        <v>4897</v>
      </c>
      <c r="C751" t="s">
        <v>42</v>
      </c>
      <c r="D751" t="s">
        <v>4600</v>
      </c>
    </row>
    <row r="752" spans="1:4" x14ac:dyDescent="0.2">
      <c r="A752">
        <v>600</v>
      </c>
      <c r="B752" t="s">
        <v>4897</v>
      </c>
      <c r="C752" t="s">
        <v>42</v>
      </c>
      <c r="D752" t="s">
        <v>4600</v>
      </c>
    </row>
    <row r="753" spans="1:4" x14ac:dyDescent="0.2">
      <c r="A753">
        <v>675</v>
      </c>
      <c r="B753" t="s">
        <v>4897</v>
      </c>
      <c r="C753" t="s">
        <v>42</v>
      </c>
      <c r="D753" t="s">
        <v>4600</v>
      </c>
    </row>
    <row r="754" spans="1:4" x14ac:dyDescent="0.2">
      <c r="A754">
        <v>24</v>
      </c>
      <c r="B754" t="s">
        <v>4897</v>
      </c>
      <c r="C754" t="s">
        <v>42</v>
      </c>
      <c r="D754" t="s">
        <v>4600</v>
      </c>
    </row>
    <row r="755" spans="1:4" x14ac:dyDescent="0.2">
      <c r="A755">
        <v>518</v>
      </c>
      <c r="B755" t="s">
        <v>4897</v>
      </c>
      <c r="C755" t="s">
        <v>42</v>
      </c>
      <c r="D755" t="s">
        <v>4600</v>
      </c>
    </row>
    <row r="756" spans="1:4" x14ac:dyDescent="0.2">
      <c r="A756">
        <v>158</v>
      </c>
      <c r="B756" t="s">
        <v>4897</v>
      </c>
      <c r="C756" t="s">
        <v>42</v>
      </c>
      <c r="D756" t="s">
        <v>4600</v>
      </c>
    </row>
    <row r="757" spans="1:4" x14ac:dyDescent="0.2">
      <c r="A757">
        <v>305</v>
      </c>
      <c r="B757" t="s">
        <v>4897</v>
      </c>
      <c r="C757" t="s">
        <v>42</v>
      </c>
      <c r="D757" t="s">
        <v>4600</v>
      </c>
    </row>
    <row r="758" spans="1:4" x14ac:dyDescent="0.2">
      <c r="A758">
        <v>77</v>
      </c>
      <c r="B758" t="s">
        <v>4897</v>
      </c>
      <c r="C758" t="s">
        <v>42</v>
      </c>
      <c r="D758" t="s">
        <v>4600</v>
      </c>
    </row>
    <row r="759" spans="1:4" x14ac:dyDescent="0.2">
      <c r="A759">
        <v>28</v>
      </c>
      <c r="B759" t="s">
        <v>4897</v>
      </c>
      <c r="C759" t="s">
        <v>42</v>
      </c>
      <c r="D759" t="s">
        <v>4600</v>
      </c>
    </row>
    <row r="760" spans="1:4" x14ac:dyDescent="0.2">
      <c r="A760">
        <v>694</v>
      </c>
      <c r="B760" t="s">
        <v>4897</v>
      </c>
      <c r="C760" t="s">
        <v>42</v>
      </c>
      <c r="D760" t="s">
        <v>4600</v>
      </c>
    </row>
    <row r="761" spans="1:4" x14ac:dyDescent="0.2">
      <c r="A761">
        <v>615</v>
      </c>
      <c r="B761" t="s">
        <v>4897</v>
      </c>
      <c r="C761" t="s">
        <v>42</v>
      </c>
      <c r="D761" t="s">
        <v>4600</v>
      </c>
    </row>
    <row r="762" spans="1:4" x14ac:dyDescent="0.2">
      <c r="A762">
        <v>267</v>
      </c>
      <c r="B762" t="s">
        <v>4897</v>
      </c>
      <c r="C762" t="s">
        <v>42</v>
      </c>
      <c r="D762" t="s">
        <v>4600</v>
      </c>
    </row>
    <row r="763" spans="1:4" x14ac:dyDescent="0.2">
      <c r="A763">
        <v>226</v>
      </c>
      <c r="B763" t="s">
        <v>4897</v>
      </c>
      <c r="C763" t="s">
        <v>42</v>
      </c>
      <c r="D763" t="s">
        <v>4600</v>
      </c>
    </row>
    <row r="764" spans="1:4" x14ac:dyDescent="0.2">
      <c r="A764">
        <v>136</v>
      </c>
      <c r="B764" t="s">
        <v>4897</v>
      </c>
      <c r="C764" t="s">
        <v>42</v>
      </c>
      <c r="D764" t="s">
        <v>4600</v>
      </c>
    </row>
    <row r="765" spans="1:4" x14ac:dyDescent="0.2">
      <c r="A765">
        <v>640</v>
      </c>
      <c r="B765" t="s">
        <v>4897</v>
      </c>
      <c r="C765" t="s">
        <v>42</v>
      </c>
      <c r="D765" t="s">
        <v>4600</v>
      </c>
    </row>
    <row r="766" spans="1:4" x14ac:dyDescent="0.2">
      <c r="A766">
        <v>324</v>
      </c>
      <c r="B766" t="s">
        <v>4897</v>
      </c>
      <c r="C766" t="s">
        <v>42</v>
      </c>
      <c r="D766" t="s">
        <v>4600</v>
      </c>
    </row>
    <row r="767" spans="1:4" x14ac:dyDescent="0.2">
      <c r="A767">
        <v>796</v>
      </c>
      <c r="B767" t="s">
        <v>4897</v>
      </c>
      <c r="C767" t="s">
        <v>42</v>
      </c>
      <c r="D767" t="s">
        <v>4600</v>
      </c>
    </row>
    <row r="768" spans="1:4" x14ac:dyDescent="0.2">
      <c r="A768">
        <v>352</v>
      </c>
      <c r="B768" t="s">
        <v>4897</v>
      </c>
      <c r="C768" t="s">
        <v>42</v>
      </c>
      <c r="D768" t="s">
        <v>4600</v>
      </c>
    </row>
    <row r="769" spans="1:4" x14ac:dyDescent="0.2">
      <c r="A769">
        <v>606</v>
      </c>
      <c r="B769" t="s">
        <v>4897</v>
      </c>
      <c r="C769" t="s">
        <v>42</v>
      </c>
      <c r="D769" t="s">
        <v>4600</v>
      </c>
    </row>
    <row r="770" spans="1:4" x14ac:dyDescent="0.2">
      <c r="A770">
        <v>799</v>
      </c>
      <c r="B770" t="s">
        <v>4897</v>
      </c>
      <c r="C770" t="s">
        <v>42</v>
      </c>
      <c r="D770" t="s">
        <v>4600</v>
      </c>
    </row>
    <row r="771" spans="1:4" x14ac:dyDescent="0.2">
      <c r="A771">
        <v>710</v>
      </c>
      <c r="B771" t="s">
        <v>4897</v>
      </c>
      <c r="C771" t="s">
        <v>42</v>
      </c>
      <c r="D771" t="s">
        <v>4600</v>
      </c>
    </row>
    <row r="772" spans="1:4" x14ac:dyDescent="0.2">
      <c r="A772">
        <v>465</v>
      </c>
      <c r="B772" t="s">
        <v>4897</v>
      </c>
      <c r="C772" t="s">
        <v>42</v>
      </c>
      <c r="D772" t="s">
        <v>4600</v>
      </c>
    </row>
    <row r="773" spans="1:4" x14ac:dyDescent="0.2">
      <c r="A773">
        <v>639</v>
      </c>
      <c r="B773" t="s">
        <v>4897</v>
      </c>
      <c r="C773" t="s">
        <v>42</v>
      </c>
      <c r="D773" t="s">
        <v>4600</v>
      </c>
    </row>
    <row r="774" spans="1:4" x14ac:dyDescent="0.2">
      <c r="A774">
        <v>577</v>
      </c>
      <c r="B774" t="s">
        <v>4897</v>
      </c>
      <c r="C774" t="s">
        <v>42</v>
      </c>
      <c r="D774" t="s">
        <v>4600</v>
      </c>
    </row>
    <row r="775" spans="1:4" x14ac:dyDescent="0.2">
      <c r="A775">
        <v>616</v>
      </c>
      <c r="B775" t="s">
        <v>4897</v>
      </c>
      <c r="C775" t="s">
        <v>42</v>
      </c>
      <c r="D775" t="s">
        <v>4600</v>
      </c>
    </row>
    <row r="776" spans="1:4" x14ac:dyDescent="0.2">
      <c r="A776">
        <v>417</v>
      </c>
      <c r="B776" t="s">
        <v>4897</v>
      </c>
      <c r="C776" t="s">
        <v>42</v>
      </c>
      <c r="D776" t="s">
        <v>4600</v>
      </c>
    </row>
    <row r="777" spans="1:4" x14ac:dyDescent="0.2">
      <c r="A777">
        <v>650</v>
      </c>
      <c r="B777" t="s">
        <v>4897</v>
      </c>
      <c r="C777" t="s">
        <v>42</v>
      </c>
      <c r="D777" t="s">
        <v>4600</v>
      </c>
    </row>
    <row r="778" spans="1:4" x14ac:dyDescent="0.2">
      <c r="A778">
        <v>34</v>
      </c>
      <c r="B778" t="s">
        <v>4897</v>
      </c>
      <c r="C778" t="s">
        <v>42</v>
      </c>
      <c r="D778" t="s">
        <v>4600</v>
      </c>
    </row>
    <row r="779" spans="1:4" x14ac:dyDescent="0.2">
      <c r="A779">
        <v>690</v>
      </c>
      <c r="B779" t="s">
        <v>4897</v>
      </c>
      <c r="C779" t="s">
        <v>42</v>
      </c>
      <c r="D779" t="s">
        <v>4600</v>
      </c>
    </row>
    <row r="780" spans="1:4" x14ac:dyDescent="0.2">
      <c r="A780">
        <v>794</v>
      </c>
      <c r="B780" t="s">
        <v>4897</v>
      </c>
      <c r="C780" t="s">
        <v>42</v>
      </c>
      <c r="D780" t="s">
        <v>4600</v>
      </c>
    </row>
    <row r="781" spans="1:4" x14ac:dyDescent="0.2">
      <c r="A781">
        <v>769</v>
      </c>
      <c r="B781" t="s">
        <v>4897</v>
      </c>
      <c r="C781" t="s">
        <v>42</v>
      </c>
      <c r="D781" t="s">
        <v>4600</v>
      </c>
    </row>
    <row r="782" spans="1:4" x14ac:dyDescent="0.2">
      <c r="A782">
        <v>176</v>
      </c>
      <c r="B782" t="s">
        <v>4897</v>
      </c>
      <c r="C782" t="s">
        <v>42</v>
      </c>
      <c r="D782" t="s">
        <v>4600</v>
      </c>
    </row>
    <row r="783" spans="1:4" x14ac:dyDescent="0.2">
      <c r="A783">
        <v>534</v>
      </c>
      <c r="B783" t="s">
        <v>4897</v>
      </c>
      <c r="C783" t="s">
        <v>42</v>
      </c>
      <c r="D783" t="s">
        <v>4600</v>
      </c>
    </row>
    <row r="784" spans="1:4" x14ac:dyDescent="0.2">
      <c r="A784">
        <v>692</v>
      </c>
      <c r="B784" t="s">
        <v>4897</v>
      </c>
      <c r="C784" t="s">
        <v>42</v>
      </c>
      <c r="D784" t="s">
        <v>4600</v>
      </c>
    </row>
    <row r="785" spans="1:4" x14ac:dyDescent="0.2">
      <c r="A785">
        <v>772</v>
      </c>
      <c r="B785" t="s">
        <v>4897</v>
      </c>
      <c r="C785" t="s">
        <v>42</v>
      </c>
      <c r="D785" t="s">
        <v>4600</v>
      </c>
    </row>
    <row r="786" spans="1:4" x14ac:dyDescent="0.2">
      <c r="A786">
        <v>133</v>
      </c>
      <c r="B786" t="s">
        <v>4897</v>
      </c>
      <c r="C786" t="s">
        <v>42</v>
      </c>
      <c r="D786" t="s">
        <v>4600</v>
      </c>
    </row>
    <row r="787" spans="1:4" x14ac:dyDescent="0.2">
      <c r="A787">
        <v>800</v>
      </c>
      <c r="B787" t="s">
        <v>4897</v>
      </c>
      <c r="C787" t="s">
        <v>42</v>
      </c>
      <c r="D787" t="s">
        <v>4600</v>
      </c>
    </row>
    <row r="788" spans="1:4" x14ac:dyDescent="0.2">
      <c r="A788">
        <v>229</v>
      </c>
      <c r="B788" t="s">
        <v>4897</v>
      </c>
      <c r="C788" t="s">
        <v>42</v>
      </c>
      <c r="D788" t="s">
        <v>4600</v>
      </c>
    </row>
    <row r="789" spans="1:4" x14ac:dyDescent="0.2">
      <c r="A789">
        <v>725</v>
      </c>
      <c r="B789" t="s">
        <v>4897</v>
      </c>
      <c r="C789" t="s">
        <v>42</v>
      </c>
      <c r="D789" t="s">
        <v>4600</v>
      </c>
    </row>
    <row r="790" spans="1:4" x14ac:dyDescent="0.2">
      <c r="A790">
        <v>86</v>
      </c>
      <c r="B790" t="s">
        <v>4897</v>
      </c>
      <c r="C790" t="s">
        <v>42</v>
      </c>
      <c r="D790" t="s">
        <v>4600</v>
      </c>
    </row>
    <row r="791" spans="1:4" x14ac:dyDescent="0.2">
      <c r="A791">
        <v>160</v>
      </c>
      <c r="B791" t="s">
        <v>4897</v>
      </c>
      <c r="C791" t="s">
        <v>42</v>
      </c>
      <c r="D791" t="s">
        <v>4600</v>
      </c>
    </row>
    <row r="792" spans="1:4" x14ac:dyDescent="0.2">
      <c r="A792">
        <v>57</v>
      </c>
      <c r="B792" t="s">
        <v>4897</v>
      </c>
      <c r="C792" t="s">
        <v>42</v>
      </c>
      <c r="D792" t="s">
        <v>4600</v>
      </c>
    </row>
    <row r="793" spans="1:4" x14ac:dyDescent="0.2">
      <c r="A793">
        <v>407</v>
      </c>
      <c r="B793" t="s">
        <v>4897</v>
      </c>
      <c r="C793" t="s">
        <v>42</v>
      </c>
      <c r="D793" t="s">
        <v>4600</v>
      </c>
    </row>
    <row r="794" spans="1:4" x14ac:dyDescent="0.2">
      <c r="A794">
        <v>448</v>
      </c>
      <c r="B794" t="s">
        <v>4897</v>
      </c>
      <c r="C794" t="s">
        <v>42</v>
      </c>
      <c r="D794" t="s">
        <v>4600</v>
      </c>
    </row>
    <row r="795" spans="1:4" x14ac:dyDescent="0.2">
      <c r="A795">
        <v>467</v>
      </c>
      <c r="B795" t="s">
        <v>4897</v>
      </c>
      <c r="C795" t="s">
        <v>42</v>
      </c>
      <c r="D795" t="s">
        <v>4600</v>
      </c>
    </row>
    <row r="796" spans="1:4" x14ac:dyDescent="0.2">
      <c r="A796">
        <v>719</v>
      </c>
      <c r="B796" t="s">
        <v>4897</v>
      </c>
      <c r="C796" t="s">
        <v>42</v>
      </c>
      <c r="D796" t="s">
        <v>4600</v>
      </c>
    </row>
    <row r="797" spans="1:4" x14ac:dyDescent="0.2">
      <c r="A797">
        <v>411</v>
      </c>
      <c r="B797" t="s">
        <v>4897</v>
      </c>
      <c r="C797" t="s">
        <v>42</v>
      </c>
      <c r="D797" t="s">
        <v>4600</v>
      </c>
    </row>
    <row r="798" spans="1:4" x14ac:dyDescent="0.2">
      <c r="A798">
        <v>23</v>
      </c>
      <c r="B798" t="s">
        <v>4897</v>
      </c>
      <c r="C798" t="s">
        <v>42</v>
      </c>
      <c r="D798" t="s">
        <v>4600</v>
      </c>
    </row>
    <row r="799" spans="1:4" x14ac:dyDescent="0.2">
      <c r="A799">
        <v>367</v>
      </c>
      <c r="B799" t="s">
        <v>4897</v>
      </c>
      <c r="C799" t="s">
        <v>42</v>
      </c>
      <c r="D799" t="s">
        <v>4600</v>
      </c>
    </row>
    <row r="800" spans="1:4" x14ac:dyDescent="0.2">
      <c r="A800">
        <v>88</v>
      </c>
      <c r="B800" t="s">
        <v>4897</v>
      </c>
      <c r="C800" t="s">
        <v>42</v>
      </c>
      <c r="D800" t="s">
        <v>4600</v>
      </c>
    </row>
    <row r="801" spans="1:4" x14ac:dyDescent="0.2">
      <c r="A801">
        <v>554</v>
      </c>
      <c r="B801" t="s">
        <v>4897</v>
      </c>
      <c r="C801" t="s">
        <v>42</v>
      </c>
      <c r="D801" t="s">
        <v>4600</v>
      </c>
    </row>
    <row r="802" spans="1:4" x14ac:dyDescent="0.2">
      <c r="A802">
        <v>424</v>
      </c>
      <c r="B802" t="s">
        <v>4897</v>
      </c>
      <c r="C802" t="s">
        <v>42</v>
      </c>
      <c r="D802" t="s">
        <v>4600</v>
      </c>
    </row>
    <row r="803" spans="1:4" x14ac:dyDescent="0.2">
      <c r="A803">
        <v>714</v>
      </c>
      <c r="B803" t="s">
        <v>4897</v>
      </c>
      <c r="C803" t="s">
        <v>42</v>
      </c>
      <c r="D803" t="s">
        <v>4600</v>
      </c>
    </row>
    <row r="804" spans="1:4" x14ac:dyDescent="0.2">
      <c r="A804">
        <v>132</v>
      </c>
      <c r="B804" t="s">
        <v>4897</v>
      </c>
      <c r="C804" t="s">
        <v>42</v>
      </c>
      <c r="D804" t="s">
        <v>4600</v>
      </c>
    </row>
    <row r="805" spans="1:4" x14ac:dyDescent="0.2">
      <c r="A805">
        <v>390</v>
      </c>
      <c r="B805" t="s">
        <v>4897</v>
      </c>
      <c r="C805" t="s">
        <v>42</v>
      </c>
      <c r="D805" t="s">
        <v>4600</v>
      </c>
    </row>
    <row r="806" spans="1:4" x14ac:dyDescent="0.2">
      <c r="A806">
        <v>328</v>
      </c>
      <c r="B806" t="s">
        <v>4897</v>
      </c>
      <c r="C806" t="s">
        <v>42</v>
      </c>
      <c r="D806" t="s">
        <v>4600</v>
      </c>
    </row>
    <row r="807" spans="1:4" x14ac:dyDescent="0.2">
      <c r="A807">
        <v>216</v>
      </c>
      <c r="B807" t="s">
        <v>4897</v>
      </c>
      <c r="C807" t="s">
        <v>42</v>
      </c>
      <c r="D807" t="s">
        <v>4600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B9" sqref="B9"/>
    </sheetView>
  </sheetViews>
  <sheetFormatPr defaultRowHeight="14.25" x14ac:dyDescent="0.2"/>
  <cols>
    <col min="1" max="1" width="32.296875" customWidth="1"/>
    <col min="2" max="2" width="7.5" customWidth="1"/>
    <col min="4" max="4" width="6.69921875" style="20" customWidth="1"/>
  </cols>
  <sheetData>
    <row r="1" spans="1:13" ht="30" customHeight="1" x14ac:dyDescent="0.2">
      <c r="A1" t="s">
        <v>4975</v>
      </c>
    </row>
    <row r="2" spans="1:13" s="16" customFormat="1" ht="42.75" x14ac:dyDescent="0.2">
      <c r="A2" s="17" t="s">
        <v>4594</v>
      </c>
      <c r="B2" s="18" t="s">
        <v>4974</v>
      </c>
      <c r="C2" s="18" t="s">
        <v>4933</v>
      </c>
      <c r="D2" s="21" t="s">
        <v>4976</v>
      </c>
      <c r="H2" s="16" t="s">
        <v>4979</v>
      </c>
      <c r="I2" s="16" t="s">
        <v>4980</v>
      </c>
    </row>
    <row r="3" spans="1:13" x14ac:dyDescent="0.2">
      <c r="A3" s="19" t="s">
        <v>4903</v>
      </c>
      <c r="B3" s="19">
        <f>SUM(B5:B20)</f>
        <v>91</v>
      </c>
      <c r="C3" s="19">
        <f>SUM(C5:C20)</f>
        <v>478</v>
      </c>
      <c r="D3" s="22">
        <f>C3/B3</f>
        <v>5.2527472527472527</v>
      </c>
      <c r="G3" t="s">
        <v>4978</v>
      </c>
      <c r="H3" s="23">
        <v>91</v>
      </c>
      <c r="I3" s="23">
        <f>100*H3/806</f>
        <v>11.290322580645162</v>
      </c>
      <c r="K3" t="s">
        <v>4978</v>
      </c>
      <c r="L3" s="23">
        <v>478</v>
      </c>
      <c r="M3">
        <f>100*L3/1740</f>
        <v>27.471264367816094</v>
      </c>
    </row>
    <row r="4" spans="1:13" x14ac:dyDescent="0.2">
      <c r="A4" t="s">
        <v>4904</v>
      </c>
      <c r="G4" s="23" t="s">
        <v>4977</v>
      </c>
      <c r="H4" s="23">
        <v>253</v>
      </c>
      <c r="I4" s="23">
        <f t="shared" ref="I4:I6" si="0">100*H4/806</f>
        <v>31.389578163771713</v>
      </c>
      <c r="K4" s="23" t="s">
        <v>4977</v>
      </c>
      <c r="L4" s="23">
        <v>558</v>
      </c>
      <c r="M4">
        <f t="shared" ref="M4:M6" si="1">100*L4/1740</f>
        <v>32.068965517241381</v>
      </c>
    </row>
    <row r="5" spans="1:13" x14ac:dyDescent="0.2">
      <c r="A5" t="s">
        <v>4924</v>
      </c>
      <c r="B5">
        <v>21</v>
      </c>
      <c r="C5">
        <v>81</v>
      </c>
      <c r="D5" s="20">
        <f t="shared" ref="D5:D10" si="2">C5/B5</f>
        <v>3.8571428571428572</v>
      </c>
      <c r="G5" s="23" t="s">
        <v>4968</v>
      </c>
      <c r="H5" s="23">
        <v>3</v>
      </c>
      <c r="I5" s="23">
        <f t="shared" si="0"/>
        <v>0.37220843672456577</v>
      </c>
      <c r="K5" s="23" t="s">
        <v>4968</v>
      </c>
      <c r="L5" s="23">
        <v>4</v>
      </c>
      <c r="M5">
        <f t="shared" si="1"/>
        <v>0.22988505747126436</v>
      </c>
    </row>
    <row r="6" spans="1:13" x14ac:dyDescent="0.2">
      <c r="A6" t="s">
        <v>4926</v>
      </c>
      <c r="B6">
        <v>3</v>
      </c>
      <c r="C6">
        <v>13</v>
      </c>
      <c r="D6" s="20">
        <f t="shared" si="2"/>
        <v>4.333333333333333</v>
      </c>
      <c r="G6" s="23" t="s">
        <v>4897</v>
      </c>
      <c r="H6" s="23">
        <v>459</v>
      </c>
      <c r="I6" s="23">
        <f t="shared" si="0"/>
        <v>56.947890818858561</v>
      </c>
      <c r="K6" s="23" t="s">
        <v>4897</v>
      </c>
      <c r="L6" s="23">
        <v>700</v>
      </c>
      <c r="M6">
        <f t="shared" si="1"/>
        <v>40.229885057471265</v>
      </c>
    </row>
    <row r="7" spans="1:13" x14ac:dyDescent="0.2">
      <c r="A7" t="s">
        <v>4927</v>
      </c>
      <c r="B7">
        <v>2</v>
      </c>
      <c r="C7">
        <v>2</v>
      </c>
      <c r="D7" s="20">
        <f t="shared" si="2"/>
        <v>1</v>
      </c>
    </row>
    <row r="8" spans="1:13" x14ac:dyDescent="0.2">
      <c r="A8" t="s">
        <v>4905</v>
      </c>
      <c r="B8">
        <v>4</v>
      </c>
      <c r="C8">
        <v>16</v>
      </c>
      <c r="D8" s="20">
        <f t="shared" si="2"/>
        <v>4</v>
      </c>
      <c r="H8">
        <f>SUM(H3:H6)</f>
        <v>806</v>
      </c>
      <c r="I8">
        <f>SUM(I3:I6)</f>
        <v>100</v>
      </c>
      <c r="L8">
        <f>SUM(L3:L6)</f>
        <v>1740</v>
      </c>
      <c r="M8">
        <f>SUM(M3:M6)</f>
        <v>100</v>
      </c>
    </row>
    <row r="9" spans="1:13" x14ac:dyDescent="0.2">
      <c r="A9" t="s">
        <v>4925</v>
      </c>
      <c r="B9">
        <v>3</v>
      </c>
      <c r="C9">
        <v>15</v>
      </c>
      <c r="D9" s="20">
        <f t="shared" si="2"/>
        <v>5</v>
      </c>
    </row>
    <row r="10" spans="1:13" x14ac:dyDescent="0.2">
      <c r="A10" t="s">
        <v>4938</v>
      </c>
      <c r="B10">
        <v>3</v>
      </c>
      <c r="C10">
        <v>15</v>
      </c>
      <c r="D10" s="20">
        <f t="shared" si="2"/>
        <v>5</v>
      </c>
    </row>
    <row r="11" spans="1:13" x14ac:dyDescent="0.2">
      <c r="A11" t="s">
        <v>4935</v>
      </c>
    </row>
    <row r="12" spans="1:13" x14ac:dyDescent="0.2">
      <c r="A12" t="s">
        <v>4936</v>
      </c>
      <c r="B12">
        <v>1</v>
      </c>
      <c r="C12">
        <v>3</v>
      </c>
      <c r="D12" s="20">
        <f t="shared" ref="D12:D13" si="3">C12/B12</f>
        <v>3</v>
      </c>
    </row>
    <row r="13" spans="1:13" x14ac:dyDescent="0.2">
      <c r="A13" t="s">
        <v>4937</v>
      </c>
      <c r="B13">
        <v>5</v>
      </c>
      <c r="C13">
        <v>5</v>
      </c>
      <c r="D13" s="20">
        <f t="shared" si="3"/>
        <v>1</v>
      </c>
    </row>
    <row r="14" spans="1:13" x14ac:dyDescent="0.2">
      <c r="A14" t="s">
        <v>4934</v>
      </c>
    </row>
    <row r="15" spans="1:13" x14ac:dyDescent="0.2">
      <c r="A15" t="s">
        <v>4920</v>
      </c>
      <c r="B15">
        <v>19</v>
      </c>
      <c r="C15">
        <v>42</v>
      </c>
      <c r="D15" s="20">
        <f t="shared" ref="D15:D20" si="4">C15/B15</f>
        <v>2.2105263157894739</v>
      </c>
    </row>
    <row r="16" spans="1:13" x14ac:dyDescent="0.2">
      <c r="A16" t="s">
        <v>4921</v>
      </c>
      <c r="B16">
        <v>8</v>
      </c>
      <c r="C16">
        <v>116</v>
      </c>
      <c r="D16" s="20">
        <f t="shared" si="4"/>
        <v>14.5</v>
      </c>
    </row>
    <row r="17" spans="1:4" x14ac:dyDescent="0.2">
      <c r="A17" t="s">
        <v>4923</v>
      </c>
      <c r="B17">
        <v>7</v>
      </c>
      <c r="C17">
        <v>124</v>
      </c>
      <c r="D17" s="20">
        <f t="shared" si="4"/>
        <v>17.714285714285715</v>
      </c>
    </row>
    <row r="18" spans="1:4" x14ac:dyDescent="0.2">
      <c r="A18" t="s">
        <v>4932</v>
      </c>
      <c r="B18">
        <v>1</v>
      </c>
      <c r="C18">
        <v>5</v>
      </c>
      <c r="D18" s="20">
        <f t="shared" si="4"/>
        <v>5</v>
      </c>
    </row>
    <row r="19" spans="1:4" x14ac:dyDescent="0.2">
      <c r="A19" t="s">
        <v>4930</v>
      </c>
      <c r="B19">
        <v>4</v>
      </c>
      <c r="C19">
        <v>17</v>
      </c>
      <c r="D19" s="20">
        <f t="shared" si="4"/>
        <v>4.25</v>
      </c>
    </row>
    <row r="20" spans="1:4" x14ac:dyDescent="0.2">
      <c r="A20" t="s">
        <v>4971</v>
      </c>
      <c r="B20">
        <v>10</v>
      </c>
      <c r="C20">
        <v>24</v>
      </c>
      <c r="D20" s="20">
        <f t="shared" si="4"/>
        <v>2.4</v>
      </c>
    </row>
    <row r="22" spans="1:4" x14ac:dyDescent="0.2">
      <c r="A22" s="19" t="s">
        <v>4879</v>
      </c>
      <c r="B22" s="19">
        <f>SUM(B23:B41)</f>
        <v>253</v>
      </c>
      <c r="C22" s="19">
        <f>SUM(C23:C41)</f>
        <v>558</v>
      </c>
      <c r="D22" s="22">
        <f t="shared" ref="D22" si="5">C22/B22</f>
        <v>2.2055335968379448</v>
      </c>
    </row>
    <row r="23" spans="1:4" x14ac:dyDescent="0.2">
      <c r="A23" t="s">
        <v>4894</v>
      </c>
      <c r="B23">
        <v>118</v>
      </c>
      <c r="C23">
        <v>397</v>
      </c>
      <c r="D23" s="20">
        <f t="shared" ref="D23:D41" si="6">C23/B23</f>
        <v>3.3644067796610169</v>
      </c>
    </row>
    <row r="24" spans="1:4" x14ac:dyDescent="0.2">
      <c r="A24" t="s">
        <v>4900</v>
      </c>
      <c r="B24">
        <v>21</v>
      </c>
      <c r="C24">
        <v>23</v>
      </c>
      <c r="D24" s="20">
        <f t="shared" si="6"/>
        <v>1.0952380952380953</v>
      </c>
    </row>
    <row r="25" spans="1:4" x14ac:dyDescent="0.2">
      <c r="A25" t="s">
        <v>4893</v>
      </c>
      <c r="B25">
        <v>9</v>
      </c>
      <c r="C25">
        <v>17</v>
      </c>
      <c r="D25" s="20">
        <f t="shared" si="6"/>
        <v>1.8888888888888888</v>
      </c>
    </row>
    <row r="26" spans="1:4" x14ac:dyDescent="0.2">
      <c r="A26" t="s">
        <v>4880</v>
      </c>
      <c r="B26">
        <v>14</v>
      </c>
      <c r="C26">
        <v>16</v>
      </c>
      <c r="D26" s="20">
        <f t="shared" si="6"/>
        <v>1.1428571428571428</v>
      </c>
    </row>
    <row r="27" spans="1:4" x14ac:dyDescent="0.2">
      <c r="A27" t="s">
        <v>4885</v>
      </c>
      <c r="B27">
        <v>15</v>
      </c>
      <c r="C27">
        <v>15</v>
      </c>
      <c r="D27" s="20">
        <f t="shared" si="6"/>
        <v>1</v>
      </c>
    </row>
    <row r="28" spans="1:4" x14ac:dyDescent="0.2">
      <c r="A28" t="s">
        <v>4898</v>
      </c>
      <c r="B28">
        <v>13</v>
      </c>
      <c r="C28">
        <v>15</v>
      </c>
      <c r="D28" s="20">
        <f t="shared" si="6"/>
        <v>1.1538461538461537</v>
      </c>
    </row>
    <row r="29" spans="1:4" x14ac:dyDescent="0.2">
      <c r="A29" t="s">
        <v>4892</v>
      </c>
      <c r="B29">
        <v>12</v>
      </c>
      <c r="C29">
        <v>14</v>
      </c>
      <c r="D29" s="20">
        <f t="shared" si="6"/>
        <v>1.1666666666666667</v>
      </c>
    </row>
    <row r="30" spans="1:4" x14ac:dyDescent="0.2">
      <c r="A30" t="s">
        <v>4899</v>
      </c>
      <c r="B30">
        <v>8</v>
      </c>
      <c r="C30">
        <v>10</v>
      </c>
      <c r="D30" s="20">
        <f t="shared" si="6"/>
        <v>1.25</v>
      </c>
    </row>
    <row r="31" spans="1:4" x14ac:dyDescent="0.2">
      <c r="A31" t="s">
        <v>4972</v>
      </c>
      <c r="B31">
        <v>4</v>
      </c>
      <c r="C31">
        <v>9</v>
      </c>
      <c r="D31" s="20">
        <f t="shared" si="6"/>
        <v>2.25</v>
      </c>
    </row>
    <row r="32" spans="1:4" x14ac:dyDescent="0.2">
      <c r="A32" t="s">
        <v>4895</v>
      </c>
      <c r="B32">
        <v>8</v>
      </c>
      <c r="C32">
        <v>8</v>
      </c>
      <c r="D32" s="20">
        <f t="shared" si="6"/>
        <v>1</v>
      </c>
    </row>
    <row r="33" spans="1:4" x14ac:dyDescent="0.2">
      <c r="A33" t="s">
        <v>4884</v>
      </c>
      <c r="B33">
        <v>7</v>
      </c>
      <c r="C33">
        <v>7</v>
      </c>
      <c r="D33" s="20">
        <f t="shared" si="6"/>
        <v>1</v>
      </c>
    </row>
    <row r="34" spans="1:4" x14ac:dyDescent="0.2">
      <c r="A34" t="s">
        <v>4891</v>
      </c>
      <c r="B34">
        <v>7</v>
      </c>
      <c r="C34">
        <v>7</v>
      </c>
      <c r="D34" s="20">
        <f t="shared" si="6"/>
        <v>1</v>
      </c>
    </row>
    <row r="35" spans="1:4" x14ac:dyDescent="0.2">
      <c r="A35" t="s">
        <v>4883</v>
      </c>
      <c r="B35">
        <v>6</v>
      </c>
      <c r="C35">
        <v>6</v>
      </c>
      <c r="D35" s="20">
        <f t="shared" si="6"/>
        <v>1</v>
      </c>
    </row>
    <row r="36" spans="1:4" x14ac:dyDescent="0.2">
      <c r="A36" t="s">
        <v>4882</v>
      </c>
      <c r="B36">
        <v>3</v>
      </c>
      <c r="C36">
        <v>4</v>
      </c>
      <c r="D36" s="20">
        <f t="shared" si="6"/>
        <v>1.3333333333333333</v>
      </c>
    </row>
    <row r="37" spans="1:4" x14ac:dyDescent="0.2">
      <c r="A37" t="s">
        <v>4881</v>
      </c>
      <c r="B37">
        <v>1</v>
      </c>
      <c r="C37">
        <v>3</v>
      </c>
      <c r="D37" s="20">
        <f t="shared" si="6"/>
        <v>3</v>
      </c>
    </row>
    <row r="38" spans="1:4" x14ac:dyDescent="0.2">
      <c r="A38" t="s">
        <v>4887</v>
      </c>
      <c r="B38">
        <v>3</v>
      </c>
      <c r="C38">
        <v>3</v>
      </c>
      <c r="D38" s="20">
        <f t="shared" si="6"/>
        <v>1</v>
      </c>
    </row>
    <row r="39" spans="1:4" x14ac:dyDescent="0.2">
      <c r="A39" t="s">
        <v>4890</v>
      </c>
      <c r="B39">
        <v>2</v>
      </c>
      <c r="C39">
        <v>2</v>
      </c>
      <c r="D39" s="20">
        <f t="shared" si="6"/>
        <v>1</v>
      </c>
    </row>
    <row r="40" spans="1:4" x14ac:dyDescent="0.2">
      <c r="A40" t="s">
        <v>4886</v>
      </c>
      <c r="B40">
        <v>1</v>
      </c>
      <c r="C40">
        <v>1</v>
      </c>
      <c r="D40" s="20">
        <f t="shared" si="6"/>
        <v>1</v>
      </c>
    </row>
    <row r="41" spans="1:4" x14ac:dyDescent="0.2">
      <c r="A41" t="s">
        <v>4888</v>
      </c>
      <c r="B41">
        <v>1</v>
      </c>
      <c r="C41">
        <v>1</v>
      </c>
      <c r="D41" s="20">
        <f t="shared" si="6"/>
        <v>1</v>
      </c>
    </row>
    <row r="43" spans="1:4" x14ac:dyDescent="0.2">
      <c r="A43" s="19" t="s">
        <v>4968</v>
      </c>
      <c r="B43" s="19">
        <v>3</v>
      </c>
      <c r="C43" s="19">
        <v>4</v>
      </c>
      <c r="D43" s="22">
        <f t="shared" ref="D43:D44" si="7">C43/B43</f>
        <v>1.3333333333333333</v>
      </c>
    </row>
    <row r="44" spans="1:4" x14ac:dyDescent="0.2">
      <c r="A44" s="19" t="s">
        <v>4897</v>
      </c>
      <c r="B44" s="19">
        <v>459</v>
      </c>
      <c r="C44" s="19">
        <v>700</v>
      </c>
      <c r="D44" s="22">
        <f t="shared" si="7"/>
        <v>1.5250544662309369</v>
      </c>
    </row>
    <row r="46" spans="1:4" x14ac:dyDescent="0.2">
      <c r="A46" s="19" t="s">
        <v>4973</v>
      </c>
      <c r="B46">
        <v>806</v>
      </c>
      <c r="C46">
        <v>1740</v>
      </c>
    </row>
    <row r="48" spans="1:4" x14ac:dyDescent="0.2">
      <c r="B48">
        <f>253/806</f>
        <v>0.31389578163771714</v>
      </c>
      <c r="C48">
        <f>700/1740</f>
        <v>0.40229885057471265</v>
      </c>
    </row>
  </sheetData>
  <sortState ref="A23:D41">
    <sortCondition descending="1" ref="C23:C41"/>
  </sortState>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cf-5-36-ALL</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Ribeiro, Jose (NIH/NIAID) [E]</dc:creator>
  <cp:lastModifiedBy>Isabel Larot</cp:lastModifiedBy>
  <dcterms:created xsi:type="dcterms:W3CDTF">2011-11-13T16:26:21Z</dcterms:created>
  <dcterms:modified xsi:type="dcterms:W3CDTF">2012-08-31T21:21:31Z</dcterms:modified>
</cp:coreProperties>
</file>